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omments2.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omments3.xml" ContentType="application/vnd.openxmlformats-officedocument.spreadsheetml.comments+xml"/>
  <Override PartName="/xl/customProperty8.bin" ContentType="application/vnd.openxmlformats-officedocument.spreadsheetml.customProperty"/>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omments5.xml" ContentType="application/vnd.openxmlformats-officedocument.spreadsheetml.comments+xml"/>
  <Override PartName="/xl/customProperty12.bin" ContentType="application/vnd.openxmlformats-officedocument.spreadsheetml.customProperty"/>
  <Override PartName="/xl/comments6.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comments7.xml" ContentType="application/vnd.openxmlformats-officedocument.spreadsheetml.comments+xml"/>
  <Override PartName="/xl/customProperty15.bin" ContentType="application/vnd.openxmlformats-officedocument.spreadsheetml.customProperty"/>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ustomProperty16.bin" ContentType="application/vnd.openxmlformats-officedocument.spreadsheetml.customProperty"/>
  <Override PartName="/xl/comments11.xml" ContentType="application/vnd.openxmlformats-officedocument.spreadsheetml.comments+xml"/>
  <Override PartName="/xl/customProperty17.bin" ContentType="application/vnd.openxmlformats-officedocument.spreadsheetml.customProperty"/>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ustomProperty18.bin" ContentType="application/vnd.openxmlformats-officedocument.spreadsheetml.customProperty"/>
  <Override PartName="/xl/comments15.xml" ContentType="application/vnd.openxmlformats-officedocument.spreadsheetml.comments+xml"/>
  <Override PartName="/xl/customProperty19.bin" ContentType="application/vnd.openxmlformats-officedocument.spreadsheetml.customProperty"/>
  <Override PartName="/xl/comments16.xml" ContentType="application/vnd.openxmlformats-officedocument.spreadsheetml.comments+xml"/>
  <Override PartName="/xl/comments17.xml" ContentType="application/vnd.openxmlformats-officedocument.spreadsheetml.comments+xml"/>
  <Override PartName="/xl/customProperty20.bin" ContentType="application/vnd.openxmlformats-officedocument.spreadsheetml.customProperty"/>
  <Override PartName="/xl/comments18.xml" ContentType="application/vnd.openxmlformats-officedocument.spreadsheetml.comments+xml"/>
  <Override PartName="/xl/customProperty21.bin" ContentType="application/vnd.openxmlformats-officedocument.spreadsheetml.customProperty"/>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Vaughan\Desktop\"/>
    </mc:Choice>
  </mc:AlternateContent>
  <bookViews>
    <workbookView xWindow="32760" yWindow="32760" windowWidth="30930" windowHeight="8220" firstSheet="15" activeTab="17"/>
  </bookViews>
  <sheets>
    <sheet name="Cover" sheetId="69" r:id="rId1"/>
    <sheet name="Sign Off" sheetId="78" r:id="rId2"/>
    <sheet name="Drivers Tabs-&gt;" sheetId="70" r:id="rId3"/>
    <sheet name="Input" sheetId="29" r:id="rId4"/>
    <sheet name="Debt &amp; Cust Dep" sheetId="38" r:id="rId5"/>
    <sheet name="Input Plant" sheetId="49" r:id="rId6"/>
    <sheet name="Input Seg of CWIP" sheetId="54" r:id="rId7"/>
    <sheet name="Input Tax Rate" sheetId="52" r:id="rId8"/>
    <sheet name="Input WFNG" sheetId="16" r:id="rId9"/>
    <sheet name="Input IS ACCTS" sheetId="41" r:id="rId10"/>
    <sheet name="Input BS ACCTS" sheetId="40" r:id="rId11"/>
    <sheet name="Model Tabs -&gt;" sheetId="71" r:id="rId12"/>
    <sheet name="Bal Sheet" sheetId="15" r:id="rId13"/>
    <sheet name="IncomeStmt" sheetId="8" r:id="rId14"/>
    <sheet name="Cap Str 54.7%" sheetId="68" r:id="rId15"/>
    <sheet name="Int Synch" sheetId="3" r:id="rId16"/>
    <sheet name="Output Tabs-&gt;" sheetId="72" r:id="rId17"/>
    <sheet name="Report" sheetId="1" r:id="rId18"/>
    <sheet name="Market to Reg ROE" sheetId="75" r:id="rId19"/>
    <sheet name="ROE Comparison" sheetId="76" r:id="rId20"/>
    <sheet name="Reconcil" sheetId="2" r:id="rId21"/>
    <sheet name="Working Cap Comparison" sheetId="77" r:id="rId22"/>
    <sheet name="Report YE" sheetId="64" r:id="rId23"/>
    <sheet name="Reconcil YE" sheetId="65" r:id="rId24"/>
    <sheet name="AFUDC Sch A " sheetId="57" r:id="rId25"/>
    <sheet name="AFUDC Sch B" sheetId="56" r:id="rId26"/>
    <sheet name="AFUDC Sch C" sheetId="58" r:id="rId27"/>
    <sheet name="Comparison Report Tabs-&gt;" sheetId="73" r:id="rId28"/>
    <sheet name="COMP Prior Yr" sheetId="44" r:id="rId29"/>
    <sheet name="COMP Final Bud" sheetId="45" r:id="rId30"/>
    <sheet name="COMP Orginal Bud" sheetId="59" r:id="rId31"/>
    <sheet name="COMP Q3F" sheetId="66" r:id="rId32"/>
    <sheet name="COMP Qrt vs prior Yr Qtr" sheetId="48" r:id="rId33"/>
    <sheet name="NOT UPDATED ---------&gt;" sheetId="74" r:id="rId34"/>
    <sheet name="COMP Q3F Qrtly" sheetId="47" r:id="rId35"/>
    <sheet name="COMP Fin Bud Qrtly" sheetId="60" r:id="rId36"/>
    <sheet name="COMP Org Bud Qrtly" sheetId="42" r:id="rId37"/>
    <sheet name="COMP 5+7F" sheetId="46" r:id="rId38"/>
  </sheets>
  <definedNames>
    <definedName name="_xlnm._FilterDatabase" localSheetId="9" hidden="1">'Input IS ACCTS'!$A$4:$CU$4</definedName>
    <definedName name="Bal_Sheet">'Bal Sheet'!$A$1:$ET$109</definedName>
    <definedName name="Interest_synch">'Int Synch'!$A$6:$E$37</definedName>
    <definedName name="_xlnm.Print_Area" localSheetId="24">'AFUDC Sch A '!$A$1:$I$30</definedName>
    <definedName name="_xlnm.Print_Area" localSheetId="25">'AFUDC Sch B'!$A$1:$G$32</definedName>
    <definedName name="_xlnm.Print_Area" localSheetId="26">'AFUDC Sch C'!$A$1:$G$25</definedName>
    <definedName name="_xlnm.Print_Area" localSheetId="12">'Bal Sheet'!$A$1:$ET$113</definedName>
    <definedName name="_xlnm.Print_Area" localSheetId="37">'COMP 5+7F'!$A$1:$H$58</definedName>
    <definedName name="_xlnm.Print_Area" localSheetId="35">'COMP Fin Bud Qrtly'!$A$1:$H$58</definedName>
    <definedName name="_xlnm.Print_Area" localSheetId="29">'COMP Final Bud'!$A$1:$H$59</definedName>
    <definedName name="_xlnm.Print_Area" localSheetId="36">'COMP Org Bud Qrtly'!$A$1:$H$58</definedName>
    <definedName name="_xlnm.Print_Area" localSheetId="30">'COMP Orginal Bud'!$A$1:$H$59</definedName>
    <definedName name="_xlnm.Print_Area" localSheetId="28">'COMP Prior Yr'!$A$1:$H$59</definedName>
    <definedName name="_xlnm.Print_Area" localSheetId="31">'COMP Q3F'!$A$1:$H$58</definedName>
    <definedName name="_xlnm.Print_Area" localSheetId="34">'COMP Q3F Qrtly'!$A$1:$H$58</definedName>
    <definedName name="_xlnm.Print_Area" localSheetId="32">'COMP Qrt vs prior Yr Qtr'!$A$1:$H$58</definedName>
    <definedName name="_xlnm.Print_Area" localSheetId="4">'Debt &amp; Cust Dep'!$A$1:$EA$94</definedName>
    <definedName name="_xlnm.Print_Area" localSheetId="13">IncomeStmt!$A$1:$EI$59</definedName>
    <definedName name="_xlnm.Print_Area" localSheetId="3">Input!$A$3:$DR$71</definedName>
    <definedName name="_xlnm.Print_Area" localSheetId="5">'Input Plant'!$A$1:$CK$40</definedName>
    <definedName name="_xlnm.Print_Area" localSheetId="8">'Input WFNG'!$U$5:$AR$36</definedName>
    <definedName name="_xlnm.Print_Area" localSheetId="15">Reconcil!$A$172:$H$211</definedName>
    <definedName name="_xlnm.Print_Area" localSheetId="18">'Market to Reg ROE'!$A$1:$D$76</definedName>
    <definedName name="_xlnm.Print_Area" localSheetId="20">Reconcil!$A$171:$I$212</definedName>
    <definedName name="_xlnm.Print_Area" localSheetId="17">Report!$A$148:$V$171</definedName>
    <definedName name="_xlnm.Print_Area" localSheetId="22">'Report YE'!$A$94:$V$145</definedName>
    <definedName name="_xlnm.Print_Area" localSheetId="19">'ROE Comparison'!$A$2:$O$55</definedName>
    <definedName name="_xlnm.Print_Area" localSheetId="21">'Working Cap Comparison'!$A$1:$P$48</definedName>
    <definedName name="_xlnm.Print_Titles" localSheetId="12">'Bal Sheet'!$1:$6</definedName>
    <definedName name="_xlnm.Print_Titles" localSheetId="8">'Input WFNG'!$1:$11</definedName>
    <definedName name="Reconcil_Average">Reconcil!$A$1:$K$45</definedName>
    <definedName name="Reconcil_year_end">Reconcil!$A$50:$K$93</definedName>
    <definedName name="ROE_COMPARISON" localSheetId="37">'COMP 5+7F'!$A$2:$H$58</definedName>
    <definedName name="ROE_COMPARISON" localSheetId="35">'COMP Fin Bud Qrtly'!$A$2:$H$58</definedName>
    <definedName name="ROE_COMPARISON" localSheetId="29">'COMP Final Bud'!$A$2:$H$59</definedName>
    <definedName name="ROE_COMPARISON" localSheetId="36">'COMP Org Bud Qrtly'!$A$2:$H$58</definedName>
    <definedName name="ROE_COMPARISON" localSheetId="30">'COMP Orginal Bud'!$A$2:$H$59</definedName>
    <definedName name="ROE_COMPARISON" localSheetId="28">'COMP Prior Yr'!$A$2:$H$59</definedName>
    <definedName name="ROE_COMPARISON" localSheetId="31">'COMP Q3F'!$A$2:$H$58</definedName>
    <definedName name="ROE_COMPARISON" localSheetId="34">'COMP Q3F Qrtly'!$A$2:$H$58</definedName>
    <definedName name="ROE_COMPARISON" localSheetId="32">'COMP Qrt vs prior Yr Qtr'!$A$2:$H$58</definedName>
    <definedName name="Sched_1" localSheetId="22">'Report YE'!$A$1:$O$42</definedName>
    <definedName name="Sched_1">Report!$A$1:$O$42</definedName>
    <definedName name="Sched_2" localSheetId="22">'Report YE'!$A$45:$U$91</definedName>
    <definedName name="Sched_2">Report!$A$45:$U$93</definedName>
    <definedName name="Sched_3" localSheetId="22">'Report YE'!$A$94:$V$145</definedName>
    <definedName name="Sched_3">Report!$A$95:$V$146</definedName>
    <definedName name="Sched_4" localSheetId="22">'Report YE'!$A$147:$V$177</definedName>
    <definedName name="Sched_4">Report!$A$148:$V$172</definedName>
    <definedName name="Sched_5" localSheetId="22">'Report YE'!$A$180:$M$233</definedName>
    <definedName name="Sched_5">Report!$A$176:$M$230</definedName>
    <definedName name="Sched_5_2" localSheetId="22">'Report YE'!$A$241:$M$294</definedName>
    <definedName name="Sched_5_2">Report!$A$238:$M$291</definedName>
    <definedName name="Summary_MSEA_Return" localSheetId="3">#REF!</definedName>
    <definedName name="Surv_support">#REF!</definedName>
    <definedName name="Working_capital">Reconcil!$A$172:$H$211</definedName>
  </definedNames>
  <calcPr calcId="977461" fullCalcOnLoad="1"/>
  <fileRecoveryPr autoRecover="0"/>
</workbook>
</file>

<file path=xl/calcChain.xml><?xml version="1.0" encoding="utf-8"?>
<calcChain xmlns="http://schemas.openxmlformats.org/spreadsheetml/2006/main">
  <c r="AB170" i="64" l="1"/>
  <c r="H119" i="64"/>
  <c r="H110" i="64"/>
  <c r="P106" i="64"/>
  <c r="B130" i="64"/>
  <c r="B121" i="64"/>
  <c r="F115" i="64"/>
  <c r="J113" i="64"/>
  <c r="H110" i="1"/>
  <c r="T268" i="16"/>
  <c r="H119" i="1"/>
  <c r="F72" i="64"/>
  <c r="B156" i="2"/>
  <c r="B148" i="2"/>
  <c r="B140" i="2"/>
  <c r="B119" i="2"/>
  <c r="B112" i="2"/>
  <c r="B98" i="2"/>
  <c r="B77" i="2"/>
  <c r="B69" i="2"/>
  <c r="B68" i="2"/>
  <c r="D14" i="65"/>
  <c r="L14" i="65"/>
  <c r="C20" i="75"/>
  <c r="N77" i="1"/>
  <c r="F77" i="1"/>
  <c r="T166" i="64"/>
  <c r="L166" i="64"/>
  <c r="L162" i="64"/>
  <c r="L130" i="64"/>
  <c r="L125" i="64"/>
  <c r="L122" i="64"/>
  <c r="L121" i="64"/>
  <c r="L120" i="64"/>
  <c r="L115" i="64"/>
  <c r="N77" i="64"/>
  <c r="D72" i="64"/>
  <c r="EN60" i="29"/>
  <c r="CV508" i="41"/>
  <c r="CV450" i="41"/>
  <c r="CV2" i="41"/>
  <c r="F12" i="77"/>
  <c r="F13" i="77"/>
  <c r="A4" i="77"/>
  <c r="L41" i="77"/>
  <c r="D41" i="77"/>
  <c r="B12" i="77"/>
  <c r="B13" i="77"/>
  <c r="N48" i="76"/>
  <c r="N46" i="76"/>
  <c r="A5" i="76"/>
  <c r="A192" i="40"/>
  <c r="EQ51" i="29"/>
  <c r="Z14" i="54"/>
  <c r="Z15" i="54"/>
  <c r="Z16" i="54"/>
  <c r="Z17" i="54"/>
  <c r="Z18" i="54"/>
  <c r="Z19" i="54"/>
  <c r="Z20" i="54"/>
  <c r="Z21" i="54"/>
  <c r="Z22" i="54"/>
  <c r="Z23" i="54"/>
  <c r="Z24" i="54"/>
  <c r="Z25" i="54"/>
  <c r="Z26" i="54"/>
  <c r="Z27" i="54"/>
  <c r="Z28" i="54"/>
  <c r="Z29" i="54"/>
  <c r="Z30" i="54"/>
  <c r="Z31" i="54"/>
  <c r="Z32" i="54"/>
  <c r="Z33" i="54"/>
  <c r="Z34" i="54"/>
  <c r="Z35" i="54"/>
  <c r="Z36" i="54"/>
  <c r="Z37" i="54"/>
  <c r="EF51" i="8"/>
  <c r="CI40" i="49"/>
  <c r="CG40" i="49"/>
  <c r="CH40" i="49"/>
  <c r="CF40" i="49"/>
  <c r="B121" i="1"/>
  <c r="D52" i="3"/>
  <c r="D19" i="3"/>
  <c r="L162" i="1"/>
  <c r="DR61" i="38"/>
  <c r="DR60" i="38"/>
  <c r="DR59" i="38"/>
  <c r="DR58" i="38"/>
  <c r="DR57" i="38"/>
  <c r="DR55" i="38"/>
  <c r="DR12" i="38"/>
  <c r="DR47" i="38"/>
  <c r="DQ61" i="38"/>
  <c r="DQ60" i="38"/>
  <c r="DQ59" i="38"/>
  <c r="DQ58" i="38"/>
  <c r="DQ57" i="38"/>
  <c r="DQ55" i="38"/>
  <c r="DQ12" i="38"/>
  <c r="DQ47" i="38"/>
  <c r="DP61" i="38"/>
  <c r="DP60" i="38"/>
  <c r="DP59" i="38"/>
  <c r="DP58" i="38"/>
  <c r="DP57" i="38"/>
  <c r="DP12" i="38"/>
  <c r="DP47" i="38"/>
  <c r="ET112" i="15"/>
  <c r="ET102" i="15"/>
  <c r="C156" i="2"/>
  <c r="ET98" i="15"/>
  <c r="C148" i="2"/>
  <c r="ET87" i="15"/>
  <c r="ET67" i="15"/>
  <c r="ET50" i="15"/>
  <c r="C98" i="2"/>
  <c r="B201" i="2"/>
  <c r="B36" i="77"/>
  <c r="F36" i="77"/>
  <c r="ET28" i="15"/>
  <c r="C77" i="2"/>
  <c r="ET20" i="15"/>
  <c r="ET19" i="15"/>
  <c r="HK6" i="15"/>
  <c r="HJ6" i="15"/>
  <c r="HI6" i="15"/>
  <c r="EH21" i="8"/>
  <c r="B21" i="8"/>
  <c r="P106" i="1"/>
  <c r="D21" i="8"/>
  <c r="HK95" i="15"/>
  <c r="HK30" i="15"/>
  <c r="HK15" i="15"/>
  <c r="HK10" i="15"/>
  <c r="HJ95" i="15"/>
  <c r="HJ30" i="15"/>
  <c r="HJ15" i="15"/>
  <c r="HJ10" i="15"/>
  <c r="EQ18" i="15"/>
  <c r="EQ21" i="15"/>
  <c r="HI95" i="15"/>
  <c r="HI30" i="15"/>
  <c r="HI15" i="15"/>
  <c r="EG14" i="8"/>
  <c r="EG42" i="8"/>
  <c r="D42" i="8"/>
  <c r="EG39" i="8"/>
  <c r="D39" i="8"/>
  <c r="EG37" i="8"/>
  <c r="DR26" i="38"/>
  <c r="EG32" i="8"/>
  <c r="D32" i="8"/>
  <c r="EG28" i="8"/>
  <c r="D28" i="8"/>
  <c r="EG30" i="8"/>
  <c r="D30" i="8"/>
  <c r="EG27" i="8"/>
  <c r="EG20" i="8"/>
  <c r="EG19" i="8"/>
  <c r="EG18" i="8"/>
  <c r="EG16" i="8"/>
  <c r="D16" i="8"/>
  <c r="EG15" i="8"/>
  <c r="D15" i="8"/>
  <c r="EG40" i="8"/>
  <c r="D40" i="8"/>
  <c r="DR28" i="38"/>
  <c r="DR27" i="38"/>
  <c r="DR85" i="38"/>
  <c r="DR86" i="38"/>
  <c r="EP27" i="29"/>
  <c r="EP26" i="29"/>
  <c r="EP75" i="29"/>
  <c r="EP22" i="29"/>
  <c r="EP68" i="29"/>
  <c r="EP32" i="29"/>
  <c r="EP31" i="29"/>
  <c r="EP18" i="29"/>
  <c r="EF14" i="8"/>
  <c r="EF42" i="8"/>
  <c r="EF39" i="8"/>
  <c r="EF37" i="8"/>
  <c r="DQ26" i="38"/>
  <c r="EF32" i="8"/>
  <c r="EF28" i="8"/>
  <c r="EF30" i="8"/>
  <c r="EF20" i="8"/>
  <c r="EF19" i="8"/>
  <c r="EF18" i="8"/>
  <c r="EF16" i="8"/>
  <c r="EF15" i="8"/>
  <c r="EF40" i="8"/>
  <c r="DQ28" i="38"/>
  <c r="DQ27" i="38"/>
  <c r="EO27" i="29"/>
  <c r="EO75" i="29"/>
  <c r="EO22" i="29"/>
  <c r="EO32" i="29"/>
  <c r="EO31" i="29"/>
  <c r="EO18" i="29"/>
  <c r="CV420" i="41"/>
  <c r="CV507" i="41"/>
  <c r="CV506" i="41"/>
  <c r="CV505" i="41"/>
  <c r="CV504" i="41"/>
  <c r="CV503" i="41"/>
  <c r="CV502" i="41"/>
  <c r="CV501" i="41"/>
  <c r="CV500" i="41"/>
  <c r="CV499" i="41"/>
  <c r="CV498" i="41"/>
  <c r="CV497" i="41"/>
  <c r="CV496" i="41"/>
  <c r="CV495" i="41"/>
  <c r="CV494" i="41"/>
  <c r="CV493" i="41"/>
  <c r="CV492" i="41"/>
  <c r="CV491" i="41"/>
  <c r="CV490" i="41"/>
  <c r="CV489" i="41"/>
  <c r="CV488" i="41"/>
  <c r="CV487" i="41"/>
  <c r="CV486" i="41"/>
  <c r="CV485" i="41"/>
  <c r="CV484" i="41"/>
  <c r="CV483" i="41"/>
  <c r="CV482" i="41"/>
  <c r="CV481" i="41"/>
  <c r="CV480" i="41"/>
  <c r="CV479" i="41"/>
  <c r="F118" i="64"/>
  <c r="L118" i="64"/>
  <c r="F118" i="1"/>
  <c r="CV478" i="41"/>
  <c r="CV477" i="41"/>
  <c r="CV476" i="41"/>
  <c r="CV475" i="41"/>
  <c r="CV474" i="41"/>
  <c r="CV473" i="41"/>
  <c r="CV472" i="41"/>
  <c r="CV471" i="41"/>
  <c r="CV470" i="41"/>
  <c r="CV469" i="41"/>
  <c r="CV468" i="41"/>
  <c r="CV467" i="41"/>
  <c r="CV466" i="41"/>
  <c r="CV465" i="41"/>
  <c r="CV464" i="41"/>
  <c r="CV463" i="41"/>
  <c r="CV462" i="41"/>
  <c r="CV461" i="41"/>
  <c r="CV460" i="41"/>
  <c r="CV459" i="41"/>
  <c r="CV458" i="41"/>
  <c r="CV457" i="41"/>
  <c r="CV456" i="41"/>
  <c r="CV455" i="41"/>
  <c r="CV454" i="41"/>
  <c r="CV453" i="41"/>
  <c r="CV452" i="41"/>
  <c r="CV451" i="41"/>
  <c r="CV449" i="41"/>
  <c r="CV448" i="41"/>
  <c r="CV447" i="41"/>
  <c r="CV446" i="41"/>
  <c r="CV445" i="41"/>
  <c r="EE37" i="8"/>
  <c r="CV443" i="41"/>
  <c r="CV442" i="41"/>
  <c r="CV441" i="41"/>
  <c r="CV440" i="41"/>
  <c r="CV439" i="41"/>
  <c r="CV438" i="41"/>
  <c r="CV437" i="41"/>
  <c r="CV436" i="41"/>
  <c r="CV433" i="41"/>
  <c r="CV432" i="41"/>
  <c r="CV431" i="41"/>
  <c r="CV430" i="41"/>
  <c r="CV429" i="41"/>
  <c r="CV427" i="41"/>
  <c r="CV426" i="41"/>
  <c r="CV424" i="41"/>
  <c r="CV423" i="41"/>
  <c r="EE15" i="8"/>
  <c r="EH15" i="8"/>
  <c r="CV417" i="41"/>
  <c r="CV416" i="41"/>
  <c r="CV415" i="41"/>
  <c r="CV414" i="41"/>
  <c r="CV413" i="41"/>
  <c r="CV412" i="41"/>
  <c r="CV411" i="41"/>
  <c r="CV410" i="41"/>
  <c r="CV409" i="41"/>
  <c r="CV408" i="41"/>
  <c r="CV407" i="41"/>
  <c r="CV406" i="41"/>
  <c r="CV405" i="41"/>
  <c r="CV404" i="41"/>
  <c r="CV403" i="41"/>
  <c r="CV402" i="41"/>
  <c r="CV401" i="41"/>
  <c r="CV400" i="41"/>
  <c r="CV399" i="41"/>
  <c r="CV398" i="41"/>
  <c r="CV397" i="41"/>
  <c r="CV396" i="41"/>
  <c r="CV395" i="41"/>
  <c r="CV394" i="41"/>
  <c r="CV393" i="41"/>
  <c r="CV392" i="41"/>
  <c r="CV391" i="41"/>
  <c r="CV390" i="41"/>
  <c r="CV389" i="41"/>
  <c r="CV388" i="41"/>
  <c r="CV386" i="41"/>
  <c r="CV385" i="41"/>
  <c r="CV384" i="41"/>
  <c r="CV382" i="41"/>
  <c r="CV381" i="41"/>
  <c r="CV380" i="41"/>
  <c r="CV379" i="41"/>
  <c r="CV378" i="41"/>
  <c r="CV377" i="41"/>
  <c r="CV376" i="41"/>
  <c r="CV375" i="41"/>
  <c r="CV374" i="41"/>
  <c r="CV373" i="41"/>
  <c r="CV372" i="41"/>
  <c r="CV371" i="41"/>
  <c r="CV370" i="41"/>
  <c r="CV369" i="41"/>
  <c r="CV368" i="41"/>
  <c r="CV367" i="41"/>
  <c r="CV366" i="41"/>
  <c r="CV365" i="41"/>
  <c r="CV364" i="41"/>
  <c r="CV363" i="41"/>
  <c r="R106" i="64"/>
  <c r="CV362" i="41"/>
  <c r="CV361" i="41"/>
  <c r="CV360" i="41"/>
  <c r="CV359" i="41"/>
  <c r="CV358" i="41"/>
  <c r="CV357" i="41"/>
  <c r="CV356" i="41"/>
  <c r="CV355" i="41"/>
  <c r="CV354" i="41"/>
  <c r="CV353" i="41"/>
  <c r="CV352" i="41"/>
  <c r="CV351" i="41"/>
  <c r="CV350" i="41"/>
  <c r="CV349" i="41"/>
  <c r="CV348" i="41"/>
  <c r="CV347" i="41"/>
  <c r="CV346" i="41"/>
  <c r="CV345" i="41"/>
  <c r="CV344" i="41"/>
  <c r="CV343" i="41"/>
  <c r="CV342" i="41"/>
  <c r="EN27" i="29"/>
  <c r="CV339" i="41"/>
  <c r="CV338" i="41"/>
  <c r="CV337" i="41"/>
  <c r="CV336" i="41"/>
  <c r="CV335" i="41"/>
  <c r="CV333" i="41"/>
  <c r="CV332" i="41"/>
  <c r="CV331" i="41"/>
  <c r="CV330" i="41"/>
  <c r="CV329" i="41"/>
  <c r="CV328" i="41"/>
  <c r="CV327" i="41"/>
  <c r="CV326" i="41"/>
  <c r="CV325" i="41"/>
  <c r="CV324" i="41"/>
  <c r="CV323" i="41"/>
  <c r="CV321" i="41"/>
  <c r="CV320" i="41"/>
  <c r="CV319" i="41"/>
  <c r="CV318" i="41"/>
  <c r="CV317" i="41"/>
  <c r="CV316" i="41"/>
  <c r="CV315" i="41"/>
  <c r="CV313" i="41"/>
  <c r="CV312" i="41"/>
  <c r="CV311" i="41"/>
  <c r="CV310" i="41"/>
  <c r="CV309" i="41"/>
  <c r="CV308" i="41"/>
  <c r="CV307" i="41"/>
  <c r="CV305" i="41"/>
  <c r="CV304" i="41"/>
  <c r="CV303" i="41"/>
  <c r="CV302" i="41"/>
  <c r="CV301" i="41"/>
  <c r="CV300" i="41"/>
  <c r="CV299" i="41"/>
  <c r="CV297" i="41"/>
  <c r="CV296" i="41"/>
  <c r="CV295" i="41"/>
  <c r="CV294" i="41"/>
  <c r="CV293" i="41"/>
  <c r="CV292" i="41"/>
  <c r="CV291" i="41"/>
  <c r="CV289" i="41"/>
  <c r="CV288" i="41"/>
  <c r="CV286" i="41"/>
  <c r="CV285" i="41"/>
  <c r="CV284" i="41"/>
  <c r="CV283" i="41"/>
  <c r="CV282" i="41"/>
  <c r="CV281" i="41"/>
  <c r="CV280" i="41"/>
  <c r="CV279" i="41"/>
  <c r="CV278" i="41"/>
  <c r="CV277" i="41"/>
  <c r="CV276" i="41"/>
  <c r="CV274" i="41"/>
  <c r="CV273" i="41"/>
  <c r="CV272" i="41"/>
  <c r="CV271" i="41"/>
  <c r="CV270" i="41"/>
  <c r="CV269" i="41"/>
  <c r="CV268" i="41"/>
  <c r="CV266" i="41"/>
  <c r="CV265" i="41"/>
  <c r="CV264" i="41"/>
  <c r="CV263" i="41"/>
  <c r="CV262" i="41"/>
  <c r="CV261" i="41"/>
  <c r="CV260" i="41"/>
  <c r="CV258" i="41"/>
  <c r="CV257" i="41"/>
  <c r="CV256" i="41"/>
  <c r="CV255" i="41"/>
  <c r="CV254" i="41"/>
  <c r="CV253" i="41"/>
  <c r="CV252" i="41"/>
  <c r="CV250" i="41"/>
  <c r="CV249" i="41"/>
  <c r="CV248" i="41"/>
  <c r="CV246" i="41"/>
  <c r="CV245" i="41"/>
  <c r="CV244" i="41"/>
  <c r="CV243" i="41"/>
  <c r="CV242" i="41"/>
  <c r="CV241" i="41"/>
  <c r="CV240" i="41"/>
  <c r="CV239" i="41"/>
  <c r="CV238" i="41"/>
  <c r="CV237" i="41"/>
  <c r="CV236" i="41"/>
  <c r="CV235" i="41"/>
  <c r="CV234" i="41"/>
  <c r="CV233" i="41"/>
  <c r="CV232" i="41"/>
  <c r="CV231" i="41"/>
  <c r="CV230" i="41"/>
  <c r="CV229" i="41"/>
  <c r="CV228" i="41"/>
  <c r="CV227" i="41"/>
  <c r="CV226" i="41"/>
  <c r="CV225" i="41"/>
  <c r="CV224" i="41"/>
  <c r="CV223" i="41"/>
  <c r="CV222" i="41"/>
  <c r="CV221" i="41"/>
  <c r="CV220" i="41"/>
  <c r="CV219" i="41"/>
  <c r="CV218" i="41"/>
  <c r="CV217" i="41"/>
  <c r="CV216" i="41"/>
  <c r="CV214" i="41"/>
  <c r="CV213" i="41"/>
  <c r="CV211" i="41"/>
  <c r="CV210" i="41"/>
  <c r="CV209" i="41"/>
  <c r="CV207" i="41"/>
  <c r="CV206" i="41"/>
  <c r="CV205" i="41"/>
  <c r="CV203" i="41"/>
  <c r="CV202" i="41"/>
  <c r="CV201" i="41"/>
  <c r="CV199" i="41"/>
  <c r="CV198" i="41"/>
  <c r="CV197" i="41"/>
  <c r="CV195" i="41"/>
  <c r="CV194" i="41"/>
  <c r="CV193" i="41"/>
  <c r="CV191" i="41"/>
  <c r="CV190" i="41"/>
  <c r="CV189" i="41"/>
  <c r="CV187" i="41"/>
  <c r="CV186" i="41"/>
  <c r="CV185" i="41"/>
  <c r="CV182" i="41"/>
  <c r="CV181" i="41"/>
  <c r="CV180" i="41"/>
  <c r="CV179" i="41"/>
  <c r="CV178" i="41"/>
  <c r="CV177" i="41"/>
  <c r="CV176" i="41"/>
  <c r="CV175" i="41"/>
  <c r="CV174" i="41"/>
  <c r="CV173" i="41"/>
  <c r="CV172" i="41"/>
  <c r="CV171" i="41"/>
  <c r="CV170" i="41"/>
  <c r="CV169" i="41"/>
  <c r="CV168" i="41"/>
  <c r="CV167" i="41"/>
  <c r="CV166" i="41"/>
  <c r="CV165" i="41"/>
  <c r="CV164" i="41"/>
  <c r="CV163" i="41"/>
  <c r="CV162" i="41"/>
  <c r="CV161" i="41"/>
  <c r="CV160" i="41"/>
  <c r="CV159" i="41"/>
  <c r="CV158" i="41"/>
  <c r="CV157" i="41"/>
  <c r="CV155" i="41"/>
  <c r="CV154" i="41"/>
  <c r="CV153" i="41"/>
  <c r="CV152" i="41"/>
  <c r="CV150" i="41"/>
  <c r="CV149" i="41"/>
  <c r="CV147" i="41"/>
  <c r="CV146" i="41"/>
  <c r="CV145" i="41"/>
  <c r="CV143" i="41"/>
  <c r="CV142" i="41"/>
  <c r="CV141" i="41"/>
  <c r="CV139" i="41"/>
  <c r="CV138" i="41"/>
  <c r="CV137" i="41"/>
  <c r="CV135" i="41"/>
  <c r="CV134" i="41"/>
  <c r="CV133" i="41"/>
  <c r="CV131" i="41"/>
  <c r="CV130" i="41"/>
  <c r="CV129" i="41"/>
  <c r="CV127" i="41"/>
  <c r="CV126" i="41"/>
  <c r="CV125" i="41"/>
  <c r="CV124" i="41"/>
  <c r="CV123" i="41"/>
  <c r="CV121" i="41"/>
  <c r="CV120" i="41"/>
  <c r="CV119" i="41"/>
  <c r="CV118" i="41"/>
  <c r="CV117" i="41"/>
  <c r="CV116" i="41"/>
  <c r="CV115" i="41"/>
  <c r="CV114" i="41"/>
  <c r="CV113" i="41"/>
  <c r="CV112" i="41"/>
  <c r="CV111" i="41"/>
  <c r="CV110" i="41"/>
  <c r="CV109" i="41"/>
  <c r="CV108" i="41"/>
  <c r="CV107" i="41"/>
  <c r="CV106" i="41"/>
  <c r="CV105" i="41"/>
  <c r="CV104" i="41"/>
  <c r="CV103" i="41"/>
  <c r="CV102" i="41"/>
  <c r="CV100" i="41"/>
  <c r="CV99" i="41"/>
  <c r="CV98" i="41"/>
  <c r="CV96" i="41"/>
  <c r="CV95" i="41"/>
  <c r="CV94" i="41"/>
  <c r="CV92" i="41"/>
  <c r="CV91" i="41"/>
  <c r="CV90" i="41"/>
  <c r="CV88" i="41"/>
  <c r="CV87" i="41"/>
  <c r="CV86" i="41"/>
  <c r="CV84" i="41"/>
  <c r="CV83" i="41"/>
  <c r="CV82" i="41"/>
  <c r="CV80" i="41"/>
  <c r="CV79" i="41"/>
  <c r="CV78" i="41"/>
  <c r="CV76" i="41"/>
  <c r="CV75" i="41"/>
  <c r="CV74" i="41"/>
  <c r="CV72" i="41"/>
  <c r="CV71" i="41"/>
  <c r="CV70" i="41"/>
  <c r="CV68" i="41"/>
  <c r="CV67" i="41"/>
  <c r="CV66" i="41"/>
  <c r="CV64" i="41"/>
  <c r="CV63" i="41"/>
  <c r="CV62" i="41"/>
  <c r="CV60" i="41"/>
  <c r="CV59" i="41"/>
  <c r="CV58" i="41"/>
  <c r="CV56" i="41"/>
  <c r="CV55" i="41"/>
  <c r="CV54" i="41"/>
  <c r="CV52" i="41"/>
  <c r="CV51" i="41"/>
  <c r="CV50" i="41"/>
  <c r="CV48" i="41"/>
  <c r="CV47" i="41"/>
  <c r="CV46" i="41"/>
  <c r="CV44" i="41"/>
  <c r="CV43" i="41"/>
  <c r="CV42" i="41"/>
  <c r="CV40" i="41"/>
  <c r="CV39" i="41"/>
  <c r="CV38" i="41"/>
  <c r="CV36" i="41"/>
  <c r="CV35" i="41"/>
  <c r="CV34" i="41"/>
  <c r="CV32" i="41"/>
  <c r="CV31" i="41"/>
  <c r="CV30" i="41"/>
  <c r="CV28" i="41"/>
  <c r="CV27" i="41"/>
  <c r="CV26" i="41"/>
  <c r="CV24" i="41"/>
  <c r="CV23" i="41"/>
  <c r="CV22" i="41"/>
  <c r="CV20" i="41"/>
  <c r="CV19" i="41"/>
  <c r="CV18" i="41"/>
  <c r="CV16" i="41"/>
  <c r="CV15" i="41"/>
  <c r="CV14" i="41"/>
  <c r="CV12" i="41"/>
  <c r="CV11" i="41"/>
  <c r="CV8" i="41"/>
  <c r="CV7" i="41"/>
  <c r="CV6" i="41"/>
  <c r="DR24" i="38"/>
  <c r="DR40" i="38"/>
  <c r="DR72" i="38"/>
  <c r="DR83" i="38"/>
  <c r="DQ24" i="38"/>
  <c r="DQ40" i="38"/>
  <c r="DQ72" i="38"/>
  <c r="DQ83" i="38"/>
  <c r="DP55" i="38"/>
  <c r="DP24" i="38"/>
  <c r="DP40" i="38"/>
  <c r="DP72" i="38"/>
  <c r="DP83" i="38"/>
  <c r="CV328" i="40"/>
  <c r="CU328" i="40"/>
  <c r="CT328" i="40"/>
  <c r="CU419" i="41"/>
  <c r="CT419" i="41"/>
  <c r="CS419" i="41"/>
  <c r="C58" i="75"/>
  <c r="D58" i="75"/>
  <c r="Z40" i="54"/>
  <c r="Z38" i="54"/>
  <c r="Z13" i="54"/>
  <c r="Z8" i="54"/>
  <c r="Z6" i="54"/>
  <c r="CI33" i="49"/>
  <c r="CI32" i="49"/>
  <c r="CI31" i="49"/>
  <c r="CK31" i="49"/>
  <c r="CI30" i="49"/>
  <c r="CI34" i="49"/>
  <c r="CI29" i="49"/>
  <c r="CI22" i="49"/>
  <c r="CK22" i="49"/>
  <c r="CI21" i="49"/>
  <c r="CK21" i="49"/>
  <c r="CI20" i="49"/>
  <c r="CI19" i="49"/>
  <c r="CK19" i="49"/>
  <c r="CI18" i="49"/>
  <c r="CI10" i="49"/>
  <c r="CI9" i="49"/>
  <c r="CI8" i="49"/>
  <c r="CK8" i="49"/>
  <c r="CI7" i="49"/>
  <c r="CI6" i="49"/>
  <c r="CK6" i="49"/>
  <c r="CJ40" i="49"/>
  <c r="N75" i="64"/>
  <c r="P75" i="64"/>
  <c r="T75" i="64"/>
  <c r="J38" i="65"/>
  <c r="CH34" i="49"/>
  <c r="CH27" i="49"/>
  <c r="CH38" i="49"/>
  <c r="CH26" i="49"/>
  <c r="CH37" i="49"/>
  <c r="CH23" i="49"/>
  <c r="CH16" i="49"/>
  <c r="CH15" i="49"/>
  <c r="CH11" i="49"/>
  <c r="CH3" i="49"/>
  <c r="CG34" i="49"/>
  <c r="CG27" i="49"/>
  <c r="CG38" i="49"/>
  <c r="CG26" i="49"/>
  <c r="CG37" i="49"/>
  <c r="CG23" i="49"/>
  <c r="CG16" i="49"/>
  <c r="CG15" i="49"/>
  <c r="CG11" i="49"/>
  <c r="CG3" i="49"/>
  <c r="CF34" i="49"/>
  <c r="CF27" i="49"/>
  <c r="CF38" i="49"/>
  <c r="CF23" i="49"/>
  <c r="CF16" i="49"/>
  <c r="CF11" i="49"/>
  <c r="CF3" i="49"/>
  <c r="CF15" i="49"/>
  <c r="EN83" i="29"/>
  <c r="EO61" i="29"/>
  <c r="EN61" i="29"/>
  <c r="EP57" i="29"/>
  <c r="F115" i="1"/>
  <c r="EO57" i="29"/>
  <c r="EN57" i="29"/>
  <c r="EP49" i="29"/>
  <c r="EO49" i="29"/>
  <c r="EN49" i="29"/>
  <c r="EP44" i="29"/>
  <c r="EO44" i="29"/>
  <c r="EN44" i="29"/>
  <c r="B6" i="66"/>
  <c r="H187" i="2"/>
  <c r="C201" i="2"/>
  <c r="C183" i="2"/>
  <c r="R60" i="64"/>
  <c r="T60" i="64"/>
  <c r="C178" i="2"/>
  <c r="CK18" i="49"/>
  <c r="B37" i="52"/>
  <c r="EK60" i="29"/>
  <c r="C69" i="2"/>
  <c r="B178" i="2"/>
  <c r="C68" i="2"/>
  <c r="D14" i="2"/>
  <c r="L14" i="2"/>
  <c r="BL40" i="49"/>
  <c r="BM40" i="49"/>
  <c r="BN40" i="49"/>
  <c r="BO40" i="49"/>
  <c r="BP40" i="49"/>
  <c r="BQ40" i="49"/>
  <c r="BR40" i="49"/>
  <c r="BS40" i="49"/>
  <c r="BT40" i="49"/>
  <c r="BU40" i="49"/>
  <c r="BV40" i="49"/>
  <c r="BW40" i="49"/>
  <c r="BX40" i="49"/>
  <c r="BY40" i="49"/>
  <c r="BZ40" i="49"/>
  <c r="CA40" i="49"/>
  <c r="CB40" i="49"/>
  <c r="CC40" i="49"/>
  <c r="CD40" i="49"/>
  <c r="CE40" i="49"/>
  <c r="BK40" i="49"/>
  <c r="EM60" i="29"/>
  <c r="EL60" i="29"/>
  <c r="EJ60" i="29"/>
  <c r="EI60" i="29"/>
  <c r="EH60" i="29"/>
  <c r="EC51" i="8"/>
  <c r="EL83" i="29"/>
  <c r="EM46" i="29"/>
  <c r="L121" i="1"/>
  <c r="T121" i="64"/>
  <c r="DO61" i="38"/>
  <c r="DN61" i="38"/>
  <c r="DM61" i="38"/>
  <c r="DO60" i="38"/>
  <c r="DN60" i="38"/>
  <c r="DN62" i="38"/>
  <c r="DM60" i="38"/>
  <c r="DO59" i="38"/>
  <c r="DN59" i="38"/>
  <c r="DM59" i="38"/>
  <c r="DO58" i="38"/>
  <c r="DN58" i="38"/>
  <c r="DM58" i="38"/>
  <c r="DO57" i="38"/>
  <c r="DN57" i="38"/>
  <c r="DM57" i="38"/>
  <c r="DO26" i="38"/>
  <c r="DN26" i="38"/>
  <c r="DM26" i="38"/>
  <c r="DO28" i="38"/>
  <c r="DN28" i="38"/>
  <c r="DM28" i="38"/>
  <c r="DO27" i="38"/>
  <c r="DN27" i="38"/>
  <c r="DM27" i="38"/>
  <c r="DM29" i="38"/>
  <c r="DO85" i="38"/>
  <c r="DO86" i="38"/>
  <c r="DN85" i="38"/>
  <c r="DN86" i="38"/>
  <c r="DN88" i="38"/>
  <c r="DN90" i="38"/>
  <c r="DM85" i="38"/>
  <c r="DM86" i="38"/>
  <c r="DM88" i="38"/>
  <c r="HH95" i="15"/>
  <c r="HG95" i="15"/>
  <c r="HF95" i="15"/>
  <c r="HH47" i="15"/>
  <c r="HG47" i="15"/>
  <c r="HG107" i="15"/>
  <c r="HH30" i="15"/>
  <c r="HG30" i="15"/>
  <c r="HF30" i="15"/>
  <c r="HH15" i="15"/>
  <c r="HH107" i="15"/>
  <c r="HG15" i="15"/>
  <c r="HF15" i="15"/>
  <c r="HG10" i="15"/>
  <c r="HF10" i="15"/>
  <c r="HF107" i="15"/>
  <c r="CR511" i="41"/>
  <c r="CR516" i="41"/>
  <c r="CR509" i="41"/>
  <c r="CR513" i="41"/>
  <c r="CQ511" i="41"/>
  <c r="CQ516" i="41"/>
  <c r="CQ509" i="41"/>
  <c r="CP511" i="41"/>
  <c r="CP516" i="41"/>
  <c r="CP509" i="41"/>
  <c r="CP513" i="41"/>
  <c r="T262" i="16"/>
  <c r="CL22" i="49"/>
  <c r="CL21" i="49"/>
  <c r="CL23" i="49"/>
  <c r="F63" i="64"/>
  <c r="CL20" i="49"/>
  <c r="CL19" i="49"/>
  <c r="CL18" i="49"/>
  <c r="CL10" i="49"/>
  <c r="CL9" i="49"/>
  <c r="CL8" i="49"/>
  <c r="CL7" i="49"/>
  <c r="CL6" i="49"/>
  <c r="CK20" i="49"/>
  <c r="CK10" i="49"/>
  <c r="CE34" i="49"/>
  <c r="CD34" i="49"/>
  <c r="CC34" i="49"/>
  <c r="CE27" i="49"/>
  <c r="CE38" i="49"/>
  <c r="CD27" i="49"/>
  <c r="CD38" i="49"/>
  <c r="CC27" i="49"/>
  <c r="CC38" i="49"/>
  <c r="CE23" i="49"/>
  <c r="CD23" i="49"/>
  <c r="CC23" i="49"/>
  <c r="CE16" i="49"/>
  <c r="CD16" i="49"/>
  <c r="CC16" i="49"/>
  <c r="CE11" i="49"/>
  <c r="CD11" i="49"/>
  <c r="CC11" i="49"/>
  <c r="EM28" i="29"/>
  <c r="EL33" i="29"/>
  <c r="EK78" i="29"/>
  <c r="EM77" i="29"/>
  <c r="EK33" i="29"/>
  <c r="EK15" i="29"/>
  <c r="EL84" i="29"/>
  <c r="EM57" i="29"/>
  <c r="EL57" i="29"/>
  <c r="EK57" i="29"/>
  <c r="EM49" i="29"/>
  <c r="EL49" i="29"/>
  <c r="EK49" i="29"/>
  <c r="EM44" i="29"/>
  <c r="EL44" i="29"/>
  <c r="EK44" i="29"/>
  <c r="P144" i="64"/>
  <c r="EI21" i="8"/>
  <c r="D6" i="44"/>
  <c r="D7" i="45"/>
  <c r="A62" i="64"/>
  <c r="B40" i="68"/>
  <c r="A49" i="68"/>
  <c r="A48" i="68"/>
  <c r="A47" i="68"/>
  <c r="A46" i="68"/>
  <c r="A41" i="68"/>
  <c r="A40" i="68"/>
  <c r="A39" i="68"/>
  <c r="A38" i="68"/>
  <c r="A37" i="68"/>
  <c r="A36" i="68"/>
  <c r="A35" i="68"/>
  <c r="A30" i="68"/>
  <c r="A29" i="68"/>
  <c r="A28" i="68"/>
  <c r="A27" i="68"/>
  <c r="A26" i="68"/>
  <c r="A25" i="68"/>
  <c r="A24" i="68"/>
  <c r="DY44" i="29"/>
  <c r="DZ44" i="29"/>
  <c r="EA44" i="29"/>
  <c r="EB44" i="29"/>
  <c r="EC44" i="29"/>
  <c r="ED44" i="29"/>
  <c r="EE44" i="29"/>
  <c r="EF44" i="29"/>
  <c r="EG44" i="29"/>
  <c r="EH44" i="29"/>
  <c r="EI44" i="29"/>
  <c r="EJ44" i="29"/>
  <c r="DY49" i="29"/>
  <c r="DZ49" i="29"/>
  <c r="EA49" i="29"/>
  <c r="EB49" i="29"/>
  <c r="EC49" i="29"/>
  <c r="ED49" i="29"/>
  <c r="EE49" i="29"/>
  <c r="EF49" i="29"/>
  <c r="EG49" i="29"/>
  <c r="EH49" i="29"/>
  <c r="EI49" i="29"/>
  <c r="EJ49" i="29"/>
  <c r="DX49" i="29"/>
  <c r="DX44" i="29"/>
  <c r="DY51" i="8"/>
  <c r="CN389" i="40"/>
  <c r="HE95" i="15"/>
  <c r="CP326" i="40"/>
  <c r="HD30" i="15"/>
  <c r="HC47" i="15"/>
  <c r="HC30" i="15"/>
  <c r="HC15" i="15"/>
  <c r="HC107" i="15"/>
  <c r="CN325" i="40"/>
  <c r="HC10" i="15"/>
  <c r="A149" i="41"/>
  <c r="A95" i="41"/>
  <c r="EJ33" i="29"/>
  <c r="DJ86" i="38"/>
  <c r="EH23" i="29"/>
  <c r="EH24" i="29"/>
  <c r="DL61" i="38"/>
  <c r="DK61" i="38"/>
  <c r="DJ61" i="38"/>
  <c r="EM21" i="15"/>
  <c r="CP328" i="40"/>
  <c r="HE30" i="15"/>
  <c r="HE15" i="15"/>
  <c r="CO328" i="40"/>
  <c r="HD95" i="15"/>
  <c r="HD15" i="15"/>
  <c r="HD10" i="15"/>
  <c r="EK21" i="15"/>
  <c r="CN328" i="40"/>
  <c r="HC95" i="15"/>
  <c r="CO419" i="41"/>
  <c r="CN419" i="41"/>
  <c r="CM419" i="41"/>
  <c r="CK33" i="49"/>
  <c r="CB34" i="49"/>
  <c r="CB27" i="49"/>
  <c r="CB38" i="49"/>
  <c r="CB23" i="49"/>
  <c r="CB16" i="49"/>
  <c r="CB11" i="49"/>
  <c r="CA34" i="49"/>
  <c r="CA27" i="49"/>
  <c r="CA38" i="49"/>
  <c r="CA23" i="49"/>
  <c r="CA16" i="49"/>
  <c r="CA11" i="49"/>
  <c r="BZ34" i="49"/>
  <c r="BZ27" i="49"/>
  <c r="BZ38" i="49"/>
  <c r="BZ23" i="49"/>
  <c r="BZ16" i="49"/>
  <c r="BZ11" i="49"/>
  <c r="EJ84" i="29"/>
  <c r="EH84" i="29"/>
  <c r="EH83" i="29"/>
  <c r="EH46" i="29"/>
  <c r="EJ40" i="29"/>
  <c r="EJ41" i="29"/>
  <c r="EJ57" i="29"/>
  <c r="EI57" i="29"/>
  <c r="EH57" i="29"/>
  <c r="EH51" i="29"/>
  <c r="CI513" i="41"/>
  <c r="CH513" i="41"/>
  <c r="CG513" i="41"/>
  <c r="CF513" i="41"/>
  <c r="CE513" i="41"/>
  <c r="CD513" i="41"/>
  <c r="EH7" i="8"/>
  <c r="A3" i="1"/>
  <c r="A47" i="1"/>
  <c r="A47" i="64"/>
  <c r="ET4" i="15"/>
  <c r="EG60" i="29"/>
  <c r="EF60" i="29"/>
  <c r="EE60" i="29"/>
  <c r="EE61" i="29"/>
  <c r="EG14" i="15"/>
  <c r="EG16" i="15"/>
  <c r="EG21" i="15"/>
  <c r="EG41" i="15"/>
  <c r="EG64" i="15"/>
  <c r="EG69" i="15"/>
  <c r="EG90" i="15"/>
  <c r="EG99" i="15"/>
  <c r="EG103" i="15"/>
  <c r="EG54" i="15"/>
  <c r="T260" i="16"/>
  <c r="T261" i="16"/>
  <c r="T263" i="16"/>
  <c r="T264" i="16"/>
  <c r="T265" i="16"/>
  <c r="T266" i="16"/>
  <c r="T267" i="16"/>
  <c r="F242" i="16"/>
  <c r="F243" i="16"/>
  <c r="F244" i="16"/>
  <c r="F245" i="16"/>
  <c r="T259" i="16"/>
  <c r="L227" i="16"/>
  <c r="F240" i="16"/>
  <c r="F241" i="16"/>
  <c r="F246" i="16"/>
  <c r="F247" i="16"/>
  <c r="F248" i="16"/>
  <c r="F249" i="16"/>
  <c r="F250" i="16"/>
  <c r="L226" i="16"/>
  <c r="L225" i="16"/>
  <c r="CJ391" i="40"/>
  <c r="CJ392" i="40"/>
  <c r="DW51" i="8"/>
  <c r="A134" i="40"/>
  <c r="A165" i="41"/>
  <c r="A94" i="41"/>
  <c r="DI61" i="38"/>
  <c r="DH61" i="38"/>
  <c r="DG61" i="38"/>
  <c r="BY34" i="49"/>
  <c r="BY27" i="49"/>
  <c r="BY38" i="49"/>
  <c r="BY23" i="49"/>
  <c r="BY16" i="49"/>
  <c r="BY11" i="49"/>
  <c r="BX34" i="49"/>
  <c r="BX27" i="49"/>
  <c r="BX38" i="49"/>
  <c r="BX23" i="49"/>
  <c r="BX16" i="49"/>
  <c r="BX11" i="49"/>
  <c r="BX3" i="49"/>
  <c r="BX26" i="49"/>
  <c r="BX37" i="49"/>
  <c r="BW34" i="49"/>
  <c r="BW27" i="49"/>
  <c r="BW38" i="49"/>
  <c r="BW23" i="49"/>
  <c r="BW16" i="49"/>
  <c r="BW11" i="49"/>
  <c r="BW15" i="49"/>
  <c r="EE84" i="29"/>
  <c r="EF83" i="29"/>
  <c r="BW26" i="49"/>
  <c r="BW37" i="49"/>
  <c r="EG51" i="29"/>
  <c r="EG57" i="29"/>
  <c r="EF51" i="29"/>
  <c r="EF57" i="29"/>
  <c r="EE51" i="29"/>
  <c r="EE57" i="29"/>
  <c r="EH21" i="15"/>
  <c r="HB95" i="15"/>
  <c r="HB47" i="15"/>
  <c r="HB30" i="15"/>
  <c r="HB15" i="15"/>
  <c r="HB10" i="15"/>
  <c r="HB107" i="15"/>
  <c r="HA95" i="15"/>
  <c r="HA47" i="15"/>
  <c r="HA30" i="15"/>
  <c r="HA15" i="15"/>
  <c r="HA10" i="15"/>
  <c r="GZ95" i="15"/>
  <c r="GZ47" i="15"/>
  <c r="GZ30" i="15"/>
  <c r="GZ15" i="15"/>
  <c r="GZ10" i="15"/>
  <c r="GZ107" i="15"/>
  <c r="GZ108" i="15"/>
  <c r="GZ109" i="15"/>
  <c r="CL418" i="41"/>
  <c r="CL511" i="41"/>
  <c r="CL516" i="41"/>
  <c r="CK516" i="41"/>
  <c r="CK509" i="41"/>
  <c r="CJ509" i="41"/>
  <c r="CK418" i="41"/>
  <c r="CM328" i="40"/>
  <c r="CL328" i="40"/>
  <c r="CK387" i="40"/>
  <c r="CK328" i="40"/>
  <c r="CL419" i="41"/>
  <c r="CK419" i="41"/>
  <c r="CJ419" i="41"/>
  <c r="C140" i="2"/>
  <c r="G187" i="2"/>
  <c r="J21" i="77"/>
  <c r="N21" i="77"/>
  <c r="C119" i="2"/>
  <c r="EH57" i="8"/>
  <c r="EH54" i="8"/>
  <c r="P166" i="64"/>
  <c r="T166" i="1"/>
  <c r="L166" i="1"/>
  <c r="L112" i="1"/>
  <c r="L112" i="64"/>
  <c r="T112" i="64"/>
  <c r="V112" i="64"/>
  <c r="EB60" i="29"/>
  <c r="CJ387" i="40"/>
  <c r="GX95" i="15"/>
  <c r="EE103" i="15"/>
  <c r="CH391" i="40"/>
  <c r="CH392" i="40"/>
  <c r="CI326" i="40"/>
  <c r="GY47" i="15"/>
  <c r="GX47" i="15"/>
  <c r="GY30" i="15"/>
  <c r="GW30" i="15"/>
  <c r="GY15" i="15"/>
  <c r="GX15" i="15"/>
  <c r="GW15" i="15"/>
  <c r="GY10" i="15"/>
  <c r="GX10" i="15"/>
  <c r="GW10" i="15"/>
  <c r="EB83" i="29"/>
  <c r="EB46" i="29"/>
  <c r="B64" i="3"/>
  <c r="T162" i="64"/>
  <c r="D30" i="66"/>
  <c r="H30" i="66"/>
  <c r="D7" i="66"/>
  <c r="DT51" i="8"/>
  <c r="DF61" i="38"/>
  <c r="DE61" i="38"/>
  <c r="DD61" i="38"/>
  <c r="CK32" i="49"/>
  <c r="BV34" i="49"/>
  <c r="BV27" i="49"/>
  <c r="BV38" i="49"/>
  <c r="BV23" i="49"/>
  <c r="BV16" i="49"/>
  <c r="BV11" i="49"/>
  <c r="BU34" i="49"/>
  <c r="BU27" i="49"/>
  <c r="BU38" i="49"/>
  <c r="BU23" i="49"/>
  <c r="BU16" i="49"/>
  <c r="BU11" i="49"/>
  <c r="BT34" i="49"/>
  <c r="BT27" i="49"/>
  <c r="BT38" i="49"/>
  <c r="BT23" i="49"/>
  <c r="BT16" i="49"/>
  <c r="BT11" i="49"/>
  <c r="ED51" i="29"/>
  <c r="ED57" i="29"/>
  <c r="EC51" i="29"/>
  <c r="EC57" i="29"/>
  <c r="EB51" i="29"/>
  <c r="EB57" i="29"/>
  <c r="A131" i="40"/>
  <c r="A128" i="40"/>
  <c r="A89" i="40"/>
  <c r="A66" i="40"/>
  <c r="CI511" i="41"/>
  <c r="CH511" i="41"/>
  <c r="CG511" i="41"/>
  <c r="DT11" i="8"/>
  <c r="CH516" i="41"/>
  <c r="CI516" i="41"/>
  <c r="CH509" i="41"/>
  <c r="CI509" i="41"/>
  <c r="CI386" i="40"/>
  <c r="CJ386" i="40"/>
  <c r="CJ328" i="40"/>
  <c r="CI328" i="40"/>
  <c r="CH387" i="40"/>
  <c r="CH328" i="40"/>
  <c r="CI387" i="40"/>
  <c r="CI419" i="41"/>
  <c r="CH419" i="41"/>
  <c r="CG419" i="41"/>
  <c r="GY95" i="15"/>
  <c r="GX30" i="15"/>
  <c r="GW95" i="15"/>
  <c r="DT34" i="8"/>
  <c r="EA60" i="29"/>
  <c r="DZ60" i="29"/>
  <c r="GS10" i="15"/>
  <c r="GS15" i="15"/>
  <c r="GS30" i="15"/>
  <c r="GS47" i="15"/>
  <c r="GS95" i="15"/>
  <c r="DQ51" i="8"/>
  <c r="EH51" i="8"/>
  <c r="A186" i="41"/>
  <c r="A185" i="41"/>
  <c r="A99" i="41"/>
  <c r="A98" i="41"/>
  <c r="A133" i="40"/>
  <c r="DC61" i="38"/>
  <c r="DB61" i="38"/>
  <c r="DA61" i="38"/>
  <c r="BS34" i="49"/>
  <c r="BS27" i="49"/>
  <c r="BS38" i="49"/>
  <c r="BS23" i="49"/>
  <c r="BS16" i="49"/>
  <c r="BS11" i="49"/>
  <c r="BR34" i="49"/>
  <c r="BR27" i="49"/>
  <c r="BR38" i="49"/>
  <c r="BR23" i="49"/>
  <c r="BR16" i="49"/>
  <c r="BR11" i="49"/>
  <c r="BQ34" i="49"/>
  <c r="BQ27" i="49"/>
  <c r="BQ38" i="49"/>
  <c r="BQ23" i="49"/>
  <c r="BQ16" i="49"/>
  <c r="BQ11" i="49"/>
  <c r="EA83" i="29"/>
  <c r="DZ46" i="29"/>
  <c r="EA51" i="29"/>
  <c r="EA57" i="29"/>
  <c r="DZ51" i="29"/>
  <c r="DZ57" i="29"/>
  <c r="DY51" i="29"/>
  <c r="DY57" i="29"/>
  <c r="GV95" i="15"/>
  <c r="GU95" i="15"/>
  <c r="GT95" i="15"/>
  <c r="EB103" i="15"/>
  <c r="GV47" i="15"/>
  <c r="GT47" i="15"/>
  <c r="GV30" i="15"/>
  <c r="GU30" i="15"/>
  <c r="GT30" i="15"/>
  <c r="GV15" i="15"/>
  <c r="GU15" i="15"/>
  <c r="GT15" i="15"/>
  <c r="CF393" i="40"/>
  <c r="CF394" i="40"/>
  <c r="CG393" i="40"/>
  <c r="CG394" i="40"/>
  <c r="CF325" i="40"/>
  <c r="GV10" i="15"/>
  <c r="GU10" i="15"/>
  <c r="GT10" i="15"/>
  <c r="CG325" i="40"/>
  <c r="DB86" i="38"/>
  <c r="DY83" i="29"/>
  <c r="CG328" i="40"/>
  <c r="CF328" i="40"/>
  <c r="CE328" i="40"/>
  <c r="CF419" i="41"/>
  <c r="CE419" i="41"/>
  <c r="CD419" i="41"/>
  <c r="DX51" i="29"/>
  <c r="DX57" i="29"/>
  <c r="DW57" i="29"/>
  <c r="DV57" i="29"/>
  <c r="DU57" i="29"/>
  <c r="DT57" i="29"/>
  <c r="DS57" i="29"/>
  <c r="DR57" i="29"/>
  <c r="DQ57" i="29"/>
  <c r="DP57" i="29"/>
  <c r="DO57" i="29"/>
  <c r="DN57" i="29"/>
  <c r="DM57" i="29"/>
  <c r="K35" i="65"/>
  <c r="L35" i="65"/>
  <c r="F43" i="65"/>
  <c r="E43" i="65"/>
  <c r="L39" i="65"/>
  <c r="I37" i="65"/>
  <c r="I43" i="65"/>
  <c r="L32" i="65"/>
  <c r="K31" i="65"/>
  <c r="L31" i="65"/>
  <c r="L22" i="65"/>
  <c r="L20" i="65"/>
  <c r="L16" i="65"/>
  <c r="H284" i="64"/>
  <c r="H282" i="64"/>
  <c r="H223" i="64"/>
  <c r="H221" i="64"/>
  <c r="R139" i="64"/>
  <c r="L139" i="64"/>
  <c r="F139" i="64"/>
  <c r="B139" i="64"/>
  <c r="T137" i="64"/>
  <c r="V137" i="64"/>
  <c r="V139" i="64"/>
  <c r="L12" i="64"/>
  <c r="R126" i="64"/>
  <c r="N126" i="64"/>
  <c r="A178" i="64"/>
  <c r="A177" i="64"/>
  <c r="A176" i="64"/>
  <c r="A150" i="64"/>
  <c r="A149" i="64"/>
  <c r="A148" i="64"/>
  <c r="A144" i="64"/>
  <c r="A143" i="64"/>
  <c r="A141" i="64"/>
  <c r="A139" i="64"/>
  <c r="A137" i="64"/>
  <c r="A135" i="64"/>
  <c r="A134" i="64"/>
  <c r="A132" i="64"/>
  <c r="A131" i="64"/>
  <c r="A130" i="64"/>
  <c r="A128" i="64"/>
  <c r="A126" i="64"/>
  <c r="A125" i="64"/>
  <c r="A124" i="64"/>
  <c r="A123" i="64"/>
  <c r="A122" i="64"/>
  <c r="A121" i="64"/>
  <c r="A120" i="64"/>
  <c r="A119" i="64"/>
  <c r="A118" i="64"/>
  <c r="A117" i="64"/>
  <c r="A116" i="64"/>
  <c r="A115" i="64"/>
  <c r="A114" i="64"/>
  <c r="A113" i="64"/>
  <c r="A112" i="64"/>
  <c r="A111" i="64"/>
  <c r="A110" i="64"/>
  <c r="A109" i="64"/>
  <c r="A108" i="64"/>
  <c r="A106" i="64"/>
  <c r="A96" i="64"/>
  <c r="A95" i="64"/>
  <c r="A92" i="64"/>
  <c r="A90" i="64"/>
  <c r="A86" i="64"/>
  <c r="A85" i="64"/>
  <c r="A83" i="64"/>
  <c r="A82" i="64"/>
  <c r="A81" i="64"/>
  <c r="A79" i="64"/>
  <c r="A77" i="64"/>
  <c r="A76" i="64"/>
  <c r="A75" i="64"/>
  <c r="A74" i="64"/>
  <c r="A73" i="64"/>
  <c r="A72" i="64"/>
  <c r="A71" i="64"/>
  <c r="A70" i="64"/>
  <c r="A69" i="64"/>
  <c r="A68" i="64"/>
  <c r="A67" i="64"/>
  <c r="A66" i="64"/>
  <c r="A65" i="64"/>
  <c r="A64" i="64"/>
  <c r="A63" i="64"/>
  <c r="A61" i="64"/>
  <c r="A60" i="64"/>
  <c r="A59" i="64"/>
  <c r="A58" i="64"/>
  <c r="A57" i="64"/>
  <c r="A55" i="64"/>
  <c r="A39" i="64"/>
  <c r="R90" i="64"/>
  <c r="P90" i="64"/>
  <c r="N90" i="64"/>
  <c r="L90" i="64"/>
  <c r="J90" i="64"/>
  <c r="H90" i="64"/>
  <c r="F90" i="64"/>
  <c r="D90" i="64"/>
  <c r="B90" i="64"/>
  <c r="T88" i="64"/>
  <c r="T90" i="64"/>
  <c r="H77" i="64"/>
  <c r="T71" i="64"/>
  <c r="A45" i="64"/>
  <c r="A4" i="64"/>
  <c r="A241" i="64"/>
  <c r="A2" i="64"/>
  <c r="A1" i="64"/>
  <c r="CJ38" i="49"/>
  <c r="CJ37" i="49"/>
  <c r="L14" i="64"/>
  <c r="DT46" i="29"/>
  <c r="A324" i="41"/>
  <c r="CZ61" i="38"/>
  <c r="BP34" i="49"/>
  <c r="BP27" i="49"/>
  <c r="BP38" i="49"/>
  <c r="BP23" i="49"/>
  <c r="BP16" i="49"/>
  <c r="BP11" i="49"/>
  <c r="DX83" i="29"/>
  <c r="CD387" i="40"/>
  <c r="CD328" i="40"/>
  <c r="CB511" i="41"/>
  <c r="CB516" i="41"/>
  <c r="CB509" i="41"/>
  <c r="CB419" i="41"/>
  <c r="CB418" i="41"/>
  <c r="DJ8" i="8"/>
  <c r="DK8" i="8"/>
  <c r="DL8" i="8"/>
  <c r="DM8" i="8"/>
  <c r="DN8" i="8"/>
  <c r="DO8" i="8"/>
  <c r="DP8" i="8"/>
  <c r="DQ8" i="8"/>
  <c r="DR8" i="8"/>
  <c r="DS8" i="8"/>
  <c r="DT8" i="8"/>
  <c r="DU8" i="8"/>
  <c r="DV8" i="8"/>
  <c r="DW8" i="8"/>
  <c r="DX8" i="8"/>
  <c r="DY8" i="8"/>
  <c r="DZ8" i="8"/>
  <c r="EA8" i="8"/>
  <c r="EB8" i="8"/>
  <c r="EC8" i="8"/>
  <c r="ED8" i="8"/>
  <c r="EE8" i="8"/>
  <c r="EF8" i="8"/>
  <c r="EG8" i="8"/>
  <c r="DN51" i="8"/>
  <c r="DV60" i="29"/>
  <c r="DT26" i="38"/>
  <c r="DU26" i="38"/>
  <c r="DU27" i="38"/>
  <c r="DV25" i="38"/>
  <c r="CY61" i="38"/>
  <c r="A259" i="41"/>
  <c r="A30" i="41"/>
  <c r="A31" i="41"/>
  <c r="CK7" i="49"/>
  <c r="BO34" i="49"/>
  <c r="BO27" i="49"/>
  <c r="BO38" i="49"/>
  <c r="BO23" i="49"/>
  <c r="BO16" i="49"/>
  <c r="BO11" i="49"/>
  <c r="GR95" i="15"/>
  <c r="GR15" i="15"/>
  <c r="GR10" i="15"/>
  <c r="CC328" i="40"/>
  <c r="CC419" i="41"/>
  <c r="GR30" i="15"/>
  <c r="A134" i="41"/>
  <c r="CA511" i="41"/>
  <c r="CA418" i="41"/>
  <c r="GQ95" i="15"/>
  <c r="GQ30" i="15"/>
  <c r="CB325" i="40"/>
  <c r="GQ15" i="15"/>
  <c r="GQ10" i="15"/>
  <c r="CX61" i="38"/>
  <c r="BN34" i="49"/>
  <c r="BN27" i="49"/>
  <c r="BN38" i="49"/>
  <c r="BN23" i="49"/>
  <c r="BN16" i="49"/>
  <c r="BN11" i="49"/>
  <c r="DV84" i="29"/>
  <c r="DV83" i="29"/>
  <c r="CB387" i="40"/>
  <c r="CB328" i="40"/>
  <c r="CA419" i="41"/>
  <c r="DT60" i="29"/>
  <c r="DS60" i="29"/>
  <c r="DV61" i="29"/>
  <c r="DU60" i="29"/>
  <c r="DS46" i="29"/>
  <c r="CK29" i="49"/>
  <c r="D30" i="60"/>
  <c r="F30" i="60"/>
  <c r="B7" i="60"/>
  <c r="D31" i="59"/>
  <c r="H31" i="59"/>
  <c r="D8" i="59"/>
  <c r="D30" i="48"/>
  <c r="F30" i="48"/>
  <c r="D30" i="42"/>
  <c r="F30" i="42"/>
  <c r="D30" i="47"/>
  <c r="D30" i="46"/>
  <c r="H30" i="46"/>
  <c r="D7" i="46"/>
  <c r="D31" i="45"/>
  <c r="DK51" i="8"/>
  <c r="CA389" i="40"/>
  <c r="CA396" i="40"/>
  <c r="BX396" i="40"/>
  <c r="A285" i="40"/>
  <c r="A252" i="40"/>
  <c r="A130" i="40"/>
  <c r="A147" i="41"/>
  <c r="A162" i="41"/>
  <c r="A163" i="41"/>
  <c r="A243" i="41"/>
  <c r="A247" i="41"/>
  <c r="A269" i="41"/>
  <c r="A350" i="41"/>
  <c r="A296" i="41"/>
  <c r="A414" i="41"/>
  <c r="A413" i="41"/>
  <c r="A412" i="41"/>
  <c r="A411" i="41"/>
  <c r="A410" i="41"/>
  <c r="CW61" i="38"/>
  <c r="CV61" i="38"/>
  <c r="CU61" i="38"/>
  <c r="BL3" i="49"/>
  <c r="BL15" i="49"/>
  <c r="BM34" i="49"/>
  <c r="BL34" i="49"/>
  <c r="BK34" i="49"/>
  <c r="BM27" i="49"/>
  <c r="BM38" i="49"/>
  <c r="BL27" i="49"/>
  <c r="BL38" i="49"/>
  <c r="BK27" i="49"/>
  <c r="BK38" i="49"/>
  <c r="BM23" i="49"/>
  <c r="BL23" i="49"/>
  <c r="BK23" i="49"/>
  <c r="BM16" i="49"/>
  <c r="BL16" i="49"/>
  <c r="BK16" i="49"/>
  <c r="BM11" i="49"/>
  <c r="BL11" i="49"/>
  <c r="BK11" i="49"/>
  <c r="GP95" i="15"/>
  <c r="GP47" i="15"/>
  <c r="GP30" i="15"/>
  <c r="GP15" i="15"/>
  <c r="GO95" i="15"/>
  <c r="GO47" i="15"/>
  <c r="GO30" i="15"/>
  <c r="GO15" i="15"/>
  <c r="BZ325" i="40"/>
  <c r="GO10" i="15"/>
  <c r="BY393" i="40"/>
  <c r="BY394" i="40"/>
  <c r="GN95" i="15"/>
  <c r="GN30" i="15"/>
  <c r="GN15" i="15"/>
  <c r="GN10" i="15"/>
  <c r="BZ418" i="41"/>
  <c r="CA328" i="40"/>
  <c r="BZ328" i="40"/>
  <c r="BY328" i="40"/>
  <c r="BZ419" i="41"/>
  <c r="BY419" i="41"/>
  <c r="BX419" i="41"/>
  <c r="G18" i="57"/>
  <c r="C22" i="56"/>
  <c r="AX11" i="49"/>
  <c r="AY11" i="49"/>
  <c r="AZ11" i="49"/>
  <c r="BA11" i="49"/>
  <c r="BB11" i="49"/>
  <c r="BC11" i="49"/>
  <c r="BD11" i="49"/>
  <c r="BE11" i="49"/>
  <c r="BF11" i="49"/>
  <c r="BG11" i="49"/>
  <c r="BH11" i="49"/>
  <c r="BI11" i="49"/>
  <c r="BJ11" i="49"/>
  <c r="C261" i="16"/>
  <c r="C260" i="16"/>
  <c r="C259" i="16"/>
  <c r="C258" i="16"/>
  <c r="C257" i="16"/>
  <c r="C256" i="16"/>
  <c r="C255" i="16"/>
  <c r="C254" i="16"/>
  <c r="D72" i="1"/>
  <c r="D77" i="1"/>
  <c r="C253" i="16"/>
  <c r="C252" i="16"/>
  <c r="C251" i="16"/>
  <c r="C250" i="16"/>
  <c r="L122" i="1"/>
  <c r="L120" i="1"/>
  <c r="T120" i="64"/>
  <c r="V120" i="64"/>
  <c r="C112" i="2"/>
  <c r="BL396" i="40"/>
  <c r="BM396" i="40"/>
  <c r="BN396" i="40"/>
  <c r="BO396" i="40"/>
  <c r="BP396" i="40"/>
  <c r="BQ396" i="40"/>
  <c r="BR396" i="40"/>
  <c r="BR398" i="40"/>
  <c r="BS396" i="40"/>
  <c r="BT396" i="40"/>
  <c r="BU396" i="40"/>
  <c r="GM15" i="15"/>
  <c r="BT516" i="41"/>
  <c r="DF22" i="8"/>
  <c r="BS516" i="41"/>
  <c r="B7" i="42"/>
  <c r="B7" i="46"/>
  <c r="H30" i="42"/>
  <c r="D7" i="47"/>
  <c r="D7" i="60"/>
  <c r="F30" i="47"/>
  <c r="H30" i="47"/>
  <c r="F30" i="46"/>
  <c r="D8" i="45"/>
  <c r="F31" i="45"/>
  <c r="H31" i="45"/>
  <c r="F30" i="44"/>
  <c r="H30" i="44"/>
  <c r="AA12" i="38"/>
  <c r="AB12" i="38"/>
  <c r="AC12" i="38"/>
  <c r="C24" i="38"/>
  <c r="D24" i="38"/>
  <c r="E24" i="38"/>
  <c r="F24" i="38"/>
  <c r="G24" i="38"/>
  <c r="H24" i="38"/>
  <c r="I24" i="38"/>
  <c r="J24" i="38"/>
  <c r="K24" i="38"/>
  <c r="L24" i="38"/>
  <c r="M24" i="38"/>
  <c r="N24" i="38"/>
  <c r="O24" i="38"/>
  <c r="P24" i="38"/>
  <c r="Q24" i="38"/>
  <c r="R24" i="38"/>
  <c r="S24" i="38"/>
  <c r="T24" i="38"/>
  <c r="U24" i="38"/>
  <c r="V24" i="38"/>
  <c r="W24" i="38"/>
  <c r="X24" i="38"/>
  <c r="Y24" i="38"/>
  <c r="Z24" i="38"/>
  <c r="C29" i="38"/>
  <c r="D29" i="38"/>
  <c r="E29" i="38"/>
  <c r="F29" i="38"/>
  <c r="G29" i="38"/>
  <c r="H29" i="38"/>
  <c r="I29" i="38"/>
  <c r="J29" i="38"/>
  <c r="K29" i="38"/>
  <c r="L29" i="38"/>
  <c r="M29" i="38"/>
  <c r="N29" i="38"/>
  <c r="O29" i="38"/>
  <c r="P29" i="38"/>
  <c r="Q29" i="38"/>
  <c r="R29" i="38"/>
  <c r="S29" i="38"/>
  <c r="T29" i="38"/>
  <c r="U29" i="38"/>
  <c r="V29" i="38"/>
  <c r="W29" i="38"/>
  <c r="X29" i="38"/>
  <c r="Y29" i="38"/>
  <c r="Z29" i="38"/>
  <c r="C40" i="38"/>
  <c r="D40" i="38"/>
  <c r="E40" i="38"/>
  <c r="F40" i="38"/>
  <c r="G40" i="38"/>
  <c r="H40" i="38"/>
  <c r="I40" i="38"/>
  <c r="J40" i="38"/>
  <c r="K40" i="38"/>
  <c r="L40" i="38"/>
  <c r="M40" i="38"/>
  <c r="N40" i="38"/>
  <c r="O40" i="38"/>
  <c r="P40" i="38"/>
  <c r="Q40" i="38"/>
  <c r="R40" i="38"/>
  <c r="S40" i="38"/>
  <c r="T40" i="38"/>
  <c r="U40" i="38"/>
  <c r="V40" i="38"/>
  <c r="W40" i="38"/>
  <c r="X40" i="38"/>
  <c r="Y40" i="38"/>
  <c r="Z40" i="38"/>
  <c r="BW61" i="38"/>
  <c r="BX61" i="38"/>
  <c r="BY61" i="38"/>
  <c r="BZ61" i="38"/>
  <c r="CA61" i="38"/>
  <c r="CB61" i="38"/>
  <c r="CC61" i="38"/>
  <c r="CD61" i="38"/>
  <c r="CE61" i="38"/>
  <c r="CF61" i="38"/>
  <c r="CG61" i="38"/>
  <c r="CH61" i="38"/>
  <c r="CI61" i="38"/>
  <c r="CJ61" i="38"/>
  <c r="CY38" i="8"/>
  <c r="CY41" i="8"/>
  <c r="CK61" i="38"/>
  <c r="CZ38" i="8"/>
  <c r="CZ41" i="8"/>
  <c r="CL61" i="38"/>
  <c r="DA38" i="8"/>
  <c r="DA41" i="8"/>
  <c r="CM61" i="38"/>
  <c r="DB38" i="8"/>
  <c r="CN61" i="38"/>
  <c r="CO61" i="38"/>
  <c r="DD38" i="8"/>
  <c r="DD41" i="8"/>
  <c r="CP61" i="38"/>
  <c r="DE38" i="8"/>
  <c r="CQ61" i="38"/>
  <c r="DF38" i="8"/>
  <c r="DF41" i="8"/>
  <c r="CR61" i="38"/>
  <c r="CS61" i="38"/>
  <c r="CT61" i="38"/>
  <c r="B8" i="16"/>
  <c r="D14" i="16"/>
  <c r="F15" i="16"/>
  <c r="D15" i="16"/>
  <c r="F16" i="16"/>
  <c r="F17"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AB3" i="49"/>
  <c r="AN3" i="49"/>
  <c r="AN15" i="49"/>
  <c r="AZ3" i="49"/>
  <c r="BB3" i="49"/>
  <c r="BB26" i="49"/>
  <c r="C11" i="49"/>
  <c r="D11" i="49"/>
  <c r="E11" i="49"/>
  <c r="F11" i="49"/>
  <c r="G11" i="49"/>
  <c r="H11" i="49"/>
  <c r="I11" i="49"/>
  <c r="J11" i="49"/>
  <c r="K11" i="49"/>
  <c r="L11" i="49"/>
  <c r="M11" i="49"/>
  <c r="N11" i="49"/>
  <c r="O11" i="49"/>
  <c r="P11" i="49"/>
  <c r="Q11" i="49"/>
  <c r="R11" i="49"/>
  <c r="S11" i="49"/>
  <c r="T11" i="49"/>
  <c r="U11" i="49"/>
  <c r="V11" i="49"/>
  <c r="W11" i="49"/>
  <c r="X11" i="49"/>
  <c r="Y11" i="49"/>
  <c r="Z11" i="49"/>
  <c r="AA11" i="49"/>
  <c r="AB11" i="49"/>
  <c r="AC11" i="49"/>
  <c r="AD11" i="49"/>
  <c r="AE11" i="49"/>
  <c r="AF11" i="49"/>
  <c r="AG11" i="49"/>
  <c r="AH11" i="49"/>
  <c r="AI11" i="49"/>
  <c r="AJ11" i="49"/>
  <c r="AK11" i="49"/>
  <c r="AL11" i="49"/>
  <c r="AM11" i="49"/>
  <c r="AN11" i="49"/>
  <c r="AO11" i="49"/>
  <c r="AP11" i="49"/>
  <c r="AQ11" i="49"/>
  <c r="AR11" i="49"/>
  <c r="AS11" i="49"/>
  <c r="AT11" i="49"/>
  <c r="AU11" i="49"/>
  <c r="AV11" i="49"/>
  <c r="AW11" i="49"/>
  <c r="AA15" i="49"/>
  <c r="AM15" i="49"/>
  <c r="AY15" i="49"/>
  <c r="CL15" i="49"/>
  <c r="AD16" i="49"/>
  <c r="AE16" i="49"/>
  <c r="AF16" i="49"/>
  <c r="AG16" i="49"/>
  <c r="AH16" i="49"/>
  <c r="AI16" i="49"/>
  <c r="AJ16" i="49"/>
  <c r="AK16" i="49"/>
  <c r="AL16" i="49"/>
  <c r="AM16" i="49"/>
  <c r="AN16" i="49"/>
  <c r="AO16" i="49"/>
  <c r="AP16" i="49"/>
  <c r="AQ16" i="49"/>
  <c r="AR16" i="49"/>
  <c r="AS16" i="49"/>
  <c r="AT16" i="49"/>
  <c r="AU16" i="49"/>
  <c r="AV16" i="49"/>
  <c r="AW16" i="49"/>
  <c r="AX16" i="49"/>
  <c r="AY16" i="49"/>
  <c r="AZ16" i="49"/>
  <c r="BA16" i="49"/>
  <c r="BB16" i="49"/>
  <c r="BC16" i="49"/>
  <c r="BD16" i="49"/>
  <c r="BE16" i="49"/>
  <c r="BF16" i="49"/>
  <c r="BG16" i="49"/>
  <c r="BH16" i="49"/>
  <c r="BI16" i="49"/>
  <c r="BJ16" i="49"/>
  <c r="B17" i="49"/>
  <c r="C23" i="49"/>
  <c r="D23" i="49"/>
  <c r="E23" i="49"/>
  <c r="F23" i="49"/>
  <c r="G23" i="49"/>
  <c r="H23" i="49"/>
  <c r="I23" i="49"/>
  <c r="J23" i="49"/>
  <c r="K23" i="49"/>
  <c r="L23" i="49"/>
  <c r="M23" i="49"/>
  <c r="N23" i="49"/>
  <c r="O23" i="49"/>
  <c r="P23" i="49"/>
  <c r="Q23" i="49"/>
  <c r="R23" i="49"/>
  <c r="S23" i="49"/>
  <c r="T23" i="49"/>
  <c r="U23" i="49"/>
  <c r="V23" i="49"/>
  <c r="W23" i="49"/>
  <c r="X23" i="49"/>
  <c r="Y23" i="49"/>
  <c r="Z23" i="49"/>
  <c r="AA23" i="49"/>
  <c r="AB23" i="49"/>
  <c r="AC23" i="49"/>
  <c r="AD23" i="49"/>
  <c r="AE23" i="49"/>
  <c r="AF23" i="49"/>
  <c r="AG23" i="49"/>
  <c r="AH23" i="49"/>
  <c r="AI23" i="49"/>
  <c r="AJ23" i="49"/>
  <c r="AK23" i="49"/>
  <c r="AL23" i="49"/>
  <c r="AM23" i="49"/>
  <c r="AN23" i="49"/>
  <c r="AO23" i="49"/>
  <c r="AP23" i="49"/>
  <c r="AQ23" i="49"/>
  <c r="AR23" i="49"/>
  <c r="AS23" i="49"/>
  <c r="AT23" i="49"/>
  <c r="AU23" i="49"/>
  <c r="AV23" i="49"/>
  <c r="AW23" i="49"/>
  <c r="AX23" i="49"/>
  <c r="AY23" i="49"/>
  <c r="AZ23" i="49"/>
  <c r="BA23" i="49"/>
  <c r="BB23" i="49"/>
  <c r="BC23" i="49"/>
  <c r="BD23" i="49"/>
  <c r="BE23" i="49"/>
  <c r="BF23" i="49"/>
  <c r="BG23" i="49"/>
  <c r="BH23" i="49"/>
  <c r="BI23" i="49"/>
  <c r="BJ23" i="49"/>
  <c r="AA26" i="49"/>
  <c r="AM26" i="49"/>
  <c r="AY26" i="49"/>
  <c r="AD27" i="49"/>
  <c r="AE27" i="49"/>
  <c r="AF27" i="49"/>
  <c r="AG27" i="49"/>
  <c r="AH27" i="49"/>
  <c r="AI27" i="49"/>
  <c r="AJ27" i="49"/>
  <c r="AK27" i="49"/>
  <c r="AL27" i="49"/>
  <c r="AM27" i="49"/>
  <c r="AN27" i="49"/>
  <c r="AO27" i="49"/>
  <c r="AP27" i="49"/>
  <c r="AQ27" i="49"/>
  <c r="AR27" i="49"/>
  <c r="AS27" i="49"/>
  <c r="AT27" i="49"/>
  <c r="AU27" i="49"/>
  <c r="AV27" i="49"/>
  <c r="AW27" i="49"/>
  <c r="AX27" i="49"/>
  <c r="AY27" i="49"/>
  <c r="AZ27" i="49"/>
  <c r="BA27" i="49"/>
  <c r="BB27" i="49"/>
  <c r="BC27" i="49"/>
  <c r="BD27" i="49"/>
  <c r="BE27" i="49"/>
  <c r="BF27" i="49"/>
  <c r="BG27" i="49"/>
  <c r="BH27" i="49"/>
  <c r="BI27" i="49"/>
  <c r="BJ27" i="49"/>
  <c r="B28" i="49"/>
  <c r="B39" i="49"/>
  <c r="C34" i="49"/>
  <c r="D34" i="49"/>
  <c r="E34" i="49"/>
  <c r="F34" i="49"/>
  <c r="G34" i="49"/>
  <c r="H34" i="49"/>
  <c r="I34" i="49"/>
  <c r="J34" i="49"/>
  <c r="K34" i="49"/>
  <c r="L34" i="49"/>
  <c r="M34" i="49"/>
  <c r="N34" i="49"/>
  <c r="O34" i="49"/>
  <c r="P34" i="49"/>
  <c r="Q34" i="49"/>
  <c r="R34" i="49"/>
  <c r="S34" i="49"/>
  <c r="T34" i="49"/>
  <c r="U34" i="49"/>
  <c r="V34" i="49"/>
  <c r="W34" i="49"/>
  <c r="X34" i="49"/>
  <c r="Y34" i="49"/>
  <c r="Z34" i="49"/>
  <c r="AA34" i="49"/>
  <c r="AB34" i="49"/>
  <c r="AC34" i="49"/>
  <c r="AD34" i="49"/>
  <c r="AE34" i="49"/>
  <c r="AF34" i="49"/>
  <c r="AG34" i="49"/>
  <c r="AH34" i="49"/>
  <c r="AI34" i="49"/>
  <c r="AJ34" i="49"/>
  <c r="AK34" i="49"/>
  <c r="AL34" i="49"/>
  <c r="AM34" i="49"/>
  <c r="AN34" i="49"/>
  <c r="AO34" i="49"/>
  <c r="AP34" i="49"/>
  <c r="AQ34" i="49"/>
  <c r="AR34" i="49"/>
  <c r="AS34" i="49"/>
  <c r="AT34" i="49"/>
  <c r="AU34" i="49"/>
  <c r="AV34" i="49"/>
  <c r="AW34" i="49"/>
  <c r="AX34" i="49"/>
  <c r="AY34" i="49"/>
  <c r="AZ34" i="49"/>
  <c r="BA34" i="49"/>
  <c r="BB34" i="49"/>
  <c r="BC34" i="49"/>
  <c r="BD34" i="49"/>
  <c r="BE34" i="49"/>
  <c r="BF34" i="49"/>
  <c r="BG34" i="49"/>
  <c r="BH34" i="49"/>
  <c r="BI34" i="49"/>
  <c r="BJ34" i="49"/>
  <c r="DJ60" i="29"/>
  <c r="DT61" i="29"/>
  <c r="DK60" i="29"/>
  <c r="N61" i="29"/>
  <c r="O61" i="29"/>
  <c r="P61" i="29"/>
  <c r="Q61" i="29"/>
  <c r="R61" i="29"/>
  <c r="S61" i="29"/>
  <c r="T61" i="29"/>
  <c r="U61" i="29"/>
  <c r="V61" i="29"/>
  <c r="W61" i="29"/>
  <c r="X61" i="29"/>
  <c r="Y61" i="29"/>
  <c r="Z61" i="29"/>
  <c r="AA61" i="29"/>
  <c r="AB61" i="29"/>
  <c r="AC61" i="29"/>
  <c r="AD61" i="29"/>
  <c r="AE61" i="29"/>
  <c r="AF61" i="29"/>
  <c r="AG61" i="29"/>
  <c r="AH61" i="29"/>
  <c r="AI61" i="29"/>
  <c r="AJ61" i="29"/>
  <c r="AK61" i="29"/>
  <c r="AL61" i="29"/>
  <c r="AM61" i="29"/>
  <c r="AN61" i="29"/>
  <c r="AO61" i="29"/>
  <c r="AP61" i="29"/>
  <c r="AQ61" i="29"/>
  <c r="AR61" i="29"/>
  <c r="AS61" i="29"/>
  <c r="AT61" i="29"/>
  <c r="AU61" i="29"/>
  <c r="AV61" i="29"/>
  <c r="AW61" i="29"/>
  <c r="AX61" i="29"/>
  <c r="BK61" i="29"/>
  <c r="BL61" i="29"/>
  <c r="BM61" i="29"/>
  <c r="BN61" i="29"/>
  <c r="BO61" i="29"/>
  <c r="BP61" i="29"/>
  <c r="BQ61" i="29"/>
  <c r="BR61" i="29"/>
  <c r="BS61" i="29"/>
  <c r="BT61" i="29"/>
  <c r="BU61" i="29"/>
  <c r="BV61" i="29"/>
  <c r="BW61" i="29"/>
  <c r="BX61" i="29"/>
  <c r="BY61" i="29"/>
  <c r="BZ61" i="29"/>
  <c r="CA61" i="29"/>
  <c r="CB61" i="29"/>
  <c r="CC61" i="29"/>
  <c r="CD61" i="29"/>
  <c r="CE61" i="29"/>
  <c r="CF61" i="29"/>
  <c r="CG61" i="29"/>
  <c r="CH61" i="29"/>
  <c r="CI61" i="29"/>
  <c r="CJ61" i="29"/>
  <c r="CK61" i="29"/>
  <c r="CL61" i="29"/>
  <c r="CM61" i="29"/>
  <c r="CN61" i="29"/>
  <c r="CO61" i="29"/>
  <c r="CP61" i="29"/>
  <c r="CQ61" i="29"/>
  <c r="CR61" i="29"/>
  <c r="CS61" i="29"/>
  <c r="CT61" i="29"/>
  <c r="CU61" i="29"/>
  <c r="CV61" i="29"/>
  <c r="CW61" i="29"/>
  <c r="CX61" i="29"/>
  <c r="CY61" i="29"/>
  <c r="CZ61" i="29"/>
  <c r="DA61" i="29"/>
  <c r="DB61" i="29"/>
  <c r="DC61" i="29"/>
  <c r="DD61" i="29"/>
  <c r="DE61" i="29"/>
  <c r="DF61" i="29"/>
  <c r="DG61" i="29"/>
  <c r="DH61" i="29"/>
  <c r="DI61" i="29"/>
  <c r="A5" i="40"/>
  <c r="A6" i="40"/>
  <c r="BX325" i="40"/>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7" i="40"/>
  <c r="A68" i="40"/>
  <c r="A69" i="40"/>
  <c r="A70" i="40"/>
  <c r="A71" i="40"/>
  <c r="A72" i="40"/>
  <c r="A73" i="40"/>
  <c r="A74" i="40"/>
  <c r="A75" i="40"/>
  <c r="A76" i="40"/>
  <c r="A77" i="40"/>
  <c r="A78" i="40"/>
  <c r="A79" i="40"/>
  <c r="A80" i="40"/>
  <c r="A81" i="40"/>
  <c r="A82" i="40"/>
  <c r="A83" i="40"/>
  <c r="A84" i="40"/>
  <c r="A85" i="40"/>
  <c r="A86" i="40"/>
  <c r="A87" i="40"/>
  <c r="A88"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GM47" i="15"/>
  <c r="A116" i="40"/>
  <c r="A117" i="40"/>
  <c r="A118" i="40"/>
  <c r="A119" i="40"/>
  <c r="A120" i="40"/>
  <c r="A121" i="40"/>
  <c r="A122" i="40"/>
  <c r="A123" i="40"/>
  <c r="A124" i="40"/>
  <c r="A125" i="40"/>
  <c r="A126" i="40"/>
  <c r="A127" i="40"/>
  <c r="A129" i="40"/>
  <c r="A132" i="40"/>
  <c r="A135" i="40"/>
  <c r="A136" i="40"/>
  <c r="A137" i="40"/>
  <c r="A138" i="40"/>
  <c r="A139" i="40"/>
  <c r="A140" i="40"/>
  <c r="A141" i="40"/>
  <c r="A142" i="40"/>
  <c r="A143" i="40"/>
  <c r="A144" i="40"/>
  <c r="A145" i="40"/>
  <c r="A146" i="40"/>
  <c r="A147" i="40"/>
  <c r="A148" i="40"/>
  <c r="A149" i="40"/>
  <c r="A150" i="40"/>
  <c r="A151" i="40"/>
  <c r="A152" i="40"/>
  <c r="A153" i="40"/>
  <c r="A154" i="40"/>
  <c r="A155" i="40"/>
  <c r="A156" i="40"/>
  <c r="A157" i="40"/>
  <c r="A158" i="40"/>
  <c r="A159" i="40"/>
  <c r="A160" i="40"/>
  <c r="A161" i="40"/>
  <c r="A162" i="40"/>
  <c r="A163" i="40"/>
  <c r="A164" i="40"/>
  <c r="A165" i="40"/>
  <c r="A166" i="40"/>
  <c r="A167" i="40"/>
  <c r="A168" i="40"/>
  <c r="A169" i="40"/>
  <c r="A170" i="40"/>
  <c r="A171" i="40"/>
  <c r="A172" i="40"/>
  <c r="A173" i="40"/>
  <c r="A174" i="40"/>
  <c r="A175" i="40"/>
  <c r="A176" i="40"/>
  <c r="A177" i="40"/>
  <c r="A178" i="40"/>
  <c r="A179" i="40"/>
  <c r="A180" i="40"/>
  <c r="A181" i="40"/>
  <c r="A182" i="40"/>
  <c r="A183" i="40"/>
  <c r="A184" i="40"/>
  <c r="A185" i="40"/>
  <c r="A186" i="40"/>
  <c r="A187" i="40"/>
  <c r="A188" i="40"/>
  <c r="A189" i="40"/>
  <c r="A190" i="40"/>
  <c r="A191" i="40"/>
  <c r="A193" i="40"/>
  <c r="A194" i="40"/>
  <c r="A195" i="40"/>
  <c r="A196" i="40"/>
  <c r="A197" i="40"/>
  <c r="A198" i="40"/>
  <c r="A199" i="40"/>
  <c r="A200" i="40"/>
  <c r="A201" i="40"/>
  <c r="A202" i="40"/>
  <c r="A203" i="40"/>
  <c r="A204" i="40"/>
  <c r="A205" i="40"/>
  <c r="A206" i="40"/>
  <c r="A207" i="40"/>
  <c r="A208" i="40"/>
  <c r="A209" i="40"/>
  <c r="A210" i="40"/>
  <c r="A211" i="40"/>
  <c r="A212" i="40"/>
  <c r="A213" i="40"/>
  <c r="A214" i="40"/>
  <c r="A215" i="40"/>
  <c r="A216" i="40"/>
  <c r="A217" i="40"/>
  <c r="A218" i="40"/>
  <c r="A219" i="40"/>
  <c r="A220" i="40"/>
  <c r="A221" i="40"/>
  <c r="A222" i="40"/>
  <c r="A223" i="40"/>
  <c r="A224" i="40"/>
  <c r="A225" i="40"/>
  <c r="A226" i="40"/>
  <c r="A227" i="40"/>
  <c r="A228" i="40"/>
  <c r="A229" i="40"/>
  <c r="A230" i="40"/>
  <c r="A231" i="40"/>
  <c r="A232" i="40"/>
  <c r="A233" i="40"/>
  <c r="A234" i="40"/>
  <c r="A235" i="40"/>
  <c r="A236" i="40"/>
  <c r="A237" i="40"/>
  <c r="A238" i="40"/>
  <c r="A239" i="40"/>
  <c r="A240" i="40"/>
  <c r="A241" i="40"/>
  <c r="A242" i="40"/>
  <c r="A243" i="40"/>
  <c r="A244" i="40"/>
  <c r="A245" i="40"/>
  <c r="A246" i="40"/>
  <c r="A247" i="40"/>
  <c r="A248" i="40"/>
  <c r="A249" i="40"/>
  <c r="A250" i="40"/>
  <c r="A251" i="40"/>
  <c r="A253" i="40"/>
  <c r="A254" i="40"/>
  <c r="A255" i="40"/>
  <c r="A256" i="40"/>
  <c r="A257" i="40"/>
  <c r="A258" i="40"/>
  <c r="A259" i="40"/>
  <c r="A260" i="40"/>
  <c r="A261" i="40"/>
  <c r="A262" i="40"/>
  <c r="A263" i="40"/>
  <c r="A264" i="40"/>
  <c r="A265" i="40"/>
  <c r="A266" i="40"/>
  <c r="A267" i="40"/>
  <c r="A268" i="40"/>
  <c r="A269" i="40"/>
  <c r="A270" i="40"/>
  <c r="A271" i="40"/>
  <c r="A272" i="40"/>
  <c r="A273" i="40"/>
  <c r="A274" i="40"/>
  <c r="A275" i="40"/>
  <c r="A276" i="40"/>
  <c r="A277" i="40"/>
  <c r="A278" i="40"/>
  <c r="A279" i="40"/>
  <c r="A280" i="40"/>
  <c r="A281" i="40"/>
  <c r="A282" i="40"/>
  <c r="A283" i="40"/>
  <c r="A284" i="40"/>
  <c r="A286" i="40"/>
  <c r="A287" i="40"/>
  <c r="A288" i="40"/>
  <c r="A289" i="40"/>
  <c r="A290" i="40"/>
  <c r="A291" i="40"/>
  <c r="A292" i="40"/>
  <c r="A293" i="40"/>
  <c r="A294" i="40"/>
  <c r="A295" i="40"/>
  <c r="A296" i="40"/>
  <c r="A297" i="40"/>
  <c r="A298" i="40"/>
  <c r="A299" i="40"/>
  <c r="GM95" i="15"/>
  <c r="A300" i="40"/>
  <c r="A301" i="40"/>
  <c r="A302" i="40"/>
  <c r="A303" i="40"/>
  <c r="A304" i="40"/>
  <c r="A305" i="40"/>
  <c r="A306" i="40"/>
  <c r="A307" i="40"/>
  <c r="A308" i="40"/>
  <c r="A309" i="40"/>
  <c r="A310" i="40"/>
  <c r="A311" i="40"/>
  <c r="A312" i="40"/>
  <c r="A313" i="40"/>
  <c r="A314" i="40"/>
  <c r="A315" i="40"/>
  <c r="A316" i="40"/>
  <c r="A317" i="40"/>
  <c r="A318" i="40"/>
  <c r="A319" i="40"/>
  <c r="A320" i="40"/>
  <c r="A321" i="40"/>
  <c r="A322" i="40"/>
  <c r="A323" i="40"/>
  <c r="AH325" i="40"/>
  <c r="AI325" i="40"/>
  <c r="AI327" i="40"/>
  <c r="AJ325" i="40"/>
  <c r="AJ327" i="40"/>
  <c r="AK325" i="40"/>
  <c r="AL325" i="40"/>
  <c r="AM325" i="40"/>
  <c r="AM327" i="40"/>
  <c r="AN325" i="40"/>
  <c r="AO325" i="40"/>
  <c r="AP325" i="40"/>
  <c r="AQ325" i="40"/>
  <c r="AU325" i="40"/>
  <c r="AU327" i="40"/>
  <c r="AV325" i="40"/>
  <c r="AW325" i="40"/>
  <c r="AX325" i="40"/>
  <c r="AX327" i="40"/>
  <c r="AY325" i="40"/>
  <c r="AZ325" i="40"/>
  <c r="BA325" i="40"/>
  <c r="BA327" i="40"/>
  <c r="BB325" i="40"/>
  <c r="BC325" i="40"/>
  <c r="BD325" i="40"/>
  <c r="BD327" i="40"/>
  <c r="BE325" i="40"/>
  <c r="BF325" i="40"/>
  <c r="BG325" i="40"/>
  <c r="BH325" i="40"/>
  <c r="BI325" i="40"/>
  <c r="BJ325" i="40"/>
  <c r="BK325" i="40"/>
  <c r="BK327" i="40"/>
  <c r="BL325" i="40"/>
  <c r="BM325" i="40"/>
  <c r="BM327" i="40"/>
  <c r="BN325" i="40"/>
  <c r="BN327" i="40"/>
  <c r="BO325" i="40"/>
  <c r="BP325" i="40"/>
  <c r="BQ325" i="40"/>
  <c r="BQ327" i="40"/>
  <c r="BR325" i="40"/>
  <c r="BS325" i="40"/>
  <c r="BT325" i="40"/>
  <c r="BT327" i="40"/>
  <c r="BU325" i="40"/>
  <c r="AH326" i="40"/>
  <c r="AI326" i="40"/>
  <c r="AJ326" i="40"/>
  <c r="AK326" i="40"/>
  <c r="AK327" i="40"/>
  <c r="AL326" i="40"/>
  <c r="AM326" i="40"/>
  <c r="AN326" i="40"/>
  <c r="AN327" i="40"/>
  <c r="AO326" i="40"/>
  <c r="AO327" i="40"/>
  <c r="AP326" i="40"/>
  <c r="AQ326" i="40"/>
  <c r="AU326" i="40"/>
  <c r="AV326" i="40"/>
  <c r="AV327" i="40"/>
  <c r="AW326" i="40"/>
  <c r="AW327" i="40"/>
  <c r="AX326" i="40"/>
  <c r="AY326" i="40"/>
  <c r="AZ326" i="40"/>
  <c r="BA326" i="40"/>
  <c r="BB326" i="40"/>
  <c r="BC326" i="40"/>
  <c r="BC327" i="40"/>
  <c r="BD326" i="40"/>
  <c r="BE326" i="40"/>
  <c r="BF326" i="40"/>
  <c r="BG326" i="40"/>
  <c r="BG327" i="40"/>
  <c r="BH326" i="40"/>
  <c r="BI326" i="40"/>
  <c r="BI327" i="40"/>
  <c r="BJ326" i="40"/>
  <c r="BK326" i="40"/>
  <c r="BL326" i="40"/>
  <c r="BL327" i="40"/>
  <c r="BM326" i="40"/>
  <c r="BN326" i="40"/>
  <c r="BO326" i="40"/>
  <c r="BP326" i="40"/>
  <c r="BQ326" i="40"/>
  <c r="BR326" i="40"/>
  <c r="BS326" i="40"/>
  <c r="BT326" i="40"/>
  <c r="BU326" i="40"/>
  <c r="BU327" i="40"/>
  <c r="D328" i="40"/>
  <c r="E328" i="40"/>
  <c r="F328" i="40"/>
  <c r="G328" i="40"/>
  <c r="H328" i="40"/>
  <c r="I328" i="40"/>
  <c r="J328" i="40"/>
  <c r="K328" i="40"/>
  <c r="L328" i="40"/>
  <c r="M328" i="40"/>
  <c r="N328" i="40"/>
  <c r="O328" i="40"/>
  <c r="P328" i="40"/>
  <c r="Q328" i="40"/>
  <c r="R328" i="40"/>
  <c r="S328" i="40"/>
  <c r="AF328" i="40"/>
  <c r="AG328" i="40"/>
  <c r="AH328" i="40"/>
  <c r="AI328" i="40"/>
  <c r="AJ328" i="40"/>
  <c r="AK328" i="40"/>
  <c r="AO328" i="40"/>
  <c r="AP328" i="40"/>
  <c r="AQ328" i="40"/>
  <c r="AU328" i="40"/>
  <c r="AV328" i="40"/>
  <c r="AW328" i="40"/>
  <c r="AX328" i="40"/>
  <c r="AY328" i="40"/>
  <c r="AZ328" i="40"/>
  <c r="BA328" i="40"/>
  <c r="BB328" i="40"/>
  <c r="BC328" i="40"/>
  <c r="BD328" i="40"/>
  <c r="BE328" i="40"/>
  <c r="BF328" i="40"/>
  <c r="BG328" i="40"/>
  <c r="BH328" i="40"/>
  <c r="BI328" i="40"/>
  <c r="BJ328" i="40"/>
  <c r="BK328" i="40"/>
  <c r="BL328" i="40"/>
  <c r="BM328" i="40"/>
  <c r="BN328" i="40"/>
  <c r="BO328" i="40"/>
  <c r="BP328" i="40"/>
  <c r="BQ328" i="40"/>
  <c r="BR328" i="40"/>
  <c r="BS328" i="40"/>
  <c r="BT328" i="40"/>
  <c r="BU328" i="40"/>
  <c r="BV328" i="40"/>
  <c r="BW328" i="40"/>
  <c r="BX328" i="40"/>
  <c r="BW389" i="40"/>
  <c r="BV393" i="40"/>
  <c r="BV394" i="40"/>
  <c r="BW386" i="40"/>
  <c r="BV387" i="40"/>
  <c r="BX387" i="40"/>
  <c r="BW387" i="40"/>
  <c r="BV391" i="40"/>
  <c r="BV392" i="40"/>
  <c r="P386" i="40"/>
  <c r="AF386" i="40"/>
  <c r="AG386" i="40"/>
  <c r="AH386" i="40"/>
  <c r="AI386" i="40"/>
  <c r="AJ386" i="40"/>
  <c r="AK386" i="40"/>
  <c r="AL386" i="40"/>
  <c r="AM386" i="40"/>
  <c r="AN386" i="40"/>
  <c r="AO386" i="40"/>
  <c r="AP386" i="40"/>
  <c r="AQ386" i="40"/>
  <c r="AR386" i="40"/>
  <c r="AS386" i="40"/>
  <c r="AT386" i="40"/>
  <c r="AU386" i="40"/>
  <c r="AV386" i="40"/>
  <c r="AW386" i="40"/>
  <c r="AX386" i="40"/>
  <c r="AY386" i="40"/>
  <c r="AZ386" i="40"/>
  <c r="BA386" i="40"/>
  <c r="BB386" i="40"/>
  <c r="BC386" i="40"/>
  <c r="BD386" i="40"/>
  <c r="BE386" i="40"/>
  <c r="BF386" i="40"/>
  <c r="BG386" i="40"/>
  <c r="BH386" i="40"/>
  <c r="BI386" i="40"/>
  <c r="BM386" i="40"/>
  <c r="BN386" i="40"/>
  <c r="BO386" i="40"/>
  <c r="BS386" i="40"/>
  <c r="BT386" i="40"/>
  <c r="BU386" i="40"/>
  <c r="P387" i="40"/>
  <c r="AF387" i="40"/>
  <c r="AG387" i="40"/>
  <c r="AH387" i="40"/>
  <c r="AI387" i="40"/>
  <c r="AJ387" i="40"/>
  <c r="AK387" i="40"/>
  <c r="AL387" i="40"/>
  <c r="AM387" i="40"/>
  <c r="AN387" i="40"/>
  <c r="AO387" i="40"/>
  <c r="AP387" i="40"/>
  <c r="AQ387" i="40"/>
  <c r="AR387" i="40"/>
  <c r="AS387" i="40"/>
  <c r="AT387" i="40"/>
  <c r="AU387" i="40"/>
  <c r="AV387" i="40"/>
  <c r="AW387" i="40"/>
  <c r="AX387" i="40"/>
  <c r="AY387" i="40"/>
  <c r="AZ387" i="40"/>
  <c r="BA387" i="40"/>
  <c r="BB387" i="40"/>
  <c r="BC387" i="40"/>
  <c r="BD387" i="40"/>
  <c r="BE387" i="40"/>
  <c r="BF387" i="40"/>
  <c r="BG387" i="40"/>
  <c r="BH387" i="40"/>
  <c r="BI387" i="40"/>
  <c r="BM387" i="40"/>
  <c r="BN387" i="40"/>
  <c r="BO387" i="40"/>
  <c r="BS387" i="40"/>
  <c r="BT387" i="40"/>
  <c r="BU387" i="40"/>
  <c r="AB389" i="40"/>
  <c r="AF389" i="40"/>
  <c r="AG389" i="40"/>
  <c r="AH389" i="40"/>
  <c r="AI389" i="40"/>
  <c r="AJ389" i="40"/>
  <c r="AK389" i="40"/>
  <c r="AL389" i="40"/>
  <c r="AM389" i="40"/>
  <c r="AN389" i="40"/>
  <c r="AO389" i="40"/>
  <c r="AP389" i="40"/>
  <c r="AQ389" i="40"/>
  <c r="AR389" i="40"/>
  <c r="AS389" i="40"/>
  <c r="AT389" i="40"/>
  <c r="AU389" i="40"/>
  <c r="AV389" i="40"/>
  <c r="AW389" i="40"/>
  <c r="AX389" i="40"/>
  <c r="AY389" i="40"/>
  <c r="AZ389" i="40"/>
  <c r="BA389" i="40"/>
  <c r="BB389" i="40"/>
  <c r="BC389" i="40"/>
  <c r="BD389" i="40"/>
  <c r="BE389" i="40"/>
  <c r="BF389" i="40"/>
  <c r="BG389" i="40"/>
  <c r="BH389" i="40"/>
  <c r="BI389" i="40"/>
  <c r="BJ389" i="40"/>
  <c r="BK389" i="40"/>
  <c r="BL389" i="40"/>
  <c r="BM389" i="40"/>
  <c r="BN389" i="40"/>
  <c r="BO389" i="40"/>
  <c r="BP389" i="40"/>
  <c r="BQ389" i="40"/>
  <c r="BR389" i="40"/>
  <c r="BS389" i="40"/>
  <c r="BT389" i="40"/>
  <c r="BU389" i="40"/>
  <c r="AF391" i="40"/>
  <c r="AG391" i="40"/>
  <c r="AH391" i="40"/>
  <c r="AH392" i="40"/>
  <c r="AI391" i="40"/>
  <c r="AI392" i="40"/>
  <c r="AJ391" i="40"/>
  <c r="AJ392" i="40"/>
  <c r="AK391" i="40"/>
  <c r="AK392" i="40"/>
  <c r="AL391" i="40"/>
  <c r="AL392" i="40"/>
  <c r="AM391" i="40"/>
  <c r="AM392" i="40"/>
  <c r="AN391" i="40"/>
  <c r="AN392" i="40"/>
  <c r="AO391" i="40"/>
  <c r="AO392" i="40"/>
  <c r="AP391" i="40"/>
  <c r="AP392" i="40"/>
  <c r="AQ391" i="40"/>
  <c r="AQ392" i="40"/>
  <c r="AR391" i="40"/>
  <c r="AR392" i="40"/>
  <c r="AS391" i="40"/>
  <c r="AS392" i="40"/>
  <c r="AT391" i="40"/>
  <c r="AT392" i="40"/>
  <c r="AU391" i="40"/>
  <c r="AV391" i="40"/>
  <c r="AW391" i="40"/>
  <c r="AW392" i="40"/>
  <c r="AX391" i="40"/>
  <c r="AX392" i="40"/>
  <c r="AY391" i="40"/>
  <c r="AY392" i="40"/>
  <c r="AZ391" i="40"/>
  <c r="BA391" i="40"/>
  <c r="BA392" i="40"/>
  <c r="BB391" i="40"/>
  <c r="BB392" i="40"/>
  <c r="BC391" i="40"/>
  <c r="BC392" i="40"/>
  <c r="BD391" i="40"/>
  <c r="BD392" i="40"/>
  <c r="BE391" i="40"/>
  <c r="BE392" i="40"/>
  <c r="BF391" i="40"/>
  <c r="BF392" i="40"/>
  <c r="BG391" i="40"/>
  <c r="BG392" i="40"/>
  <c r="BH391" i="40"/>
  <c r="BH392" i="40"/>
  <c r="BI391" i="40"/>
  <c r="BI392" i="40"/>
  <c r="BJ391" i="40"/>
  <c r="BJ392" i="40"/>
  <c r="BK391" i="40"/>
  <c r="BK392" i="40"/>
  <c r="BL391" i="40"/>
  <c r="BM391" i="40"/>
  <c r="BM392" i="40"/>
  <c r="BN391" i="40"/>
  <c r="BN392" i="40"/>
  <c r="BO391" i="40"/>
  <c r="BO392" i="40"/>
  <c r="BP391" i="40"/>
  <c r="BP392" i="40"/>
  <c r="BQ391" i="40"/>
  <c r="BR391" i="40"/>
  <c r="BR392" i="40"/>
  <c r="BS391" i="40"/>
  <c r="BS392" i="40"/>
  <c r="BT391" i="40"/>
  <c r="BT392" i="40"/>
  <c r="BU391" i="40"/>
  <c r="AH393" i="40"/>
  <c r="AH394" i="40"/>
  <c r="AI393" i="40"/>
  <c r="AI394" i="40"/>
  <c r="AJ393" i="40"/>
  <c r="AJ394" i="40"/>
  <c r="AK393" i="40"/>
  <c r="AK394" i="40"/>
  <c r="AL393" i="40"/>
  <c r="AL394" i="40"/>
  <c r="AM393" i="40"/>
  <c r="AM394" i="40"/>
  <c r="AN393" i="40"/>
  <c r="AN394" i="40"/>
  <c r="AO393" i="40"/>
  <c r="AO394" i="40"/>
  <c r="AP393" i="40"/>
  <c r="AP394" i="40"/>
  <c r="AQ393" i="40"/>
  <c r="AQ394" i="40"/>
  <c r="AR393" i="40"/>
  <c r="AR394" i="40"/>
  <c r="AS393" i="40"/>
  <c r="AS394" i="40"/>
  <c r="AT393" i="40"/>
  <c r="AT394" i="40"/>
  <c r="AU393" i="40"/>
  <c r="AU394" i="40"/>
  <c r="AV393" i="40"/>
  <c r="AV394" i="40"/>
  <c r="AW393" i="40"/>
  <c r="AW394" i="40"/>
  <c r="AX393" i="40"/>
  <c r="AX394" i="40"/>
  <c r="AY393" i="40"/>
  <c r="AY394" i="40"/>
  <c r="AZ393" i="40"/>
  <c r="AZ394" i="40"/>
  <c r="BA393" i="40"/>
  <c r="BA394" i="40"/>
  <c r="BB393" i="40"/>
  <c r="BB394" i="40"/>
  <c r="BC393" i="40"/>
  <c r="BC394" i="40"/>
  <c r="BD393" i="40"/>
  <c r="BD394" i="40"/>
  <c r="BE393" i="40"/>
  <c r="BE394" i="40"/>
  <c r="BF393" i="40"/>
  <c r="BF394" i="40"/>
  <c r="BG393" i="40"/>
  <c r="BG394" i="40"/>
  <c r="BH393" i="40"/>
  <c r="BH394" i="40"/>
  <c r="BI393" i="40"/>
  <c r="BI394" i="40"/>
  <c r="BJ393" i="40"/>
  <c r="BJ394" i="40"/>
  <c r="BK393" i="40"/>
  <c r="BK394" i="40"/>
  <c r="BL393" i="40"/>
  <c r="BL394" i="40"/>
  <c r="BM393" i="40"/>
  <c r="BM394" i="40"/>
  <c r="BN393" i="40"/>
  <c r="BN394" i="40"/>
  <c r="BO393" i="40"/>
  <c r="BO394" i="40"/>
  <c r="BP393" i="40"/>
  <c r="BP394" i="40"/>
  <c r="BQ393" i="40"/>
  <c r="BQ394" i="40"/>
  <c r="BR393" i="40"/>
  <c r="BR394" i="40"/>
  <c r="BS393" i="40"/>
  <c r="BS394" i="40"/>
  <c r="BT393" i="40"/>
  <c r="BT394" i="40"/>
  <c r="BU393" i="40"/>
  <c r="BU394" i="40"/>
  <c r="A5" i="41"/>
  <c r="A6" i="41"/>
  <c r="A7" i="41"/>
  <c r="A8" i="41"/>
  <c r="CB57" i="38"/>
  <c r="A9" i="41"/>
  <c r="A10" i="41"/>
  <c r="A11" i="41"/>
  <c r="A12" i="41"/>
  <c r="A13" i="41"/>
  <c r="A14" i="41"/>
  <c r="A15" i="41"/>
  <c r="A16" i="41"/>
  <c r="A17" i="41"/>
  <c r="A18" i="41"/>
  <c r="A19" i="41"/>
  <c r="A20" i="41"/>
  <c r="A21" i="41"/>
  <c r="A22" i="41"/>
  <c r="A23" i="41"/>
  <c r="A24" i="41"/>
  <c r="A25" i="41"/>
  <c r="A26" i="41"/>
  <c r="A27" i="41"/>
  <c r="A28" i="41"/>
  <c r="A29"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6" i="41"/>
  <c r="A97"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5" i="41"/>
  <c r="A136" i="41"/>
  <c r="A137" i="41"/>
  <c r="A138" i="41"/>
  <c r="A139" i="41"/>
  <c r="A140" i="41"/>
  <c r="A141" i="41"/>
  <c r="A142" i="41"/>
  <c r="A143" i="41"/>
  <c r="A144" i="41"/>
  <c r="A145" i="41"/>
  <c r="A146" i="41"/>
  <c r="A148" i="41"/>
  <c r="A150" i="41"/>
  <c r="A151" i="41"/>
  <c r="A152" i="41"/>
  <c r="A153" i="41"/>
  <c r="A154" i="41"/>
  <c r="A155" i="41"/>
  <c r="A156" i="41"/>
  <c r="A157" i="41"/>
  <c r="A158" i="41"/>
  <c r="A159" i="41"/>
  <c r="A160" i="41"/>
  <c r="A161" i="41"/>
  <c r="A164" i="41"/>
  <c r="A166" i="41"/>
  <c r="A167" i="41"/>
  <c r="A168" i="41"/>
  <c r="A169" i="41"/>
  <c r="A170" i="41"/>
  <c r="A171" i="41"/>
  <c r="A172" i="41"/>
  <c r="A173" i="41"/>
  <c r="A174" i="41"/>
  <c r="A175" i="41"/>
  <c r="A176" i="41"/>
  <c r="A177" i="41"/>
  <c r="A178" i="41"/>
  <c r="A179" i="41"/>
  <c r="A180" i="41"/>
  <c r="A181" i="41"/>
  <c r="A182" i="41"/>
  <c r="A183" i="41"/>
  <c r="A184"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4" i="41"/>
  <c r="A245" i="41"/>
  <c r="A246" i="41"/>
  <c r="A248" i="41"/>
  <c r="A249" i="41"/>
  <c r="A250" i="41"/>
  <c r="A251" i="41"/>
  <c r="A252" i="41"/>
  <c r="A253" i="41"/>
  <c r="A254" i="41"/>
  <c r="A255" i="41"/>
  <c r="A256" i="41"/>
  <c r="A257" i="41"/>
  <c r="A258" i="41"/>
  <c r="A260" i="41"/>
  <c r="A261" i="41"/>
  <c r="A262" i="41"/>
  <c r="A263" i="41"/>
  <c r="A264" i="41"/>
  <c r="A265" i="41"/>
  <c r="A266" i="41"/>
  <c r="A267" i="41"/>
  <c r="A268"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5" i="41"/>
  <c r="A326" i="41"/>
  <c r="A327" i="41"/>
  <c r="A328" i="41"/>
  <c r="A329" i="41"/>
  <c r="A330" i="41"/>
  <c r="A331" i="41"/>
  <c r="A332" i="41"/>
  <c r="A333" i="41"/>
  <c r="A334" i="41"/>
  <c r="A335" i="41"/>
  <c r="A336" i="41"/>
  <c r="A337" i="41"/>
  <c r="A338" i="41"/>
  <c r="A339" i="41"/>
  <c r="A340" i="41"/>
  <c r="A341" i="41"/>
  <c r="A342" i="41"/>
  <c r="A343" i="41"/>
  <c r="A344" i="41"/>
  <c r="A345" i="41"/>
  <c r="A346" i="41"/>
  <c r="A347" i="41"/>
  <c r="A348" i="41"/>
  <c r="A349" i="41"/>
  <c r="A351" i="41"/>
  <c r="A352" i="41"/>
  <c r="A353" i="41"/>
  <c r="A354" i="41"/>
  <c r="A355" i="41"/>
  <c r="A356" i="41"/>
  <c r="A357" i="41"/>
  <c r="A358" i="41"/>
  <c r="A359" i="41"/>
  <c r="BU418"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4" i="41"/>
  <c r="A405" i="41"/>
  <c r="A406" i="41"/>
  <c r="A407" i="41"/>
  <c r="A408" i="41"/>
  <c r="A409" i="41"/>
  <c r="A415" i="41"/>
  <c r="A416" i="41"/>
  <c r="A417" i="41"/>
  <c r="AN418" i="41"/>
  <c r="AO418" i="41"/>
  <c r="AP418" i="41"/>
  <c r="AQ418" i="41"/>
  <c r="AR418" i="41"/>
  <c r="AS418" i="41"/>
  <c r="AT418" i="41"/>
  <c r="AU418" i="41"/>
  <c r="AV418" i="41"/>
  <c r="AW418" i="41"/>
  <c r="AX418" i="41"/>
  <c r="AY418" i="41"/>
  <c r="AZ418" i="41"/>
  <c r="BA418" i="41"/>
  <c r="BB418" i="41"/>
  <c r="BC418" i="41"/>
  <c r="BD418" i="41"/>
  <c r="BE418" i="41"/>
  <c r="BF418" i="41"/>
  <c r="BG418" i="41"/>
  <c r="BH418" i="41"/>
  <c r="BI418" i="41"/>
  <c r="BJ418" i="41"/>
  <c r="BK418" i="41"/>
  <c r="BL418" i="41"/>
  <c r="BM418" i="41"/>
  <c r="BN418" i="41"/>
  <c r="BO418" i="41"/>
  <c r="BP418" i="41"/>
  <c r="BQ418" i="41"/>
  <c r="BR418" i="41"/>
  <c r="BS418" i="41"/>
  <c r="BT418" i="41"/>
  <c r="D419" i="41"/>
  <c r="E419" i="41"/>
  <c r="F419" i="41"/>
  <c r="G419" i="41"/>
  <c r="H419" i="41"/>
  <c r="I419" i="41"/>
  <c r="J419" i="41"/>
  <c r="K419" i="41"/>
  <c r="L419" i="41"/>
  <c r="M419" i="41"/>
  <c r="N419" i="41"/>
  <c r="O419" i="41"/>
  <c r="P419" i="41"/>
  <c r="Q419" i="41"/>
  <c r="R419" i="41"/>
  <c r="S419" i="41"/>
  <c r="AE419" i="41"/>
  <c r="AF419" i="41"/>
  <c r="AG419" i="41"/>
  <c r="AH419" i="41"/>
  <c r="AI419" i="41"/>
  <c r="AJ419" i="41"/>
  <c r="AN419" i="41"/>
  <c r="AO419" i="41"/>
  <c r="AP419" i="41"/>
  <c r="AT419" i="41"/>
  <c r="AU419" i="41"/>
  <c r="AV419" i="41"/>
  <c r="AW419" i="41"/>
  <c r="AX419" i="41"/>
  <c r="AY419" i="41"/>
  <c r="AZ419" i="41"/>
  <c r="BA419" i="41"/>
  <c r="BB419" i="41"/>
  <c r="BC419" i="41"/>
  <c r="BD419" i="41"/>
  <c r="BE419" i="41"/>
  <c r="BF419" i="41"/>
  <c r="BG419" i="41"/>
  <c r="BH419" i="41"/>
  <c r="BI419" i="41"/>
  <c r="BJ419" i="41"/>
  <c r="BK419" i="41"/>
  <c r="BL419" i="41"/>
  <c r="BM419" i="41"/>
  <c r="BN419" i="41"/>
  <c r="BO419" i="41"/>
  <c r="BP419" i="41"/>
  <c r="BQ419" i="41"/>
  <c r="BR419" i="41"/>
  <c r="BS419" i="41"/>
  <c r="BT419" i="41"/>
  <c r="BU419" i="41"/>
  <c r="BV419" i="41"/>
  <c r="BW419" i="41"/>
  <c r="O509" i="41"/>
  <c r="P509" i="41"/>
  <c r="Q509" i="41"/>
  <c r="R509" i="41"/>
  <c r="S509" i="41"/>
  <c r="AE509" i="41"/>
  <c r="AF509" i="41"/>
  <c r="AG509" i="41"/>
  <c r="AH509" i="41"/>
  <c r="AI509" i="41"/>
  <c r="AJ509" i="41"/>
  <c r="AN509" i="41"/>
  <c r="AO509" i="41"/>
  <c r="AP509" i="41"/>
  <c r="AQ509" i="41"/>
  <c r="AR509" i="41"/>
  <c r="AS509" i="41"/>
  <c r="AT509" i="41"/>
  <c r="AU509" i="41"/>
  <c r="AV509" i="41"/>
  <c r="AW509" i="41"/>
  <c r="AX509" i="41"/>
  <c r="AY509" i="41"/>
  <c r="AZ509" i="41"/>
  <c r="BA509" i="41"/>
  <c r="BB509" i="41"/>
  <c r="BC509" i="41"/>
  <c r="BD509" i="41"/>
  <c r="BE509" i="41"/>
  <c r="BF509" i="41"/>
  <c r="BG509" i="41"/>
  <c r="BH509" i="41"/>
  <c r="BI509" i="41"/>
  <c r="BJ509" i="41"/>
  <c r="BK509" i="41"/>
  <c r="BL509" i="41"/>
  <c r="BM509" i="41"/>
  <c r="BN509" i="41"/>
  <c r="BO509" i="41"/>
  <c r="BP509" i="41"/>
  <c r="BQ509" i="41"/>
  <c r="BR509" i="41"/>
  <c r="BS509" i="41"/>
  <c r="BT509" i="41"/>
  <c r="D511" i="41"/>
  <c r="E511" i="41"/>
  <c r="F511" i="41"/>
  <c r="G511" i="41"/>
  <c r="H511" i="41"/>
  <c r="I511" i="41"/>
  <c r="J511" i="41"/>
  <c r="K511" i="41"/>
  <c r="L511" i="41"/>
  <c r="M511" i="41"/>
  <c r="N511" i="41"/>
  <c r="O511" i="41"/>
  <c r="P511" i="41"/>
  <c r="Q511" i="41"/>
  <c r="R511" i="41"/>
  <c r="S511" i="41"/>
  <c r="AE511" i="41"/>
  <c r="AF511" i="41"/>
  <c r="AG511" i="41"/>
  <c r="AH511" i="41"/>
  <c r="AI511" i="41"/>
  <c r="AJ511" i="41"/>
  <c r="AN511" i="41"/>
  <c r="AO511" i="41"/>
  <c r="AP511" i="41"/>
  <c r="AQ511" i="41"/>
  <c r="AR511" i="41"/>
  <c r="AS511" i="41"/>
  <c r="AT511" i="41"/>
  <c r="AU511" i="41"/>
  <c r="AV511" i="41"/>
  <c r="AW511" i="41"/>
  <c r="AX511" i="41"/>
  <c r="AY511" i="41"/>
  <c r="AZ511" i="41"/>
  <c r="BA511" i="41"/>
  <c r="BB511" i="41"/>
  <c r="BC511" i="41"/>
  <c r="BD511" i="41"/>
  <c r="BE511" i="41"/>
  <c r="BF511" i="41"/>
  <c r="BG511" i="41"/>
  <c r="BH511" i="41"/>
  <c r="BI511" i="41"/>
  <c r="BJ511" i="41"/>
  <c r="BK511" i="41"/>
  <c r="BL511" i="41"/>
  <c r="BM511" i="41"/>
  <c r="BN511" i="41"/>
  <c r="BO511" i="41"/>
  <c r="BP511" i="41"/>
  <c r="BQ511" i="41"/>
  <c r="BR511" i="41"/>
  <c r="BS511" i="41"/>
  <c r="BT511" i="41"/>
  <c r="BB6" i="15"/>
  <c r="BC6" i="15"/>
  <c r="BD6" i="15"/>
  <c r="BE6" i="15"/>
  <c r="BF6" i="15"/>
  <c r="BG6" i="15"/>
  <c r="BH6" i="15"/>
  <c r="BI6" i="15"/>
  <c r="BJ6" i="15"/>
  <c r="BK6" i="15"/>
  <c r="BL6" i="15"/>
  <c r="BM6" i="15"/>
  <c r="CF6" i="15"/>
  <c r="CG6" i="15"/>
  <c r="CH6" i="15"/>
  <c r="CL6" i="15"/>
  <c r="CM6" i="15"/>
  <c r="CN6" i="15"/>
  <c r="FF6" i="15"/>
  <c r="CR6" i="15"/>
  <c r="CS6" i="15"/>
  <c r="FG6" i="15"/>
  <c r="FH6" i="15"/>
  <c r="FI6" i="15"/>
  <c r="FD10" i="15"/>
  <c r="FE10" i="15"/>
  <c r="FF10" i="15"/>
  <c r="FG10" i="15"/>
  <c r="FH10" i="15"/>
  <c r="FI10" i="15"/>
  <c r="FJ10" i="15"/>
  <c r="FJ107" i="15"/>
  <c r="FK10" i="15"/>
  <c r="FL10" i="15"/>
  <c r="FM10" i="15"/>
  <c r="FN10" i="15"/>
  <c r="FN107" i="15"/>
  <c r="FN108" i="15"/>
  <c r="FN109" i="15"/>
  <c r="FO10" i="15"/>
  <c r="FP10" i="15"/>
  <c r="FQ10" i="15"/>
  <c r="FR10" i="15"/>
  <c r="FS10" i="15"/>
  <c r="FT10" i="15"/>
  <c r="FU10" i="15"/>
  <c r="FV10" i="15"/>
  <c r="FW10" i="15"/>
  <c r="FX10" i="15"/>
  <c r="FY10" i="15"/>
  <c r="FZ10" i="15"/>
  <c r="GA10" i="15"/>
  <c r="GB10" i="15"/>
  <c r="GC10" i="15"/>
  <c r="GD10" i="15"/>
  <c r="GD107" i="15"/>
  <c r="GD108" i="15"/>
  <c r="GD109" i="15"/>
  <c r="GE10" i="15"/>
  <c r="GF10" i="15"/>
  <c r="GG10" i="15"/>
  <c r="GH10" i="15"/>
  <c r="GI10" i="15"/>
  <c r="GJ10" i="15"/>
  <c r="GK10" i="15"/>
  <c r="GL10" i="15"/>
  <c r="GL107" i="15"/>
  <c r="GL108" i="15"/>
  <c r="GL109" i="15"/>
  <c r="GM10" i="15"/>
  <c r="CL14" i="15"/>
  <c r="CL16" i="15"/>
  <c r="CM14" i="15"/>
  <c r="CM16" i="15"/>
  <c r="CN14" i="15"/>
  <c r="CN16" i="15"/>
  <c r="CO14" i="15"/>
  <c r="CO16" i="15"/>
  <c r="CP14" i="15"/>
  <c r="CP16" i="15"/>
  <c r="CQ14" i="15"/>
  <c r="CQ16" i="15"/>
  <c r="CR14" i="15"/>
  <c r="CR16" i="15"/>
  <c r="CS14" i="15"/>
  <c r="CS16" i="15"/>
  <c r="CT14" i="15"/>
  <c r="CT16" i="15"/>
  <c r="CU14" i="15"/>
  <c r="CU16" i="15"/>
  <c r="CV14" i="15"/>
  <c r="CV16" i="15"/>
  <c r="CW14" i="15"/>
  <c r="CW16" i="15"/>
  <c r="CX14" i="15"/>
  <c r="CX16" i="15"/>
  <c r="CY14" i="15"/>
  <c r="CY16" i="15"/>
  <c r="CZ14" i="15"/>
  <c r="CZ16" i="15"/>
  <c r="DA14" i="15"/>
  <c r="DA16" i="15"/>
  <c r="DB14" i="15"/>
  <c r="DB16" i="15"/>
  <c r="DC14" i="15"/>
  <c r="DC16" i="15"/>
  <c r="DD14" i="15"/>
  <c r="DD16" i="15"/>
  <c r="DE14" i="15"/>
  <c r="DE16" i="15"/>
  <c r="DF14" i="15"/>
  <c r="DF16" i="15"/>
  <c r="DG14" i="15"/>
  <c r="DG16" i="15"/>
  <c r="DH14" i="15"/>
  <c r="DH16" i="15"/>
  <c r="DI14" i="15"/>
  <c r="DI16" i="15"/>
  <c r="DJ14" i="15"/>
  <c r="DJ16" i="15"/>
  <c r="DK14" i="15"/>
  <c r="DK16" i="15"/>
  <c r="DL14" i="15"/>
  <c r="DL16" i="15"/>
  <c r="DM14" i="15"/>
  <c r="DM16" i="15"/>
  <c r="DN14" i="15"/>
  <c r="DN16" i="15"/>
  <c r="DO14" i="15"/>
  <c r="DO16" i="15"/>
  <c r="DP14" i="15"/>
  <c r="DP16" i="15"/>
  <c r="DQ14" i="15"/>
  <c r="DQ16" i="15"/>
  <c r="DR14" i="15"/>
  <c r="DR16" i="15"/>
  <c r="FD15" i="15"/>
  <c r="FD107" i="15"/>
  <c r="FD108" i="15"/>
  <c r="FD109" i="15"/>
  <c r="FE15" i="15"/>
  <c r="FF15" i="15"/>
  <c r="FG15" i="15"/>
  <c r="FH15" i="15"/>
  <c r="FH107" i="15"/>
  <c r="FH108" i="15"/>
  <c r="FH109" i="15"/>
  <c r="FI15" i="15"/>
  <c r="FJ15" i="15"/>
  <c r="FK15" i="15"/>
  <c r="FL15" i="15"/>
  <c r="FM15" i="15"/>
  <c r="FN15" i="15"/>
  <c r="FO15" i="15"/>
  <c r="FP15" i="15"/>
  <c r="FP107" i="15"/>
  <c r="FP108" i="15"/>
  <c r="FP109" i="15"/>
  <c r="FQ15" i="15"/>
  <c r="FR15" i="15"/>
  <c r="FS15" i="15"/>
  <c r="FT15" i="15"/>
  <c r="FT107" i="15"/>
  <c r="FT108" i="15"/>
  <c r="FT109" i="15"/>
  <c r="FU15" i="15"/>
  <c r="FV15" i="15"/>
  <c r="FW15" i="15"/>
  <c r="FX15" i="15"/>
  <c r="FX107" i="15"/>
  <c r="FX108" i="15"/>
  <c r="FX109" i="15"/>
  <c r="FY15" i="15"/>
  <c r="FZ15" i="15"/>
  <c r="GA15" i="15"/>
  <c r="GB15" i="15"/>
  <c r="GB107" i="15"/>
  <c r="GB108" i="15"/>
  <c r="GB109" i="15"/>
  <c r="GC15" i="15"/>
  <c r="GD15" i="15"/>
  <c r="GE15" i="15"/>
  <c r="GF15" i="15"/>
  <c r="GF107" i="15"/>
  <c r="GG15" i="15"/>
  <c r="GH15" i="15"/>
  <c r="GI15" i="15"/>
  <c r="GJ15" i="15"/>
  <c r="GK15" i="15"/>
  <c r="GL15" i="15"/>
  <c r="DT21" i="15"/>
  <c r="CL21" i="15"/>
  <c r="CM21" i="15"/>
  <c r="CN21" i="15"/>
  <c r="CO21" i="15"/>
  <c r="CP21" i="15"/>
  <c r="CQ21" i="15"/>
  <c r="CR21" i="15"/>
  <c r="CS21" i="15"/>
  <c r="CT21" i="15"/>
  <c r="CU21" i="15"/>
  <c r="CV21" i="15"/>
  <c r="CW21" i="15"/>
  <c r="CX21" i="15"/>
  <c r="CY21" i="15"/>
  <c r="CZ21" i="15"/>
  <c r="DA21" i="15"/>
  <c r="DB21" i="15"/>
  <c r="DC21" i="15"/>
  <c r="DD21" i="15"/>
  <c r="DE21" i="15"/>
  <c r="DF21" i="15"/>
  <c r="DG21" i="15"/>
  <c r="DH21" i="15"/>
  <c r="DI21" i="15"/>
  <c r="DJ21" i="15"/>
  <c r="DK21" i="15"/>
  <c r="DL21" i="15"/>
  <c r="DM21" i="15"/>
  <c r="DN21" i="15"/>
  <c r="DO21" i="15"/>
  <c r="DP21" i="15"/>
  <c r="DQ21" i="15"/>
  <c r="DR21" i="15"/>
  <c r="FD30" i="15"/>
  <c r="FE30" i="15"/>
  <c r="FF30" i="15"/>
  <c r="FG30" i="15"/>
  <c r="FG107" i="15"/>
  <c r="FH30" i="15"/>
  <c r="FI30" i="15"/>
  <c r="FJ30" i="15"/>
  <c r="FK30" i="15"/>
  <c r="FK107" i="15"/>
  <c r="FK108" i="15"/>
  <c r="FK109" i="15"/>
  <c r="FL30" i="15"/>
  <c r="FM30" i="15"/>
  <c r="FN30" i="15"/>
  <c r="FO30" i="15"/>
  <c r="FP30" i="15"/>
  <c r="FQ30" i="15"/>
  <c r="FR30" i="15"/>
  <c r="FS30" i="15"/>
  <c r="FS107" i="15"/>
  <c r="FT30" i="15"/>
  <c r="FU30" i="15"/>
  <c r="FV30" i="15"/>
  <c r="FW30" i="15"/>
  <c r="FX30" i="15"/>
  <c r="FY30" i="15"/>
  <c r="FZ30" i="15"/>
  <c r="GA30" i="15"/>
  <c r="GB30" i="15"/>
  <c r="GC30" i="15"/>
  <c r="GD30" i="15"/>
  <c r="GE30" i="15"/>
  <c r="GE107" i="15"/>
  <c r="GE108" i="15"/>
  <c r="GE109" i="15"/>
  <c r="GF30" i="15"/>
  <c r="GG30" i="15"/>
  <c r="GH30" i="15"/>
  <c r="GI30" i="15"/>
  <c r="GI107" i="15"/>
  <c r="GI108" i="15"/>
  <c r="GI109" i="15"/>
  <c r="GJ30" i="15"/>
  <c r="GK30" i="15"/>
  <c r="GL30" i="15"/>
  <c r="GM30" i="15"/>
  <c r="CL41" i="15"/>
  <c r="CM41" i="15"/>
  <c r="CN41" i="15"/>
  <c r="CO41" i="15"/>
  <c r="CP41" i="15"/>
  <c r="CQ41" i="15"/>
  <c r="CR41" i="15"/>
  <c r="CS41" i="15"/>
  <c r="CT41" i="15"/>
  <c r="CU41" i="15"/>
  <c r="CV41" i="15"/>
  <c r="CW41" i="15"/>
  <c r="CX41" i="15"/>
  <c r="CY41" i="15"/>
  <c r="CZ41" i="15"/>
  <c r="DA41" i="15"/>
  <c r="DB41" i="15"/>
  <c r="DC41" i="15"/>
  <c r="DD41" i="15"/>
  <c r="DE41" i="15"/>
  <c r="DF41" i="15"/>
  <c r="DG41" i="15"/>
  <c r="DH41" i="15"/>
  <c r="DI41" i="15"/>
  <c r="DJ41" i="15"/>
  <c r="DK41" i="15"/>
  <c r="DL41" i="15"/>
  <c r="DM41" i="15"/>
  <c r="DN41" i="15"/>
  <c r="DO41" i="15"/>
  <c r="DP41" i="15"/>
  <c r="DQ41" i="15"/>
  <c r="DR41" i="15"/>
  <c r="FD47" i="15"/>
  <c r="FE47" i="15"/>
  <c r="FF47" i="15"/>
  <c r="FG47" i="15"/>
  <c r="FH47" i="15"/>
  <c r="FI47" i="15"/>
  <c r="FJ47" i="15"/>
  <c r="FK47" i="15"/>
  <c r="FL47" i="15"/>
  <c r="FM47" i="15"/>
  <c r="FN47" i="15"/>
  <c r="FO47" i="15"/>
  <c r="FP47" i="15"/>
  <c r="FQ47" i="15"/>
  <c r="FR47" i="15"/>
  <c r="FS47" i="15"/>
  <c r="FT47" i="15"/>
  <c r="FU47" i="15"/>
  <c r="FV47" i="15"/>
  <c r="FW47" i="15"/>
  <c r="FX47" i="15"/>
  <c r="FY47" i="15"/>
  <c r="FZ47" i="15"/>
  <c r="GA47" i="15"/>
  <c r="GB47" i="15"/>
  <c r="GC47" i="15"/>
  <c r="GD47" i="15"/>
  <c r="GE47" i="15"/>
  <c r="GF47" i="15"/>
  <c r="GG47" i="15"/>
  <c r="GH47" i="15"/>
  <c r="GI47" i="15"/>
  <c r="GJ47" i="15"/>
  <c r="GK47" i="15"/>
  <c r="GL47" i="15"/>
  <c r="CL54" i="15"/>
  <c r="CM54" i="15"/>
  <c r="CN54" i="15"/>
  <c r="CO54" i="15"/>
  <c r="CP54" i="15"/>
  <c r="CQ54" i="15"/>
  <c r="CR54" i="15"/>
  <c r="CS54" i="15"/>
  <c r="CT54" i="15"/>
  <c r="CU54" i="15"/>
  <c r="CV54" i="15"/>
  <c r="CW54" i="15"/>
  <c r="CX54" i="15"/>
  <c r="CY54" i="15"/>
  <c r="CZ54" i="15"/>
  <c r="DA54" i="15"/>
  <c r="DB54" i="15"/>
  <c r="DC54" i="15"/>
  <c r="DD54" i="15"/>
  <c r="DE54" i="15"/>
  <c r="DF54" i="15"/>
  <c r="DG54" i="15"/>
  <c r="DH54" i="15"/>
  <c r="DI54" i="15"/>
  <c r="DJ54" i="15"/>
  <c r="DK54" i="15"/>
  <c r="DL54" i="15"/>
  <c r="DM54" i="15"/>
  <c r="DN54" i="15"/>
  <c r="DO54" i="15"/>
  <c r="DP54" i="15"/>
  <c r="DQ54" i="15"/>
  <c r="DR54" i="15"/>
  <c r="CL64" i="15"/>
  <c r="CM64" i="15"/>
  <c r="CN64" i="15"/>
  <c r="CO64" i="15"/>
  <c r="CP64" i="15"/>
  <c r="CQ64" i="15"/>
  <c r="CR64" i="15"/>
  <c r="CS64" i="15"/>
  <c r="CT64" i="15"/>
  <c r="CU64" i="15"/>
  <c r="CV64" i="15"/>
  <c r="CW64" i="15"/>
  <c r="CX64" i="15"/>
  <c r="CY64" i="15"/>
  <c r="CZ64" i="15"/>
  <c r="DA64" i="15"/>
  <c r="DB64" i="15"/>
  <c r="DC64" i="15"/>
  <c r="DD64" i="15"/>
  <c r="DE64" i="15"/>
  <c r="DF64" i="15"/>
  <c r="DG64" i="15"/>
  <c r="DH64" i="15"/>
  <c r="DI64" i="15"/>
  <c r="DJ64" i="15"/>
  <c r="DK64" i="15"/>
  <c r="DL64" i="15"/>
  <c r="DM64" i="15"/>
  <c r="DN64" i="15"/>
  <c r="DO64" i="15"/>
  <c r="DP64" i="15"/>
  <c r="DQ64" i="15"/>
  <c r="DR64" i="15"/>
  <c r="CL69" i="15"/>
  <c r="CM69" i="15"/>
  <c r="CN69" i="15"/>
  <c r="CO69" i="15"/>
  <c r="CP69" i="15"/>
  <c r="CQ69" i="15"/>
  <c r="CR69" i="15"/>
  <c r="CS69" i="15"/>
  <c r="CT69" i="15"/>
  <c r="CT71" i="15"/>
  <c r="CU69" i="15"/>
  <c r="CV69" i="15"/>
  <c r="CW69" i="15"/>
  <c r="CX69" i="15"/>
  <c r="CY69" i="15"/>
  <c r="CZ69" i="15"/>
  <c r="DA69" i="15"/>
  <c r="DB69" i="15"/>
  <c r="DB71" i="15"/>
  <c r="DC69" i="15"/>
  <c r="DD69" i="15"/>
  <c r="DE69" i="15"/>
  <c r="DF69" i="15"/>
  <c r="DG69" i="15"/>
  <c r="DH69" i="15"/>
  <c r="DI69" i="15"/>
  <c r="DJ69" i="15"/>
  <c r="DK69" i="15"/>
  <c r="DL69" i="15"/>
  <c r="DM69" i="15"/>
  <c r="DN69" i="15"/>
  <c r="DO69" i="15"/>
  <c r="DP69" i="15"/>
  <c r="DQ69" i="15"/>
  <c r="DR69" i="15"/>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DL90" i="15"/>
  <c r="DM90" i="15"/>
  <c r="DN90" i="15"/>
  <c r="DO90" i="15"/>
  <c r="DP90" i="15"/>
  <c r="DQ90" i="15"/>
  <c r="FD95" i="15"/>
  <c r="FE95" i="15"/>
  <c r="FF95" i="15"/>
  <c r="FG95" i="15"/>
  <c r="FH95" i="15"/>
  <c r="FI95" i="15"/>
  <c r="FJ95" i="15"/>
  <c r="FK95" i="15"/>
  <c r="FL95" i="15"/>
  <c r="FM95" i="15"/>
  <c r="FN95" i="15"/>
  <c r="FO95" i="15"/>
  <c r="FP95" i="15"/>
  <c r="FQ95" i="15"/>
  <c r="FR95" i="15"/>
  <c r="FS95" i="15"/>
  <c r="FT95" i="15"/>
  <c r="FU95" i="15"/>
  <c r="FV95" i="15"/>
  <c r="FW95" i="15"/>
  <c r="FX95" i="15"/>
  <c r="FY95" i="15"/>
  <c r="FZ95" i="15"/>
  <c r="GA95" i="15"/>
  <c r="GB95" i="15"/>
  <c r="GC95" i="15"/>
  <c r="GD95" i="15"/>
  <c r="GE95" i="15"/>
  <c r="GF95" i="15"/>
  <c r="GG95" i="15"/>
  <c r="GH95" i="15"/>
  <c r="GI95" i="15"/>
  <c r="GJ95" i="15"/>
  <c r="GK95" i="15"/>
  <c r="GL95" i="15"/>
  <c r="CL99" i="15"/>
  <c r="CM99" i="15"/>
  <c r="CN99" i="15"/>
  <c r="CO99" i="15"/>
  <c r="CP99" i="15"/>
  <c r="CQ99" i="15"/>
  <c r="CR99" i="15"/>
  <c r="CS99" i="15"/>
  <c r="CT99" i="15"/>
  <c r="CU99" i="15"/>
  <c r="CV99" i="15"/>
  <c r="CW99" i="15"/>
  <c r="CX99" i="15"/>
  <c r="CY99" i="15"/>
  <c r="CZ99" i="15"/>
  <c r="DA99" i="15"/>
  <c r="DB99" i="15"/>
  <c r="DC99" i="15"/>
  <c r="DD99" i="15"/>
  <c r="DE99" i="15"/>
  <c r="DF99" i="15"/>
  <c r="DG99" i="15"/>
  <c r="DH99" i="15"/>
  <c r="DI99" i="15"/>
  <c r="DJ99" i="15"/>
  <c r="DK99" i="15"/>
  <c r="DL99" i="15"/>
  <c r="DM99" i="15"/>
  <c r="DN99" i="15"/>
  <c r="DO99" i="15"/>
  <c r="DP99" i="15"/>
  <c r="DQ99" i="15"/>
  <c r="DR99" i="15"/>
  <c r="DS103" i="15"/>
  <c r="CL103" i="15"/>
  <c r="CM103" i="15"/>
  <c r="CN103" i="15"/>
  <c r="CO103" i="15"/>
  <c r="CP103" i="15"/>
  <c r="CQ103" i="15"/>
  <c r="CR103" i="15"/>
  <c r="CS103" i="15"/>
  <c r="CT103" i="15"/>
  <c r="CU103" i="15"/>
  <c r="CV103" i="15"/>
  <c r="CW103" i="15"/>
  <c r="CX103" i="15"/>
  <c r="CY103" i="15"/>
  <c r="CZ103" i="15"/>
  <c r="DA103" i="15"/>
  <c r="DB103" i="15"/>
  <c r="DC103" i="15"/>
  <c r="DD103" i="15"/>
  <c r="DE103" i="15"/>
  <c r="DF103" i="15"/>
  <c r="DG103" i="15"/>
  <c r="DH103" i="15"/>
  <c r="DI103" i="15"/>
  <c r="DJ103" i="15"/>
  <c r="DK103" i="15"/>
  <c r="DL103" i="15"/>
  <c r="DM103" i="15"/>
  <c r="DN103" i="15"/>
  <c r="DO103" i="15"/>
  <c r="DP103" i="15"/>
  <c r="DQ103" i="15"/>
  <c r="DR103" i="15"/>
  <c r="BZ11" i="8"/>
  <c r="CA11" i="8"/>
  <c r="CB11" i="8"/>
  <c r="CF11" i="8"/>
  <c r="CG11" i="8"/>
  <c r="CG24" i="8"/>
  <c r="CG45" i="8"/>
  <c r="CH11" i="8"/>
  <c r="CI11" i="8"/>
  <c r="CJ11" i="8"/>
  <c r="CK11" i="8"/>
  <c r="CL11" i="8"/>
  <c r="CL24" i="8"/>
  <c r="CM11" i="8"/>
  <c r="CN11" i="8"/>
  <c r="CO11" i="8"/>
  <c r="CO24" i="8"/>
  <c r="CO45" i="8"/>
  <c r="CO52" i="8"/>
  <c r="CP11" i="8"/>
  <c r="CQ11" i="8"/>
  <c r="CR11" i="8"/>
  <c r="CS11" i="8"/>
  <c r="CT11" i="8"/>
  <c r="CU11" i="8"/>
  <c r="CV11" i="8"/>
  <c r="CW11" i="8"/>
  <c r="CX11" i="8"/>
  <c r="CY11" i="8"/>
  <c r="CZ11" i="8"/>
  <c r="DA11" i="8"/>
  <c r="DB11" i="8"/>
  <c r="DC11" i="8"/>
  <c r="DD11" i="8"/>
  <c r="DE11" i="8"/>
  <c r="DE24" i="8"/>
  <c r="DE58" i="8"/>
  <c r="DF11" i="8"/>
  <c r="DF24" i="8"/>
  <c r="DF58" i="8"/>
  <c r="BZ22" i="8"/>
  <c r="CA22" i="8"/>
  <c r="CB22" i="8"/>
  <c r="CF22" i="8"/>
  <c r="CG22" i="8"/>
  <c r="CH22" i="8"/>
  <c r="CI22" i="8"/>
  <c r="CI24" i="8"/>
  <c r="CJ22" i="8"/>
  <c r="CK22" i="8"/>
  <c r="CL22" i="8"/>
  <c r="CM22" i="8"/>
  <c r="CN22" i="8"/>
  <c r="CO22" i="8"/>
  <c r="CP22" i="8"/>
  <c r="CQ22" i="8"/>
  <c r="CQ24" i="8"/>
  <c r="CR22" i="8"/>
  <c r="CS22" i="8"/>
  <c r="CT22" i="8"/>
  <c r="DD22" i="8"/>
  <c r="DE22" i="8"/>
  <c r="BZ34" i="8"/>
  <c r="CA34" i="8"/>
  <c r="CB34" i="8"/>
  <c r="CF34" i="8"/>
  <c r="CG34" i="8"/>
  <c r="CH34" i="8"/>
  <c r="CI34" i="8"/>
  <c r="CJ34" i="8"/>
  <c r="CK34" i="8"/>
  <c r="CL34" i="8"/>
  <c r="CM34" i="8"/>
  <c r="CN34" i="8"/>
  <c r="CO34" i="8"/>
  <c r="CP34" i="8"/>
  <c r="CQ34" i="8"/>
  <c r="CR34" i="8"/>
  <c r="CS34" i="8"/>
  <c r="CT34" i="8"/>
  <c r="DD34" i="8"/>
  <c r="DE34" i="8"/>
  <c r="BZ43" i="8"/>
  <c r="CA43" i="8"/>
  <c r="CB43" i="8"/>
  <c r="CF43" i="8"/>
  <c r="CG43" i="8"/>
  <c r="CH43" i="8"/>
  <c r="CI43" i="8"/>
  <c r="CJ43" i="8"/>
  <c r="CK43" i="8"/>
  <c r="CL43" i="8"/>
  <c r="CM43" i="8"/>
  <c r="CN43" i="8"/>
  <c r="CO43" i="8"/>
  <c r="CP43" i="8"/>
  <c r="CQ43" i="8"/>
  <c r="CR43" i="8"/>
  <c r="CS43" i="8"/>
  <c r="CT43" i="8"/>
  <c r="CU43" i="8"/>
  <c r="CV43" i="8"/>
  <c r="CW43" i="8"/>
  <c r="CA51" i="8"/>
  <c r="CG51" i="8"/>
  <c r="CJ51" i="8"/>
  <c r="CM51" i="8"/>
  <c r="CP51" i="8"/>
  <c r="CS51" i="8"/>
  <c r="CV51" i="8"/>
  <c r="CY51" i="8"/>
  <c r="DB51" i="8"/>
  <c r="DE51" i="8"/>
  <c r="DH51" i="8"/>
  <c r="B29" i="52"/>
  <c r="B30" i="52"/>
  <c r="C29" i="52"/>
  <c r="C30" i="52"/>
  <c r="D29" i="52"/>
  <c r="E29" i="52"/>
  <c r="F29" i="52"/>
  <c r="F30" i="52"/>
  <c r="G29" i="52"/>
  <c r="G30" i="52"/>
  <c r="H29" i="52"/>
  <c r="H30" i="52"/>
  <c r="I29" i="52"/>
  <c r="I30" i="52"/>
  <c r="J29" i="52"/>
  <c r="J30" i="52"/>
  <c r="K29" i="52"/>
  <c r="K30" i="52"/>
  <c r="L29" i="52"/>
  <c r="M29" i="52"/>
  <c r="N29" i="52"/>
  <c r="D30" i="52"/>
  <c r="E30" i="52"/>
  <c r="L30" i="52"/>
  <c r="M30" i="52"/>
  <c r="L16" i="2"/>
  <c r="L20" i="2"/>
  <c r="L22" i="2"/>
  <c r="K31" i="2"/>
  <c r="L31" i="2"/>
  <c r="L32" i="2"/>
  <c r="K35" i="2"/>
  <c r="L35" i="2"/>
  <c r="I37" i="2"/>
  <c r="I43" i="2"/>
  <c r="L39" i="2"/>
  <c r="F43" i="2"/>
  <c r="C109" i="2"/>
  <c r="B110" i="2"/>
  <c r="C110" i="2"/>
  <c r="A48" i="1"/>
  <c r="A48" i="64"/>
  <c r="T71" i="1"/>
  <c r="H77" i="1"/>
  <c r="T88" i="1"/>
  <c r="T90" i="1"/>
  <c r="L14" i="1"/>
  <c r="B90" i="1"/>
  <c r="D90" i="1"/>
  <c r="F90" i="1"/>
  <c r="H90" i="1"/>
  <c r="J90" i="1"/>
  <c r="L90" i="1"/>
  <c r="N90" i="1"/>
  <c r="P90" i="1"/>
  <c r="R90" i="1"/>
  <c r="A98" i="1"/>
  <c r="A98" i="64"/>
  <c r="N126" i="1"/>
  <c r="R126" i="1"/>
  <c r="T137" i="1"/>
  <c r="V137" i="1"/>
  <c r="V139" i="1"/>
  <c r="B139" i="1"/>
  <c r="F139" i="1"/>
  <c r="L139" i="1"/>
  <c r="R139" i="1"/>
  <c r="A152" i="1"/>
  <c r="A152" i="64"/>
  <c r="A180" i="1"/>
  <c r="A180" i="64"/>
  <c r="H221" i="1"/>
  <c r="H223" i="1"/>
  <c r="H282" i="1"/>
  <c r="H284" i="1"/>
  <c r="N30" i="52"/>
  <c r="B31" i="3"/>
  <c r="BU511" i="41"/>
  <c r="DT103" i="15"/>
  <c r="BX326" i="40"/>
  <c r="BX327" i="40"/>
  <c r="BW325" i="40"/>
  <c r="BV325" i="40"/>
  <c r="DS14" i="15"/>
  <c r="DS16" i="15"/>
  <c r="BW391" i="40"/>
  <c r="BW392" i="40"/>
  <c r="BV386" i="40"/>
  <c r="BV326" i="40"/>
  <c r="BV327" i="40"/>
  <c r="DT64" i="15"/>
  <c r="BV389" i="40"/>
  <c r="BW393" i="40"/>
  <c r="BW394" i="40"/>
  <c r="F18" i="16"/>
  <c r="D17" i="16"/>
  <c r="D16" i="16"/>
  <c r="BV509" i="41"/>
  <c r="F19" i="16"/>
  <c r="D18" i="16"/>
  <c r="F20" i="16"/>
  <c r="D19" i="16"/>
  <c r="F21" i="16"/>
  <c r="D20" i="16"/>
  <c r="F22" i="16"/>
  <c r="D21" i="16"/>
  <c r="F23" i="16"/>
  <c r="D22" i="16"/>
  <c r="F24" i="16"/>
  <c r="D23" i="16"/>
  <c r="F25" i="16"/>
  <c r="D24" i="16"/>
  <c r="F26" i="16"/>
  <c r="D25" i="16"/>
  <c r="F27" i="16"/>
  <c r="D26" i="16"/>
  <c r="F28" i="16"/>
  <c r="D27" i="16"/>
  <c r="E26" i="16"/>
  <c r="E27" i="16"/>
  <c r="F29" i="16"/>
  <c r="D28" i="16"/>
  <c r="F30" i="16"/>
  <c r="D29" i="16"/>
  <c r="E28" i="16"/>
  <c r="E29" i="16"/>
  <c r="F31" i="16"/>
  <c r="D30" i="16"/>
  <c r="E30" i="16"/>
  <c r="F32" i="16"/>
  <c r="D31" i="16"/>
  <c r="F33" i="16"/>
  <c r="D32" i="16"/>
  <c r="E31" i="16"/>
  <c r="E32" i="16"/>
  <c r="F34" i="16"/>
  <c r="D33" i="16"/>
  <c r="E33" i="16"/>
  <c r="F35" i="16"/>
  <c r="D34" i="16"/>
  <c r="F36" i="16"/>
  <c r="D35" i="16"/>
  <c r="E34" i="16"/>
  <c r="F37" i="16"/>
  <c r="D36" i="16"/>
  <c r="E35" i="16"/>
  <c r="E36" i="16"/>
  <c r="F38" i="16"/>
  <c r="D37" i="16"/>
  <c r="E37" i="16"/>
  <c r="F39" i="16"/>
  <c r="D38" i="16"/>
  <c r="E38" i="16"/>
  <c r="F40" i="16"/>
  <c r="D39" i="16"/>
  <c r="E39" i="16"/>
  <c r="F41" i="16"/>
  <c r="D40" i="16"/>
  <c r="F42" i="16"/>
  <c r="D41" i="16"/>
  <c r="E40" i="16"/>
  <c r="E41" i="16"/>
  <c r="F43" i="16"/>
  <c r="D42" i="16"/>
  <c r="E42" i="16"/>
  <c r="F44" i="16"/>
  <c r="D43" i="16"/>
  <c r="E43" i="16"/>
  <c r="F45" i="16"/>
  <c r="D44" i="16"/>
  <c r="F46" i="16"/>
  <c r="D45" i="16"/>
  <c r="E44" i="16"/>
  <c r="E45" i="16"/>
  <c r="F47" i="16"/>
  <c r="D46" i="16"/>
  <c r="E46" i="16"/>
  <c r="F48" i="16"/>
  <c r="D47" i="16"/>
  <c r="F49" i="16"/>
  <c r="D48" i="16"/>
  <c r="E47" i="16"/>
  <c r="E48" i="16"/>
  <c r="F50" i="16"/>
  <c r="D49" i="16"/>
  <c r="E49" i="16"/>
  <c r="F51" i="16"/>
  <c r="D50" i="16"/>
  <c r="E50" i="16"/>
  <c r="F52" i="16"/>
  <c r="D51" i="16"/>
  <c r="E51" i="16"/>
  <c r="F53" i="16"/>
  <c r="D52" i="16"/>
  <c r="F54" i="16"/>
  <c r="D53" i="16"/>
  <c r="E52" i="16"/>
  <c r="E53" i="16"/>
  <c r="F55" i="16"/>
  <c r="D54" i="16"/>
  <c r="E54" i="16"/>
  <c r="F56" i="16"/>
  <c r="D55" i="16"/>
  <c r="E55" i="16"/>
  <c r="F57" i="16"/>
  <c r="D56" i="16"/>
  <c r="E56" i="16"/>
  <c r="F58" i="16"/>
  <c r="D57" i="16"/>
  <c r="F59" i="16"/>
  <c r="D58" i="16"/>
  <c r="E57" i="16"/>
  <c r="E58" i="16"/>
  <c r="F60" i="16"/>
  <c r="D59" i="16"/>
  <c r="E59" i="16"/>
  <c r="F61" i="16"/>
  <c r="D60" i="16"/>
  <c r="E60" i="16"/>
  <c r="F62" i="16"/>
  <c r="D61" i="16"/>
  <c r="E61" i="16"/>
  <c r="D62" i="16"/>
  <c r="F63" i="16"/>
  <c r="D63" i="16"/>
  <c r="F64" i="16"/>
  <c r="E62" i="16"/>
  <c r="D64" i="16"/>
  <c r="F65" i="16"/>
  <c r="E63" i="16"/>
  <c r="E64" i="16"/>
  <c r="D65" i="16"/>
  <c r="F66" i="16"/>
  <c r="D66" i="16"/>
  <c r="F67" i="16"/>
  <c r="E65" i="16"/>
  <c r="E66" i="16"/>
  <c r="D67" i="16"/>
  <c r="F68" i="16"/>
  <c r="D68" i="16"/>
  <c r="F69" i="16"/>
  <c r="E67" i="16"/>
  <c r="D69" i="16"/>
  <c r="F70" i="16"/>
  <c r="E68" i="16"/>
  <c r="D70" i="16"/>
  <c r="F71" i="16"/>
  <c r="E69" i="16"/>
  <c r="D71" i="16"/>
  <c r="F72" i="16"/>
  <c r="E70" i="16"/>
  <c r="D72" i="16"/>
  <c r="F73" i="16"/>
  <c r="E71" i="16"/>
  <c r="D73" i="16"/>
  <c r="F74" i="16"/>
  <c r="E72" i="16"/>
  <c r="D74" i="16"/>
  <c r="F75" i="16"/>
  <c r="E73" i="16"/>
  <c r="D75" i="16"/>
  <c r="F76" i="16"/>
  <c r="E74" i="16"/>
  <c r="D76" i="16"/>
  <c r="F77" i="16"/>
  <c r="E75" i="16"/>
  <c r="D77" i="16"/>
  <c r="F78" i="16"/>
  <c r="E76" i="16"/>
  <c r="D78" i="16"/>
  <c r="F79" i="16"/>
  <c r="E77" i="16"/>
  <c r="D79" i="16"/>
  <c r="F80" i="16"/>
  <c r="E78" i="16"/>
  <c r="E79" i="16"/>
  <c r="D80" i="16"/>
  <c r="F81" i="16"/>
  <c r="D81" i="16"/>
  <c r="F82" i="16"/>
  <c r="E80" i="16"/>
  <c r="D82" i="16"/>
  <c r="F83" i="16"/>
  <c r="E81" i="16"/>
  <c r="D83" i="16"/>
  <c r="F84" i="16"/>
  <c r="E82" i="16"/>
  <c r="E83" i="16"/>
  <c r="D84" i="16"/>
  <c r="F85" i="16"/>
  <c r="D85" i="16"/>
  <c r="F86" i="16"/>
  <c r="E84" i="16"/>
  <c r="D86" i="16"/>
  <c r="F87" i="16"/>
  <c r="E85" i="16"/>
  <c r="D87" i="16"/>
  <c r="F88" i="16"/>
  <c r="G87" i="16"/>
  <c r="E86" i="16"/>
  <c r="E87" i="16"/>
  <c r="D88" i="16"/>
  <c r="F89" i="16"/>
  <c r="G88" i="16"/>
  <c r="E88" i="16"/>
  <c r="F90" i="16"/>
  <c r="D89" i="16"/>
  <c r="G89" i="16"/>
  <c r="D90" i="16"/>
  <c r="F91" i="16"/>
  <c r="G90" i="16"/>
  <c r="E89" i="16"/>
  <c r="E90" i="16"/>
  <c r="D91" i="16"/>
  <c r="F92" i="16"/>
  <c r="G91" i="16"/>
  <c r="D92" i="16"/>
  <c r="F93" i="16"/>
  <c r="G92" i="16"/>
  <c r="E91" i="16"/>
  <c r="F94" i="16"/>
  <c r="D93" i="16"/>
  <c r="G93" i="16"/>
  <c r="E92" i="16"/>
  <c r="E93" i="16"/>
  <c r="D94" i="16"/>
  <c r="F95" i="16"/>
  <c r="G94" i="16"/>
  <c r="D95" i="16"/>
  <c r="F96" i="16"/>
  <c r="G95" i="16"/>
  <c r="E94" i="16"/>
  <c r="E95" i="16"/>
  <c r="D96" i="16"/>
  <c r="F97" i="16"/>
  <c r="G96" i="16"/>
  <c r="F98" i="16"/>
  <c r="D97" i="16"/>
  <c r="G97" i="16"/>
  <c r="E96" i="16"/>
  <c r="E97" i="16"/>
  <c r="D98" i="16"/>
  <c r="F99" i="16"/>
  <c r="G98" i="16"/>
  <c r="D99" i="16"/>
  <c r="F100" i="16"/>
  <c r="G99" i="16"/>
  <c r="E98" i="16"/>
  <c r="E99" i="16"/>
  <c r="D100" i="16"/>
  <c r="F101" i="16"/>
  <c r="G100" i="16"/>
  <c r="F102" i="16"/>
  <c r="D101" i="16"/>
  <c r="G101" i="16"/>
  <c r="E100" i="16"/>
  <c r="E101" i="16"/>
  <c r="D102" i="16"/>
  <c r="F103" i="16"/>
  <c r="G102" i="16"/>
  <c r="E102" i="16"/>
  <c r="D103" i="16"/>
  <c r="F104" i="16"/>
  <c r="G103" i="16"/>
  <c r="D104" i="16"/>
  <c r="F105" i="16"/>
  <c r="G104" i="16"/>
  <c r="E103" i="16"/>
  <c r="F106" i="16"/>
  <c r="D105" i="16"/>
  <c r="G105" i="16"/>
  <c r="E104" i="16"/>
  <c r="E105" i="16"/>
  <c r="D106" i="16"/>
  <c r="F107" i="16"/>
  <c r="G106" i="16"/>
  <c r="D107" i="16"/>
  <c r="F108" i="16"/>
  <c r="G107" i="16"/>
  <c r="E106" i="16"/>
  <c r="D108" i="16"/>
  <c r="F109" i="16"/>
  <c r="G108" i="16"/>
  <c r="E107" i="16"/>
  <c r="E108" i="16"/>
  <c r="F110" i="16"/>
  <c r="D109" i="16"/>
  <c r="G109" i="16"/>
  <c r="D110" i="16"/>
  <c r="F111" i="16"/>
  <c r="G110" i="16"/>
  <c r="E109" i="16"/>
  <c r="E110" i="16"/>
  <c r="D111" i="16"/>
  <c r="F112" i="16"/>
  <c r="G111" i="16"/>
  <c r="E111" i="16"/>
  <c r="D112" i="16"/>
  <c r="F113" i="16"/>
  <c r="G112" i="16"/>
  <c r="E112" i="16"/>
  <c r="F114" i="16"/>
  <c r="D113" i="16"/>
  <c r="G113" i="16"/>
  <c r="E113" i="16"/>
  <c r="F115" i="16"/>
  <c r="D114" i="16"/>
  <c r="G114" i="16"/>
  <c r="D115" i="16"/>
  <c r="F116" i="16"/>
  <c r="G115" i="16"/>
  <c r="E114" i="16"/>
  <c r="E115" i="16"/>
  <c r="F117" i="16"/>
  <c r="D116" i="16"/>
  <c r="G116" i="16"/>
  <c r="F118" i="16"/>
  <c r="D117" i="16"/>
  <c r="G117" i="16"/>
  <c r="E116" i="16"/>
  <c r="E117" i="16"/>
  <c r="F119" i="16"/>
  <c r="D118" i="16"/>
  <c r="G118" i="16"/>
  <c r="E118" i="16"/>
  <c r="D119" i="16"/>
  <c r="F120" i="16"/>
  <c r="G119" i="16"/>
  <c r="F121" i="16"/>
  <c r="D120" i="16"/>
  <c r="G120" i="16"/>
  <c r="E119" i="16"/>
  <c r="E120" i="16"/>
  <c r="F122" i="16"/>
  <c r="D121" i="16"/>
  <c r="G121" i="16"/>
  <c r="E121" i="16"/>
  <c r="F123" i="16"/>
  <c r="D122" i="16"/>
  <c r="G122" i="16"/>
  <c r="E122" i="16"/>
  <c r="D123" i="16"/>
  <c r="F124" i="16"/>
  <c r="G123" i="16"/>
  <c r="F125" i="16"/>
  <c r="D124" i="16"/>
  <c r="G124" i="16"/>
  <c r="E123" i="16"/>
  <c r="E124" i="16"/>
  <c r="F126" i="16"/>
  <c r="D125" i="16"/>
  <c r="G125" i="16"/>
  <c r="F127" i="16"/>
  <c r="D126" i="16"/>
  <c r="G126" i="16"/>
  <c r="E125" i="16"/>
  <c r="E126" i="16"/>
  <c r="D127" i="16"/>
  <c r="F128" i="16"/>
  <c r="G127" i="16"/>
  <c r="F129" i="16"/>
  <c r="D128" i="16"/>
  <c r="G128" i="16"/>
  <c r="E127" i="16"/>
  <c r="F130" i="16"/>
  <c r="D129" i="16"/>
  <c r="G129" i="16"/>
  <c r="E128" i="16"/>
  <c r="E129" i="16"/>
  <c r="F131" i="16"/>
  <c r="D130" i="16"/>
  <c r="G130" i="16"/>
  <c r="D131" i="16"/>
  <c r="F132" i="16"/>
  <c r="G131" i="16"/>
  <c r="E130" i="16"/>
  <c r="F133" i="16"/>
  <c r="D132" i="16"/>
  <c r="G132" i="16"/>
  <c r="E131" i="16"/>
  <c r="E132" i="16"/>
  <c r="F134" i="16"/>
  <c r="D133" i="16"/>
  <c r="G133" i="16"/>
  <c r="E133" i="16"/>
  <c r="F135" i="16"/>
  <c r="D134" i="16"/>
  <c r="G134" i="16"/>
  <c r="E134" i="16"/>
  <c r="D135" i="16"/>
  <c r="F136" i="16"/>
  <c r="G135" i="16"/>
  <c r="F137" i="16"/>
  <c r="D136" i="16"/>
  <c r="G136" i="16"/>
  <c r="E135" i="16"/>
  <c r="E136" i="16"/>
  <c r="F138" i="16"/>
  <c r="D137" i="16"/>
  <c r="G137" i="16"/>
  <c r="F139" i="16"/>
  <c r="D138" i="16"/>
  <c r="G138" i="16"/>
  <c r="E137" i="16"/>
  <c r="E138" i="16"/>
  <c r="D139" i="16"/>
  <c r="F140" i="16"/>
  <c r="G139" i="16"/>
  <c r="E139" i="16"/>
  <c r="F141" i="16"/>
  <c r="D140" i="16"/>
  <c r="G140" i="16"/>
  <c r="E140" i="16"/>
  <c r="F142" i="16"/>
  <c r="D141" i="16"/>
  <c r="G141" i="16"/>
  <c r="F143" i="16"/>
  <c r="D142" i="16"/>
  <c r="G142" i="16"/>
  <c r="E141" i="16"/>
  <c r="F144" i="16"/>
  <c r="D143" i="16"/>
  <c r="G143" i="16"/>
  <c r="E142" i="16"/>
  <c r="D144" i="16"/>
  <c r="F145" i="16"/>
  <c r="G144" i="16"/>
  <c r="E143" i="16"/>
  <c r="F146" i="16"/>
  <c r="D145" i="16"/>
  <c r="G145" i="16"/>
  <c r="E144" i="16"/>
  <c r="E145" i="16"/>
  <c r="D146" i="16"/>
  <c r="F147" i="16"/>
  <c r="G146" i="16"/>
  <c r="F148" i="16"/>
  <c r="D147" i="16"/>
  <c r="G147" i="16"/>
  <c r="E146" i="16"/>
  <c r="E147" i="16"/>
  <c r="D148" i="16"/>
  <c r="F149" i="16"/>
  <c r="G148" i="16"/>
  <c r="F150" i="16"/>
  <c r="D149" i="16"/>
  <c r="G149" i="16"/>
  <c r="E148" i="16"/>
  <c r="E149" i="16"/>
  <c r="D150" i="16"/>
  <c r="F151" i="16"/>
  <c r="G150" i="16"/>
  <c r="E150" i="16"/>
  <c r="F152" i="16"/>
  <c r="D151" i="16"/>
  <c r="G151" i="16"/>
  <c r="E151" i="16"/>
  <c r="D152" i="16"/>
  <c r="F153" i="16"/>
  <c r="G152" i="16"/>
  <c r="F154" i="16"/>
  <c r="D153" i="16"/>
  <c r="G153" i="16"/>
  <c r="E152" i="16"/>
  <c r="E153" i="16"/>
  <c r="D154" i="16"/>
  <c r="F155" i="16"/>
  <c r="G154" i="16"/>
  <c r="E154" i="16"/>
  <c r="F156" i="16"/>
  <c r="D155" i="16"/>
  <c r="G155" i="16"/>
  <c r="E155" i="16"/>
  <c r="D156" i="16"/>
  <c r="F157" i="16"/>
  <c r="G156" i="16"/>
  <c r="F158" i="16"/>
  <c r="D157" i="16"/>
  <c r="G157" i="16"/>
  <c r="E156" i="16"/>
  <c r="E157" i="16"/>
  <c r="D158" i="16"/>
  <c r="F159" i="16"/>
  <c r="G158" i="16"/>
  <c r="F160" i="16"/>
  <c r="D159" i="16"/>
  <c r="G159" i="16"/>
  <c r="E158" i="16"/>
  <c r="E159" i="16"/>
  <c r="D160" i="16"/>
  <c r="F161" i="16"/>
  <c r="G160" i="16"/>
  <c r="E160" i="16"/>
  <c r="F162" i="16"/>
  <c r="D161" i="16"/>
  <c r="G161" i="16"/>
  <c r="E161" i="16"/>
  <c r="D162" i="16"/>
  <c r="F163" i="16"/>
  <c r="G162" i="16"/>
  <c r="F164" i="16"/>
  <c r="D163" i="16"/>
  <c r="G163" i="16"/>
  <c r="E162" i="16"/>
  <c r="E163" i="16"/>
  <c r="D164" i="16"/>
  <c r="F165" i="16"/>
  <c r="G164" i="16"/>
  <c r="E164" i="16"/>
  <c r="F166" i="16"/>
  <c r="D165" i="16"/>
  <c r="G165" i="16"/>
  <c r="E165" i="16"/>
  <c r="D166" i="16"/>
  <c r="F167" i="16"/>
  <c r="G166" i="16"/>
  <c r="E166" i="16"/>
  <c r="F168" i="16"/>
  <c r="D167" i="16"/>
  <c r="G167" i="16"/>
  <c r="D168" i="16"/>
  <c r="F169" i="16"/>
  <c r="G168" i="16"/>
  <c r="E167" i="16"/>
  <c r="F170" i="16"/>
  <c r="D169" i="16"/>
  <c r="G169" i="16"/>
  <c r="E168" i="16"/>
  <c r="E169" i="16"/>
  <c r="D170" i="16"/>
  <c r="F171" i="16"/>
  <c r="G170" i="16"/>
  <c r="E170" i="16"/>
  <c r="F172" i="16"/>
  <c r="D171" i="16"/>
  <c r="G171" i="16"/>
  <c r="D172" i="16"/>
  <c r="F173" i="16"/>
  <c r="G172" i="16"/>
  <c r="E171" i="16"/>
  <c r="F174" i="16"/>
  <c r="D173" i="16"/>
  <c r="G173" i="16"/>
  <c r="E172" i="16"/>
  <c r="E173" i="16"/>
  <c r="D174" i="16"/>
  <c r="F175" i="16"/>
  <c r="G174" i="16"/>
  <c r="E174" i="16"/>
  <c r="F176" i="16"/>
  <c r="D175" i="16"/>
  <c r="G175" i="16"/>
  <c r="D176" i="16"/>
  <c r="F177" i="16"/>
  <c r="G176" i="16"/>
  <c r="E175" i="16"/>
  <c r="F178" i="16"/>
  <c r="D177" i="16"/>
  <c r="G177" i="16"/>
  <c r="E176" i="16"/>
  <c r="D178" i="16"/>
  <c r="F179" i="16"/>
  <c r="G178" i="16"/>
  <c r="E177" i="16"/>
  <c r="F180" i="16"/>
  <c r="D179" i="16"/>
  <c r="G179" i="16"/>
  <c r="E178" i="16"/>
  <c r="E179" i="16"/>
  <c r="D180" i="16"/>
  <c r="F181" i="16"/>
  <c r="G180" i="16"/>
  <c r="E180" i="16"/>
  <c r="D181" i="16"/>
  <c r="F182" i="16"/>
  <c r="G181" i="16"/>
  <c r="D182" i="16"/>
  <c r="F183" i="16"/>
  <c r="G182" i="16"/>
  <c r="E181" i="16"/>
  <c r="F184" i="16"/>
  <c r="D183" i="16"/>
  <c r="G183" i="16"/>
  <c r="E182" i="16"/>
  <c r="D184" i="16"/>
  <c r="F185" i="16"/>
  <c r="G184" i="16"/>
  <c r="E183" i="16"/>
  <c r="D185" i="16"/>
  <c r="F186" i="16"/>
  <c r="G185" i="16"/>
  <c r="E184" i="16"/>
  <c r="D186" i="16"/>
  <c r="F187" i="16"/>
  <c r="G186" i="16"/>
  <c r="E185" i="16"/>
  <c r="F188" i="16"/>
  <c r="D187" i="16"/>
  <c r="G187" i="16"/>
  <c r="E186" i="16"/>
  <c r="E187" i="16"/>
  <c r="D188" i="16"/>
  <c r="F189" i="16"/>
  <c r="G188" i="16"/>
  <c r="F190" i="16"/>
  <c r="D189" i="16"/>
  <c r="G189" i="16"/>
  <c r="E188" i="16"/>
  <c r="D190" i="16"/>
  <c r="F191" i="16"/>
  <c r="G190" i="16"/>
  <c r="E189" i="16"/>
  <c r="E190" i="16"/>
  <c r="F192" i="16"/>
  <c r="D191" i="16"/>
  <c r="G191" i="16"/>
  <c r="E191" i="16"/>
  <c r="D192" i="16"/>
  <c r="F193" i="16"/>
  <c r="G192" i="16"/>
  <c r="F194" i="16"/>
  <c r="D193" i="16"/>
  <c r="G193" i="16"/>
  <c r="E192" i="16"/>
  <c r="D194" i="16"/>
  <c r="F195" i="16"/>
  <c r="G194" i="16"/>
  <c r="E193" i="16"/>
  <c r="E194" i="16"/>
  <c r="D195" i="16"/>
  <c r="F196" i="16"/>
  <c r="G195" i="16"/>
  <c r="D196" i="16"/>
  <c r="F197" i="16"/>
  <c r="G196" i="16"/>
  <c r="E195" i="16"/>
  <c r="E196" i="16"/>
  <c r="F198" i="16"/>
  <c r="D197" i="16"/>
  <c r="G197" i="16"/>
  <c r="D198" i="16"/>
  <c r="F199" i="16"/>
  <c r="G198" i="16"/>
  <c r="E197" i="16"/>
  <c r="D199" i="16"/>
  <c r="F200" i="16"/>
  <c r="G199" i="16"/>
  <c r="E198" i="16"/>
  <c r="E199" i="16"/>
  <c r="D200" i="16"/>
  <c r="F201" i="16"/>
  <c r="G200" i="16"/>
  <c r="F202" i="16"/>
  <c r="D201" i="16"/>
  <c r="G201" i="16"/>
  <c r="E200" i="16"/>
  <c r="D202" i="16"/>
  <c r="F203" i="16"/>
  <c r="G202" i="16"/>
  <c r="E201" i="16"/>
  <c r="D203" i="16"/>
  <c r="F204" i="16"/>
  <c r="G203" i="16"/>
  <c r="E202" i="16"/>
  <c r="D204" i="16"/>
  <c r="F205" i="16"/>
  <c r="G204" i="16"/>
  <c r="E203" i="16"/>
  <c r="F206" i="16"/>
  <c r="D205" i="16"/>
  <c r="G205" i="16"/>
  <c r="E204" i="16"/>
  <c r="E205" i="16"/>
  <c r="D206" i="16"/>
  <c r="F207" i="16"/>
  <c r="G206" i="16"/>
  <c r="E206" i="16"/>
  <c r="D207" i="16"/>
  <c r="F208" i="16"/>
  <c r="G207" i="16"/>
  <c r="D208" i="16"/>
  <c r="F209" i="16"/>
  <c r="G208" i="16"/>
  <c r="E207" i="16"/>
  <c r="F210" i="16"/>
  <c r="D209" i="16"/>
  <c r="G209" i="16"/>
  <c r="E208" i="16"/>
  <c r="E209" i="16"/>
  <c r="D210" i="16"/>
  <c r="F211" i="16"/>
  <c r="G210" i="16"/>
  <c r="D211" i="16"/>
  <c r="F212" i="16"/>
  <c r="G211" i="16"/>
  <c r="E210" i="16"/>
  <c r="D212" i="16"/>
  <c r="F213" i="16"/>
  <c r="G212" i="16"/>
  <c r="E211" i="16"/>
  <c r="F214" i="16"/>
  <c r="D213" i="16"/>
  <c r="G213" i="16"/>
  <c r="E212" i="16"/>
  <c r="E213" i="16"/>
  <c r="D214" i="16"/>
  <c r="F215" i="16"/>
  <c r="G214" i="16"/>
  <c r="D215" i="16"/>
  <c r="F216" i="16"/>
  <c r="G215" i="16"/>
  <c r="E214" i="16"/>
  <c r="D216" i="16"/>
  <c r="F217" i="16"/>
  <c r="G216" i="16"/>
  <c r="E215" i="16"/>
  <c r="F218" i="16"/>
  <c r="D217" i="16"/>
  <c r="G217" i="16"/>
  <c r="E216" i="16"/>
  <c r="E217" i="16"/>
  <c r="D218" i="16"/>
  <c r="F219" i="16"/>
  <c r="G218" i="16"/>
  <c r="D219" i="16"/>
  <c r="F220" i="16"/>
  <c r="G219" i="16"/>
  <c r="E218" i="16"/>
  <c r="D220" i="16"/>
  <c r="F221" i="16"/>
  <c r="G220" i="16"/>
  <c r="E219" i="16"/>
  <c r="E220" i="16"/>
  <c r="F222" i="16"/>
  <c r="D221" i="16"/>
  <c r="G221" i="16"/>
  <c r="D222" i="16"/>
  <c r="F223" i="16"/>
  <c r="G222" i="16"/>
  <c r="E221" i="16"/>
  <c r="D223" i="16"/>
  <c r="F224" i="16"/>
  <c r="G223" i="16"/>
  <c r="E222" i="16"/>
  <c r="D224" i="16"/>
  <c r="F225" i="16"/>
  <c r="G224" i="16"/>
  <c r="E223" i="16"/>
  <c r="F226" i="16"/>
  <c r="D225" i="16"/>
  <c r="G225" i="16"/>
  <c r="E224" i="16"/>
  <c r="E225" i="16"/>
  <c r="D226" i="16"/>
  <c r="F227" i="16"/>
  <c r="G226" i="16"/>
  <c r="E226" i="16"/>
  <c r="D227" i="16"/>
  <c r="F228" i="16"/>
  <c r="G227" i="16"/>
  <c r="E227" i="16"/>
  <c r="D228" i="16"/>
  <c r="F229" i="16"/>
  <c r="G228" i="16"/>
  <c r="F230" i="16"/>
  <c r="D229" i="16"/>
  <c r="G229" i="16"/>
  <c r="E228" i="16"/>
  <c r="D230" i="16"/>
  <c r="F231" i="16"/>
  <c r="G230" i="16"/>
  <c r="E229" i="16"/>
  <c r="D231" i="16"/>
  <c r="F232" i="16"/>
  <c r="G231" i="16"/>
  <c r="E230" i="16"/>
  <c r="D232" i="16"/>
  <c r="F233" i="16"/>
  <c r="G232" i="16"/>
  <c r="E231" i="16"/>
  <c r="F234" i="16"/>
  <c r="D233" i="16"/>
  <c r="G233" i="16"/>
  <c r="E232" i="16"/>
  <c r="E233" i="16"/>
  <c r="D234" i="16"/>
  <c r="F235" i="16"/>
  <c r="G234" i="16"/>
  <c r="E234" i="16"/>
  <c r="D235" i="16"/>
  <c r="F236" i="16"/>
  <c r="G235" i="16"/>
  <c r="E235" i="16"/>
  <c r="F237" i="16"/>
  <c r="D236" i="16"/>
  <c r="G236" i="16"/>
  <c r="E236" i="16"/>
  <c r="D237" i="16"/>
  <c r="F238" i="16"/>
  <c r="G237" i="16"/>
  <c r="F239" i="16"/>
  <c r="D238" i="16"/>
  <c r="G238" i="16"/>
  <c r="E237" i="16"/>
  <c r="E238" i="16"/>
  <c r="D239" i="16"/>
  <c r="G239" i="16"/>
  <c r="E239" i="16"/>
  <c r="D240" i="16"/>
  <c r="E240" i="16"/>
  <c r="G240" i="16"/>
  <c r="BW418" i="41"/>
  <c r="BX393" i="40"/>
  <c r="BX394" i="40"/>
  <c r="BX391" i="40"/>
  <c r="BX392" i="40"/>
  <c r="L125" i="1"/>
  <c r="T125" i="1"/>
  <c r="V125" i="1"/>
  <c r="D57" i="44"/>
  <c r="DG11" i="8"/>
  <c r="BV511" i="41"/>
  <c r="BV418" i="41"/>
  <c r="BV396" i="40"/>
  <c r="DU103" i="15"/>
  <c r="BW326" i="40"/>
  <c r="BX386" i="40"/>
  <c r="BX389" i="40"/>
  <c r="BV516" i="41"/>
  <c r="BW516" i="41"/>
  <c r="DI11" i="8"/>
  <c r="BW509" i="41"/>
  <c r="DS21" i="15"/>
  <c r="BW396" i="40"/>
  <c r="BU509" i="41"/>
  <c r="DH22" i="8"/>
  <c r="DH43" i="8"/>
  <c r="DI34" i="8"/>
  <c r="DH34" i="8"/>
  <c r="DG34" i="8"/>
  <c r="DI22" i="8"/>
  <c r="DH11" i="8"/>
  <c r="DI43" i="8"/>
  <c r="DG22" i="8"/>
  <c r="DG43" i="8"/>
  <c r="BC3" i="49"/>
  <c r="BF3" i="49"/>
  <c r="BW511" i="41"/>
  <c r="BU516" i="41"/>
  <c r="DT69" i="15"/>
  <c r="DS69" i="15"/>
  <c r="DU14" i="15"/>
  <c r="DU16" i="15"/>
  <c r="DU69" i="15"/>
  <c r="DU54" i="15"/>
  <c r="DS64" i="15"/>
  <c r="DT99" i="15"/>
  <c r="DS41" i="15"/>
  <c r="DS99" i="15"/>
  <c r="DT14" i="15"/>
  <c r="DT16" i="15"/>
  <c r="DU21" i="15"/>
  <c r="DT41" i="15"/>
  <c r="DU64" i="15"/>
  <c r="DS54" i="15"/>
  <c r="DT54" i="15"/>
  <c r="DU99" i="15"/>
  <c r="DU41" i="15"/>
  <c r="BK26" i="49"/>
  <c r="BK37" i="49"/>
  <c r="BK15" i="49"/>
  <c r="BZ387" i="40"/>
  <c r="CA387" i="40"/>
  <c r="BV18" i="38"/>
  <c r="AZ18" i="38"/>
  <c r="BX516" i="41"/>
  <c r="BY511" i="41"/>
  <c r="BZ511" i="41"/>
  <c r="BX418" i="41"/>
  <c r="BX509" i="41"/>
  <c r="BX511" i="41"/>
  <c r="BY509" i="41"/>
  <c r="BY516" i="41"/>
  <c r="BZ516" i="41"/>
  <c r="BZ509" i="41"/>
  <c r="BZ386" i="40"/>
  <c r="DR46" i="29"/>
  <c r="DU83" i="29"/>
  <c r="DU84" i="29"/>
  <c r="DU46" i="29"/>
  <c r="BY418" i="41"/>
  <c r="BY326" i="40"/>
  <c r="BZ389" i="40"/>
  <c r="BY396" i="40"/>
  <c r="CA393" i="40"/>
  <c r="CA394" i="40"/>
  <c r="BY389" i="40"/>
  <c r="BY325" i="40"/>
  <c r="BY327" i="40"/>
  <c r="BY387" i="40"/>
  <c r="GN47" i="15"/>
  <c r="BZ393" i="40"/>
  <c r="BZ394" i="40"/>
  <c r="BZ391" i="40"/>
  <c r="BZ392" i="40"/>
  <c r="BZ396" i="40"/>
  <c r="BY386" i="40"/>
  <c r="BY391" i="40"/>
  <c r="BY392" i="40"/>
  <c r="CA391" i="40"/>
  <c r="CA392" i="40"/>
  <c r="CA386" i="40"/>
  <c r="BZ326" i="40"/>
  <c r="BZ327" i="40"/>
  <c r="GP10" i="15"/>
  <c r="CA325" i="40"/>
  <c r="CA326" i="40"/>
  <c r="CA327" i="40"/>
  <c r="CB386" i="40"/>
  <c r="CA516" i="41"/>
  <c r="DV46" i="29"/>
  <c r="CB393" i="40"/>
  <c r="CB394" i="40"/>
  <c r="CB389" i="40"/>
  <c r="CB396" i="40"/>
  <c r="CB391" i="40"/>
  <c r="GQ47" i="15"/>
  <c r="CA509" i="41"/>
  <c r="CB326" i="40"/>
  <c r="CB327" i="40"/>
  <c r="CC386" i="40"/>
  <c r="CC387" i="40"/>
  <c r="GR47" i="15"/>
  <c r="AZ15" i="49"/>
  <c r="BA3" i="49"/>
  <c r="BD3" i="49"/>
  <c r="AZ26" i="49"/>
  <c r="AB26" i="49"/>
  <c r="AB15" i="49"/>
  <c r="AC3" i="49"/>
  <c r="AC26" i="49"/>
  <c r="BC26" i="49"/>
  <c r="DW84" i="29"/>
  <c r="DW46" i="29"/>
  <c r="DW83" i="29"/>
  <c r="CI18" i="38"/>
  <c r="BK18" i="38"/>
  <c r="BH18" i="38"/>
  <c r="CE18" i="38"/>
  <c r="BA18" i="38"/>
  <c r="BJ18" i="38"/>
  <c r="BV20" i="38"/>
  <c r="AI18" i="38"/>
  <c r="AG18" i="38"/>
  <c r="CM40" i="29"/>
  <c r="CM41" i="29"/>
  <c r="BX18" i="38"/>
  <c r="DZ21" i="15"/>
  <c r="DW21" i="15"/>
  <c r="DY21" i="15"/>
  <c r="DW103" i="15"/>
  <c r="CC325" i="40"/>
  <c r="CD77" i="38"/>
  <c r="CC326" i="40"/>
  <c r="CC393" i="40"/>
  <c r="CC394" i="40"/>
  <c r="CC389" i="40"/>
  <c r="CC396" i="40"/>
  <c r="CC391" i="40"/>
  <c r="CC392" i="40"/>
  <c r="CC513" i="41"/>
  <c r="EA103" i="15"/>
  <c r="CD386" i="40"/>
  <c r="CD325" i="40"/>
  <c r="CD327" i="40"/>
  <c r="CD389" i="40"/>
  <c r="L37" i="65"/>
  <c r="L37" i="2"/>
  <c r="CD391" i="40"/>
  <c r="CD392" i="40"/>
  <c r="CD396" i="40"/>
  <c r="CC516" i="41"/>
  <c r="CD326" i="40"/>
  <c r="CD393" i="40"/>
  <c r="CD394" i="40"/>
  <c r="CC509" i="41"/>
  <c r="CC511" i="41"/>
  <c r="CC418" i="41"/>
  <c r="CI77" i="38"/>
  <c r="CN77" i="38"/>
  <c r="CF77" i="38"/>
  <c r="CK77" i="38"/>
  <c r="CC77" i="38"/>
  <c r="S18" i="38"/>
  <c r="X18" i="38"/>
  <c r="P18" i="38"/>
  <c r="H18" i="38"/>
  <c r="CM77" i="38"/>
  <c r="CJ77" i="38"/>
  <c r="CB77" i="38"/>
  <c r="CR77" i="38"/>
  <c r="CQ77" i="38"/>
  <c r="CW79" i="38"/>
  <c r="CA77" i="38"/>
  <c r="Y18" i="38"/>
  <c r="V18" i="38"/>
  <c r="N18" i="38"/>
  <c r="F18" i="38"/>
  <c r="CS77" i="38"/>
  <c r="CT77" i="38"/>
  <c r="BX77" i="38"/>
  <c r="CH77" i="38"/>
  <c r="K18" i="38"/>
  <c r="C18" i="38"/>
  <c r="U18" i="38"/>
  <c r="CG77" i="38"/>
  <c r="BY77" i="38"/>
  <c r="CL77" i="38"/>
  <c r="CS79" i="38"/>
  <c r="T18" i="38"/>
  <c r="L18" i="38"/>
  <c r="Q18" i="38"/>
  <c r="I18" i="38"/>
  <c r="CP77" i="38"/>
  <c r="BZ77" i="38"/>
  <c r="CE77" i="38"/>
  <c r="M18" i="38"/>
  <c r="E18" i="38"/>
  <c r="J18" i="38"/>
  <c r="O18" i="38"/>
  <c r="G18" i="38"/>
  <c r="BW77" i="38"/>
  <c r="CO77" i="38"/>
  <c r="Z18" i="38"/>
  <c r="R18" i="38"/>
  <c r="AC20" i="38"/>
  <c r="W18" i="38"/>
  <c r="AG20" i="38"/>
  <c r="D18" i="38"/>
  <c r="CB86" i="38"/>
  <c r="DT28" i="29"/>
  <c r="BZ86" i="38"/>
  <c r="DI33" i="29"/>
  <c r="CU29" i="38"/>
  <c r="BS29" i="38"/>
  <c r="BY31" i="38"/>
  <c r="BY35" i="38"/>
  <c r="CP29" i="38"/>
  <c r="BW86" i="38"/>
  <c r="BY86" i="38"/>
  <c r="CC86" i="38"/>
  <c r="AT29" i="38"/>
  <c r="DX33" i="29"/>
  <c r="DX36" i="29"/>
  <c r="DJ23" i="29"/>
  <c r="DJ24" i="29"/>
  <c r="CY86" i="38"/>
  <c r="DJ88" i="38"/>
  <c r="DJ92" i="38"/>
  <c r="CU86" i="38"/>
  <c r="CV86" i="38"/>
  <c r="CA86" i="38"/>
  <c r="CB29" i="38"/>
  <c r="DK11" i="8"/>
  <c r="CR86" i="38"/>
  <c r="BX86" i="38"/>
  <c r="CO29" i="38"/>
  <c r="DM28" i="29"/>
  <c r="DL28" i="29"/>
  <c r="DL36" i="29"/>
  <c r="CE86" i="38"/>
  <c r="DP28" i="29"/>
  <c r="DQ28" i="29"/>
  <c r="BH29" i="38"/>
  <c r="BA29" i="38"/>
  <c r="DO28" i="29"/>
  <c r="CI86" i="38"/>
  <c r="DW28" i="29"/>
  <c r="CS86" i="38"/>
  <c r="CL86" i="38"/>
  <c r="BI29" i="38"/>
  <c r="DS28" i="29"/>
  <c r="DS36" i="29"/>
  <c r="CD86" i="38"/>
  <c r="AA29" i="38"/>
  <c r="CH86" i="38"/>
  <c r="CM88" i="38"/>
  <c r="CM92" i="38"/>
  <c r="DV33" i="29"/>
  <c r="BR15" i="29"/>
  <c r="CN86" i="38"/>
  <c r="CK29" i="38"/>
  <c r="DG28" i="29"/>
  <c r="DG36" i="29"/>
  <c r="CT29" i="38"/>
  <c r="DX28" i="29"/>
  <c r="CP86" i="38"/>
  <c r="CZ88" i="38"/>
  <c r="CZ92" i="38"/>
  <c r="CK19" i="29"/>
  <c r="BV23" i="29"/>
  <c r="BV24" i="29"/>
  <c r="BX29" i="38"/>
  <c r="CX86" i="38"/>
  <c r="CH29" i="38"/>
  <c r="AZ29" i="38"/>
  <c r="BA31" i="38"/>
  <c r="BV29" i="38"/>
  <c r="CA29" i="38"/>
  <c r="CG86" i="38"/>
  <c r="DW33" i="29"/>
  <c r="DK33" i="29"/>
  <c r="CJ29" i="38"/>
  <c r="CF86" i="38"/>
  <c r="CS29" i="38"/>
  <c r="DS33" i="29"/>
  <c r="CT86" i="38"/>
  <c r="DN22" i="8"/>
  <c r="CZ86" i="38"/>
  <c r="CM86" i="38"/>
  <c r="DR78" i="29"/>
  <c r="CJ86" i="38"/>
  <c r="CO86" i="38"/>
  <c r="CI29" i="38"/>
  <c r="CN31" i="38"/>
  <c r="AB29" i="38"/>
  <c r="CW86" i="38"/>
  <c r="CQ86" i="38"/>
  <c r="CE29" i="38"/>
  <c r="CK86" i="38"/>
  <c r="BD29" i="38"/>
  <c r="BV19" i="29"/>
  <c r="BK29" i="38"/>
  <c r="DT33" i="29"/>
  <c r="DI28" i="29"/>
  <c r="AP29" i="38"/>
  <c r="BO29" i="38"/>
  <c r="DU19" i="29"/>
  <c r="DU33" i="29"/>
  <c r="CF29" i="38"/>
  <c r="DJ11" i="8"/>
  <c r="AK29" i="38"/>
  <c r="AR31" i="38"/>
  <c r="AR35" i="38"/>
  <c r="DN15" i="29"/>
  <c r="DC86" i="38"/>
  <c r="DZ33" i="29"/>
  <c r="DZ36" i="29"/>
  <c r="DZ28" i="29"/>
  <c r="BK11" i="29"/>
  <c r="CC18" i="38"/>
  <c r="AF18" i="38"/>
  <c r="DY103" i="15"/>
  <c r="AN18" i="38"/>
  <c r="BL11" i="29"/>
  <c r="BL18" i="38"/>
  <c r="BP18" i="38"/>
  <c r="BO18" i="38"/>
  <c r="DB11" i="29"/>
  <c r="BE18" i="38"/>
  <c r="CO18" i="38"/>
  <c r="AK18" i="38"/>
  <c r="BR18" i="38"/>
  <c r="AV18" i="38"/>
  <c r="BT18" i="38"/>
  <c r="CN18" i="38"/>
  <c r="CK18" i="38"/>
  <c r="CM18" i="38"/>
  <c r="AY18" i="38"/>
  <c r="BE20" i="38"/>
  <c r="AC18" i="38"/>
  <c r="BW18" i="38"/>
  <c r="BG18" i="38"/>
  <c r="DV103" i="15"/>
  <c r="CQ18" i="38"/>
  <c r="AJ18" i="38"/>
  <c r="CS18" i="38"/>
  <c r="BY18" i="38"/>
  <c r="BQ18" i="38"/>
  <c r="DV21" i="15"/>
  <c r="BD18" i="38"/>
  <c r="AS18" i="38"/>
  <c r="AW18" i="38"/>
  <c r="AX18" i="38"/>
  <c r="DX21" i="15"/>
  <c r="BQ11" i="29"/>
  <c r="AE18" i="38"/>
  <c r="BB18" i="38"/>
  <c r="BC18" i="38"/>
  <c r="CB18" i="38"/>
  <c r="BS18" i="38"/>
  <c r="CL18" i="38"/>
  <c r="AQ18" i="38"/>
  <c r="AX20" i="38"/>
  <c r="DS11" i="29"/>
  <c r="BN18" i="38"/>
  <c r="AM18" i="38"/>
  <c r="CT18" i="38"/>
  <c r="BI18" i="38"/>
  <c r="AD18" i="38"/>
  <c r="BM18" i="38"/>
  <c r="AA18" i="38"/>
  <c r="AH18" i="38"/>
  <c r="CJ18" i="38"/>
  <c r="CF18" i="38"/>
  <c r="AB18" i="38"/>
  <c r="CD18" i="38"/>
  <c r="AO18" i="38"/>
  <c r="BZ18" i="38"/>
  <c r="CR18" i="38"/>
  <c r="DW14" i="15"/>
  <c r="DW16" i="15"/>
  <c r="CG18" i="38"/>
  <c r="AL18" i="38"/>
  <c r="AT18" i="38"/>
  <c r="AU18" i="38"/>
  <c r="CP18" i="38"/>
  <c r="CH18" i="38"/>
  <c r="BF18" i="38"/>
  <c r="AP18" i="38"/>
  <c r="DZ103" i="15"/>
  <c r="AR18" i="38"/>
  <c r="CA18" i="38"/>
  <c r="DM40" i="29"/>
  <c r="DM41" i="29"/>
  <c r="BU18" i="38"/>
  <c r="EB21" i="15"/>
  <c r="ED21" i="15"/>
  <c r="EA21" i="15"/>
  <c r="CE387" i="40"/>
  <c r="CE386" i="40"/>
  <c r="CF386" i="40"/>
  <c r="ED103" i="15"/>
  <c r="EC103" i="15"/>
  <c r="CF387" i="40"/>
  <c r="CD516" i="41"/>
  <c r="DU28" i="29"/>
  <c r="BJ29" i="38"/>
  <c r="CL29" i="38"/>
  <c r="AS29" i="38"/>
  <c r="BP29" i="38"/>
  <c r="DK28" i="29"/>
  <c r="BC29" i="38"/>
  <c r="DL11" i="8"/>
  <c r="BY29" i="38"/>
  <c r="DN11" i="8"/>
  <c r="DG33" i="29"/>
  <c r="DP33" i="29"/>
  <c r="BR29" i="38"/>
  <c r="BE29" i="38"/>
  <c r="DH28" i="29"/>
  <c r="DM33" i="29"/>
  <c r="BW29" i="38"/>
  <c r="AD29" i="38"/>
  <c r="AX29" i="38"/>
  <c r="BZ29" i="38"/>
  <c r="BQ29" i="38"/>
  <c r="DQ33" i="29"/>
  <c r="BL29" i="38"/>
  <c r="CQ29" i="38"/>
  <c r="DB31" i="38"/>
  <c r="DB35" i="38"/>
  <c r="CS19" i="29"/>
  <c r="DO11" i="8"/>
  <c r="CU19" i="29"/>
  <c r="AN29" i="38"/>
  <c r="DL33" i="29"/>
  <c r="BS19" i="29"/>
  <c r="DJ43" i="8"/>
  <c r="AE29" i="38"/>
  <c r="DK43" i="8"/>
  <c r="DP19" i="29"/>
  <c r="DH33" i="29"/>
  <c r="DJ33" i="29"/>
  <c r="DJ36" i="29"/>
  <c r="DR33" i="29"/>
  <c r="AG29" i="38"/>
  <c r="DN28" i="29"/>
  <c r="BM23" i="29"/>
  <c r="BM24" i="29"/>
  <c r="BP23" i="29"/>
  <c r="BP24" i="29"/>
  <c r="BK23" i="29"/>
  <c r="BK24" i="29"/>
  <c r="BL23" i="29"/>
  <c r="BL24" i="29"/>
  <c r="BN23" i="29"/>
  <c r="BN24" i="29"/>
  <c r="BO23" i="29"/>
  <c r="BO24" i="29"/>
  <c r="DT15" i="29"/>
  <c r="CU23" i="29"/>
  <c r="CU24" i="29"/>
  <c r="AR29" i="38"/>
  <c r="DN34" i="8"/>
  <c r="BS23" i="29"/>
  <c r="BS24" i="29"/>
  <c r="AC29" i="38"/>
  <c r="CW23" i="29"/>
  <c r="CW24" i="29"/>
  <c r="CW15" i="29"/>
  <c r="BO19" i="29"/>
  <c r="BL19" i="29"/>
  <c r="BM19" i="29"/>
  <c r="BN19" i="29"/>
  <c r="BK19" i="29"/>
  <c r="BP19" i="29"/>
  <c r="CK15" i="29"/>
  <c r="AH29" i="38"/>
  <c r="BN15" i="29"/>
  <c r="BK15" i="29"/>
  <c r="BO15" i="29"/>
  <c r="BL15" i="29"/>
  <c r="BM15" i="29"/>
  <c r="BP15" i="29"/>
  <c r="AM29" i="38"/>
  <c r="AF29" i="38"/>
  <c r="BT15" i="29"/>
  <c r="AI29" i="38"/>
  <c r="AJ29" i="38"/>
  <c r="AQ29" i="38"/>
  <c r="AO29" i="38"/>
  <c r="AL29" i="38"/>
  <c r="CZ11" i="29"/>
  <c r="CB40" i="29"/>
  <c r="CB41" i="29"/>
  <c r="DT11" i="29"/>
  <c r="BW11" i="29"/>
  <c r="DW11" i="29"/>
  <c r="CY11" i="29"/>
  <c r="DU11" i="29"/>
  <c r="CC40" i="29"/>
  <c r="CC41" i="29"/>
  <c r="CX11" i="29"/>
  <c r="BU40" i="29"/>
  <c r="BU41" i="29"/>
  <c r="BY40" i="29"/>
  <c r="BY41" i="29"/>
  <c r="DV11" i="29"/>
  <c r="BV40" i="29"/>
  <c r="BV41" i="29"/>
  <c r="BW40" i="29"/>
  <c r="BW41" i="29"/>
  <c r="BR40" i="29"/>
  <c r="BR41" i="29"/>
  <c r="CF11" i="29"/>
  <c r="BX40" i="29"/>
  <c r="BX41" i="29"/>
  <c r="DX11" i="29"/>
  <c r="CA11" i="29"/>
  <c r="CC11" i="29"/>
  <c r="CD40" i="29"/>
  <c r="CD41" i="29"/>
  <c r="BS40" i="29"/>
  <c r="BS41" i="29"/>
  <c r="DK11" i="29"/>
  <c r="BS11" i="29"/>
  <c r="CW11" i="29"/>
  <c r="CV11" i="29"/>
  <c r="DC11" i="29"/>
  <c r="BY11" i="29"/>
  <c r="BZ11" i="29"/>
  <c r="CD11" i="29"/>
  <c r="BT11" i="29"/>
  <c r="BX11" i="29"/>
  <c r="DI11" i="29"/>
  <c r="BR11" i="29"/>
  <c r="BO11" i="29"/>
  <c r="BP11" i="29"/>
  <c r="DJ11" i="29"/>
  <c r="CE11" i="29"/>
  <c r="DM11" i="29"/>
  <c r="BM11" i="29"/>
  <c r="CB11" i="29"/>
  <c r="DN11" i="29"/>
  <c r="BK40" i="29"/>
  <c r="BK41" i="29"/>
  <c r="BM40" i="29"/>
  <c r="BM41" i="29"/>
  <c r="BL40" i="29"/>
  <c r="BL41" i="29"/>
  <c r="BO40" i="29"/>
  <c r="BO41" i="29"/>
  <c r="BN40" i="29"/>
  <c r="BN41" i="29"/>
  <c r="BP40" i="29"/>
  <c r="BP41" i="29"/>
  <c r="BN11" i="29"/>
  <c r="CG11" i="29"/>
  <c r="DG11" i="29"/>
  <c r="DP11" i="29"/>
  <c r="DO11" i="29"/>
  <c r="BU11" i="29"/>
  <c r="DD40" i="29"/>
  <c r="DD41" i="29"/>
  <c r="BV11" i="29"/>
  <c r="CU11" i="29"/>
  <c r="BQ40" i="29"/>
  <c r="BQ41" i="29"/>
  <c r="CZ29" i="38"/>
  <c r="DX71" i="29"/>
  <c r="DM43" i="8"/>
  <c r="AY29" i="38"/>
  <c r="BU29" i="38"/>
  <c r="DJ28" i="29"/>
  <c r="BF29" i="38"/>
  <c r="BR19" i="29"/>
  <c r="BQ19" i="29"/>
  <c r="DO70" i="29"/>
  <c r="BX23" i="29"/>
  <c r="BX24" i="29"/>
  <c r="DS19" i="29"/>
  <c r="CB15" i="29"/>
  <c r="DK34" i="8"/>
  <c r="BQ15" i="29"/>
  <c r="CO19" i="29"/>
  <c r="DV15" i="29"/>
  <c r="DV20" i="29"/>
  <c r="BT19" i="29"/>
  <c r="BU15" i="29"/>
  <c r="BS15" i="29"/>
  <c r="DP78" i="29"/>
  <c r="CG29" i="38"/>
  <c r="CD29" i="38"/>
  <c r="CM29" i="38"/>
  <c r="CW31" i="38"/>
  <c r="CW35" i="38"/>
  <c r="DN33" i="29"/>
  <c r="DN36" i="29"/>
  <c r="AW29" i="38"/>
  <c r="CY15" i="29"/>
  <c r="DO22" i="8"/>
  <c r="DO24" i="8"/>
  <c r="AU29" i="38"/>
  <c r="DR28" i="29"/>
  <c r="BU23" i="29"/>
  <c r="BU24" i="29"/>
  <c r="CM19" i="29"/>
  <c r="DL34" i="8"/>
  <c r="BY15" i="29"/>
  <c r="CC23" i="29"/>
  <c r="CC24" i="29"/>
  <c r="CY23" i="29"/>
  <c r="CY24" i="29"/>
  <c r="DK22" i="8"/>
  <c r="BT29" i="38"/>
  <c r="DR15" i="29"/>
  <c r="DP15" i="29"/>
  <c r="DP20" i="29"/>
  <c r="CH15" i="29"/>
  <c r="DP70" i="29"/>
  <c r="DL22" i="8"/>
  <c r="DV19" i="29"/>
  <c r="DW19" i="29"/>
  <c r="CW29" i="38"/>
  <c r="CZ19" i="29"/>
  <c r="CZ20" i="29"/>
  <c r="DA19" i="29"/>
  <c r="CY19" i="29"/>
  <c r="BQ23" i="29"/>
  <c r="BQ24" i="29"/>
  <c r="BY23" i="29"/>
  <c r="BY24" i="29"/>
  <c r="DW15" i="29"/>
  <c r="BT23" i="29"/>
  <c r="BT24" i="29"/>
  <c r="DQ15" i="29"/>
  <c r="BX15" i="29"/>
  <c r="BZ15" i="29"/>
  <c r="CD15" i="29"/>
  <c r="DS15" i="29"/>
  <c r="DS20" i="29"/>
  <c r="DN43" i="8"/>
  <c r="DO78" i="29"/>
  <c r="BR23" i="29"/>
  <c r="BR24" i="29"/>
  <c r="DO15" i="29"/>
  <c r="CX15" i="29"/>
  <c r="DQ19" i="29"/>
  <c r="BM29" i="38"/>
  <c r="BN29" i="38"/>
  <c r="BB29" i="38"/>
  <c r="CN29" i="38"/>
  <c r="AV29" i="38"/>
  <c r="CR29" i="38"/>
  <c r="DM11" i="8"/>
  <c r="DW78" i="29"/>
  <c r="DM34" i="8"/>
  <c r="DN19" i="29"/>
  <c r="DO19" i="29"/>
  <c r="DK19" i="29"/>
  <c r="DK20" i="29"/>
  <c r="DD19" i="29"/>
  <c r="DG19" i="29"/>
  <c r="DF19" i="29"/>
  <c r="DJ19" i="29"/>
  <c r="DI19" i="29"/>
  <c r="DH19" i="29"/>
  <c r="DL19" i="29"/>
  <c r="DM19" i="29"/>
  <c r="CS15" i="29"/>
  <c r="CV15" i="29"/>
  <c r="CU15" i="29"/>
  <c r="CR15" i="29"/>
  <c r="CM15" i="29"/>
  <c r="CP15" i="29"/>
  <c r="CN15" i="29"/>
  <c r="CT15" i="29"/>
  <c r="CL15" i="29"/>
  <c r="CQ15" i="29"/>
  <c r="CG23" i="29"/>
  <c r="CG24" i="29"/>
  <c r="CK23" i="29"/>
  <c r="CK24" i="29"/>
  <c r="DT71" i="29"/>
  <c r="DQ71" i="29"/>
  <c r="DP71" i="29"/>
  <c r="DR71" i="29"/>
  <c r="DJ34" i="8"/>
  <c r="DM23" i="29"/>
  <c r="DM24" i="29"/>
  <c r="CH19" i="29"/>
  <c r="CG19" i="29"/>
  <c r="CJ19" i="29"/>
  <c r="CI19" i="29"/>
  <c r="CO23" i="29"/>
  <c r="CO24" i="29"/>
  <c r="DT78" i="29"/>
  <c r="DQ78" i="29"/>
  <c r="DS78" i="29"/>
  <c r="DV78" i="29"/>
  <c r="DU78" i="29"/>
  <c r="DX78" i="29"/>
  <c r="CJ15" i="29"/>
  <c r="CE15" i="29"/>
  <c r="DV71" i="29"/>
  <c r="DW71" i="29"/>
  <c r="DO34" i="8"/>
  <c r="DF23" i="29"/>
  <c r="DF24" i="29"/>
  <c r="CR19" i="29"/>
  <c r="CV19" i="29"/>
  <c r="CN19" i="29"/>
  <c r="CP19" i="29"/>
  <c r="BV15" i="29"/>
  <c r="BW15" i="29"/>
  <c r="CF15" i="29"/>
  <c r="CG15" i="29"/>
  <c r="CE23" i="29"/>
  <c r="CE24" i="29"/>
  <c r="CX23" i="29"/>
  <c r="CX24" i="29"/>
  <c r="CS23" i="29"/>
  <c r="CS24" i="29"/>
  <c r="DE19" i="29"/>
  <c r="BG29" i="38"/>
  <c r="CO15" i="29"/>
  <c r="CA15" i="29"/>
  <c r="CC29" i="38"/>
  <c r="BW23" i="29"/>
  <c r="BW24" i="29"/>
  <c r="CL19" i="29"/>
  <c r="DX19" i="29"/>
  <c r="CT19" i="29"/>
  <c r="EA46" i="29"/>
  <c r="DY84" i="29"/>
  <c r="DY85" i="29"/>
  <c r="DZ84" i="29"/>
  <c r="DX84" i="29"/>
  <c r="DX85" i="29"/>
  <c r="DX46" i="29"/>
  <c r="DL43" i="8"/>
  <c r="DU15" i="29"/>
  <c r="DU20" i="29"/>
  <c r="DJ22" i="8"/>
  <c r="DB19" i="29"/>
  <c r="DX15" i="29"/>
  <c r="DT19" i="29"/>
  <c r="DT20" i="29"/>
  <c r="CC15" i="29"/>
  <c r="DY64" i="15"/>
  <c r="DX14" i="15"/>
  <c r="DX16" i="15"/>
  <c r="CT23" i="29"/>
  <c r="CT24" i="29"/>
  <c r="CM23" i="29"/>
  <c r="CM24" i="29"/>
  <c r="CQ23" i="29"/>
  <c r="CQ24" i="29"/>
  <c r="CV23" i="29"/>
  <c r="CV24" i="29"/>
  <c r="CP23" i="29"/>
  <c r="CP24" i="29"/>
  <c r="CR23" i="29"/>
  <c r="CR24" i="29"/>
  <c r="CL23" i="29"/>
  <c r="CL24" i="29"/>
  <c r="CA23" i="29"/>
  <c r="CA24" i="29"/>
  <c r="BZ23" i="29"/>
  <c r="BZ24" i="29"/>
  <c r="CB23" i="29"/>
  <c r="CB24" i="29"/>
  <c r="CH23" i="29"/>
  <c r="CH24" i="29"/>
  <c r="CF23" i="29"/>
  <c r="CF24" i="29"/>
  <c r="CD23" i="29"/>
  <c r="CD24" i="29"/>
  <c r="CI23" i="29"/>
  <c r="CI24" i="29"/>
  <c r="CJ23" i="29"/>
  <c r="CJ24" i="29"/>
  <c r="CN23" i="29"/>
  <c r="CN24" i="29"/>
  <c r="DF11" i="29"/>
  <c r="DH11" i="29"/>
  <c r="DE11" i="29"/>
  <c r="DL11" i="29"/>
  <c r="DD11" i="29"/>
  <c r="CN40" i="29"/>
  <c r="CN41" i="29"/>
  <c r="CX29" i="38"/>
  <c r="CU77" i="38"/>
  <c r="DZ99" i="15"/>
  <c r="DV69" i="15"/>
  <c r="DZ64" i="15"/>
  <c r="DX64" i="15"/>
  <c r="DX69" i="15"/>
  <c r="EA54" i="15"/>
  <c r="DZ69" i="15"/>
  <c r="DV99" i="15"/>
  <c r="DV14" i="15"/>
  <c r="DV16" i="15"/>
  <c r="CZ18" i="38"/>
  <c r="DZ14" i="15"/>
  <c r="DZ16" i="15"/>
  <c r="CW18" i="38"/>
  <c r="DY69" i="15"/>
  <c r="DV64" i="15"/>
  <c r="DX99" i="15"/>
  <c r="DX54" i="15"/>
  <c r="DV41" i="15"/>
  <c r="CU18" i="38"/>
  <c r="DW54" i="15"/>
  <c r="DW41" i="15"/>
  <c r="DV54" i="15"/>
  <c r="CY18" i="38"/>
  <c r="DH20" i="38"/>
  <c r="DZ41" i="15"/>
  <c r="DW64" i="15"/>
  <c r="CX18" i="38"/>
  <c r="DY54" i="15"/>
  <c r="EA41" i="15"/>
  <c r="EA69" i="15"/>
  <c r="CX77" i="38"/>
  <c r="EA64" i="15"/>
  <c r="EA71" i="15"/>
  <c r="EA14" i="15"/>
  <c r="EA16" i="15"/>
  <c r="DY14" i="15"/>
  <c r="DY16" i="15"/>
  <c r="CV77" i="38"/>
  <c r="DW99" i="15"/>
  <c r="DZ54" i="15"/>
  <c r="DQ77" i="29"/>
  <c r="DX77" i="29"/>
  <c r="DW77" i="29"/>
  <c r="DT77" i="29"/>
  <c r="DU77" i="29"/>
  <c r="DR77" i="29"/>
  <c r="DS77" i="29"/>
  <c r="DP77" i="29"/>
  <c r="DV77" i="29"/>
  <c r="DO77" i="29"/>
  <c r="BY19" i="29"/>
  <c r="BZ19" i="29"/>
  <c r="CC19" i="29"/>
  <c r="BX19" i="29"/>
  <c r="CB19" i="29"/>
  <c r="BW19" i="29"/>
  <c r="BU19" i="29"/>
  <c r="CE19" i="29"/>
  <c r="CD19" i="29"/>
  <c r="CA19" i="29"/>
  <c r="DM15" i="29"/>
  <c r="DD15" i="29"/>
  <c r="DD20" i="29"/>
  <c r="DJ15" i="29"/>
  <c r="DK15" i="29"/>
  <c r="DC15" i="29"/>
  <c r="DE15" i="29"/>
  <c r="DI15" i="29"/>
  <c r="DH15" i="29"/>
  <c r="DH20" i="29"/>
  <c r="DG15" i="29"/>
  <c r="DG20" i="29"/>
  <c r="DB15" i="29"/>
  <c r="DB20" i="29"/>
  <c r="CV18" i="38"/>
  <c r="DW69" i="15"/>
  <c r="DT23" i="29"/>
  <c r="DT24" i="29"/>
  <c r="DN23" i="29"/>
  <c r="DN24" i="29"/>
  <c r="DS23" i="29"/>
  <c r="DS24" i="29"/>
  <c r="DQ23" i="29"/>
  <c r="DQ24" i="29"/>
  <c r="DX23" i="29"/>
  <c r="DX24" i="29"/>
  <c r="DU23" i="29"/>
  <c r="DU24" i="29"/>
  <c r="DO23" i="29"/>
  <c r="DO24" i="29"/>
  <c r="DR23" i="29"/>
  <c r="DR24" i="29"/>
  <c r="DW23" i="29"/>
  <c r="DW24" i="29"/>
  <c r="DP23" i="29"/>
  <c r="DP24" i="29"/>
  <c r="DV23" i="29"/>
  <c r="DV24" i="29"/>
  <c r="DX40" i="29"/>
  <c r="DX41" i="29"/>
  <c r="DT40" i="29"/>
  <c r="DT41" i="29"/>
  <c r="DS40" i="29"/>
  <c r="DS41" i="29"/>
  <c r="DP40" i="29"/>
  <c r="DP41" i="29"/>
  <c r="DU40" i="29"/>
  <c r="DU41" i="29"/>
  <c r="DQ40" i="29"/>
  <c r="DQ41" i="29"/>
  <c r="DO40" i="29"/>
  <c r="DO41" i="29"/>
  <c r="DW40" i="29"/>
  <c r="DW41" i="29"/>
  <c r="CT11" i="29"/>
  <c r="CP11" i="29"/>
  <c r="CS11" i="29"/>
  <c r="CL11" i="29"/>
  <c r="CN11" i="29"/>
  <c r="CR11" i="29"/>
  <c r="CJ11" i="29"/>
  <c r="CH11" i="29"/>
  <c r="CQ11" i="29"/>
  <c r="CK11" i="29"/>
  <c r="CO11" i="29"/>
  <c r="CM11" i="29"/>
  <c r="DM22" i="8"/>
  <c r="CF19" i="29"/>
  <c r="DY99" i="15"/>
  <c r="CT40" i="29"/>
  <c r="CT41" i="29"/>
  <c r="CS40" i="29"/>
  <c r="CS41" i="29"/>
  <c r="CU40" i="29"/>
  <c r="CU41" i="29"/>
  <c r="CV40" i="29"/>
  <c r="CV41" i="29"/>
  <c r="CX40" i="29"/>
  <c r="CX41" i="29"/>
  <c r="CY40" i="29"/>
  <c r="CY41" i="29"/>
  <c r="CW40" i="29"/>
  <c r="CW41" i="29"/>
  <c r="DA40" i="29"/>
  <c r="DA41" i="29"/>
  <c r="CZ40" i="29"/>
  <c r="CZ41" i="29"/>
  <c r="CR40" i="29"/>
  <c r="CR41" i="29"/>
  <c r="DB40" i="29"/>
  <c r="DB41" i="29"/>
  <c r="DO43" i="8"/>
  <c r="DU70" i="29"/>
  <c r="DV70" i="29"/>
  <c r="DS70" i="29"/>
  <c r="DW70" i="29"/>
  <c r="DW72" i="29"/>
  <c r="DX70" i="29"/>
  <c r="DX72" i="29"/>
  <c r="DT70" i="29"/>
  <c r="DX41" i="15"/>
  <c r="DI40" i="29"/>
  <c r="DI41" i="29"/>
  <c r="DF40" i="29"/>
  <c r="DF41" i="29"/>
  <c r="DH40" i="29"/>
  <c r="DH41" i="29"/>
  <c r="DJ40" i="29"/>
  <c r="DJ41" i="29"/>
  <c r="DG40" i="29"/>
  <c r="DG41" i="29"/>
  <c r="DK40" i="29"/>
  <c r="DK41" i="29"/>
  <c r="DL40" i="29"/>
  <c r="DL41" i="29"/>
  <c r="DC40" i="29"/>
  <c r="DC41" i="29"/>
  <c r="CK40" i="29"/>
  <c r="CK41" i="29"/>
  <c r="DE40" i="29"/>
  <c r="DE41" i="29"/>
  <c r="DK23" i="29"/>
  <c r="DK24" i="29"/>
  <c r="DB23" i="29"/>
  <c r="DB24" i="29"/>
  <c r="DD23" i="29"/>
  <c r="DD24" i="29"/>
  <c r="DA23" i="29"/>
  <c r="DA24" i="29"/>
  <c r="DE23" i="29"/>
  <c r="DE24" i="29"/>
  <c r="DL23" i="29"/>
  <c r="DL24" i="29"/>
  <c r="DI23" i="29"/>
  <c r="DI24" i="29"/>
  <c r="DH23" i="29"/>
  <c r="DH24" i="29"/>
  <c r="DC23" i="29"/>
  <c r="DC24" i="29"/>
  <c r="DG23" i="29"/>
  <c r="DG24" i="29"/>
  <c r="CW77" i="38"/>
  <c r="DY41" i="15"/>
  <c r="CJ40" i="29"/>
  <c r="CJ41" i="29"/>
  <c r="CP40" i="29"/>
  <c r="CP41" i="29"/>
  <c r="CQ40" i="29"/>
  <c r="CQ41" i="29"/>
  <c r="CF40" i="29"/>
  <c r="CF41" i="29"/>
  <c r="CH40" i="29"/>
  <c r="CH41" i="29"/>
  <c r="CO40" i="29"/>
  <c r="CO41" i="29"/>
  <c r="CE40" i="29"/>
  <c r="CE41" i="29"/>
  <c r="CL40" i="29"/>
  <c r="CL41" i="29"/>
  <c r="DO71" i="29"/>
  <c r="DS71" i="29"/>
  <c r="DX103" i="15"/>
  <c r="DU71" i="29"/>
  <c r="DQ11" i="29"/>
  <c r="DR11" i="29"/>
  <c r="DR19" i="29"/>
  <c r="DR20" i="29"/>
  <c r="DC19" i="29"/>
  <c r="DC20" i="29"/>
  <c r="CX19" i="29"/>
  <c r="DQ70" i="29"/>
  <c r="DR70" i="29"/>
  <c r="CI15" i="29"/>
  <c r="BZ40" i="29"/>
  <c r="BZ41" i="29"/>
  <c r="CA40" i="29"/>
  <c r="CA41" i="29"/>
  <c r="BT40" i="29"/>
  <c r="BT41" i="29"/>
  <c r="CI11" i="29"/>
  <c r="CZ15" i="29"/>
  <c r="DF15" i="29"/>
  <c r="DF20" i="29"/>
  <c r="DA15" i="29"/>
  <c r="DA20" i="29"/>
  <c r="DA11" i="29"/>
  <c r="DV40" i="29"/>
  <c r="DV41" i="29"/>
  <c r="CG40" i="29"/>
  <c r="CG41" i="29"/>
  <c r="CI40" i="29"/>
  <c r="CI41" i="29"/>
  <c r="DR40" i="29"/>
  <c r="DR41" i="29"/>
  <c r="DN40" i="29"/>
  <c r="DN41" i="29"/>
  <c r="CV29" i="38"/>
  <c r="DO33" i="29"/>
  <c r="CZ23" i="29"/>
  <c r="CZ24" i="29"/>
  <c r="CQ19" i="29"/>
  <c r="DV28" i="29"/>
  <c r="DL15" i="29"/>
  <c r="CY29" i="38"/>
  <c r="CW19" i="29"/>
  <c r="DA86" i="38"/>
  <c r="CY77" i="38"/>
  <c r="DJ79" i="38"/>
  <c r="DJ90" i="38"/>
  <c r="CZ77" i="38"/>
  <c r="EA99" i="15"/>
  <c r="EB64" i="15"/>
  <c r="EC69" i="15"/>
  <c r="ED14" i="15"/>
  <c r="ED16" i="15"/>
  <c r="DC77" i="38"/>
  <c r="EA33" i="29"/>
  <c r="DY19" i="29"/>
  <c r="EB14" i="15"/>
  <c r="EB16" i="15"/>
  <c r="CD418" i="41"/>
  <c r="CF418" i="41"/>
  <c r="CE511" i="41"/>
  <c r="CD511" i="41"/>
  <c r="CF511" i="41"/>
  <c r="GU47" i="15"/>
  <c r="DQ43" i="8"/>
  <c r="CE326" i="40"/>
  <c r="CE327" i="40"/>
  <c r="DQ34" i="8"/>
  <c r="DP34" i="8"/>
  <c r="ED41" i="15"/>
  <c r="CE418" i="41"/>
  <c r="CD509" i="41"/>
  <c r="DQ22" i="8"/>
  <c r="CF389" i="40"/>
  <c r="CE389" i="40"/>
  <c r="CE393" i="40"/>
  <c r="CE394" i="40"/>
  <c r="CG389" i="40"/>
  <c r="EC41" i="15"/>
  <c r="CG387" i="40"/>
  <c r="DQ11" i="8"/>
  <c r="DQ24" i="8"/>
  <c r="CE509" i="41"/>
  <c r="CE396" i="40"/>
  <c r="CE391" i="40"/>
  <c r="CE392" i="40"/>
  <c r="CG386" i="40"/>
  <c r="CG396" i="40"/>
  <c r="CF396" i="40"/>
  <c r="CF391" i="40"/>
  <c r="CF392" i="40"/>
  <c r="EB69" i="15"/>
  <c r="CE516" i="41"/>
  <c r="EC21" i="15"/>
  <c r="CF509" i="41"/>
  <c r="CF326" i="40"/>
  <c r="CF327" i="40"/>
  <c r="CG326" i="40"/>
  <c r="CG327" i="40"/>
  <c r="CF516" i="41"/>
  <c r="EC54" i="15"/>
  <c r="EC90" i="15"/>
  <c r="ED99" i="15"/>
  <c r="ED54" i="15"/>
  <c r="DR11" i="8"/>
  <c r="DR24" i="8"/>
  <c r="DP22" i="8"/>
  <c r="ED90" i="15"/>
  <c r="EB41" i="15"/>
  <c r="EC14" i="15"/>
  <c r="EC16" i="15"/>
  <c r="EC99" i="15"/>
  <c r="DR34" i="8"/>
  <c r="EC64" i="15"/>
  <c r="ED69" i="15"/>
  <c r="EB90" i="15"/>
  <c r="ED64" i="15"/>
  <c r="EB54" i="15"/>
  <c r="DA77" i="38"/>
  <c r="EB99" i="15"/>
  <c r="DR43" i="8"/>
  <c r="DP11" i="8"/>
  <c r="DP24" i="8"/>
  <c r="DP58" i="8"/>
  <c r="DR22" i="8"/>
  <c r="DP43" i="8"/>
  <c r="DB77" i="38"/>
  <c r="DC29" i="38"/>
  <c r="DA29" i="38"/>
  <c r="BC15" i="49"/>
  <c r="BA26" i="49"/>
  <c r="AD3" i="49"/>
  <c r="AD15" i="49"/>
  <c r="BA15" i="49"/>
  <c r="DY23" i="29"/>
  <c r="DY24" i="29"/>
  <c r="DY15" i="29"/>
  <c r="DY71" i="29"/>
  <c r="EA19" i="29"/>
  <c r="EA20" i="29"/>
  <c r="DB18" i="38"/>
  <c r="DA18" i="38"/>
  <c r="DC18" i="38"/>
  <c r="EF21" i="15"/>
  <c r="EE54" i="15"/>
  <c r="EA84" i="29"/>
  <c r="EA85" i="29"/>
  <c r="DZ83" i="29"/>
  <c r="DY46" i="29"/>
  <c r="CE325" i="40"/>
  <c r="CG391" i="40"/>
  <c r="CG392" i="40"/>
  <c r="DY33" i="29"/>
  <c r="EA15" i="29"/>
  <c r="EA28" i="29"/>
  <c r="EA36" i="29"/>
  <c r="DZ23" i="29"/>
  <c r="DZ24" i="29"/>
  <c r="DZ70" i="29"/>
  <c r="EA23" i="29"/>
  <c r="EA24" i="29"/>
  <c r="DY28" i="29"/>
  <c r="DZ19" i="29"/>
  <c r="EA71" i="29"/>
  <c r="CG516" i="41"/>
  <c r="EA78" i="29"/>
  <c r="DB29" i="38"/>
  <c r="DZ71" i="29"/>
  <c r="DZ15" i="29"/>
  <c r="DY70" i="29"/>
  <c r="DY77" i="29"/>
  <c r="DZ77" i="29"/>
  <c r="EA77" i="29"/>
  <c r="EA70" i="29"/>
  <c r="DY78" i="29"/>
  <c r="DZ78" i="29"/>
  <c r="DY11" i="29"/>
  <c r="DY40" i="29"/>
  <c r="DY41" i="29"/>
  <c r="DZ11" i="29"/>
  <c r="DZ40" i="29"/>
  <c r="DZ41" i="29"/>
  <c r="EA40" i="29"/>
  <c r="EA41" i="29"/>
  <c r="EA11" i="29"/>
  <c r="CG509" i="41"/>
  <c r="GW47" i="15"/>
  <c r="EE21" i="15"/>
  <c r="CH389" i="40"/>
  <c r="EE14" i="15"/>
  <c r="EE16" i="15"/>
  <c r="EF103" i="15"/>
  <c r="CH386" i="40"/>
  <c r="CJ396" i="40"/>
  <c r="CJ398" i="40"/>
  <c r="CI396" i="40"/>
  <c r="DS11" i="8"/>
  <c r="DU11" i="8"/>
  <c r="ED46" i="29"/>
  <c r="ED83" i="29"/>
  <c r="ED85" i="29"/>
  <c r="EC83" i="29"/>
  <c r="EC84" i="29"/>
  <c r="EC85" i="29"/>
  <c r="CJ389" i="40"/>
  <c r="CI389" i="40"/>
  <c r="CI391" i="40"/>
  <c r="CI392" i="40"/>
  <c r="CH396" i="40"/>
  <c r="CH398" i="40"/>
  <c r="AL327" i="40"/>
  <c r="BR327" i="40"/>
  <c r="BB327" i="40"/>
  <c r="BH327" i="40"/>
  <c r="AZ327" i="40"/>
  <c r="BE327" i="40"/>
  <c r="BS327" i="40"/>
  <c r="CJ326" i="40"/>
  <c r="AQ327" i="40"/>
  <c r="BW327" i="40"/>
  <c r="BO327" i="40"/>
  <c r="CH326" i="40"/>
  <c r="CH327" i="40"/>
  <c r="BF327" i="40"/>
  <c r="CH393" i="40"/>
  <c r="CH394" i="40"/>
  <c r="CJ325" i="40"/>
  <c r="CI393" i="40"/>
  <c r="CI394" i="40"/>
  <c r="CJ393" i="40"/>
  <c r="CJ394" i="40"/>
  <c r="CI325" i="40"/>
  <c r="CI327" i="40"/>
  <c r="CH325" i="40"/>
  <c r="BQ86" i="15"/>
  <c r="DD18" i="38"/>
  <c r="CI49" i="38"/>
  <c r="DE18" i="38"/>
  <c r="CI418" i="41"/>
  <c r="CH418" i="41"/>
  <c r="CG418" i="41"/>
  <c r="DF86" i="38"/>
  <c r="DD86" i="38"/>
  <c r="EC33" i="29"/>
  <c r="DE86" i="38"/>
  <c r="EB33" i="29"/>
  <c r="DE29" i="38"/>
  <c r="EF69" i="15"/>
  <c r="EE69" i="15"/>
  <c r="EF41" i="15"/>
  <c r="EF14" i="15"/>
  <c r="EF16" i="15"/>
  <c r="EE64" i="15"/>
  <c r="EF99" i="15"/>
  <c r="EE41" i="15"/>
  <c r="EF90" i="15"/>
  <c r="EF54" i="15"/>
  <c r="EE90" i="15"/>
  <c r="EF64" i="15"/>
  <c r="EF71" i="15"/>
  <c r="DU34" i="8"/>
  <c r="DT22" i="8"/>
  <c r="DT24" i="8"/>
  <c r="DU22" i="8"/>
  <c r="DS34" i="8"/>
  <c r="DT43" i="8"/>
  <c r="DS22" i="8"/>
  <c r="DU43" i="8"/>
  <c r="EC46" i="29"/>
  <c r="EB84" i="29"/>
  <c r="ED84" i="29"/>
  <c r="ED33" i="29"/>
  <c r="DD29" i="38"/>
  <c r="DF18" i="38"/>
  <c r="EC11" i="29"/>
  <c r="ED11" i="29"/>
  <c r="EB11" i="29"/>
  <c r="EC40" i="29"/>
  <c r="EC41" i="29"/>
  <c r="EB40" i="29"/>
  <c r="EB41" i="29"/>
  <c r="ED40" i="29"/>
  <c r="ED41" i="29"/>
  <c r="ED28" i="29"/>
  <c r="DF29" i="38"/>
  <c r="ED15" i="29"/>
  <c r="EC15" i="29"/>
  <c r="EB15" i="29"/>
  <c r="ED70" i="29"/>
  <c r="EC70" i="29"/>
  <c r="EB70" i="29"/>
  <c r="ED23" i="29"/>
  <c r="ED24" i="29"/>
  <c r="EB23" i="29"/>
  <c r="EB24" i="29"/>
  <c r="EC23" i="29"/>
  <c r="EC24" i="29"/>
  <c r="ED71" i="29"/>
  <c r="EB71" i="29"/>
  <c r="EB72" i="29"/>
  <c r="EC71" i="29"/>
  <c r="ED19" i="29"/>
  <c r="EC19" i="29"/>
  <c r="EC20" i="29"/>
  <c r="EB19" i="29"/>
  <c r="EB28" i="29"/>
  <c r="EC78" i="29"/>
  <c r="EB78" i="29"/>
  <c r="ED78" i="29"/>
  <c r="EC28" i="29"/>
  <c r="EC77" i="29"/>
  <c r="EB77" i="29"/>
  <c r="ED77" i="29"/>
  <c r="DF77" i="38"/>
  <c r="EE99" i="15"/>
  <c r="DD77" i="38"/>
  <c r="DE77" i="38"/>
  <c r="DS43" i="8"/>
  <c r="CB392" i="40"/>
  <c r="DF50" i="38"/>
  <c r="BX86" i="15"/>
  <c r="EJ21" i="15"/>
  <c r="CN49" i="38"/>
  <c r="CA49" i="38"/>
  <c r="CC327" i="40"/>
  <c r="CA50" i="38"/>
  <c r="CV49" i="38"/>
  <c r="DV79" i="15"/>
  <c r="BL392" i="40"/>
  <c r="AZ392" i="40"/>
  <c r="AV392" i="40"/>
  <c r="DH50" i="38"/>
  <c r="EE11" i="29"/>
  <c r="EI21" i="15"/>
  <c r="DD50" i="38"/>
  <c r="DR83" i="15"/>
  <c r="CT49" i="38"/>
  <c r="CT51" i="38"/>
  <c r="DI49" i="38"/>
  <c r="DF49" i="38"/>
  <c r="DF51" i="38"/>
  <c r="DW79" i="15"/>
  <c r="CL386" i="40"/>
  <c r="CJ516" i="41"/>
  <c r="CM386" i="40"/>
  <c r="CM391" i="40"/>
  <c r="HB108" i="15"/>
  <c r="HB109" i="15"/>
  <c r="CL389" i="40"/>
  <c r="CM325" i="40"/>
  <c r="CM326" i="40"/>
  <c r="CK389" i="40"/>
  <c r="CL396" i="40"/>
  <c r="CM396" i="40"/>
  <c r="CM387" i="40"/>
  <c r="EJ103" i="15"/>
  <c r="CM389" i="40"/>
  <c r="CM393" i="40"/>
  <c r="CM394" i="40"/>
  <c r="CL387" i="40"/>
  <c r="CK386" i="40"/>
  <c r="CK396" i="40"/>
  <c r="CK391" i="40"/>
  <c r="CK392" i="40"/>
  <c r="CL393" i="40"/>
  <c r="CL394" i="40"/>
  <c r="CL326" i="40"/>
  <c r="EI103" i="15"/>
  <c r="CL325" i="40"/>
  <c r="CL327" i="40"/>
  <c r="CK393" i="40"/>
  <c r="CK394" i="40"/>
  <c r="CK325" i="40"/>
  <c r="CL391" i="40"/>
  <c r="CL392" i="40"/>
  <c r="CK326" i="40"/>
  <c r="CL509" i="41"/>
  <c r="D241" i="16"/>
  <c r="E241" i="16"/>
  <c r="G242" i="16"/>
  <c r="G241" i="16"/>
  <c r="D242" i="16"/>
  <c r="E242" i="16"/>
  <c r="D243" i="16"/>
  <c r="E243" i="16"/>
  <c r="G244" i="16"/>
  <c r="G243" i="16"/>
  <c r="D244" i="16"/>
  <c r="D245" i="16"/>
  <c r="E245" i="16"/>
  <c r="G245" i="16"/>
  <c r="G246" i="16"/>
  <c r="E244" i="16"/>
  <c r="D246" i="16"/>
  <c r="E246" i="16"/>
  <c r="D247" i="16"/>
  <c r="E247" i="16"/>
  <c r="G247" i="16"/>
  <c r="G248" i="16"/>
  <c r="D248" i="16"/>
  <c r="E248" i="16"/>
  <c r="D249" i="16"/>
  <c r="G249" i="16"/>
  <c r="E249" i="16"/>
  <c r="D250" i="16"/>
  <c r="F251" i="16"/>
  <c r="G251" i="16"/>
  <c r="G250" i="16"/>
  <c r="E250" i="16"/>
  <c r="D251" i="16"/>
  <c r="F252" i="16"/>
  <c r="D252" i="16"/>
  <c r="E252" i="16"/>
  <c r="F253" i="16"/>
  <c r="G252" i="16"/>
  <c r="E251" i="16"/>
  <c r="D253" i="16"/>
  <c r="F254" i="16"/>
  <c r="G253" i="16"/>
  <c r="F255" i="16"/>
  <c r="D254" i="16"/>
  <c r="G254" i="16"/>
  <c r="E253" i="16"/>
  <c r="E254" i="16"/>
  <c r="F72" i="1"/>
  <c r="D255" i="16"/>
  <c r="E255" i="16"/>
  <c r="F256" i="16"/>
  <c r="G255" i="16"/>
  <c r="F257" i="16"/>
  <c r="D256" i="16"/>
  <c r="E256" i="16"/>
  <c r="G256" i="16"/>
  <c r="F258" i="16"/>
  <c r="D257" i="16"/>
  <c r="E257" i="16"/>
  <c r="G257" i="16"/>
  <c r="D258" i="16"/>
  <c r="E258" i="16"/>
  <c r="F259" i="16"/>
  <c r="G258" i="16"/>
  <c r="F260" i="16"/>
  <c r="G260" i="16"/>
  <c r="D259" i="16"/>
  <c r="E259" i="16"/>
  <c r="G259" i="16"/>
  <c r="D260" i="16"/>
  <c r="E260" i="16"/>
  <c r="F261" i="16"/>
  <c r="D261" i="16"/>
  <c r="E261" i="16"/>
  <c r="G261" i="16"/>
  <c r="DG86" i="38"/>
  <c r="EE78" i="29"/>
  <c r="CK513" i="41"/>
  <c r="CJ511" i="41"/>
  <c r="EG15" i="29"/>
  <c r="EE23" i="29"/>
  <c r="EE24" i="29"/>
  <c r="EG28" i="29"/>
  <c r="EE28" i="29"/>
  <c r="EE36" i="29"/>
  <c r="DH86" i="38"/>
  <c r="CK511" i="41"/>
  <c r="CL513" i="41"/>
  <c r="EE19" i="29"/>
  <c r="EE20" i="29"/>
  <c r="DV11" i="8"/>
  <c r="EE77" i="29"/>
  <c r="DI86" i="38"/>
  <c r="EF19" i="29"/>
  <c r="EF20" i="29"/>
  <c r="CJ513" i="41"/>
  <c r="EF23" i="29"/>
  <c r="EF24" i="29"/>
  <c r="EG83" i="29"/>
  <c r="EG33" i="29"/>
  <c r="EG36" i="29"/>
  <c r="EF11" i="29"/>
  <c r="EF46" i="29"/>
  <c r="DE20" i="29"/>
  <c r="EA72" i="29"/>
  <c r="EF77" i="29"/>
  <c r="DM20" i="29"/>
  <c r="EF15" i="29"/>
  <c r="EF40" i="29"/>
  <c r="EF41" i="29"/>
  <c r="EG77" i="29"/>
  <c r="EF33" i="29"/>
  <c r="EG46" i="29"/>
  <c r="EF28" i="29"/>
  <c r="EG71" i="29"/>
  <c r="EE15" i="29"/>
  <c r="EE40" i="29"/>
  <c r="EE41" i="29"/>
  <c r="DQ36" i="29"/>
  <c r="EF78" i="29"/>
  <c r="EE46" i="29"/>
  <c r="EF84" i="29"/>
  <c r="EF85" i="29"/>
  <c r="EF71" i="29"/>
  <c r="EG40" i="29"/>
  <c r="EG41" i="29"/>
  <c r="EE70" i="29"/>
  <c r="EE72" i="29"/>
  <c r="EG84" i="29"/>
  <c r="EG85" i="29"/>
  <c r="EG11" i="29"/>
  <c r="EG23" i="29"/>
  <c r="EG24" i="29"/>
  <c r="EE71" i="29"/>
  <c r="CJ418" i="41"/>
  <c r="EG78" i="29"/>
  <c r="CT24" i="8"/>
  <c r="DV43" i="8"/>
  <c r="EH69" i="15"/>
  <c r="DG29" i="38"/>
  <c r="EJ14" i="15"/>
  <c r="EJ16" i="15"/>
  <c r="DG18" i="38"/>
  <c r="EI41" i="15"/>
  <c r="DI77" i="38"/>
  <c r="EJ41" i="15"/>
  <c r="EJ69" i="15"/>
  <c r="DI18" i="38"/>
  <c r="EH99" i="15"/>
  <c r="EJ99" i="15"/>
  <c r="DH18" i="38"/>
  <c r="EH54" i="15"/>
  <c r="EI14" i="15"/>
  <c r="EI16" i="15"/>
  <c r="EI64" i="15"/>
  <c r="EJ64" i="15"/>
  <c r="EI69" i="15"/>
  <c r="EI54" i="15"/>
  <c r="DW11" i="8"/>
  <c r="DW43" i="8"/>
  <c r="DV22" i="8"/>
  <c r="DV24" i="8"/>
  <c r="DH29" i="38"/>
  <c r="DL31" i="38"/>
  <c r="DW34" i="8"/>
  <c r="DX22" i="8"/>
  <c r="DW22" i="8"/>
  <c r="DX34" i="8"/>
  <c r="DI29" i="38"/>
  <c r="DX11" i="8"/>
  <c r="DV34" i="8"/>
  <c r="EH90" i="15"/>
  <c r="EH41" i="15"/>
  <c r="EF70" i="29"/>
  <c r="EG70" i="29"/>
  <c r="EJ54" i="15"/>
  <c r="EH103" i="15"/>
  <c r="EH64" i="15"/>
  <c r="EH14" i="15"/>
  <c r="EH16" i="15"/>
  <c r="EI90" i="15"/>
  <c r="EG19" i="29"/>
  <c r="EE33" i="29"/>
  <c r="EJ90" i="15"/>
  <c r="EE83" i="29"/>
  <c r="EE85" i="29"/>
  <c r="DH77" i="38"/>
  <c r="DG77" i="38"/>
  <c r="EI99" i="15"/>
  <c r="DX43" i="8"/>
  <c r="CG58" i="38"/>
  <c r="CY60" i="38"/>
  <c r="CY20" i="8"/>
  <c r="CY22" i="8"/>
  <c r="CY24" i="8"/>
  <c r="CY58" i="8"/>
  <c r="CX20" i="8"/>
  <c r="CX22" i="8"/>
  <c r="CX24" i="8"/>
  <c r="CJ59" i="38"/>
  <c r="CI59" i="38"/>
  <c r="CI60" i="38"/>
  <c r="CH58" i="38"/>
  <c r="CZ58" i="38"/>
  <c r="DK59" i="38"/>
  <c r="CC58" i="38"/>
  <c r="CC62" i="38"/>
  <c r="CX58" i="38"/>
  <c r="CB58" i="38"/>
  <c r="CW57" i="38"/>
  <c r="CW60" i="38"/>
  <c r="CW62" i="38"/>
  <c r="DC20" i="8"/>
  <c r="DC22" i="8"/>
  <c r="DC24" i="8"/>
  <c r="DC58" i="8"/>
  <c r="CA60" i="38"/>
  <c r="DF58" i="38"/>
  <c r="CW59" i="38"/>
  <c r="CN58" i="38"/>
  <c r="CQ57" i="38"/>
  <c r="CS59" i="38"/>
  <c r="CD58" i="38"/>
  <c r="DI60" i="38"/>
  <c r="DA20" i="8"/>
  <c r="DA22" i="8"/>
  <c r="DA24" i="8"/>
  <c r="CH59" i="38"/>
  <c r="CO57" i="38"/>
  <c r="DI57" i="38"/>
  <c r="DI62" i="38"/>
  <c r="DE60" i="38"/>
  <c r="CY58" i="38"/>
  <c r="DA58" i="38"/>
  <c r="CK60" i="38"/>
  <c r="CV60" i="38"/>
  <c r="CL57" i="38"/>
  <c r="CY33" i="8"/>
  <c r="CY34" i="8"/>
  <c r="DA57" i="38"/>
  <c r="DF60" i="38"/>
  <c r="CU59" i="38"/>
  <c r="CK59" i="38"/>
  <c r="CY57" i="38"/>
  <c r="CX57" i="38"/>
  <c r="DE59" i="38"/>
  <c r="CJ58" i="38"/>
  <c r="CZ57" i="38"/>
  <c r="CF60" i="38"/>
  <c r="DE57" i="38"/>
  <c r="DA60" i="38"/>
  <c r="CU33" i="8"/>
  <c r="CU34" i="8"/>
  <c r="DB57" i="38"/>
  <c r="DA33" i="8"/>
  <c r="DA34" i="8"/>
  <c r="CN59" i="38"/>
  <c r="DC33" i="8"/>
  <c r="DC34" i="8"/>
  <c r="CB59" i="38"/>
  <c r="BZ60" i="38"/>
  <c r="CN57" i="38"/>
  <c r="CZ20" i="8"/>
  <c r="CZ22" i="8"/>
  <c r="CZ24" i="8"/>
  <c r="CS57" i="38"/>
  <c r="CE58" i="38"/>
  <c r="DJ57" i="38"/>
  <c r="DI59" i="38"/>
  <c r="DD59" i="38"/>
  <c r="DD62" i="38"/>
  <c r="CK57" i="38"/>
  <c r="CK62" i="38"/>
  <c r="CV33" i="8"/>
  <c r="CV34" i="8"/>
  <c r="CO59" i="38"/>
  <c r="DB20" i="8"/>
  <c r="DB22" i="8"/>
  <c r="DB24" i="8"/>
  <c r="CV58" i="38"/>
  <c r="CW58" i="38"/>
  <c r="CG57" i="38"/>
  <c r="CP60" i="38"/>
  <c r="CU57" i="38"/>
  <c r="DC59" i="38"/>
  <c r="CR60" i="38"/>
  <c r="DG58" i="38"/>
  <c r="CV59" i="38"/>
  <c r="DC57" i="38"/>
  <c r="CI58" i="38"/>
  <c r="CQ58" i="38"/>
  <c r="CC60" i="38"/>
  <c r="DB33" i="8"/>
  <c r="DB34" i="8"/>
  <c r="CH60" i="38"/>
  <c r="CS58" i="38"/>
  <c r="DB58" i="38"/>
  <c r="DG59" i="38"/>
  <c r="DF59" i="38"/>
  <c r="DF62" i="38"/>
  <c r="CM57" i="38"/>
  <c r="CZ59" i="38"/>
  <c r="DD60" i="38"/>
  <c r="CW33" i="8"/>
  <c r="CW34" i="8"/>
  <c r="CP57" i="38"/>
  <c r="DK86" i="38"/>
  <c r="CR58" i="38"/>
  <c r="CC57" i="38"/>
  <c r="CU20" i="8"/>
  <c r="CU22" i="8"/>
  <c r="CU24" i="8"/>
  <c r="DC58" i="38"/>
  <c r="DC62" i="38"/>
  <c r="DH60" i="38"/>
  <c r="CL59" i="38"/>
  <c r="CT58" i="38"/>
  <c r="CQ59" i="38"/>
  <c r="CE57" i="38"/>
  <c r="DI58" i="38"/>
  <c r="CA57" i="38"/>
  <c r="CZ33" i="8"/>
  <c r="CZ34" i="8"/>
  <c r="CM59" i="38"/>
  <c r="CS60" i="38"/>
  <c r="CU58" i="38"/>
  <c r="CX60" i="38"/>
  <c r="CE60" i="38"/>
  <c r="DA59" i="38"/>
  <c r="DA62" i="38"/>
  <c r="BZ59" i="38"/>
  <c r="CY59" i="38"/>
  <c r="DD58" i="38"/>
  <c r="CR57" i="38"/>
  <c r="CM60" i="38"/>
  <c r="CT59" i="38"/>
  <c r="BY59" i="38"/>
  <c r="DB59" i="38"/>
  <c r="DB62" i="38"/>
  <c r="DG60" i="38"/>
  <c r="CI57" i="38"/>
  <c r="CO58" i="38"/>
  <c r="BX59" i="38"/>
  <c r="CL60" i="38"/>
  <c r="DF57" i="38"/>
  <c r="CN60" i="38"/>
  <c r="BW59" i="38"/>
  <c r="BW57" i="38"/>
  <c r="BY58" i="38"/>
  <c r="BW58" i="38"/>
  <c r="CF58" i="38"/>
  <c r="CZ60" i="38"/>
  <c r="CL58" i="38"/>
  <c r="CF59" i="38"/>
  <c r="EJ78" i="29"/>
  <c r="DL60" i="38"/>
  <c r="DK60" i="38"/>
  <c r="EJ28" i="29"/>
  <c r="BY57" i="38"/>
  <c r="BY62" i="38"/>
  <c r="CF57" i="38"/>
  <c r="CV57" i="38"/>
  <c r="CM58" i="38"/>
  <c r="CR59" i="38"/>
  <c r="BY60" i="38"/>
  <c r="BX57" i="38"/>
  <c r="BX62" i="38"/>
  <c r="CU60" i="38"/>
  <c r="CG59" i="38"/>
  <c r="CV20" i="8"/>
  <c r="CV22" i="8"/>
  <c r="CV24" i="8"/>
  <c r="CV58" i="8"/>
  <c r="BX58" i="38"/>
  <c r="CH57" i="38"/>
  <c r="CT57" i="38"/>
  <c r="CP58" i="38"/>
  <c r="CD57" i="38"/>
  <c r="CX38" i="8"/>
  <c r="DF32" i="8"/>
  <c r="DF34" i="8"/>
  <c r="CT60" i="38"/>
  <c r="CG60" i="38"/>
  <c r="DD57" i="38"/>
  <c r="CD60" i="38"/>
  <c r="DH59" i="38"/>
  <c r="BZ58" i="38"/>
  <c r="DC38" i="8"/>
  <c r="DC41" i="8"/>
  <c r="CA59" i="38"/>
  <c r="CP59" i="38"/>
  <c r="DG57" i="38"/>
  <c r="CO60" i="38"/>
  <c r="DH57" i="38"/>
  <c r="DH62" i="38"/>
  <c r="DL59" i="38"/>
  <c r="CK58" i="38"/>
  <c r="CQ60" i="38"/>
  <c r="BX60" i="38"/>
  <c r="DH58" i="38"/>
  <c r="DC60" i="38"/>
  <c r="CE59" i="38"/>
  <c r="CJ57" i="38"/>
  <c r="BW60" i="38"/>
  <c r="CJ60" i="38"/>
  <c r="BZ57" i="38"/>
  <c r="BZ62" i="38"/>
  <c r="CA58" i="38"/>
  <c r="CB60" i="38"/>
  <c r="CX59" i="38"/>
  <c r="CX33" i="8"/>
  <c r="CX34" i="8"/>
  <c r="CW20" i="8"/>
  <c r="CW22" i="8"/>
  <c r="CW24" i="8"/>
  <c r="DE58" i="38"/>
  <c r="CD59" i="38"/>
  <c r="CD62" i="38"/>
  <c r="CC59" i="38"/>
  <c r="DB60" i="38"/>
  <c r="DL86" i="38"/>
  <c r="DJ58" i="38"/>
  <c r="EH33" i="29"/>
  <c r="EH70" i="29"/>
  <c r="DJ59" i="38"/>
  <c r="DK57" i="38"/>
  <c r="DK62" i="38"/>
  <c r="DL57" i="38"/>
  <c r="EJ71" i="29"/>
  <c r="EI33" i="29"/>
  <c r="DJ60" i="38"/>
  <c r="DK58" i="38"/>
  <c r="DL58" i="38"/>
  <c r="EH15" i="29"/>
  <c r="EH78" i="29"/>
  <c r="EH40" i="29"/>
  <c r="EH41" i="29"/>
  <c r="EI70" i="29"/>
  <c r="EJ15" i="29"/>
  <c r="CP391" i="40"/>
  <c r="CP392" i="40"/>
  <c r="D7" i="48"/>
  <c r="D7" i="42"/>
  <c r="J74" i="64"/>
  <c r="P74" i="64"/>
  <c r="J72" i="64"/>
  <c r="K36" i="65"/>
  <c r="T139" i="64"/>
  <c r="D77" i="64"/>
  <c r="T120" i="1"/>
  <c r="V120" i="1"/>
  <c r="D52" i="44"/>
  <c r="T139" i="1"/>
  <c r="T112" i="1"/>
  <c r="V112" i="1"/>
  <c r="D44" i="44"/>
  <c r="D45" i="59"/>
  <c r="D35" i="44"/>
  <c r="D36" i="59"/>
  <c r="L12" i="1"/>
  <c r="F30" i="66"/>
  <c r="F31" i="59"/>
  <c r="H30" i="60"/>
  <c r="D57" i="42"/>
  <c r="D58" i="45"/>
  <c r="H58" i="45"/>
  <c r="EH71" i="29"/>
  <c r="EH72" i="29"/>
  <c r="EJ83" i="29"/>
  <c r="EI40" i="29"/>
  <c r="EI41" i="29"/>
  <c r="DY72" i="29"/>
  <c r="DI20" i="29"/>
  <c r="EI83" i="29"/>
  <c r="EH28" i="29"/>
  <c r="DV85" i="29"/>
  <c r="EI71" i="29"/>
  <c r="DQ20" i="29"/>
  <c r="EC72" i="29"/>
  <c r="DZ72" i="29"/>
  <c r="DJ61" i="29"/>
  <c r="EI28" i="29"/>
  <c r="EI36" i="29"/>
  <c r="DO36" i="29"/>
  <c r="DR36" i="29"/>
  <c r="EH19" i="29"/>
  <c r="EH20" i="29"/>
  <c r="EJ19" i="29"/>
  <c r="DH36" i="29"/>
  <c r="DR61" i="29"/>
  <c r="A179" i="1"/>
  <c r="A179" i="64"/>
  <c r="A3" i="8"/>
  <c r="B3" i="65"/>
  <c r="B51" i="2"/>
  <c r="B109" i="2"/>
  <c r="DQ61" i="29"/>
  <c r="A241" i="1"/>
  <c r="C51" i="2"/>
  <c r="C108" i="2"/>
  <c r="EI15" i="29"/>
  <c r="D44" i="66"/>
  <c r="D35" i="60"/>
  <c r="D35" i="46"/>
  <c r="D35" i="42"/>
  <c r="D36" i="45"/>
  <c r="D44" i="42"/>
  <c r="H44" i="44"/>
  <c r="D44" i="48"/>
  <c r="H44" i="48"/>
  <c r="D44" i="47"/>
  <c r="F44" i="47"/>
  <c r="F44" i="44"/>
  <c r="D45" i="45"/>
  <c r="H45" i="45"/>
  <c r="D44" i="46"/>
  <c r="F44" i="46"/>
  <c r="D44" i="60"/>
  <c r="F44" i="60"/>
  <c r="H44" i="46"/>
  <c r="D35" i="66"/>
  <c r="D35" i="48"/>
  <c r="D35" i="47"/>
  <c r="F45" i="59"/>
  <c r="H45" i="59"/>
  <c r="F44" i="66"/>
  <c r="H44" i="66"/>
  <c r="F45" i="45"/>
  <c r="H44" i="60"/>
  <c r="H44" i="47"/>
  <c r="F44" i="42"/>
  <c r="H44" i="42"/>
  <c r="EI46" i="29"/>
  <c r="EJ46" i="29"/>
  <c r="EI84" i="29"/>
  <c r="EI85" i="29"/>
  <c r="EJ77" i="29"/>
  <c r="EI23" i="29"/>
  <c r="EI24" i="29"/>
  <c r="EJ23" i="29"/>
  <c r="EJ24" i="29"/>
  <c r="EH36" i="29"/>
  <c r="EI78" i="29"/>
  <c r="HE10" i="15"/>
  <c r="EJ70" i="29"/>
  <c r="EJ11" i="29"/>
  <c r="EI77" i="29"/>
  <c r="EH77" i="29"/>
  <c r="EI11" i="29"/>
  <c r="EH11" i="29"/>
  <c r="EJ85" i="29"/>
  <c r="EI72" i="29"/>
  <c r="EK46" i="29"/>
  <c r="EK71" i="29"/>
  <c r="EK83" i="29"/>
  <c r="EL46" i="29"/>
  <c r="EK84" i="29"/>
  <c r="EI19" i="29"/>
  <c r="EI20" i="29"/>
  <c r="BY3" i="49"/>
  <c r="BY26" i="49"/>
  <c r="BY37" i="49"/>
  <c r="BL26" i="49"/>
  <c r="BL37" i="49"/>
  <c r="BX15" i="49"/>
  <c r="BM3" i="49"/>
  <c r="BM15" i="49"/>
  <c r="BE3" i="49"/>
  <c r="BB15" i="49"/>
  <c r="BE15" i="49"/>
  <c r="BH3" i="49"/>
  <c r="BH26" i="49"/>
  <c r="BE26" i="49"/>
  <c r="BH15" i="49"/>
  <c r="P162" i="64"/>
  <c r="CT31" i="38"/>
  <c r="DT27" i="38"/>
  <c r="DV26" i="38"/>
  <c r="DV27" i="38"/>
  <c r="BB31" i="38"/>
  <c r="DC20" i="38"/>
  <c r="BX20" i="38"/>
  <c r="DH31" i="38"/>
  <c r="P144" i="1"/>
  <c r="DI24" i="8"/>
  <c r="DI58" i="8"/>
  <c r="CB24" i="8"/>
  <c r="BZ24" i="8"/>
  <c r="CS24" i="8"/>
  <c r="CS45" i="8"/>
  <c r="CS52" i="8"/>
  <c r="CJ24" i="8"/>
  <c r="EC71" i="15"/>
  <c r="FD6" i="15"/>
  <c r="EK69" i="15"/>
  <c r="EK64" i="15"/>
  <c r="CP389" i="40"/>
  <c r="EM14" i="15"/>
  <c r="CO396" i="40"/>
  <c r="CP325" i="40"/>
  <c r="CP327" i="40"/>
  <c r="EL11" i="29"/>
  <c r="CN396" i="40"/>
  <c r="DL77" i="38"/>
  <c r="CN391" i="40"/>
  <c r="CN392" i="40"/>
  <c r="CO325" i="40"/>
  <c r="HD47" i="15"/>
  <c r="CO326" i="40"/>
  <c r="CO327" i="40"/>
  <c r="CP396" i="40"/>
  <c r="CO389" i="40"/>
  <c r="CN393" i="40"/>
  <c r="CN394" i="40"/>
  <c r="CP393" i="40"/>
  <c r="CP394" i="40"/>
  <c r="HE47" i="15"/>
  <c r="EM103" i="15"/>
  <c r="CO393" i="40"/>
  <c r="CO394" i="40"/>
  <c r="DK77" i="38"/>
  <c r="CN326" i="40"/>
  <c r="CN327" i="40"/>
  <c r="CO391" i="40"/>
  <c r="CO392" i="40"/>
  <c r="EL103" i="15"/>
  <c r="EM41" i="15"/>
  <c r="EL41" i="15"/>
  <c r="EL64" i="15"/>
  <c r="EK14" i="15"/>
  <c r="EM64" i="15"/>
  <c r="EL14" i="15"/>
  <c r="EL23" i="29"/>
  <c r="EL24" i="29"/>
  <c r="DJ29" i="38"/>
  <c r="EL78" i="29"/>
  <c r="CO513" i="41"/>
  <c r="CN513" i="41"/>
  <c r="CO516" i="41"/>
  <c r="DY34" i="8"/>
  <c r="DZ43" i="8"/>
  <c r="DL29" i="38"/>
  <c r="CM516" i="41"/>
  <c r="CO511" i="41"/>
  <c r="CM511" i="41"/>
  <c r="DY22" i="8"/>
  <c r="CM513" i="41"/>
  <c r="CO418" i="41"/>
  <c r="DK29" i="38"/>
  <c r="CN511" i="41"/>
  <c r="EL21" i="15"/>
  <c r="CN418" i="41"/>
  <c r="CO509" i="41"/>
  <c r="CM509" i="41"/>
  <c r="CM418" i="41"/>
  <c r="DJ18" i="38"/>
  <c r="EM69" i="15"/>
  <c r="DL18" i="38"/>
  <c r="CN509" i="41"/>
  <c r="EL69" i="15"/>
  <c r="DK18" i="38"/>
  <c r="EL99" i="15"/>
  <c r="CN516" i="41"/>
  <c r="EK41" i="15"/>
  <c r="DJ77" i="38"/>
  <c r="EL54" i="15"/>
  <c r="EK99" i="15"/>
  <c r="EM54" i="15"/>
  <c r="EM99" i="15"/>
  <c r="EK54" i="15"/>
  <c r="EM90" i="15"/>
  <c r="EL90" i="15"/>
  <c r="EK90" i="15"/>
  <c r="EK103" i="15"/>
  <c r="DZ34" i="8"/>
  <c r="DZ22" i="8"/>
  <c r="EA22" i="8"/>
  <c r="EA11" i="8"/>
  <c r="DZ11" i="8"/>
  <c r="DY11" i="8"/>
  <c r="EA34" i="8"/>
  <c r="EA43" i="8"/>
  <c r="DY43" i="8"/>
  <c r="CQ396" i="40"/>
  <c r="CR396" i="40"/>
  <c r="CR389" i="40"/>
  <c r="CS396" i="40"/>
  <c r="HH10" i="15"/>
  <c r="EK40" i="29"/>
  <c r="EK41" i="29"/>
  <c r="EK11" i="29"/>
  <c r="CS389" i="40"/>
  <c r="D52" i="46"/>
  <c r="D53" i="59"/>
  <c r="H52" i="44"/>
  <c r="D52" i="60"/>
  <c r="D52" i="47"/>
  <c r="D53" i="45"/>
  <c r="D52" i="66"/>
  <c r="D52" i="48"/>
  <c r="H52" i="48"/>
  <c r="F52" i="44"/>
  <c r="D52" i="42"/>
  <c r="F58" i="45"/>
  <c r="F57" i="44"/>
  <c r="D57" i="60"/>
  <c r="H57" i="44"/>
  <c r="D57" i="47"/>
  <c r="D58" i="59"/>
  <c r="D57" i="46"/>
  <c r="D57" i="48"/>
  <c r="D57" i="66"/>
  <c r="H57" i="42"/>
  <c r="F57" i="42"/>
  <c r="T125" i="64"/>
  <c r="V125" i="64"/>
  <c r="F57" i="46"/>
  <c r="H57" i="46"/>
  <c r="F58" i="59"/>
  <c r="H58" i="59"/>
  <c r="H52" i="66"/>
  <c r="F52" i="66"/>
  <c r="H52" i="47"/>
  <c r="F52" i="47"/>
  <c r="H57" i="60"/>
  <c r="F57" i="60"/>
  <c r="H52" i="60"/>
  <c r="F52" i="60"/>
  <c r="F53" i="45"/>
  <c r="H53" i="45"/>
  <c r="H57" i="66"/>
  <c r="F57" i="66"/>
  <c r="F52" i="42"/>
  <c r="H52" i="42"/>
  <c r="F53" i="59"/>
  <c r="H53" i="59"/>
  <c r="H57" i="47"/>
  <c r="F57" i="47"/>
  <c r="H57" i="48"/>
  <c r="F57" i="48"/>
  <c r="H52" i="46"/>
  <c r="F52" i="46"/>
  <c r="BQ20" i="38"/>
  <c r="CN88" i="38"/>
  <c r="CQ31" i="38"/>
  <c r="O31" i="38"/>
  <c r="CX88" i="38"/>
  <c r="CX90" i="38"/>
  <c r="BP20" i="38"/>
  <c r="T31" i="38"/>
  <c r="BT31" i="38"/>
  <c r="BT35" i="38"/>
  <c r="DG79" i="38"/>
  <c r="DG90" i="38"/>
  <c r="CK31" i="38"/>
  <c r="CK35" i="38"/>
  <c r="CO31" i="38"/>
  <c r="BO31" i="38"/>
  <c r="CG20" i="38"/>
  <c r="CJ20" i="38"/>
  <c r="BW20" i="38"/>
  <c r="CX20" i="38"/>
  <c r="AT20" i="38"/>
  <c r="CU20" i="38"/>
  <c r="CO20" i="38"/>
  <c r="CP88" i="38"/>
  <c r="BA35" i="38"/>
  <c r="CJ88" i="38"/>
  <c r="CJ90" i="38"/>
  <c r="CI88" i="38"/>
  <c r="CI92" i="38"/>
  <c r="DF31" i="38"/>
  <c r="DF33" i="38"/>
  <c r="AL20" i="38"/>
  <c r="CQ79" i="38"/>
  <c r="CJ79" i="38"/>
  <c r="CM79" i="38"/>
  <c r="CM90" i="38"/>
  <c r="CV79" i="38"/>
  <c r="AD31" i="38"/>
  <c r="AD35" i="38"/>
  <c r="W31" i="38"/>
  <c r="W35" i="38"/>
  <c r="R31" i="38"/>
  <c r="R33" i="38"/>
  <c r="DK88" i="38"/>
  <c r="DK92" i="38"/>
  <c r="DH35" i="38"/>
  <c r="DL20" i="38"/>
  <c r="AJ31" i="38"/>
  <c r="DI31" i="38"/>
  <c r="DI33" i="38"/>
  <c r="CV31" i="38"/>
  <c r="AO31" i="38"/>
  <c r="AO35" i="38"/>
  <c r="AS31" i="38"/>
  <c r="AS33" i="38"/>
  <c r="BM31" i="38"/>
  <c r="BM35" i="38"/>
  <c r="CT20" i="38"/>
  <c r="DD20" i="38"/>
  <c r="AM20" i="38"/>
  <c r="DE20" i="38"/>
  <c r="AO20" i="38"/>
  <c r="CR31" i="38"/>
  <c r="CR35" i="38"/>
  <c r="CG31" i="38"/>
  <c r="CG35" i="38"/>
  <c r="AK31" i="38"/>
  <c r="AK35" i="38"/>
  <c r="CZ31" i="38"/>
  <c r="CZ35" i="38"/>
  <c r="DE88" i="38"/>
  <c r="DE92" i="38"/>
  <c r="AA20" i="38"/>
  <c r="U20" i="38"/>
  <c r="CX79" i="38"/>
  <c r="DB79" i="38"/>
  <c r="CO79" i="38"/>
  <c r="AB31" i="38"/>
  <c r="AB33" i="38"/>
  <c r="CM20" i="38"/>
  <c r="DI20" i="38"/>
  <c r="CO33" i="38"/>
  <c r="CO35" i="38"/>
  <c r="O35" i="38"/>
  <c r="CJ92" i="38"/>
  <c r="DF35" i="38"/>
  <c r="DI35" i="38"/>
  <c r="DK79" i="38"/>
  <c r="CQ20" i="38"/>
  <c r="DD88" i="38"/>
  <c r="DD92" i="38"/>
  <c r="CR20" i="38"/>
  <c r="CI79" i="38"/>
  <c r="CI90" i="38"/>
  <c r="Y31" i="38"/>
  <c r="Y35" i="38"/>
  <c r="DG20" i="38"/>
  <c r="BG20" i="38"/>
  <c r="DJ31" i="38"/>
  <c r="DJ35" i="38"/>
  <c r="R20" i="38"/>
  <c r="CQ88" i="38"/>
  <c r="CW88" i="38"/>
  <c r="CW92" i="38"/>
  <c r="CK88" i="38"/>
  <c r="S31" i="38"/>
  <c r="AI20" i="38"/>
  <c r="AI33" i="38"/>
  <c r="AY20" i="38"/>
  <c r="Z20" i="38"/>
  <c r="CL88" i="38"/>
  <c r="CL31" i="38"/>
  <c r="CL35" i="38"/>
  <c r="AQ20" i="38"/>
  <c r="AL31" i="38"/>
  <c r="CY79" i="38"/>
  <c r="Q20" i="38"/>
  <c r="V31" i="38"/>
  <c r="AF31" i="38"/>
  <c r="CC20" i="38"/>
  <c r="BH31" i="38"/>
  <c r="BH35" i="38"/>
  <c r="DL88" i="38"/>
  <c r="DL92" i="38"/>
  <c r="AI31" i="38"/>
  <c r="AF20" i="38"/>
  <c r="CV20" i="38"/>
  <c r="CV33" i="38"/>
  <c r="AJ20" i="38"/>
  <c r="BN20" i="38"/>
  <c r="AM31" i="38"/>
  <c r="DC79" i="38"/>
  <c r="P20" i="38"/>
  <c r="U31" i="38"/>
  <c r="AE31" i="38"/>
  <c r="AE35" i="38"/>
  <c r="O20" i="38"/>
  <c r="O33" i="38"/>
  <c r="CH31" i="38"/>
  <c r="CH35" i="38"/>
  <c r="Y20" i="38"/>
  <c r="AK20" i="38"/>
  <c r="BK31" i="38"/>
  <c r="BK35" i="38"/>
  <c r="CT79" i="38"/>
  <c r="AN20" i="38"/>
  <c r="S20" i="38"/>
  <c r="S33" i="38"/>
  <c r="CK79" i="38"/>
  <c r="DC88" i="38"/>
  <c r="CW20" i="38"/>
  <c r="CW33" i="38"/>
  <c r="DB88" i="38"/>
  <c r="CU88" i="38"/>
  <c r="BS31" i="38"/>
  <c r="BF31" i="38"/>
  <c r="BF35" i="38"/>
  <c r="N31" i="38"/>
  <c r="W20" i="38"/>
  <c r="W33" i="38"/>
  <c r="CR88" i="38"/>
  <c r="CL79" i="38"/>
  <c r="AC31" i="38"/>
  <c r="AC35" i="38"/>
  <c r="BR31" i="38"/>
  <c r="BP31" i="38"/>
  <c r="AG31" i="38"/>
  <c r="AG35" i="38"/>
  <c r="CU79" i="38"/>
  <c r="CR79" i="38"/>
  <c r="DF88" i="38"/>
  <c r="DF92" i="38"/>
  <c r="BG31" i="38"/>
  <c r="AD20" i="38"/>
  <c r="X20" i="38"/>
  <c r="DH88" i="38"/>
  <c r="DH92" i="38"/>
  <c r="DH33" i="38"/>
  <c r="CS88" i="38"/>
  <c r="CJ31" i="38"/>
  <c r="CZ79" i="38"/>
  <c r="CZ90" i="38"/>
  <c r="V20" i="38"/>
  <c r="P31" i="38"/>
  <c r="Z31" i="38"/>
  <c r="DI88" i="38"/>
  <c r="Q31" i="38"/>
  <c r="DI79" i="38"/>
  <c r="DF20" i="38"/>
  <c r="CX31" i="38"/>
  <c r="BJ31" i="38"/>
  <c r="BJ35" i="38"/>
  <c r="CS31" i="38"/>
  <c r="CS35" i="38"/>
  <c r="BS20" i="38"/>
  <c r="T20" i="38"/>
  <c r="T33" i="38"/>
  <c r="CI31" i="38"/>
  <c r="CI35" i="38"/>
  <c r="AB20" i="38"/>
  <c r="DG88" i="38"/>
  <c r="DG92" i="38"/>
  <c r="AH31" i="38"/>
  <c r="AH35" i="38"/>
  <c r="AD12" i="38"/>
  <c r="AC24" i="38"/>
  <c r="AC40" i="38"/>
  <c r="AI35" i="38"/>
  <c r="CT33" i="38"/>
  <c r="CT35" i="38"/>
  <c r="DL79" i="38"/>
  <c r="AJ35" i="38"/>
  <c r="S35" i="38"/>
  <c r="BM20" i="38"/>
  <c r="BL20" i="38"/>
  <c r="BI20" i="38"/>
  <c r="BK20" i="38"/>
  <c r="AB24" i="38"/>
  <c r="CQ35" i="38"/>
  <c r="CQ33" i="38"/>
  <c r="AB40" i="38"/>
  <c r="BO35" i="38"/>
  <c r="BA20" i="38"/>
  <c r="BA33" i="38"/>
  <c r="AR20" i="38"/>
  <c r="AR33" i="38"/>
  <c r="AU20" i="38"/>
  <c r="AP20" i="38"/>
  <c r="AW20" i="38"/>
  <c r="AZ20" i="38"/>
  <c r="AS20" i="38"/>
  <c r="BG35" i="38"/>
  <c r="DB92" i="38"/>
  <c r="DB90" i="38"/>
  <c r="Q35" i="38"/>
  <c r="Q33" i="38"/>
  <c r="BE31" i="38"/>
  <c r="BC31" i="38"/>
  <c r="BD31" i="38"/>
  <c r="AV31" i="38"/>
  <c r="AW31" i="38"/>
  <c r="CE31" i="38"/>
  <c r="BX31" i="38"/>
  <c r="BZ31" i="38"/>
  <c r="BV31" i="38"/>
  <c r="CA31" i="38"/>
  <c r="CC31" i="38"/>
  <c r="CF31" i="38"/>
  <c r="CD31" i="38"/>
  <c r="BW31" i="38"/>
  <c r="BU31" i="38"/>
  <c r="CB31" i="38"/>
  <c r="CL20" i="38"/>
  <c r="CA20" i="38"/>
  <c r="CB20" i="38"/>
  <c r="CI20" i="38"/>
  <c r="BB20" i="38"/>
  <c r="BB33" i="38"/>
  <c r="BC20" i="38"/>
  <c r="BF20" i="38"/>
  <c r="BF33" i="38"/>
  <c r="BD20" i="38"/>
  <c r="BK33" i="38"/>
  <c r="BB35" i="38"/>
  <c r="T35" i="38"/>
  <c r="CV35" i="38"/>
  <c r="DA31" i="38"/>
  <c r="DG31" i="38"/>
  <c r="DC31" i="38"/>
  <c r="DA79" i="38"/>
  <c r="DK20" i="38"/>
  <c r="DJ20" i="38"/>
  <c r="BN31" i="38"/>
  <c r="BQ31" i="38"/>
  <c r="AY31" i="38"/>
  <c r="AZ31" i="38"/>
  <c r="AQ31" i="38"/>
  <c r="AU31" i="38"/>
  <c r="AT31" i="38"/>
  <c r="BI31" i="38"/>
  <c r="DL33" i="38"/>
  <c r="CN90" i="38"/>
  <c r="BR35" i="38"/>
  <c r="CP92" i="38"/>
  <c r="DD31" i="38"/>
  <c r="CM31" i="38"/>
  <c r="AX31" i="38"/>
  <c r="DH79" i="38"/>
  <c r="DE79" i="38"/>
  <c r="DE90" i="38"/>
  <c r="CU31" i="38"/>
  <c r="DD79" i="38"/>
  <c r="CK20" i="38"/>
  <c r="CK33" i="38"/>
  <c r="CH20" i="38"/>
  <c r="BH20" i="38"/>
  <c r="BH33" i="38"/>
  <c r="BJ20" i="38"/>
  <c r="BJ33" i="38"/>
  <c r="DA20" i="38"/>
  <c r="AV20" i="38"/>
  <c r="DK31" i="38"/>
  <c r="CN92" i="38"/>
  <c r="CN35" i="38"/>
  <c r="DL35" i="38"/>
  <c r="CY31" i="38"/>
  <c r="CG33" i="38"/>
  <c r="DE31" i="38"/>
  <c r="CF20" i="38"/>
  <c r="CE20" i="38"/>
  <c r="BU20" i="38"/>
  <c r="CZ20" i="38"/>
  <c r="CZ33" i="38"/>
  <c r="CS20" i="38"/>
  <c r="CS33" i="38"/>
  <c r="DB20" i="38"/>
  <c r="DB33" i="38"/>
  <c r="CY20" i="38"/>
  <c r="AA24" i="38"/>
  <c r="AA40" i="38"/>
  <c r="AP31" i="38"/>
  <c r="AN31" i="38"/>
  <c r="BY20" i="38"/>
  <c r="BY33" i="38"/>
  <c r="CP20" i="38"/>
  <c r="CN20" i="38"/>
  <c r="CN33" i="38"/>
  <c r="DA88" i="38"/>
  <c r="AA31" i="38"/>
  <c r="BL31" i="38"/>
  <c r="CO88" i="38"/>
  <c r="CN79" i="38"/>
  <c r="CP79" i="38"/>
  <c r="CP90" i="38"/>
  <c r="DF79" i="38"/>
  <c r="DF90" i="38"/>
  <c r="BT20" i="38"/>
  <c r="BR20" i="38"/>
  <c r="BR33" i="38"/>
  <c r="BO20" i="38"/>
  <c r="BO33" i="38"/>
  <c r="X31" i="38"/>
  <c r="CD20" i="38"/>
  <c r="CP31" i="38"/>
  <c r="CY88" i="38"/>
  <c r="CV88" i="38"/>
  <c r="CT88" i="38"/>
  <c r="AH20" i="38"/>
  <c r="AE20" i="38"/>
  <c r="AE33" i="38"/>
  <c r="BZ20" i="38"/>
  <c r="EH71" i="15"/>
  <c r="EH105" i="15"/>
  <c r="CS71" i="15"/>
  <c r="CS105" i="15"/>
  <c r="DO71" i="15"/>
  <c r="CQ71" i="15"/>
  <c r="CQ105" i="15"/>
  <c r="DM71" i="15"/>
  <c r="DE71" i="15"/>
  <c r="DE105" i="15"/>
  <c r="CW71" i="15"/>
  <c r="DY71" i="15"/>
  <c r="DK56" i="15"/>
  <c r="DQ71" i="15"/>
  <c r="DI71" i="15"/>
  <c r="DI105" i="15"/>
  <c r="DI113" i="15"/>
  <c r="DA71" i="15"/>
  <c r="DA105" i="15"/>
  <c r="ED71" i="15"/>
  <c r="ED105" i="15"/>
  <c r="ED113" i="15"/>
  <c r="DV56" i="15"/>
  <c r="CY71" i="15"/>
  <c r="CY105" i="15"/>
  <c r="CP71" i="15"/>
  <c r="CP105" i="15"/>
  <c r="EL71" i="15"/>
  <c r="DL71" i="15"/>
  <c r="EI71" i="15"/>
  <c r="DR71" i="15"/>
  <c r="DJ71" i="15"/>
  <c r="DJ105" i="15"/>
  <c r="DY56" i="15"/>
  <c r="CZ71" i="15"/>
  <c r="CZ105" i="15"/>
  <c r="CR71" i="15"/>
  <c r="CR105" i="15"/>
  <c r="FY107" i="15"/>
  <c r="FY108" i="15"/>
  <c r="FY109" i="15"/>
  <c r="DP56" i="15"/>
  <c r="CW56" i="15"/>
  <c r="GS107" i="15"/>
  <c r="GS108" i="15"/>
  <c r="GS109" i="15"/>
  <c r="C177" i="2"/>
  <c r="EM71" i="15"/>
  <c r="FE6" i="15"/>
  <c r="DV71" i="15"/>
  <c r="DZ71" i="15"/>
  <c r="DS71" i="15"/>
  <c r="DT71" i="15"/>
  <c r="DO56" i="15"/>
  <c r="EG56" i="15"/>
  <c r="FJ6" i="15"/>
  <c r="DW71" i="15"/>
  <c r="DN71" i="15"/>
  <c r="DN105" i="15"/>
  <c r="BQ397" i="40"/>
  <c r="BQ398" i="40"/>
  <c r="DF71" i="15"/>
  <c r="DF105" i="15"/>
  <c r="DF113" i="15"/>
  <c r="CX71" i="15"/>
  <c r="CX105" i="15"/>
  <c r="DL56" i="15"/>
  <c r="GH107" i="15"/>
  <c r="DQ56" i="15"/>
  <c r="DA56" i="15"/>
  <c r="DA107" i="15"/>
  <c r="DT56" i="15"/>
  <c r="CU56" i="15"/>
  <c r="GJ107" i="15"/>
  <c r="FL107" i="15"/>
  <c r="FL108" i="15"/>
  <c r="FL109" i="15"/>
  <c r="GO107" i="15"/>
  <c r="DE56" i="15"/>
  <c r="EL105" i="15"/>
  <c r="CO397" i="40"/>
  <c r="CO398" i="40"/>
  <c r="EC105" i="15"/>
  <c r="CF397" i="40"/>
  <c r="DU56" i="15"/>
  <c r="DL105" i="15"/>
  <c r="BO397" i="40"/>
  <c r="CN71" i="15"/>
  <c r="CN105" i="15"/>
  <c r="DM105" i="15"/>
  <c r="BP397" i="40"/>
  <c r="BP398" i="40"/>
  <c r="CW105" i="15"/>
  <c r="FV107" i="15"/>
  <c r="EH56" i="15"/>
  <c r="EH107" i="15"/>
  <c r="EI56" i="15"/>
  <c r="EA56" i="15"/>
  <c r="CU71" i="15"/>
  <c r="CU105" i="15"/>
  <c r="CM71" i="15"/>
  <c r="CM105" i="15"/>
  <c r="FZ107" i="15"/>
  <c r="FZ108" i="15"/>
  <c r="FZ109" i="15"/>
  <c r="CT6" i="15"/>
  <c r="FK6" i="15"/>
  <c r="EC56" i="15"/>
  <c r="DJ56" i="15"/>
  <c r="FW107" i="15"/>
  <c r="FW108" i="15"/>
  <c r="FW109" i="15"/>
  <c r="CX56" i="15"/>
  <c r="DU71" i="15"/>
  <c r="CR56" i="15"/>
  <c r="CM56" i="15"/>
  <c r="EJ56" i="15"/>
  <c r="DZ56" i="15"/>
  <c r="DX71" i="15"/>
  <c r="DN56" i="15"/>
  <c r="DH56" i="15"/>
  <c r="DC56" i="15"/>
  <c r="EK71" i="15"/>
  <c r="EK105" i="15"/>
  <c r="CN397" i="40"/>
  <c r="CN398" i="40"/>
  <c r="EF105" i="15"/>
  <c r="EF113" i="15"/>
  <c r="DB105" i="15"/>
  <c r="DD71" i="15"/>
  <c r="DD105" i="15"/>
  <c r="CV71" i="15"/>
  <c r="CV105" i="15"/>
  <c r="CO71" i="15"/>
  <c r="CO105" i="15"/>
  <c r="DB56" i="15"/>
  <c r="CT56" i="15"/>
  <c r="DM56" i="15"/>
  <c r="CL56" i="15"/>
  <c r="GW107" i="15"/>
  <c r="GW108" i="15"/>
  <c r="GW109" i="15"/>
  <c r="EE56" i="15"/>
  <c r="DS56" i="15"/>
  <c r="CL71" i="15"/>
  <c r="CL105" i="15"/>
  <c r="DK71" i="15"/>
  <c r="DK105" i="15"/>
  <c r="DK107" i="15"/>
  <c r="DC71" i="15"/>
  <c r="DC105" i="15"/>
  <c r="GP107" i="15"/>
  <c r="GP108" i="15"/>
  <c r="GP109" i="15"/>
  <c r="GV107" i="15"/>
  <c r="GV108" i="15"/>
  <c r="GV109" i="15"/>
  <c r="GX107" i="15"/>
  <c r="ED56" i="15"/>
  <c r="GQ107" i="15"/>
  <c r="EE71" i="15"/>
  <c r="EE105" i="15"/>
  <c r="EE107" i="15"/>
  <c r="DP71" i="15"/>
  <c r="DP105" i="15"/>
  <c r="BS397" i="40"/>
  <c r="BS398" i="40"/>
  <c r="DH71" i="15"/>
  <c r="DH105" i="15"/>
  <c r="DH113" i="15"/>
  <c r="GM107" i="15"/>
  <c r="GM108" i="15"/>
  <c r="GM109" i="15"/>
  <c r="GY107" i="15"/>
  <c r="EG71" i="15"/>
  <c r="EG105" i="15"/>
  <c r="CJ397" i="40"/>
  <c r="EI105" i="15"/>
  <c r="DQ105" i="15"/>
  <c r="DG71" i="15"/>
  <c r="DG105" i="15"/>
  <c r="DG113" i="15"/>
  <c r="CZ56" i="15"/>
  <c r="CZ107" i="15"/>
  <c r="GC107" i="15"/>
  <c r="GC108" i="15"/>
  <c r="GC109" i="15"/>
  <c r="FU107" i="15"/>
  <c r="FU108" i="15"/>
  <c r="FU109" i="15"/>
  <c r="FM107" i="15"/>
  <c r="FM108" i="15"/>
  <c r="FM109" i="15"/>
  <c r="EH113" i="15"/>
  <c r="CK397" i="40"/>
  <c r="CK398" i="40"/>
  <c r="EI107" i="15"/>
  <c r="DB107" i="15"/>
  <c r="DO105" i="15"/>
  <c r="DX56" i="15"/>
  <c r="EM105" i="15"/>
  <c r="DR56" i="15"/>
  <c r="DG56" i="15"/>
  <c r="CV56" i="15"/>
  <c r="DF56" i="15"/>
  <c r="HA107" i="15"/>
  <c r="HA108" i="15"/>
  <c r="HA109" i="15"/>
  <c r="EB71" i="15"/>
  <c r="EB105" i="15"/>
  <c r="G18" i="65"/>
  <c r="L18" i="65"/>
  <c r="EB56" i="15"/>
  <c r="DW56" i="15"/>
  <c r="EF56" i="15"/>
  <c r="DD56" i="15"/>
  <c r="DD107" i="15"/>
  <c r="CY56" i="15"/>
  <c r="CN56" i="15"/>
  <c r="B177" i="2"/>
  <c r="CG397" i="40"/>
  <c r="CG398" i="40"/>
  <c r="CT105" i="15"/>
  <c r="EJ71" i="15"/>
  <c r="EJ105" i="15"/>
  <c r="GG107" i="15"/>
  <c r="GG108" i="15"/>
  <c r="GG109" i="15"/>
  <c r="FQ107" i="15"/>
  <c r="FQ108" i="15"/>
  <c r="FQ109" i="15"/>
  <c r="DI56" i="15"/>
  <c r="CS56" i="15"/>
  <c r="L124" i="64"/>
  <c r="F77" i="64"/>
  <c r="DD24" i="8"/>
  <c r="DD58" i="8"/>
  <c r="CF24" i="8"/>
  <c r="CA24" i="8"/>
  <c r="EA24" i="8"/>
  <c r="EA58" i="8"/>
  <c r="DQ45" i="8"/>
  <c r="DQ55" i="8"/>
  <c r="DQ58" i="8"/>
  <c r="DR45" i="8"/>
  <c r="DR55" i="8"/>
  <c r="DR58" i="8"/>
  <c r="CR24" i="8"/>
  <c r="CR45" i="8"/>
  <c r="CR52" i="8"/>
  <c r="DU24" i="8"/>
  <c r="CH24" i="8"/>
  <c r="CH45" i="8"/>
  <c r="CH52" i="8"/>
  <c r="DG24" i="8"/>
  <c r="DG58" i="8"/>
  <c r="CB45" i="8"/>
  <c r="CB52" i="8"/>
  <c r="CQ45" i="8"/>
  <c r="CQ52" i="8"/>
  <c r="DK24" i="8"/>
  <c r="DK45" i="8"/>
  <c r="CG52" i="8"/>
  <c r="DH24" i="8"/>
  <c r="DZ24" i="8"/>
  <c r="DZ45" i="8"/>
  <c r="DL24" i="8"/>
  <c r="DL45" i="8"/>
  <c r="DN24" i="8"/>
  <c r="DN45" i="8"/>
  <c r="CF45" i="8"/>
  <c r="CF52" i="8"/>
  <c r="CN24" i="8"/>
  <c r="CN45" i="8"/>
  <c r="CN52" i="8"/>
  <c r="CM24" i="8"/>
  <c r="CM45" i="8"/>
  <c r="CM52" i="8"/>
  <c r="DV45" i="8"/>
  <c r="DV52" i="8"/>
  <c r="CL45" i="8"/>
  <c r="CL52" i="8"/>
  <c r="DX24" i="8"/>
  <c r="DX45" i="8"/>
  <c r="DW24" i="8"/>
  <c r="DW58" i="8"/>
  <c r="DS24" i="8"/>
  <c r="DS45" i="8"/>
  <c r="EA45" i="8"/>
  <c r="DO45" i="8"/>
  <c r="DO58" i="8"/>
  <c r="DN58" i="8"/>
  <c r="DQ52" i="8"/>
  <c r="CJ45" i="8"/>
  <c r="CJ52" i="8"/>
  <c r="DJ24" i="8"/>
  <c r="DJ45" i="8"/>
  <c r="CA45" i="8"/>
  <c r="CA52" i="8"/>
  <c r="CT45" i="8"/>
  <c r="CT52" i="8"/>
  <c r="DM24" i="8"/>
  <c r="DM58" i="8"/>
  <c r="CK24" i="8"/>
  <c r="CK45" i="8"/>
  <c r="CK52" i="8"/>
  <c r="BZ45" i="8"/>
  <c r="BZ52" i="8"/>
  <c r="DP45" i="8"/>
  <c r="DY24" i="8"/>
  <c r="DY45" i="8"/>
  <c r="DT45" i="8"/>
  <c r="DT52" i="8"/>
  <c r="CI45" i="8"/>
  <c r="CI52" i="8"/>
  <c r="CP24" i="8"/>
  <c r="CP45" i="8"/>
  <c r="CP52" i="8"/>
  <c r="DT55" i="8"/>
  <c r="DO52" i="8"/>
  <c r="DH45" i="8"/>
  <c r="DH58" i="8"/>
  <c r="DV55" i="8"/>
  <c r="DL58" i="8"/>
  <c r="DU45" i="8"/>
  <c r="DU58" i="8"/>
  <c r="DJ58" i="8"/>
  <c r="DS58" i="8"/>
  <c r="DM45" i="8"/>
  <c r="DV58" i="8"/>
  <c r="DI45" i="8"/>
  <c r="DT58" i="8"/>
  <c r="J72" i="1"/>
  <c r="H36" i="2"/>
  <c r="CF26" i="49"/>
  <c r="CF37" i="49"/>
  <c r="CL11" i="49"/>
  <c r="B63" i="64"/>
  <c r="B77" i="64"/>
  <c r="AC15" i="49"/>
  <c r="BY15" i="49"/>
  <c r="AD26" i="49"/>
  <c r="BZ3" i="49"/>
  <c r="AE3" i="49"/>
  <c r="AE15" i="49"/>
  <c r="BN3" i="49"/>
  <c r="BM26" i="49"/>
  <c r="BM37" i="49"/>
  <c r="AN26" i="49"/>
  <c r="AO3" i="49"/>
  <c r="BG3" i="49"/>
  <c r="BD15" i="49"/>
  <c r="BD26" i="49"/>
  <c r="BF15" i="49"/>
  <c r="BI3" i="49"/>
  <c r="BF26" i="49"/>
  <c r="CK9" i="49"/>
  <c r="CQ393" i="40"/>
  <c r="CQ394" i="40"/>
  <c r="CQ389" i="40"/>
  <c r="CQ513" i="41"/>
  <c r="HF47" i="15"/>
  <c r="EC11" i="8"/>
  <c r="EL85" i="29"/>
  <c r="EP61" i="29"/>
  <c r="B130" i="1"/>
  <c r="EN84" i="29"/>
  <c r="EN85" i="29"/>
  <c r="EJ72" i="29"/>
  <c r="DM61" i="29"/>
  <c r="DU61" i="29"/>
  <c r="DW61" i="29"/>
  <c r="EF36" i="29"/>
  <c r="DO20" i="29"/>
  <c r="DZ29" i="29"/>
  <c r="DY61" i="29"/>
  <c r="EJ61" i="29"/>
  <c r="EL19" i="29"/>
  <c r="DO61" i="29"/>
  <c r="DN20" i="29"/>
  <c r="DI36" i="29"/>
  <c r="DK36" i="29"/>
  <c r="A151" i="1"/>
  <c r="A151" i="64"/>
  <c r="EM84" i="29"/>
  <c r="EM15" i="29"/>
  <c r="EB36" i="29"/>
  <c r="ED20" i="29"/>
  <c r="DW36" i="29"/>
  <c r="EH85" i="29"/>
  <c r="EB85" i="29"/>
  <c r="DK61" i="29"/>
  <c r="DX20" i="29"/>
  <c r="DP61" i="29"/>
  <c r="DL61" i="29"/>
  <c r="DX61" i="29"/>
  <c r="EG72" i="29"/>
  <c r="ED34" i="29"/>
  <c r="DV36" i="29"/>
  <c r="A97" i="1"/>
  <c r="A97" i="64"/>
  <c r="DS61" i="29"/>
  <c r="EF72" i="29"/>
  <c r="E172" i="2"/>
  <c r="B3" i="2"/>
  <c r="EB29" i="29"/>
  <c r="EI61" i="29"/>
  <c r="DY36" i="29"/>
  <c r="EB20" i="29"/>
  <c r="DY20" i="29"/>
  <c r="DZ85" i="29"/>
  <c r="DU36" i="29"/>
  <c r="DZ34" i="29"/>
  <c r="DR29" i="29"/>
  <c r="EJ36" i="29"/>
  <c r="EL28" i="29"/>
  <c r="EL36" i="29"/>
  <c r="EM61" i="29"/>
  <c r="EL34" i="29"/>
  <c r="DW20" i="29"/>
  <c r="DM36" i="29"/>
  <c r="EG20" i="29"/>
  <c r="EJ29" i="29"/>
  <c r="DJ20" i="29"/>
  <c r="EA61" i="29"/>
  <c r="EK28" i="29"/>
  <c r="EK36" i="29"/>
  <c r="DW34" i="29"/>
  <c r="EL61" i="29"/>
  <c r="EK85" i="29"/>
  <c r="EJ20" i="29"/>
  <c r="ED72" i="29"/>
  <c r="DV72" i="29"/>
  <c r="EM19" i="29"/>
  <c r="EL77" i="29"/>
  <c r="DW85" i="29"/>
  <c r="DU85" i="29"/>
  <c r="DN61" i="29"/>
  <c r="EC29" i="29"/>
  <c r="DZ20" i="29"/>
  <c r="DL20" i="29"/>
  <c r="EJ34" i="29"/>
  <c r="EL15" i="29"/>
  <c r="DS29" i="29"/>
  <c r="T121" i="1"/>
  <c r="V121" i="1"/>
  <c r="DT36" i="29"/>
  <c r="EB61" i="29"/>
  <c r="DX34" i="29"/>
  <c r="EA34" i="29"/>
  <c r="DU34" i="29"/>
  <c r="EE34" i="29"/>
  <c r="EF29" i="29"/>
  <c r="ED29" i="29"/>
  <c r="EH61" i="29"/>
  <c r="DY34" i="29"/>
  <c r="EB34" i="29"/>
  <c r="ED36" i="29"/>
  <c r="EC34" i="29"/>
  <c r="EK19" i="29"/>
  <c r="EK20" i="29"/>
  <c r="EF34" i="29"/>
  <c r="ED61" i="29"/>
  <c r="DT34" i="29"/>
  <c r="DU29" i="29"/>
  <c r="EA29" i="29"/>
  <c r="EC61" i="29"/>
  <c r="EF61" i="29"/>
  <c r="EK61" i="29"/>
  <c r="EM23" i="29"/>
  <c r="EM24" i="29"/>
  <c r="EK77" i="29"/>
  <c r="EM33" i="29"/>
  <c r="EM36" i="29"/>
  <c r="DV34" i="29"/>
  <c r="DS34" i="29"/>
  <c r="EC36" i="29"/>
  <c r="A3" i="64"/>
  <c r="DP36" i="29"/>
  <c r="DW29" i="29"/>
  <c r="DT29" i="29"/>
  <c r="EK34" i="29"/>
  <c r="EI34" i="29"/>
  <c r="EH29" i="29"/>
  <c r="EH34" i="29"/>
  <c r="DY29" i="29"/>
  <c r="EG34" i="29"/>
  <c r="DR34" i="29"/>
  <c r="EG29" i="29"/>
  <c r="DV29" i="29"/>
  <c r="DZ61" i="29"/>
  <c r="EG61" i="29"/>
  <c r="EM78" i="29"/>
  <c r="EM70" i="29"/>
  <c r="EM83" i="29"/>
  <c r="EM85" i="29"/>
  <c r="EI29" i="29"/>
  <c r="DX29" i="29"/>
  <c r="EE29" i="29"/>
  <c r="D6" i="66"/>
  <c r="D6" i="47"/>
  <c r="D6" i="46"/>
  <c r="D7" i="59"/>
  <c r="CS393" i="40"/>
  <c r="CS394" i="40"/>
  <c r="CR393" i="40"/>
  <c r="CR394" i="40"/>
  <c r="CQ391" i="40"/>
  <c r="CQ392" i="40"/>
  <c r="CR391" i="40"/>
  <c r="CS391" i="40"/>
  <c r="HH108" i="15"/>
  <c r="HH109" i="15"/>
  <c r="EM71" i="29"/>
  <c r="EM11" i="29"/>
  <c r="EL40" i="29"/>
  <c r="EL41" i="29"/>
  <c r="DN17" i="38"/>
  <c r="EM34" i="29"/>
  <c r="EL70" i="29"/>
  <c r="EL71" i="29"/>
  <c r="EK70" i="29"/>
  <c r="EK72" i="29"/>
  <c r="EK23" i="29"/>
  <c r="EK24" i="29"/>
  <c r="BT33" i="38"/>
  <c r="R35" i="38"/>
  <c r="CR33" i="38"/>
  <c r="CW90" i="38"/>
  <c r="CI33" i="38"/>
  <c r="CU90" i="38"/>
  <c r="CX92" i="38"/>
  <c r="AB35" i="38"/>
  <c r="AK33" i="38"/>
  <c r="AD33" i="38"/>
  <c r="AO33" i="38"/>
  <c r="DD90" i="38"/>
  <c r="AS35" i="38"/>
  <c r="Y33" i="38"/>
  <c r="DK90" i="38"/>
  <c r="DJ33" i="38"/>
  <c r="CL33" i="38"/>
  <c r="BM33" i="38"/>
  <c r="AJ33" i="38"/>
  <c r="BG33" i="38"/>
  <c r="CS90" i="38"/>
  <c r="CS92" i="38"/>
  <c r="AC33" i="38"/>
  <c r="AM33" i="38"/>
  <c r="AM35" i="38"/>
  <c r="CQ92" i="38"/>
  <c r="CQ90" i="38"/>
  <c r="BP33" i="38"/>
  <c r="BP35" i="38"/>
  <c r="V35" i="38"/>
  <c r="V33" i="38"/>
  <c r="AG33" i="38"/>
  <c r="CK90" i="38"/>
  <c r="CK92" i="38"/>
  <c r="DL90" i="38"/>
  <c r="CR90" i="38"/>
  <c r="CR92" i="38"/>
  <c r="DC92" i="38"/>
  <c r="DC90" i="38"/>
  <c r="CL90" i="38"/>
  <c r="CL92" i="38"/>
  <c r="AH33" i="38"/>
  <c r="DH90" i="38"/>
  <c r="CU92" i="38"/>
  <c r="P35" i="38"/>
  <c r="P33" i="38"/>
  <c r="DI90" i="38"/>
  <c r="DI92" i="38"/>
  <c r="Z33" i="38"/>
  <c r="Z35" i="38"/>
  <c r="BS33" i="38"/>
  <c r="BS35" i="38"/>
  <c r="U35" i="38"/>
  <c r="U33" i="38"/>
  <c r="AF33" i="38"/>
  <c r="AF35" i="38"/>
  <c r="CX33" i="38"/>
  <c r="CX35" i="38"/>
  <c r="AL33" i="38"/>
  <c r="AL35" i="38"/>
  <c r="CH33" i="38"/>
  <c r="CJ35" i="38"/>
  <c r="CJ33" i="38"/>
  <c r="DG33" i="38"/>
  <c r="DG35" i="38"/>
  <c r="BZ35" i="38"/>
  <c r="BZ33" i="38"/>
  <c r="X35" i="38"/>
  <c r="X33" i="38"/>
  <c r="AY33" i="38"/>
  <c r="AY35" i="38"/>
  <c r="BU35" i="38"/>
  <c r="BU33" i="38"/>
  <c r="BX33" i="38"/>
  <c r="BX35" i="38"/>
  <c r="AA35" i="38"/>
  <c r="AA33" i="38"/>
  <c r="DE35" i="38"/>
  <c r="DE33" i="38"/>
  <c r="CU35" i="38"/>
  <c r="CU33" i="38"/>
  <c r="BQ33" i="38"/>
  <c r="BQ35" i="38"/>
  <c r="BW35" i="38"/>
  <c r="BW33" i="38"/>
  <c r="CE35" i="38"/>
  <c r="CE33" i="38"/>
  <c r="DA92" i="38"/>
  <c r="DA90" i="38"/>
  <c r="BN35" i="38"/>
  <c r="BN33" i="38"/>
  <c r="CD35" i="38"/>
  <c r="CD33" i="38"/>
  <c r="AW33" i="38"/>
  <c r="AW35" i="38"/>
  <c r="DD35" i="38"/>
  <c r="DD33" i="38"/>
  <c r="BL35" i="38"/>
  <c r="BL33" i="38"/>
  <c r="DK35" i="38"/>
  <c r="DK33" i="38"/>
  <c r="DA33" i="38"/>
  <c r="DA35" i="38"/>
  <c r="CT90" i="38"/>
  <c r="CT92" i="38"/>
  <c r="BI33" i="38"/>
  <c r="BI35" i="38"/>
  <c r="CF35" i="38"/>
  <c r="CF33" i="38"/>
  <c r="AV33" i="38"/>
  <c r="AV35" i="38"/>
  <c r="AP33" i="38"/>
  <c r="AP35" i="38"/>
  <c r="CV92" i="38"/>
  <c r="CV90" i="38"/>
  <c r="CY33" i="38"/>
  <c r="CY35" i="38"/>
  <c r="AX33" i="38"/>
  <c r="AX35" i="38"/>
  <c r="AT35" i="38"/>
  <c r="AT33" i="38"/>
  <c r="CC35" i="38"/>
  <c r="CC33" i="38"/>
  <c r="BD35" i="38"/>
  <c r="BD33" i="38"/>
  <c r="CY92" i="38"/>
  <c r="CY90" i="38"/>
  <c r="AU33" i="38"/>
  <c r="AU35" i="38"/>
  <c r="CA33" i="38"/>
  <c r="CA35" i="38"/>
  <c r="BC33" i="38"/>
  <c r="BC35" i="38"/>
  <c r="CO92" i="38"/>
  <c r="CO90" i="38"/>
  <c r="AZ35" i="38"/>
  <c r="AZ33" i="38"/>
  <c r="CB33" i="38"/>
  <c r="CB35" i="38"/>
  <c r="CP35" i="38"/>
  <c r="CP33" i="38"/>
  <c r="AN35" i="38"/>
  <c r="AN33" i="38"/>
  <c r="CM33" i="38"/>
  <c r="CM35" i="38"/>
  <c r="AQ35" i="38"/>
  <c r="AQ33" i="38"/>
  <c r="DC35" i="38"/>
  <c r="DC33" i="38"/>
  <c r="BV33" i="38"/>
  <c r="BV35" i="38"/>
  <c r="BE35" i="38"/>
  <c r="BE33" i="38"/>
  <c r="AE12" i="38"/>
  <c r="AD24" i="38"/>
  <c r="AD40" i="38"/>
  <c r="DP113" i="15"/>
  <c r="CS107" i="15"/>
  <c r="DI107" i="15"/>
  <c r="DL107" i="15"/>
  <c r="CI397" i="40"/>
  <c r="CI398" i="40"/>
  <c r="CR107" i="15"/>
  <c r="DG107" i="15"/>
  <c r="DL113" i="15"/>
  <c r="CY107" i="15"/>
  <c r="EC113" i="15"/>
  <c r="BL397" i="40"/>
  <c r="BL398" i="40"/>
  <c r="ED107" i="15"/>
  <c r="CU107" i="15"/>
  <c r="CW107" i="15"/>
  <c r="DQ107" i="15"/>
  <c r="DM107" i="15"/>
  <c r="EG113" i="15"/>
  <c r="DN113" i="15"/>
  <c r="EL113" i="15"/>
  <c r="CX107" i="15"/>
  <c r="DM113" i="15"/>
  <c r="DP107" i="15"/>
  <c r="DN107" i="15"/>
  <c r="DE107" i="15"/>
  <c r="CT107" i="15"/>
  <c r="DC107" i="15"/>
  <c r="DF107" i="15"/>
  <c r="DQ113" i="15"/>
  <c r="BT397" i="40"/>
  <c r="BT398" i="40"/>
  <c r="DH107" i="15"/>
  <c r="EK113" i="15"/>
  <c r="EI113" i="15"/>
  <c r="CL397" i="40"/>
  <c r="CL398" i="40"/>
  <c r="EG107" i="15"/>
  <c r="EC107" i="15"/>
  <c r="DJ113" i="15"/>
  <c r="BM397" i="40"/>
  <c r="BM398" i="40"/>
  <c r="CL107" i="15"/>
  <c r="DJ107" i="15"/>
  <c r="DK113" i="15"/>
  <c r="BN397" i="40"/>
  <c r="BN398" i="40"/>
  <c r="CV107" i="15"/>
  <c r="CM107" i="15"/>
  <c r="CU6" i="15"/>
  <c r="FL6" i="15"/>
  <c r="BR397" i="40"/>
  <c r="DO113" i="15"/>
  <c r="CN107" i="15"/>
  <c r="CM397" i="40"/>
  <c r="CM398" i="40"/>
  <c r="EJ113" i="15"/>
  <c r="CE397" i="40"/>
  <c r="EB113" i="15"/>
  <c r="EE113" i="15"/>
  <c r="CH397" i="40"/>
  <c r="EF107" i="15"/>
  <c r="DO107" i="15"/>
  <c r="EJ107" i="15"/>
  <c r="CP397" i="40"/>
  <c r="CP398" i="40"/>
  <c r="EM113" i="15"/>
  <c r="EB107" i="15"/>
  <c r="DR52" i="8"/>
  <c r="DY58" i="8"/>
  <c r="DW45" i="8"/>
  <c r="DX58" i="8"/>
  <c r="EH58" i="8"/>
  <c r="DZ58" i="8"/>
  <c r="DG45" i="8"/>
  <c r="DO55" i="8"/>
  <c r="DK58" i="8"/>
  <c r="DN55" i="8"/>
  <c r="DN52" i="8"/>
  <c r="DK55" i="8"/>
  <c r="DK52" i="8"/>
  <c r="EA52" i="8"/>
  <c r="EA55" i="8"/>
  <c r="DP52" i="8"/>
  <c r="DP55" i="8"/>
  <c r="DM55" i="8"/>
  <c r="DM52" i="8"/>
  <c r="DH52" i="8"/>
  <c r="DH55" i="8"/>
  <c r="DX52" i="8"/>
  <c r="DX55" i="8"/>
  <c r="DS52" i="8"/>
  <c r="DS55" i="8"/>
  <c r="DL52" i="8"/>
  <c r="DL55" i="8"/>
  <c r="DJ52" i="8"/>
  <c r="DJ55" i="8"/>
  <c r="DZ55" i="8"/>
  <c r="DZ52" i="8"/>
  <c r="DY52" i="8"/>
  <c r="DY55" i="8"/>
  <c r="DI52" i="8"/>
  <c r="DI55" i="8"/>
  <c r="DU55" i="8"/>
  <c r="DU52" i="8"/>
  <c r="K36" i="2"/>
  <c r="L36" i="2"/>
  <c r="P72" i="1"/>
  <c r="T72" i="1"/>
  <c r="C48" i="75"/>
  <c r="BZ26" i="49"/>
  <c r="BZ37" i="49"/>
  <c r="CA3" i="49"/>
  <c r="BZ15" i="49"/>
  <c r="AE26" i="49"/>
  <c r="AF3" i="49"/>
  <c r="AO26" i="49"/>
  <c r="AP3" i="49"/>
  <c r="AO15" i="49"/>
  <c r="BN26" i="49"/>
  <c r="BN37" i="49"/>
  <c r="BO3" i="49"/>
  <c r="BN15" i="49"/>
  <c r="AF26" i="49"/>
  <c r="AF15" i="49"/>
  <c r="AG3" i="49"/>
  <c r="BI15" i="49"/>
  <c r="BI26" i="49"/>
  <c r="BJ3" i="49"/>
  <c r="BG26" i="49"/>
  <c r="BG15" i="49"/>
  <c r="EM29" i="29"/>
  <c r="EL20" i="29"/>
  <c r="EM20" i="29"/>
  <c r="EL29" i="29"/>
  <c r="EK29" i="29"/>
  <c r="EI37" i="29"/>
  <c r="DT37" i="29"/>
  <c r="E40" i="3"/>
  <c r="E7" i="3"/>
  <c r="EK37" i="29"/>
  <c r="DR37" i="29"/>
  <c r="DS37" i="29"/>
  <c r="DW37" i="29"/>
  <c r="DX37" i="29"/>
  <c r="EM72" i="29"/>
  <c r="EJ37" i="29"/>
  <c r="EG37" i="29"/>
  <c r="EM37" i="29"/>
  <c r="DZ37" i="29"/>
  <c r="DY37" i="29"/>
  <c r="EA37" i="29"/>
  <c r="DU37" i="29"/>
  <c r="EE37" i="29"/>
  <c r="EB37" i="29"/>
  <c r="EC37" i="29"/>
  <c r="ED37" i="29"/>
  <c r="EL37" i="29"/>
  <c r="EH37" i="29"/>
  <c r="DV37" i="29"/>
  <c r="EF37" i="29"/>
  <c r="D6" i="48"/>
  <c r="D6" i="60"/>
  <c r="D6" i="42"/>
  <c r="EL72" i="29"/>
  <c r="EM40" i="29"/>
  <c r="AE24" i="38"/>
  <c r="AF12" i="38"/>
  <c r="AE40" i="38"/>
  <c r="FM6" i="15"/>
  <c r="CV6" i="15"/>
  <c r="DW55" i="8"/>
  <c r="DW52" i="8"/>
  <c r="DG52" i="8"/>
  <c r="DG55" i="8"/>
  <c r="EH52" i="8"/>
  <c r="EH55" i="8"/>
  <c r="D48" i="75"/>
  <c r="CA26" i="49"/>
  <c r="CA37" i="49"/>
  <c r="CA15" i="49"/>
  <c r="CB3" i="49"/>
  <c r="BO26" i="49"/>
  <c r="BO37" i="49"/>
  <c r="BO15" i="49"/>
  <c r="BP3" i="49"/>
  <c r="AQ3" i="49"/>
  <c r="AP26" i="49"/>
  <c r="AP15" i="49"/>
  <c r="BJ15" i="49"/>
  <c r="BJ26" i="49"/>
  <c r="AG26" i="49"/>
  <c r="AG15" i="49"/>
  <c r="AH3" i="49"/>
  <c r="EM41" i="29"/>
  <c r="G40" i="2"/>
  <c r="AF24" i="38"/>
  <c r="AG12" i="38"/>
  <c r="AF40" i="38"/>
  <c r="CW6" i="15"/>
  <c r="FN6" i="15"/>
  <c r="CB26" i="49"/>
  <c r="CB37" i="49"/>
  <c r="CC3" i="49"/>
  <c r="CB15" i="49"/>
  <c r="AQ15" i="49"/>
  <c r="AQ26" i="49"/>
  <c r="AR3" i="49"/>
  <c r="BP26" i="49"/>
  <c r="BP37" i="49"/>
  <c r="BQ3" i="49"/>
  <c r="BP15" i="49"/>
  <c r="AH15" i="49"/>
  <c r="AI3" i="49"/>
  <c r="AH26" i="49"/>
  <c r="H40" i="2"/>
  <c r="AH12" i="38"/>
  <c r="AG40" i="38"/>
  <c r="AG24" i="38"/>
  <c r="FO6" i="15"/>
  <c r="CX6" i="15"/>
  <c r="CD3" i="49"/>
  <c r="CC15" i="49"/>
  <c r="CC26" i="49"/>
  <c r="CC37" i="49"/>
  <c r="BQ26" i="49"/>
  <c r="BQ37" i="49"/>
  <c r="BR3" i="49"/>
  <c r="BQ15" i="49"/>
  <c r="AS3" i="49"/>
  <c r="AR15" i="49"/>
  <c r="AR26" i="49"/>
  <c r="AI26" i="49"/>
  <c r="AI15" i="49"/>
  <c r="AJ3" i="49"/>
  <c r="D40" i="2"/>
  <c r="L40" i="2"/>
  <c r="AH24" i="38"/>
  <c r="AH40" i="38"/>
  <c r="AI12" i="38"/>
  <c r="CY6" i="15"/>
  <c r="FP6" i="15"/>
  <c r="CE3" i="49"/>
  <c r="CD15" i="49"/>
  <c r="CD26" i="49"/>
  <c r="CD37" i="49"/>
  <c r="AT3" i="49"/>
  <c r="AS26" i="49"/>
  <c r="AS15" i="49"/>
  <c r="BS3" i="49"/>
  <c r="BR26" i="49"/>
  <c r="BR37" i="49"/>
  <c r="BR15" i="49"/>
  <c r="AK3" i="49"/>
  <c r="AJ26" i="49"/>
  <c r="AJ15" i="49"/>
  <c r="AJ12" i="38"/>
  <c r="AI40" i="38"/>
  <c r="AI24" i="38"/>
  <c r="CZ6" i="15"/>
  <c r="FQ6" i="15"/>
  <c r="CE15" i="49"/>
  <c r="CE26" i="49"/>
  <c r="CE37" i="49"/>
  <c r="BS26" i="49"/>
  <c r="BS37" i="49"/>
  <c r="BS15" i="49"/>
  <c r="BT3" i="49"/>
  <c r="AU3" i="49"/>
  <c r="AT26" i="49"/>
  <c r="AT15" i="49"/>
  <c r="AL3" i="49"/>
  <c r="AK15" i="49"/>
  <c r="AK26" i="49"/>
  <c r="AJ40" i="38"/>
  <c r="AJ24" i="38"/>
  <c r="AK12" i="38"/>
  <c r="DA6" i="15"/>
  <c r="FR6" i="15"/>
  <c r="AU26" i="49"/>
  <c r="AU15" i="49"/>
  <c r="AV3" i="49"/>
  <c r="BT26" i="49"/>
  <c r="BT37" i="49"/>
  <c r="BT15" i="49"/>
  <c r="BU3" i="49"/>
  <c r="AL26" i="49"/>
  <c r="AL15" i="49"/>
  <c r="AK24" i="38"/>
  <c r="AK40" i="38"/>
  <c r="AL12" i="38"/>
  <c r="FS6" i="15"/>
  <c r="DB6" i="15"/>
  <c r="BU15" i="49"/>
  <c r="BV3" i="49"/>
  <c r="BU26" i="49"/>
  <c r="BU37" i="49"/>
  <c r="AV15" i="49"/>
  <c r="AW3" i="49"/>
  <c r="AV26" i="49"/>
  <c r="AL40" i="38"/>
  <c r="AL24" i="38"/>
  <c r="AM12" i="38"/>
  <c r="DC6" i="15"/>
  <c r="FT6" i="15"/>
  <c r="AW15" i="49"/>
  <c r="AX3" i="49"/>
  <c r="AW26" i="49"/>
  <c r="BV15" i="49"/>
  <c r="BV26" i="49"/>
  <c r="BV37" i="49"/>
  <c r="AN12" i="38"/>
  <c r="AM40" i="38"/>
  <c r="AM24" i="38"/>
  <c r="FU6" i="15"/>
  <c r="DD6" i="15"/>
  <c r="AX15" i="49"/>
  <c r="AX26" i="49"/>
  <c r="AN40" i="38"/>
  <c r="AN24" i="38"/>
  <c r="AO12" i="38"/>
  <c r="DE6" i="15"/>
  <c r="FV6" i="15"/>
  <c r="AO24" i="38"/>
  <c r="AO40" i="38"/>
  <c r="AP12" i="38"/>
  <c r="DF6" i="15"/>
  <c r="FW6" i="15"/>
  <c r="AQ12" i="38"/>
  <c r="AP24" i="38"/>
  <c r="AP40" i="38"/>
  <c r="FX6" i="15"/>
  <c r="DG6" i="15"/>
  <c r="AR12" i="38"/>
  <c r="AQ24" i="38"/>
  <c r="AQ40" i="38"/>
  <c r="DH6" i="15"/>
  <c r="FY6" i="15"/>
  <c r="AR40" i="38"/>
  <c r="AS12" i="38"/>
  <c r="AR24" i="38"/>
  <c r="FZ6" i="15"/>
  <c r="DI6" i="15"/>
  <c r="AS24" i="38"/>
  <c r="AS40" i="38"/>
  <c r="AT12" i="38"/>
  <c r="GA6" i="15"/>
  <c r="DJ6" i="15"/>
  <c r="AT24" i="38"/>
  <c r="AT40" i="38"/>
  <c r="AU12" i="38"/>
  <c r="GB6" i="15"/>
  <c r="DK6" i="15"/>
  <c r="AU24" i="38"/>
  <c r="AV12" i="38"/>
  <c r="AU40" i="38"/>
  <c r="GC6" i="15"/>
  <c r="DL6" i="15"/>
  <c r="AV40" i="38"/>
  <c r="AW12" i="38"/>
  <c r="AV24" i="38"/>
  <c r="DM6" i="15"/>
  <c r="GD6" i="15"/>
  <c r="AX12" i="38"/>
  <c r="AW40" i="38"/>
  <c r="AW24" i="38"/>
  <c r="DN6" i="15"/>
  <c r="GE6" i="15"/>
  <c r="AX24" i="38"/>
  <c r="AX40" i="38"/>
  <c r="AY12" i="38"/>
  <c r="GF6" i="15"/>
  <c r="DO6" i="15"/>
  <c r="AY24" i="38"/>
  <c r="AZ12" i="38"/>
  <c r="AY40" i="38"/>
  <c r="GG6" i="15"/>
  <c r="DP6" i="15"/>
  <c r="AZ40" i="38"/>
  <c r="BA12" i="38"/>
  <c r="AZ24" i="38"/>
  <c r="DQ6" i="15"/>
  <c r="GH6" i="15"/>
  <c r="BA24" i="38"/>
  <c r="BB12" i="38"/>
  <c r="BA40" i="38"/>
  <c r="DR6" i="15"/>
  <c r="GI6" i="15"/>
  <c r="BB24" i="38"/>
  <c r="BC12" i="38"/>
  <c r="BB40" i="38"/>
  <c r="DS6" i="15"/>
  <c r="GJ6" i="15"/>
  <c r="BD12" i="38"/>
  <c r="BC40" i="38"/>
  <c r="BC24" i="38"/>
  <c r="DT6" i="15"/>
  <c r="GK6" i="15"/>
  <c r="BD40" i="38"/>
  <c r="BD24" i="38"/>
  <c r="BE12" i="38"/>
  <c r="GL6" i="15"/>
  <c r="DU6" i="15"/>
  <c r="BE24" i="38"/>
  <c r="BE40" i="38"/>
  <c r="BF12" i="38"/>
  <c r="DV6" i="15"/>
  <c r="GM6" i="15"/>
  <c r="BF24" i="38"/>
  <c r="BG12" i="38"/>
  <c r="BF40" i="38"/>
  <c r="DW6" i="15"/>
  <c r="GN6" i="15"/>
  <c r="BG24" i="38"/>
  <c r="BH12" i="38"/>
  <c r="BG40" i="38"/>
  <c r="GO6" i="15"/>
  <c r="DX6" i="15"/>
  <c r="BH24" i="38"/>
  <c r="BH40" i="38"/>
  <c r="BI12" i="38"/>
  <c r="DY6" i="15"/>
  <c r="GP6" i="15"/>
  <c r="BJ12" i="38"/>
  <c r="BI24" i="38"/>
  <c r="BI40" i="38"/>
  <c r="GQ6" i="15"/>
  <c r="DZ6" i="15"/>
  <c r="BJ40" i="38"/>
  <c r="BK12" i="38"/>
  <c r="BJ24" i="38"/>
  <c r="GR6" i="15"/>
  <c r="EA6" i="15"/>
  <c r="BK40" i="38"/>
  <c r="BK24" i="38"/>
  <c r="BL12" i="38"/>
  <c r="GS6" i="15"/>
  <c r="EB6" i="15"/>
  <c r="BL40" i="38"/>
  <c r="BL24" i="38"/>
  <c r="BM12" i="38"/>
  <c r="EC6" i="15"/>
  <c r="GT6" i="15"/>
  <c r="BN12" i="38"/>
  <c r="BM24" i="38"/>
  <c r="BM40" i="38"/>
  <c r="GU6" i="15"/>
  <c r="ED6" i="15"/>
  <c r="BN40" i="38"/>
  <c r="BN24" i="38"/>
  <c r="BO12" i="38"/>
  <c r="EE6" i="15"/>
  <c r="GV6" i="15"/>
  <c r="BO40" i="38"/>
  <c r="BP12" i="38"/>
  <c r="BO24" i="38"/>
  <c r="EF6" i="15"/>
  <c r="GW6" i="15"/>
  <c r="BP24" i="38"/>
  <c r="BP40" i="38"/>
  <c r="BQ12" i="38"/>
  <c r="GX6" i="15"/>
  <c r="EG6" i="15"/>
  <c r="BQ40" i="38"/>
  <c r="BR12" i="38"/>
  <c r="BQ24" i="38"/>
  <c r="GY6" i="15"/>
  <c r="EH6" i="15"/>
  <c r="BR24" i="38"/>
  <c r="BR40" i="38"/>
  <c r="BS12" i="38"/>
  <c r="EI6" i="15"/>
  <c r="GZ6" i="15"/>
  <c r="BT12" i="38"/>
  <c r="BS24" i="38"/>
  <c r="BS40" i="38"/>
  <c r="EJ6" i="15"/>
  <c r="HA6" i="15"/>
  <c r="BT24" i="38"/>
  <c r="BU12" i="38"/>
  <c r="BT40" i="38"/>
  <c r="HB6" i="15"/>
  <c r="EK6" i="15"/>
  <c r="BV12" i="38"/>
  <c r="BU24" i="38"/>
  <c r="BU40" i="38"/>
  <c r="EL6" i="15"/>
  <c r="HC6" i="15"/>
  <c r="BV40" i="38"/>
  <c r="BV24" i="38"/>
  <c r="BW12" i="38"/>
  <c r="EM6" i="15"/>
  <c r="HD6" i="15"/>
  <c r="BW40" i="38"/>
  <c r="BW24" i="38"/>
  <c r="BW55" i="38"/>
  <c r="BX12" i="38"/>
  <c r="BW72" i="38"/>
  <c r="BW83" i="38"/>
  <c r="BW47" i="38"/>
  <c r="EN6" i="15"/>
  <c r="HE6" i="15"/>
  <c r="BX72" i="38"/>
  <c r="BX83" i="38"/>
  <c r="BX24" i="38"/>
  <c r="BX40" i="38"/>
  <c r="BX47" i="38"/>
  <c r="BX55" i="38"/>
  <c r="BY12" i="38"/>
  <c r="HF6" i="15"/>
  <c r="EO6" i="15"/>
  <c r="BY72" i="38"/>
  <c r="BY83" i="38"/>
  <c r="BY55" i="38"/>
  <c r="BY24" i="38"/>
  <c r="BY40" i="38"/>
  <c r="BY47" i="38"/>
  <c r="BZ12" i="38"/>
  <c r="HG6" i="15"/>
  <c r="EP6" i="15"/>
  <c r="BZ40" i="38"/>
  <c r="CA12" i="38"/>
  <c r="BZ72" i="38"/>
  <c r="BZ83" i="38"/>
  <c r="BZ47" i="38"/>
  <c r="BZ24" i="38"/>
  <c r="BZ55" i="38"/>
  <c r="HH6" i="15"/>
  <c r="EQ6" i="15"/>
  <c r="ER6" i="15"/>
  <c r="ES6" i="15"/>
  <c r="CA24" i="38"/>
  <c r="CB12" i="38"/>
  <c r="CA47" i="38"/>
  <c r="CA72" i="38"/>
  <c r="CA83" i="38"/>
  <c r="CA40" i="38"/>
  <c r="CA55" i="38"/>
  <c r="CB55" i="38"/>
  <c r="CB40" i="38"/>
  <c r="CB47" i="38"/>
  <c r="CC12" i="38"/>
  <c r="CB72" i="38"/>
  <c r="CB83" i="38"/>
  <c r="CB24" i="38"/>
  <c r="CD12" i="38"/>
  <c r="CC40" i="38"/>
  <c r="CC24" i="38"/>
  <c r="CC47" i="38"/>
  <c r="CC55" i="38"/>
  <c r="CC72" i="38"/>
  <c r="CC83" i="38"/>
  <c r="CD72" i="38"/>
  <c r="CD83" i="38"/>
  <c r="CD40" i="38"/>
  <c r="CD24" i="38"/>
  <c r="CD55" i="38"/>
  <c r="CD47" i="38"/>
  <c r="CE12" i="38"/>
  <c r="CE40" i="38"/>
  <c r="CE24" i="38"/>
  <c r="CF12" i="38"/>
  <c r="CE72" i="38"/>
  <c r="CE83" i="38"/>
  <c r="CE47" i="38"/>
  <c r="CE55" i="38"/>
  <c r="CF55" i="38"/>
  <c r="CF72" i="38"/>
  <c r="CF83" i="38"/>
  <c r="CF40" i="38"/>
  <c r="CG12" i="38"/>
  <c r="CF47" i="38"/>
  <c r="CF24" i="38"/>
  <c r="CG47" i="38"/>
  <c r="CG72" i="38"/>
  <c r="CG83" i="38"/>
  <c r="CG55" i="38"/>
  <c r="CG24" i="38"/>
  <c r="CH12" i="38"/>
  <c r="CG40" i="38"/>
  <c r="CH47" i="38"/>
  <c r="CH24" i="38"/>
  <c r="CH40" i="38"/>
  <c r="CH55" i="38"/>
  <c r="CI12" i="38"/>
  <c r="CH72" i="38"/>
  <c r="CH83" i="38"/>
  <c r="CI55" i="38"/>
  <c r="CI72" i="38"/>
  <c r="CI83" i="38"/>
  <c r="CI24" i="38"/>
  <c r="CI40" i="38"/>
  <c r="CJ12" i="38"/>
  <c r="CI47" i="38"/>
  <c r="CJ55" i="38"/>
  <c r="CK12" i="38"/>
  <c r="CJ24" i="38"/>
  <c r="CJ72" i="38"/>
  <c r="CJ83" i="38"/>
  <c r="CJ47" i="38"/>
  <c r="CJ40" i="38"/>
  <c r="CK47" i="38"/>
  <c r="CL12" i="38"/>
  <c r="CK40" i="38"/>
  <c r="CK55" i="38"/>
  <c r="CK24" i="38"/>
  <c r="CK72" i="38"/>
  <c r="CK83" i="38"/>
  <c r="CM12" i="38"/>
  <c r="CL24" i="38"/>
  <c r="CL72" i="38"/>
  <c r="CL83" i="38"/>
  <c r="CL55" i="38"/>
  <c r="CL40" i="38"/>
  <c r="CL47" i="38"/>
  <c r="CM40" i="38"/>
  <c r="CM55" i="38"/>
  <c r="CM47" i="38"/>
  <c r="CM24" i="38"/>
  <c r="CN12" i="38"/>
  <c r="CM72" i="38"/>
  <c r="CM83" i="38"/>
  <c r="CN72" i="38"/>
  <c r="CN83" i="38"/>
  <c r="CN24" i="38"/>
  <c r="CN47" i="38"/>
  <c r="CN55" i="38"/>
  <c r="CO12" i="38"/>
  <c r="CN40" i="38"/>
  <c r="CO40" i="38"/>
  <c r="CO24" i="38"/>
  <c r="CO47" i="38"/>
  <c r="CO55" i="38"/>
  <c r="CP12" i="38"/>
  <c r="CO72" i="38"/>
  <c r="CO83" i="38"/>
  <c r="CP24" i="38"/>
  <c r="CP40" i="38"/>
  <c r="CQ12" i="38"/>
  <c r="CP55" i="38"/>
  <c r="CP47" i="38"/>
  <c r="CP72" i="38"/>
  <c r="CP83" i="38"/>
  <c r="CR12" i="38"/>
  <c r="CQ47" i="38"/>
  <c r="CQ40" i="38"/>
  <c r="CQ55" i="38"/>
  <c r="CQ72" i="38"/>
  <c r="CQ83" i="38"/>
  <c r="CQ24" i="38"/>
  <c r="CR72" i="38"/>
  <c r="CR83" i="38"/>
  <c r="CR55" i="38"/>
  <c r="CR40" i="38"/>
  <c r="CS12" i="38"/>
  <c r="CR47" i="38"/>
  <c r="CR24" i="38"/>
  <c r="CS72" i="38"/>
  <c r="CS83" i="38"/>
  <c r="CS24" i="38"/>
  <c r="CS40" i="38"/>
  <c r="CS47" i="38"/>
  <c r="CS55" i="38"/>
  <c r="CT12" i="38"/>
  <c r="CT47" i="38"/>
  <c r="CU12" i="38"/>
  <c r="CT55" i="38"/>
  <c r="CT24" i="38"/>
  <c r="CT72" i="38"/>
  <c r="CT83" i="38"/>
  <c r="CT40" i="38"/>
  <c r="CV12" i="38"/>
  <c r="CU47" i="38"/>
  <c r="CU72" i="38"/>
  <c r="CU83" i="38"/>
  <c r="CU40" i="38"/>
  <c r="CU55" i="38"/>
  <c r="CU24" i="38"/>
  <c r="CV55" i="38"/>
  <c r="CV24" i="38"/>
  <c r="CV47" i="38"/>
  <c r="CW12" i="38"/>
  <c r="CV40" i="38"/>
  <c r="CV72" i="38"/>
  <c r="CV83" i="38"/>
  <c r="CX12" i="38"/>
  <c r="CW40" i="38"/>
  <c r="CW47" i="38"/>
  <c r="CW24" i="38"/>
  <c r="CW55" i="38"/>
  <c r="CW72" i="38"/>
  <c r="CW83" i="38"/>
  <c r="CX24" i="38"/>
  <c r="CY12" i="38"/>
  <c r="CX55" i="38"/>
  <c r="CX40" i="38"/>
  <c r="CX72" i="38"/>
  <c r="CX83" i="38"/>
  <c r="CX47" i="38"/>
  <c r="CY55" i="38"/>
  <c r="CY40" i="38"/>
  <c r="CY24" i="38"/>
  <c r="CY72" i="38"/>
  <c r="CY83" i="38"/>
  <c r="CY47" i="38"/>
  <c r="CZ12" i="38"/>
  <c r="CZ55" i="38"/>
  <c r="CZ40" i="38"/>
  <c r="CZ72" i="38"/>
  <c r="CZ83" i="38"/>
  <c r="DA12" i="38"/>
  <c r="CZ24" i="38"/>
  <c r="CZ47" i="38"/>
  <c r="DA72" i="38"/>
  <c r="DA83" i="38"/>
  <c r="DA47" i="38"/>
  <c r="DA55" i="38"/>
  <c r="DB12" i="38"/>
  <c r="DA24" i="38"/>
  <c r="DA40" i="38"/>
  <c r="DB24" i="38"/>
  <c r="DC12" i="38"/>
  <c r="DB40" i="38"/>
  <c r="DB55" i="38"/>
  <c r="DB72" i="38"/>
  <c r="DB83" i="38"/>
  <c r="DB47" i="38"/>
  <c r="DC40" i="38"/>
  <c r="DC72" i="38"/>
  <c r="DC83" i="38"/>
  <c r="DD12" i="38"/>
  <c r="DC47" i="38"/>
  <c r="DC24" i="38"/>
  <c r="DC55" i="38"/>
  <c r="DE12" i="38"/>
  <c r="DD72" i="38"/>
  <c r="DD83" i="38"/>
  <c r="DD40" i="38"/>
  <c r="DD47" i="38"/>
  <c r="DD24" i="38"/>
  <c r="DD55" i="38"/>
  <c r="DE55" i="38"/>
  <c r="DF12" i="38"/>
  <c r="DE40" i="38"/>
  <c r="DE72" i="38"/>
  <c r="DE83" i="38"/>
  <c r="DE24" i="38"/>
  <c r="DE47" i="38"/>
  <c r="DF47" i="38"/>
  <c r="DF72" i="38"/>
  <c r="DF83" i="38"/>
  <c r="DF24" i="38"/>
  <c r="DF40" i="38"/>
  <c r="DG12" i="38"/>
  <c r="DF55" i="38"/>
  <c r="DH12" i="38"/>
  <c r="DG55" i="38"/>
  <c r="DG40" i="38"/>
  <c r="DG24" i="38"/>
  <c r="DG47" i="38"/>
  <c r="DG72" i="38"/>
  <c r="DG83" i="38"/>
  <c r="DH47" i="38"/>
  <c r="DI12" i="38"/>
  <c r="DH72" i="38"/>
  <c r="DH83" i="38"/>
  <c r="DH55" i="38"/>
  <c r="DH24" i="38"/>
  <c r="DH40" i="38"/>
  <c r="DI55" i="38"/>
  <c r="DI40" i="38"/>
  <c r="DJ12" i="38"/>
  <c r="DI24" i="38"/>
  <c r="DI47" i="38"/>
  <c r="DI72" i="38"/>
  <c r="DI83" i="38"/>
  <c r="DJ72" i="38"/>
  <c r="DJ83" i="38"/>
  <c r="DJ24" i="38"/>
  <c r="DK12" i="38"/>
  <c r="DJ40" i="38"/>
  <c r="DJ55" i="38"/>
  <c r="DJ47" i="38"/>
  <c r="DK55" i="38"/>
  <c r="DK72" i="38"/>
  <c r="DK83" i="38"/>
  <c r="DL12" i="38"/>
  <c r="DK47" i="38"/>
  <c r="DK24" i="38"/>
  <c r="DK40" i="38"/>
  <c r="DM12" i="38"/>
  <c r="DL40" i="38"/>
  <c r="DL24" i="38"/>
  <c r="DL72" i="38"/>
  <c r="DL83" i="38"/>
  <c r="DL47" i="38"/>
  <c r="DL55" i="38"/>
  <c r="DM24" i="38"/>
  <c r="DM55" i="38"/>
  <c r="DM40" i="38"/>
  <c r="DN12" i="38"/>
  <c r="DM72" i="38"/>
  <c r="DM83" i="38"/>
  <c r="DM47" i="38"/>
  <c r="DO12" i="38"/>
  <c r="DN55" i="38"/>
  <c r="DN40" i="38"/>
  <c r="DN47" i="38"/>
  <c r="DN72" i="38"/>
  <c r="DN83" i="38"/>
  <c r="DN24" i="38"/>
  <c r="DO72" i="38"/>
  <c r="DO83" i="38"/>
  <c r="DO40" i="38"/>
  <c r="DO47" i="38"/>
  <c r="DO55" i="38"/>
  <c r="DO24" i="38"/>
  <c r="CK11" i="49"/>
  <c r="B63" i="1"/>
  <c r="J63" i="64"/>
  <c r="N75" i="1"/>
  <c r="L38" i="65"/>
  <c r="P75" i="1"/>
  <c r="T75" i="1"/>
  <c r="CK30" i="49"/>
  <c r="CK34" i="49"/>
  <c r="CK23" i="49"/>
  <c r="F63" i="1"/>
  <c r="CI23" i="49"/>
  <c r="J63" i="1"/>
  <c r="B77" i="1"/>
  <c r="CI11" i="49"/>
  <c r="L115" i="1"/>
  <c r="T115" i="64"/>
  <c r="V115" i="64"/>
  <c r="EN46" i="29"/>
  <c r="EO46" i="29"/>
  <c r="L123" i="64"/>
  <c r="T123" i="64"/>
  <c r="V123" i="64"/>
  <c r="H34" i="65"/>
  <c r="P63" i="64"/>
  <c r="G34" i="65"/>
  <c r="L34" i="65"/>
  <c r="C50" i="75"/>
  <c r="D50" i="75"/>
  <c r="J38" i="2"/>
  <c r="L38" i="2"/>
  <c r="L110" i="1"/>
  <c r="T110" i="1"/>
  <c r="V110" i="1"/>
  <c r="H34" i="2"/>
  <c r="G34" i="2"/>
  <c r="L34" i="2"/>
  <c r="P63" i="1"/>
  <c r="T63" i="1"/>
  <c r="C40" i="75"/>
  <c r="D40" i="75"/>
  <c r="T115" i="1"/>
  <c r="V115" i="1"/>
  <c r="T63" i="64"/>
  <c r="P162" i="1"/>
  <c r="G14" i="57"/>
  <c r="T162" i="1"/>
  <c r="EP83" i="29"/>
  <c r="EP85" i="29"/>
  <c r="EP90" i="29"/>
  <c r="EO83" i="29"/>
  <c r="EP84" i="29"/>
  <c r="EG17" i="8"/>
  <c r="D17" i="8"/>
  <c r="CS392" i="40"/>
  <c r="EP46" i="29"/>
  <c r="J113" i="1"/>
  <c r="EO84" i="29"/>
  <c r="EO85" i="29"/>
  <c r="D47" i="44"/>
  <c r="C60" i="75"/>
  <c r="D60" i="75"/>
  <c r="V121" i="64"/>
  <c r="D53" i="44"/>
  <c r="C65" i="75"/>
  <c r="D65" i="75"/>
  <c r="D47" i="42"/>
  <c r="D47" i="60"/>
  <c r="D48" i="59"/>
  <c r="D47" i="66"/>
  <c r="F47" i="44"/>
  <c r="D47" i="46"/>
  <c r="D47" i="48"/>
  <c r="H47" i="48"/>
  <c r="D47" i="47"/>
  <c r="H47" i="44"/>
  <c r="D48" i="45"/>
  <c r="F53" i="44"/>
  <c r="D53" i="46"/>
  <c r="H53" i="44"/>
  <c r="D53" i="47"/>
  <c r="D53" i="66"/>
  <c r="D54" i="45"/>
  <c r="D53" i="60"/>
  <c r="D53" i="48"/>
  <c r="D53" i="42"/>
  <c r="D54" i="59"/>
  <c r="H47" i="47"/>
  <c r="F47" i="47"/>
  <c r="H47" i="66"/>
  <c r="F47" i="66"/>
  <c r="H48" i="59"/>
  <c r="F48" i="59"/>
  <c r="H48" i="45"/>
  <c r="F48" i="45"/>
  <c r="F47" i="46"/>
  <c r="H47" i="46"/>
  <c r="F47" i="60"/>
  <c r="H47" i="60"/>
  <c r="F47" i="42"/>
  <c r="H47" i="42"/>
  <c r="F54" i="59"/>
  <c r="H54" i="59"/>
  <c r="F54" i="45"/>
  <c r="H54" i="45"/>
  <c r="H53" i="46"/>
  <c r="F53" i="46"/>
  <c r="F53" i="42"/>
  <c r="H53" i="42"/>
  <c r="H53" i="66"/>
  <c r="F53" i="66"/>
  <c r="F53" i="60"/>
  <c r="H53" i="60"/>
  <c r="H53" i="48"/>
  <c r="F53" i="48"/>
  <c r="F53" i="47"/>
  <c r="H53" i="47"/>
  <c r="CK327" i="40"/>
  <c r="CJ327" i="40"/>
  <c r="HG108" i="15"/>
  <c r="HG109" i="15"/>
  <c r="GJ108" i="15"/>
  <c r="GJ109" i="15"/>
  <c r="EO21" i="15"/>
  <c r="ER49" i="15"/>
  <c r="ER88" i="15"/>
  <c r="ES61" i="15"/>
  <c r="B113" i="2"/>
  <c r="HD108" i="15"/>
  <c r="HD109" i="15"/>
  <c r="CM392" i="40"/>
  <c r="CM327" i="40"/>
  <c r="BO86" i="15"/>
  <c r="CC50" i="38"/>
  <c r="DB49" i="38"/>
  <c r="DZ83" i="15"/>
  <c r="DZ90" i="15"/>
  <c r="DZ105" i="15"/>
  <c r="CU49" i="38"/>
  <c r="DB50" i="38"/>
  <c r="DB51" i="38"/>
  <c r="CA86" i="15"/>
  <c r="CL50" i="38"/>
  <c r="DY79" i="15"/>
  <c r="CE86" i="15"/>
  <c r="CU50" i="38"/>
  <c r="CU51" i="38"/>
  <c r="BS86" i="15"/>
  <c r="CK50" i="38"/>
  <c r="CZ50" i="38"/>
  <c r="BR86" i="15"/>
  <c r="CC86" i="15"/>
  <c r="CF398" i="40"/>
  <c r="CE398" i="40"/>
  <c r="GK107" i="15"/>
  <c r="GK108" i="15"/>
  <c r="GK109" i="15"/>
  <c r="FI107" i="15"/>
  <c r="FI108" i="15"/>
  <c r="FI109" i="15"/>
  <c r="FE107" i="15"/>
  <c r="FE108" i="15"/>
  <c r="FE109" i="15"/>
  <c r="FS108" i="15"/>
  <c r="FS109" i="15"/>
  <c r="HD107" i="15"/>
  <c r="HE107" i="15"/>
  <c r="HE108" i="15"/>
  <c r="HE109" i="15"/>
  <c r="DN50" i="38"/>
  <c r="GX108" i="15"/>
  <c r="GX109" i="15"/>
  <c r="FF107" i="15"/>
  <c r="FF108" i="15"/>
  <c r="FF109" i="15"/>
  <c r="EA79" i="15"/>
  <c r="DL49" i="38"/>
  <c r="DM74" i="38"/>
  <c r="EQ78" i="15"/>
  <c r="EQ12" i="15"/>
  <c r="EQ31" i="15"/>
  <c r="EQ68" i="15"/>
  <c r="EQ66" i="15"/>
  <c r="DP14" i="38"/>
  <c r="EN99" i="15"/>
  <c r="HC108" i="15"/>
  <c r="HC109" i="15"/>
  <c r="CM50" i="38"/>
  <c r="CR49" i="38"/>
  <c r="CR51" i="38"/>
  <c r="CE49" i="38"/>
  <c r="CB49" i="38"/>
  <c r="CT50" i="38"/>
  <c r="AU392" i="40"/>
  <c r="FJ108" i="15"/>
  <c r="FJ109" i="15"/>
  <c r="GY108" i="15"/>
  <c r="GY109" i="15"/>
  <c r="DM76" i="38"/>
  <c r="DM14" i="38"/>
  <c r="GU107" i="15"/>
  <c r="GU108" i="15"/>
  <c r="GU109" i="15"/>
  <c r="FR107" i="15"/>
  <c r="FR108" i="15"/>
  <c r="FR109" i="15"/>
  <c r="GF108" i="15"/>
  <c r="GF109" i="15"/>
  <c r="DQ49" i="38"/>
  <c r="DP50" i="38"/>
  <c r="ER36" i="15"/>
  <c r="DM49" i="38"/>
  <c r="DM51" i="38"/>
  <c r="EN21" i="15"/>
  <c r="DJ50" i="38"/>
  <c r="DK49" i="38"/>
  <c r="CD86" i="15"/>
  <c r="CX49" i="38"/>
  <c r="DZ79" i="15"/>
  <c r="BZ86" i="15"/>
  <c r="CG50" i="38"/>
  <c r="CG51" i="38"/>
  <c r="DW83" i="15"/>
  <c r="BY86" i="15"/>
  <c r="DC49" i="38"/>
  <c r="CL49" i="38"/>
  <c r="CW50" i="38"/>
  <c r="DE49" i="38"/>
  <c r="CH49" i="38"/>
  <c r="CH51" i="38"/>
  <c r="DG49" i="38"/>
  <c r="CQ49" i="38"/>
  <c r="DA50" i="38"/>
  <c r="DT83" i="15"/>
  <c r="DT90" i="15"/>
  <c r="CB86" i="15"/>
  <c r="DH49" i="38"/>
  <c r="DR79" i="15"/>
  <c r="DR90" i="15"/>
  <c r="DR105" i="15"/>
  <c r="BU397" i="40"/>
  <c r="BU398" i="40"/>
  <c r="DS83" i="15"/>
  <c r="BW86" i="15"/>
  <c r="DS79" i="15"/>
  <c r="DV83" i="15"/>
  <c r="CD50" i="38"/>
  <c r="CE50" i="38"/>
  <c r="CF49" i="38"/>
  <c r="CC49" i="38"/>
  <c r="DY83" i="15"/>
  <c r="CJ50" i="38"/>
  <c r="EP103" i="15"/>
  <c r="EO103" i="15"/>
  <c r="EQ88" i="15"/>
  <c r="ES39" i="15"/>
  <c r="B87" i="2"/>
  <c r="C193" i="2"/>
  <c r="DO50" i="38"/>
  <c r="EN103" i="15"/>
  <c r="CK49" i="38"/>
  <c r="CK51" i="38"/>
  <c r="CX50" i="38"/>
  <c r="BY49" i="38"/>
  <c r="BY51" i="38"/>
  <c r="CD49" i="38"/>
  <c r="CD51" i="38"/>
  <c r="DU79" i="15"/>
  <c r="DU90" i="15"/>
  <c r="DU105" i="15"/>
  <c r="BT86" i="15"/>
  <c r="CH50" i="38"/>
  <c r="DI50" i="38"/>
  <c r="DI51" i="38"/>
  <c r="CQ50" i="38"/>
  <c r="CP49" i="38"/>
  <c r="DX79" i="15"/>
  <c r="BY50" i="38"/>
  <c r="DN15" i="38"/>
  <c r="DM16" i="38"/>
  <c r="DN76" i="38"/>
  <c r="DN74" i="38"/>
  <c r="DD49" i="38"/>
  <c r="DD51" i="38"/>
  <c r="DC50" i="38"/>
  <c r="DT79" i="15"/>
  <c r="DT105" i="15"/>
  <c r="CZ49" i="38"/>
  <c r="CZ51" i="38"/>
  <c r="EA83" i="15"/>
  <c r="BZ49" i="38"/>
  <c r="BZ51" i="38"/>
  <c r="BX50" i="38"/>
  <c r="BU86" i="15"/>
  <c r="CO50" i="38"/>
  <c r="CJ49" i="38"/>
  <c r="DG50" i="38"/>
  <c r="CS49" i="38"/>
  <c r="CN50" i="38"/>
  <c r="CN51" i="38"/>
  <c r="CI50" i="38"/>
  <c r="BP86" i="15"/>
  <c r="BW50" i="38"/>
  <c r="DN49" i="38"/>
  <c r="EQ34" i="15"/>
  <c r="ET34" i="15"/>
  <c r="DP17" i="38"/>
  <c r="GR107" i="15"/>
  <c r="GR108" i="15"/>
  <c r="GR109" i="15"/>
  <c r="CS50" i="38"/>
  <c r="CY49" i="38"/>
  <c r="CY51" i="38"/>
  <c r="CW49" i="38"/>
  <c r="CV50" i="38"/>
  <c r="CV51" i="38"/>
  <c r="CG49" i="38"/>
  <c r="BX49" i="38"/>
  <c r="BX51" i="38"/>
  <c r="CR392" i="40"/>
  <c r="FV108" i="15"/>
  <c r="FV109" i="15"/>
  <c r="GH108" i="15"/>
  <c r="GH109" i="15"/>
  <c r="DK50" i="38"/>
  <c r="DA49" i="38"/>
  <c r="CP50" i="38"/>
  <c r="CP51" i="38"/>
  <c r="BW49" i="38"/>
  <c r="BV86" i="15"/>
  <c r="CY50" i="38"/>
  <c r="CM49" i="38"/>
  <c r="DU83" i="15"/>
  <c r="CO49" i="38"/>
  <c r="CO51" i="38"/>
  <c r="DE50" i="38"/>
  <c r="DE51" i="38"/>
  <c r="CR50" i="38"/>
  <c r="CB50" i="38"/>
  <c r="BN86" i="15"/>
  <c r="CF50" i="38"/>
  <c r="BZ50" i="38"/>
  <c r="GQ108" i="15"/>
  <c r="GQ109" i="15"/>
  <c r="GO108" i="15"/>
  <c r="GO109" i="15"/>
  <c r="GA107" i="15"/>
  <c r="GA108" i="15"/>
  <c r="GA109" i="15"/>
  <c r="FO107" i="15"/>
  <c r="FO108" i="15"/>
  <c r="FO109" i="15"/>
  <c r="BU392" i="40"/>
  <c r="BQ392" i="40"/>
  <c r="FG108" i="15"/>
  <c r="FG109" i="15"/>
  <c r="AH327" i="40"/>
  <c r="DX83" i="15"/>
  <c r="DX90" i="15"/>
  <c r="BO398" i="40"/>
  <c r="GN107" i="15"/>
  <c r="GN108" i="15"/>
  <c r="GN109" i="15"/>
  <c r="GT107" i="15"/>
  <c r="GT108" i="15"/>
  <c r="GT109" i="15"/>
  <c r="ER26" i="15"/>
  <c r="ER30" i="15"/>
  <c r="ER35" i="15"/>
  <c r="ER40" i="15"/>
  <c r="EP10" i="29"/>
  <c r="R69" i="64"/>
  <c r="ES86" i="15"/>
  <c r="B139" i="2"/>
  <c r="H186" i="2"/>
  <c r="ES13" i="15"/>
  <c r="ET13" i="15"/>
  <c r="C60" i="2"/>
  <c r="D55" i="1"/>
  <c r="D79" i="1"/>
  <c r="D83" i="1"/>
  <c r="D92" i="1"/>
  <c r="B60" i="2"/>
  <c r="D55" i="64"/>
  <c r="ES24" i="15"/>
  <c r="B73" i="2"/>
  <c r="C179" i="2"/>
  <c r="ES29" i="15"/>
  <c r="B78" i="2"/>
  <c r="C184" i="2"/>
  <c r="ES33" i="15"/>
  <c r="B82" i="2"/>
  <c r="C188" i="2"/>
  <c r="ES46" i="15"/>
  <c r="B94" i="2"/>
  <c r="C197" i="2"/>
  <c r="ES52" i="15"/>
  <c r="B100" i="2"/>
  <c r="K25" i="65"/>
  <c r="L25" i="65"/>
  <c r="ES63" i="15"/>
  <c r="B115" i="2"/>
  <c r="BJ327" i="40"/>
  <c r="AY327" i="40"/>
  <c r="AP327" i="40"/>
  <c r="DQ50" i="38"/>
  <c r="EQ48" i="15"/>
  <c r="EQ76" i="15"/>
  <c r="EQ84" i="15"/>
  <c r="DP76" i="38"/>
  <c r="EQ85" i="15"/>
  <c r="EQ97" i="15"/>
  <c r="EQ25" i="15"/>
  <c r="EQ32" i="15"/>
  <c r="EQ38" i="15"/>
  <c r="EQ45" i="15"/>
  <c r="EQ62" i="15"/>
  <c r="EQ77" i="15"/>
  <c r="EQ82" i="15"/>
  <c r="ET82" i="15"/>
  <c r="EQ94" i="15"/>
  <c r="ET94" i="15"/>
  <c r="C149" i="2"/>
  <c r="DQ17" i="38"/>
  <c r="BP327" i="40"/>
  <c r="ER78" i="15"/>
  <c r="DQ75" i="38"/>
  <c r="ER12" i="15"/>
  <c r="ER31" i="15"/>
  <c r="ET31" i="15"/>
  <c r="C80" i="2"/>
  <c r="ER34" i="15"/>
  <c r="ER44" i="15"/>
  <c r="DQ16" i="38"/>
  <c r="ER68" i="15"/>
  <c r="DQ15" i="38"/>
  <c r="ES49" i="15"/>
  <c r="B97" i="2"/>
  <c r="ES26" i="15"/>
  <c r="B75" i="2"/>
  <c r="C181" i="2"/>
  <c r="ES30" i="15"/>
  <c r="B79" i="2"/>
  <c r="ES35" i="15"/>
  <c r="ES40" i="15"/>
  <c r="B88" i="2"/>
  <c r="C194" i="2"/>
  <c r="ES66" i="15"/>
  <c r="B120" i="2"/>
  <c r="B123" i="2"/>
  <c r="ER37" i="15"/>
  <c r="ES89" i="15"/>
  <c r="B142" i="2"/>
  <c r="H188" i="2"/>
  <c r="EK16" i="15"/>
  <c r="EK56" i="15"/>
  <c r="DL50" i="38"/>
  <c r="EL16" i="15"/>
  <c r="EL56" i="15"/>
  <c r="DM17" i="38"/>
  <c r="DO75" i="38"/>
  <c r="EP21" i="15"/>
  <c r="EN41" i="15"/>
  <c r="DN16" i="38"/>
  <c r="DN14" i="38"/>
  <c r="DO15" i="38"/>
  <c r="DO49" i="38"/>
  <c r="DO51" i="38"/>
  <c r="EN10" i="29"/>
  <c r="EQ86" i="15"/>
  <c r="EQ13" i="15"/>
  <c r="EQ24" i="15"/>
  <c r="EQ29" i="15"/>
  <c r="ET29" i="15"/>
  <c r="C78" i="2"/>
  <c r="EQ33" i="15"/>
  <c r="EQ46" i="15"/>
  <c r="EQ52" i="15"/>
  <c r="ER48" i="15"/>
  <c r="ER76" i="15"/>
  <c r="ER84" i="15"/>
  <c r="DQ76" i="38"/>
  <c r="ER85" i="15"/>
  <c r="ER97" i="15"/>
  <c r="ER18" i="15"/>
  <c r="ER25" i="15"/>
  <c r="ER32" i="15"/>
  <c r="ER38" i="15"/>
  <c r="ER45" i="15"/>
  <c r="ER62" i="15"/>
  <c r="ET62" i="15"/>
  <c r="ER77" i="15"/>
  <c r="ER82" i="15"/>
  <c r="C135" i="2"/>
  <c r="ER94" i="15"/>
  <c r="DR17" i="38"/>
  <c r="ES78" i="15"/>
  <c r="B131" i="2"/>
  <c r="ES12" i="15"/>
  <c r="B59" i="2"/>
  <c r="N55" i="64"/>
  <c r="N79" i="64"/>
  <c r="N83" i="64"/>
  <c r="N92" i="64"/>
  <c r="ES31" i="15"/>
  <c r="ES34" i="15"/>
  <c r="B83" i="2"/>
  <c r="C189" i="2"/>
  <c r="ES68" i="15"/>
  <c r="B121" i="2"/>
  <c r="B160" i="64"/>
  <c r="EQ36" i="15"/>
  <c r="ES36" i="15"/>
  <c r="B84" i="2"/>
  <c r="C190" i="2"/>
  <c r="DR49" i="38"/>
  <c r="DJ49" i="38"/>
  <c r="DJ51" i="38"/>
  <c r="EM16" i="15"/>
  <c r="EM56" i="15"/>
  <c r="DO17" i="38"/>
  <c r="DO16" i="38"/>
  <c r="EN64" i="15"/>
  <c r="EP69" i="15"/>
  <c r="DO14" i="38"/>
  <c r="DM50" i="38"/>
  <c r="EQ26" i="15"/>
  <c r="EQ30" i="15"/>
  <c r="EQ35" i="15"/>
  <c r="ET35" i="15"/>
  <c r="EQ40" i="15"/>
  <c r="EO10" i="29"/>
  <c r="ER86" i="15"/>
  <c r="ER13" i="15"/>
  <c r="ER24" i="15"/>
  <c r="ER29" i="15"/>
  <c r="ER33" i="15"/>
  <c r="ER46" i="15"/>
  <c r="ER52" i="15"/>
  <c r="ER63" i="15"/>
  <c r="ES48" i="15"/>
  <c r="B96" i="2"/>
  <c r="ES76" i="15"/>
  <c r="ES84" i="15"/>
  <c r="B137" i="2"/>
  <c r="ES85" i="15"/>
  <c r="B138" i="2"/>
  <c r="ES97" i="15"/>
  <c r="ES18" i="15"/>
  <c r="B67" i="2"/>
  <c r="G15" i="65"/>
  <c r="ES25" i="15"/>
  <c r="B74" i="2"/>
  <c r="C180" i="2"/>
  <c r="ES32" i="15"/>
  <c r="B81" i="2"/>
  <c r="ES38" i="15"/>
  <c r="B86" i="2"/>
  <c r="C192" i="2"/>
  <c r="ES45" i="15"/>
  <c r="B93" i="2"/>
  <c r="C196" i="2"/>
  <c r="ES77" i="15"/>
  <c r="B130" i="2"/>
  <c r="H179" i="2"/>
  <c r="ES82" i="15"/>
  <c r="B135" i="2"/>
  <c r="ES94" i="15"/>
  <c r="B149" i="2"/>
  <c r="H55" i="64"/>
  <c r="H79" i="64"/>
  <c r="H83" i="64"/>
  <c r="H92" i="64"/>
  <c r="EQ37" i="15"/>
  <c r="ES37" i="15"/>
  <c r="B85" i="2"/>
  <c r="C191" i="2"/>
  <c r="DP49" i="38"/>
  <c r="DP51" i="38"/>
  <c r="DR50" i="38"/>
  <c r="ES83" i="15"/>
  <c r="B136" i="2"/>
  <c r="H184" i="2"/>
  <c r="CV396" i="40"/>
  <c r="EF27" i="8"/>
  <c r="EP13" i="29"/>
  <c r="EP67" i="29"/>
  <c r="EP14" i="29"/>
  <c r="EP74" i="29"/>
  <c r="ED43" i="8"/>
  <c r="EN17" i="29"/>
  <c r="EE29" i="8"/>
  <c r="EO17" i="29"/>
  <c r="EF29" i="8"/>
  <c r="EG38" i="8"/>
  <c r="D38" i="8"/>
  <c r="EG31" i="8"/>
  <c r="D31" i="8"/>
  <c r="CU511" i="41"/>
  <c r="EG13" i="8"/>
  <c r="EF33" i="8"/>
  <c r="ER81" i="15"/>
  <c r="ES53" i="15"/>
  <c r="B101" i="2"/>
  <c r="C204" i="2"/>
  <c r="EQ53" i="15"/>
  <c r="EQ74" i="15"/>
  <c r="EQ11" i="15"/>
  <c r="EQ61" i="15"/>
  <c r="CT387" i="40"/>
  <c r="HJ47" i="15"/>
  <c r="EQ51" i="15"/>
  <c r="ES10" i="15"/>
  <c r="B57" i="2"/>
  <c r="ES15" i="15"/>
  <c r="B63" i="2"/>
  <c r="F55" i="64"/>
  <c r="F79" i="64"/>
  <c r="F83" i="64"/>
  <c r="F92" i="64"/>
  <c r="ER96" i="15"/>
  <c r="ES96" i="15"/>
  <c r="B146" i="2"/>
  <c r="EQ27" i="15"/>
  <c r="ER53" i="15"/>
  <c r="EP39" i="29"/>
  <c r="G40" i="65"/>
  <c r="ES88" i="15"/>
  <c r="B141" i="2"/>
  <c r="ER27" i="15"/>
  <c r="ER39" i="15"/>
  <c r="CU393" i="40"/>
  <c r="CU394" i="40"/>
  <c r="ES74" i="15"/>
  <c r="B127" i="2"/>
  <c r="B162" i="64"/>
  <c r="EQ15" i="15"/>
  <c r="EQ96" i="15"/>
  <c r="CU391" i="40"/>
  <c r="CU392" i="40"/>
  <c r="HK47" i="15"/>
  <c r="ES101" i="15"/>
  <c r="B155" i="2"/>
  <c r="B158" i="2"/>
  <c r="H190" i="2"/>
  <c r="ES103" i="15"/>
  <c r="ES80" i="15"/>
  <c r="B133" i="2"/>
  <c r="H181" i="2"/>
  <c r="ES81" i="15"/>
  <c r="B134" i="2"/>
  <c r="H182" i="2"/>
  <c r="ER15" i="15"/>
  <c r="CT386" i="40"/>
  <c r="CU325" i="40"/>
  <c r="CU327" i="40"/>
  <c r="EO39" i="29"/>
  <c r="ER47" i="15"/>
  <c r="HI47" i="15"/>
  <c r="CT326" i="40"/>
  <c r="EQ101" i="15"/>
  <c r="EQ103" i="15"/>
  <c r="EQ80" i="15"/>
  <c r="EQ79" i="15"/>
  <c r="EQ81" i="15"/>
  <c r="ET81" i="15"/>
  <c r="EQ10" i="15"/>
  <c r="EQ14" i="15"/>
  <c r="ER79" i="15"/>
  <c r="ET79" i="15"/>
  <c r="CU396" i="40"/>
  <c r="ER74" i="15"/>
  <c r="ET74" i="15"/>
  <c r="C127" i="2"/>
  <c r="CU389" i="40"/>
  <c r="ES51" i="15"/>
  <c r="B99" i="2"/>
  <c r="C202" i="2"/>
  <c r="ES27" i="15"/>
  <c r="B76" i="2"/>
  <c r="ER10" i="15"/>
  <c r="EN39" i="29"/>
  <c r="EP40" i="29"/>
  <c r="EO40" i="29"/>
  <c r="EQ39" i="15"/>
  <c r="ET39" i="15"/>
  <c r="C87" i="2"/>
  <c r="B193" i="2"/>
  <c r="B28" i="77"/>
  <c r="F28" i="77"/>
  <c r="EQ83" i="15"/>
  <c r="ER51" i="15"/>
  <c r="CU326" i="40"/>
  <c r="ER89" i="15"/>
  <c r="ER101" i="15"/>
  <c r="ER80" i="15"/>
  <c r="ER95" i="15"/>
  <c r="ER11" i="15"/>
  <c r="EQ89" i="15"/>
  <c r="DH51" i="38"/>
  <c r="ES79" i="15"/>
  <c r="B132" i="2"/>
  <c r="H180" i="2"/>
  <c r="ES95" i="15"/>
  <c r="ES75" i="15"/>
  <c r="B128" i="2"/>
  <c r="H177" i="2"/>
  <c r="HI10" i="15"/>
  <c r="CT325" i="40"/>
  <c r="CT327" i="40"/>
  <c r="EQ75" i="15"/>
  <c r="ES62" i="15"/>
  <c r="B114" i="2"/>
  <c r="B117" i="2"/>
  <c r="CV391" i="40"/>
  <c r="CV386" i="40"/>
  <c r="CV387" i="40"/>
  <c r="EQ63" i="15"/>
  <c r="CT391" i="40"/>
  <c r="CT396" i="40"/>
  <c r="CT389" i="40"/>
  <c r="CU386" i="40"/>
  <c r="ER61" i="15"/>
  <c r="ET61" i="15"/>
  <c r="C113" i="2"/>
  <c r="ER66" i="15"/>
  <c r="ET66" i="15"/>
  <c r="C120" i="2"/>
  <c r="CU387" i="40"/>
  <c r="ER75" i="15"/>
  <c r="CV325" i="40"/>
  <c r="EQ49" i="15"/>
  <c r="ET49" i="15"/>
  <c r="C97" i="2"/>
  <c r="B200" i="2"/>
  <c r="B35" i="77"/>
  <c r="F35" i="77"/>
  <c r="EQ47" i="15"/>
  <c r="EQ95" i="15"/>
  <c r="ET95" i="15"/>
  <c r="C151" i="2"/>
  <c r="G189" i="2"/>
  <c r="J23" i="77"/>
  <c r="N23" i="77"/>
  <c r="CV389" i="40"/>
  <c r="CT393" i="40"/>
  <c r="CT394" i="40"/>
  <c r="CV393" i="40"/>
  <c r="CV394" i="40"/>
  <c r="ES47" i="15"/>
  <c r="B95" i="2"/>
  <c r="CV326" i="40"/>
  <c r="ES44" i="15"/>
  <c r="EF9" i="8"/>
  <c r="EN14" i="29"/>
  <c r="EO74" i="29"/>
  <c r="CT513" i="41"/>
  <c r="EG10" i="8"/>
  <c r="EE9" i="8"/>
  <c r="EB34" i="8"/>
  <c r="ED11" i="8"/>
  <c r="ED24" i="8"/>
  <c r="EB43" i="8"/>
  <c r="EN67" i="29"/>
  <c r="EO13" i="29"/>
  <c r="EO67" i="29"/>
  <c r="EF38" i="8"/>
  <c r="EE33" i="8"/>
  <c r="EE31" i="8"/>
  <c r="CS511" i="41"/>
  <c r="EE13" i="8"/>
  <c r="EH13" i="8"/>
  <c r="EF17" i="8"/>
  <c r="R106" i="1"/>
  <c r="R128" i="1"/>
  <c r="EF31" i="8"/>
  <c r="EH31" i="8"/>
  <c r="EI31" i="8"/>
  <c r="EF10" i="8"/>
  <c r="EF11" i="8"/>
  <c r="EF24" i="8"/>
  <c r="CT511" i="41"/>
  <c r="EF13" i="8"/>
  <c r="EF22" i="8"/>
  <c r="EO14" i="29"/>
  <c r="CU418" i="41"/>
  <c r="EP17" i="29"/>
  <c r="CU513" i="41"/>
  <c r="EG33" i="8"/>
  <c r="EE27" i="8"/>
  <c r="EH27" i="8"/>
  <c r="EB22" i="8"/>
  <c r="EC34" i="8"/>
  <c r="CU509" i="41"/>
  <c r="EE38" i="8"/>
  <c r="ED34" i="8"/>
  <c r="EC22" i="8"/>
  <c r="EC24" i="8"/>
  <c r="ED22" i="8"/>
  <c r="EG9" i="8"/>
  <c r="EG11" i="8"/>
  <c r="EC43" i="8"/>
  <c r="EN13" i="29"/>
  <c r="EP15" i="29"/>
  <c r="F109" i="1"/>
  <c r="CT509" i="41"/>
  <c r="CS509" i="41"/>
  <c r="EB11" i="8"/>
  <c r="EB24" i="8"/>
  <c r="EB58" i="8"/>
  <c r="EN74" i="29"/>
  <c r="EN77" i="29"/>
  <c r="EP77" i="29"/>
  <c r="EP88" i="29"/>
  <c r="CS513" i="41"/>
  <c r="EG29" i="8"/>
  <c r="EH29" i="8"/>
  <c r="EI29" i="8"/>
  <c r="HF108" i="15"/>
  <c r="HF109" i="15"/>
  <c r="ER83" i="15"/>
  <c r="ES11" i="15"/>
  <c r="EQ44" i="15"/>
  <c r="D37" i="8"/>
  <c r="EE10" i="8"/>
  <c r="EH10" i="8"/>
  <c r="EO68" i="29"/>
  <c r="CT418" i="41"/>
  <c r="CA51" i="38"/>
  <c r="CX51" i="38"/>
  <c r="DN51" i="38"/>
  <c r="DA51" i="38"/>
  <c r="DC51" i="38"/>
  <c r="DK51" i="38"/>
  <c r="DQ53" i="38"/>
  <c r="EO64" i="15"/>
  <c r="ET40" i="15"/>
  <c r="C88" i="2"/>
  <c r="B194" i="2"/>
  <c r="B29" i="77"/>
  <c r="CQ51" i="38"/>
  <c r="EP41" i="15"/>
  <c r="EN54" i="15"/>
  <c r="DR51" i="38"/>
  <c r="DO76" i="38"/>
  <c r="EO69" i="15"/>
  <c r="DN75" i="38"/>
  <c r="EK107" i="15"/>
  <c r="EO14" i="15"/>
  <c r="EO16" i="15"/>
  <c r="CJ51" i="38"/>
  <c r="DG51" i="38"/>
  <c r="EP64" i="15"/>
  <c r="CS51" i="38"/>
  <c r="K29" i="65"/>
  <c r="L29" i="65"/>
  <c r="EP14" i="15"/>
  <c r="EP16" i="15"/>
  <c r="EO41" i="15"/>
  <c r="EN14" i="15"/>
  <c r="EN16" i="15"/>
  <c r="EN56" i="15"/>
  <c r="EO54" i="15"/>
  <c r="EG41" i="8"/>
  <c r="EO41" i="29"/>
  <c r="ED58" i="8"/>
  <c r="EB45" i="8"/>
  <c r="EP54" i="15"/>
  <c r="EL107" i="15"/>
  <c r="C199" i="2"/>
  <c r="L123" i="1"/>
  <c r="T123" i="1"/>
  <c r="V123" i="1"/>
  <c r="D55" i="44"/>
  <c r="L124" i="1"/>
  <c r="T124" i="1"/>
  <c r="V124" i="1"/>
  <c r="DL62" i="38"/>
  <c r="CL62" i="38"/>
  <c r="CQ62" i="38"/>
  <c r="DE62" i="38"/>
  <c r="DG62" i="38"/>
  <c r="CR62" i="38"/>
  <c r="DM62" i="38"/>
  <c r="CN62" i="38"/>
  <c r="CO62" i="38"/>
  <c r="DN29" i="38"/>
  <c r="DN31" i="38"/>
  <c r="CE62" i="38"/>
  <c r="CJ62" i="38"/>
  <c r="CF62" i="38"/>
  <c r="BW62" i="38"/>
  <c r="CU62" i="38"/>
  <c r="DO29" i="38"/>
  <c r="EP33" i="29"/>
  <c r="CP62" i="38"/>
  <c r="CM62" i="38"/>
  <c r="EP28" i="29"/>
  <c r="DQ62" i="38"/>
  <c r="DJ62" i="38"/>
  <c r="DO62" i="38"/>
  <c r="CZ62" i="38"/>
  <c r="CY62" i="38"/>
  <c r="CX62" i="38"/>
  <c r="CH62" i="38"/>
  <c r="DP62" i="38"/>
  <c r="DR62" i="38"/>
  <c r="ED45" i="8"/>
  <c r="EC58" i="8"/>
  <c r="EC45" i="8"/>
  <c r="P122" i="1"/>
  <c r="ED55" i="8"/>
  <c r="DW90" i="15"/>
  <c r="DW105" i="15"/>
  <c r="EA90" i="15"/>
  <c r="EA105" i="15"/>
  <c r="ET36" i="15"/>
  <c r="C84" i="2"/>
  <c r="B190" i="2"/>
  <c r="B25" i="77"/>
  <c r="F25" i="77"/>
  <c r="ET88" i="15"/>
  <c r="C141" i="2"/>
  <c r="B184" i="2"/>
  <c r="B19" i="77"/>
  <c r="F19" i="77"/>
  <c r="DO74" i="38"/>
  <c r="DO77" i="38"/>
  <c r="ET15" i="15"/>
  <c r="C63" i="2"/>
  <c r="F55" i="1"/>
  <c r="F79" i="1"/>
  <c r="F83" i="1"/>
  <c r="F92" i="1"/>
  <c r="DX105" i="15"/>
  <c r="DX107" i="15"/>
  <c r="CA397" i="40"/>
  <c r="CA398" i="40"/>
  <c r="ET96" i="15"/>
  <c r="C146" i="2"/>
  <c r="ET68" i="15"/>
  <c r="EN90" i="15"/>
  <c r="ET30" i="15"/>
  <c r="C79" i="2"/>
  <c r="EO71" i="15"/>
  <c r="ET52" i="15"/>
  <c r="C100" i="2"/>
  <c r="B203" i="2"/>
  <c r="B38" i="77"/>
  <c r="F38" i="77"/>
  <c r="EP99" i="15"/>
  <c r="ET26" i="15"/>
  <c r="C75" i="2"/>
  <c r="B181" i="2"/>
  <c r="B16" i="77"/>
  <c r="F16" i="77"/>
  <c r="EM107" i="15"/>
  <c r="ET12" i="15"/>
  <c r="C59" i="2"/>
  <c r="N55" i="1"/>
  <c r="N79" i="1"/>
  <c r="N83" i="1"/>
  <c r="N92" i="1"/>
  <c r="D10" i="44"/>
  <c r="ET45" i="15"/>
  <c r="C93" i="2"/>
  <c r="B196" i="2"/>
  <c r="B31" i="77"/>
  <c r="F31" i="77"/>
  <c r="DM15" i="38"/>
  <c r="DM18" i="38"/>
  <c r="EN69" i="15"/>
  <c r="EN71" i="15"/>
  <c r="EO90" i="15"/>
  <c r="ET77" i="15"/>
  <c r="C130" i="2"/>
  <c r="G179" i="2"/>
  <c r="J13" i="77"/>
  <c r="N13" i="77"/>
  <c r="EQ93" i="15"/>
  <c r="EQ99" i="15"/>
  <c r="DP74" i="38"/>
  <c r="ER21" i="15"/>
  <c r="ET18" i="15"/>
  <c r="C67" i="2"/>
  <c r="DN77" i="38"/>
  <c r="DP15" i="38"/>
  <c r="ER93" i="15"/>
  <c r="DQ74" i="38"/>
  <c r="EP90" i="15"/>
  <c r="ET84" i="15"/>
  <c r="C137" i="2"/>
  <c r="ES69" i="15"/>
  <c r="DM75" i="38"/>
  <c r="DM77" i="38"/>
  <c r="DO18" i="38"/>
  <c r="EP56" i="15"/>
  <c r="R60" i="1"/>
  <c r="T60" i="1"/>
  <c r="B183" i="2"/>
  <c r="B18" i="77"/>
  <c r="F18" i="77"/>
  <c r="G18" i="2"/>
  <c r="L18" i="2"/>
  <c r="EO56" i="15"/>
  <c r="EB55" i="8"/>
  <c r="EB52" i="8"/>
  <c r="R65" i="64"/>
  <c r="T65" i="64"/>
  <c r="C203" i="2"/>
  <c r="EP71" i="15"/>
  <c r="DN18" i="38"/>
  <c r="EO99" i="15"/>
  <c r="CI51" i="38"/>
  <c r="ED52" i="8"/>
  <c r="T122" i="1"/>
  <c r="V122" i="1"/>
  <c r="D54" i="44"/>
  <c r="P126" i="1"/>
  <c r="P128" i="1"/>
  <c r="EC55" i="8"/>
  <c r="EC52" i="8"/>
  <c r="P122" i="64"/>
  <c r="T122" i="64"/>
  <c r="V122" i="64"/>
  <c r="EP105" i="15"/>
  <c r="EP107" i="15"/>
  <c r="EN105" i="15"/>
  <c r="EN107" i="15"/>
  <c r="DO79" i="38"/>
  <c r="DM79" i="38"/>
  <c r="DN79" i="38"/>
  <c r="EO105" i="15"/>
  <c r="EO107" i="15"/>
  <c r="CS397" i="40"/>
  <c r="CS398" i="40"/>
  <c r="P141" i="1"/>
  <c r="P132" i="1"/>
  <c r="P126" i="64"/>
  <c r="P128" i="64"/>
  <c r="D55" i="45"/>
  <c r="H54" i="44"/>
  <c r="D55" i="59"/>
  <c r="D54" i="66"/>
  <c r="F54" i="44"/>
  <c r="D54" i="48"/>
  <c r="F54" i="48"/>
  <c r="D54" i="60"/>
  <c r="D54" i="46"/>
  <c r="D54" i="42"/>
  <c r="D54" i="47"/>
  <c r="CR397" i="40"/>
  <c r="CR398" i="40"/>
  <c r="EP113" i="15"/>
  <c r="CQ397" i="40"/>
  <c r="CQ398" i="40"/>
  <c r="EN113" i="15"/>
  <c r="EO113" i="15"/>
  <c r="F54" i="46"/>
  <c r="H54" i="46"/>
  <c r="F54" i="66"/>
  <c r="H54" i="66"/>
  <c r="H54" i="60"/>
  <c r="F54" i="60"/>
  <c r="H55" i="59"/>
  <c r="F55" i="59"/>
  <c r="F54" i="47"/>
  <c r="H54" i="47"/>
  <c r="H54" i="42"/>
  <c r="F54" i="42"/>
  <c r="F55" i="45"/>
  <c r="H55" i="45"/>
  <c r="L130" i="1"/>
  <c r="EN68" i="29"/>
  <c r="EN71" i="29"/>
  <c r="EN31" i="29"/>
  <c r="EN33" i="29"/>
  <c r="EO34" i="29"/>
  <c r="EE39" i="8"/>
  <c r="T130" i="1"/>
  <c r="V130" i="1"/>
  <c r="T130" i="64"/>
  <c r="V130" i="64"/>
  <c r="T118" i="64"/>
  <c r="V118" i="64"/>
  <c r="DB41" i="8"/>
  <c r="DB43" i="8"/>
  <c r="DP28" i="38"/>
  <c r="CV383" i="41"/>
  <c r="CV5" i="41"/>
  <c r="CX41" i="8"/>
  <c r="CX43" i="8"/>
  <c r="CV334" i="41"/>
  <c r="EE17" i="8"/>
  <c r="EH17" i="8"/>
  <c r="CW51" i="38"/>
  <c r="CT392" i="40"/>
  <c r="CV62" i="38"/>
  <c r="CY43" i="8"/>
  <c r="EO26" i="29"/>
  <c r="EO28" i="29"/>
  <c r="CV341" i="41"/>
  <c r="CV422" i="41"/>
  <c r="EE16" i="8"/>
  <c r="EH16" i="8"/>
  <c r="CV151" i="41"/>
  <c r="CV183" i="41"/>
  <c r="CV215" i="41"/>
  <c r="CV247" i="41"/>
  <c r="DR29" i="38"/>
  <c r="EN75" i="29"/>
  <c r="CV444" i="41"/>
  <c r="DQ85" i="38"/>
  <c r="DQ86" i="38"/>
  <c r="L118" i="1"/>
  <c r="T118" i="1"/>
  <c r="V118" i="1"/>
  <c r="D50" i="44"/>
  <c r="DN92" i="38"/>
  <c r="EH37" i="8"/>
  <c r="DP26" i="38"/>
  <c r="DR107" i="15"/>
  <c r="DR113" i="15"/>
  <c r="CV45" i="8"/>
  <c r="CV52" i="8"/>
  <c r="CU58" i="8"/>
  <c r="D27" i="8"/>
  <c r="CB62" i="38"/>
  <c r="D18" i="8"/>
  <c r="D14" i="8"/>
  <c r="ER64" i="15"/>
  <c r="H55" i="1"/>
  <c r="H79" i="1"/>
  <c r="H83" i="1"/>
  <c r="H92" i="1"/>
  <c r="DP75" i="38"/>
  <c r="CE51" i="38"/>
  <c r="CI62" i="38"/>
  <c r="DP85" i="38"/>
  <c r="DP86" i="38"/>
  <c r="D20" i="8"/>
  <c r="N144" i="64"/>
  <c r="CB51" i="38"/>
  <c r="CL51" i="38"/>
  <c r="D19" i="8"/>
  <c r="L144" i="64"/>
  <c r="EQ69" i="15"/>
  <c r="EQ16" i="15"/>
  <c r="EP41" i="29"/>
  <c r="H40" i="65"/>
  <c r="D40" i="65"/>
  <c r="DV90" i="15"/>
  <c r="DV105" i="15"/>
  <c r="DY90" i="15"/>
  <c r="DY105" i="15"/>
  <c r="CS62" i="38"/>
  <c r="CG62" i="38"/>
  <c r="H36" i="65"/>
  <c r="L36" i="65"/>
  <c r="P72" i="64"/>
  <c r="T72" i="64"/>
  <c r="J74" i="1"/>
  <c r="J77" i="1"/>
  <c r="P74" i="1"/>
  <c r="T74" i="1"/>
  <c r="DM31" i="38"/>
  <c r="T124" i="64"/>
  <c r="V124" i="64"/>
  <c r="R128" i="64"/>
  <c r="ET27" i="15"/>
  <c r="C76" i="2"/>
  <c r="EQ41" i="15"/>
  <c r="C132" i="2"/>
  <c r="G180" i="2"/>
  <c r="J14" i="77"/>
  <c r="N14" i="77"/>
  <c r="DS90" i="15"/>
  <c r="DS105" i="15"/>
  <c r="DQ51" i="38"/>
  <c r="EN32" i="29"/>
  <c r="CV287" i="41"/>
  <c r="EN22" i="29"/>
  <c r="EE42" i="8"/>
  <c r="DP27" i="38"/>
  <c r="CV421" i="41"/>
  <c r="EE19" i="8"/>
  <c r="EH19" i="8"/>
  <c r="N144" i="1"/>
  <c r="C49" i="75"/>
  <c r="D49" i="75"/>
  <c r="B162" i="1"/>
  <c r="ES64" i="15"/>
  <c r="ES71" i="15"/>
  <c r="CW58" i="8"/>
  <c r="DL51" i="38"/>
  <c r="CZ43" i="8"/>
  <c r="CV122" i="41"/>
  <c r="EN18" i="29"/>
  <c r="EN19" i="29"/>
  <c r="C134" i="2"/>
  <c r="G182" i="2"/>
  <c r="J16" i="77"/>
  <c r="N16" i="77"/>
  <c r="ET85" i="15"/>
  <c r="C138" i="2"/>
  <c r="DE41" i="8"/>
  <c r="DE43" i="8"/>
  <c r="DE45" i="8"/>
  <c r="DE52" i="8"/>
  <c r="ES93" i="15"/>
  <c r="DR75" i="38"/>
  <c r="EN11" i="29"/>
  <c r="CF51" i="38"/>
  <c r="DQ29" i="38"/>
  <c r="HJ107" i="15"/>
  <c r="HJ108" i="15"/>
  <c r="HJ109" i="15"/>
  <c r="HK107" i="15"/>
  <c r="CV184" i="41"/>
  <c r="CV192" i="41"/>
  <c r="CV200" i="41"/>
  <c r="CV208" i="41"/>
  <c r="CV425" i="41"/>
  <c r="EE18" i="8"/>
  <c r="EH18" i="8"/>
  <c r="EI18" i="8"/>
  <c r="B18" i="8"/>
  <c r="CV188" i="41"/>
  <c r="CV196" i="41"/>
  <c r="CV204" i="41"/>
  <c r="CV212" i="41"/>
  <c r="EE32" i="8"/>
  <c r="EH32" i="8"/>
  <c r="J77" i="64"/>
  <c r="H126" i="1"/>
  <c r="L119" i="1"/>
  <c r="T119" i="1"/>
  <c r="V119" i="1"/>
  <c r="C64" i="75"/>
  <c r="D64" i="75"/>
  <c r="L119" i="64"/>
  <c r="T119" i="64"/>
  <c r="V119" i="64"/>
  <c r="D51" i="44"/>
  <c r="D42" i="44"/>
  <c r="C56" i="75"/>
  <c r="D56" i="75"/>
  <c r="L110" i="64"/>
  <c r="T110" i="64"/>
  <c r="V110" i="64"/>
  <c r="D79" i="64"/>
  <c r="D83" i="64"/>
  <c r="D92" i="64"/>
  <c r="K30" i="65"/>
  <c r="L30" i="65"/>
  <c r="L15" i="65"/>
  <c r="G28" i="65"/>
  <c r="B71" i="2"/>
  <c r="B37" i="8"/>
  <c r="R62" i="1"/>
  <c r="T62" i="1"/>
  <c r="C39" i="75"/>
  <c r="D39" i="75"/>
  <c r="EO77" i="29"/>
  <c r="D29" i="8"/>
  <c r="D34" i="8"/>
  <c r="EE11" i="8"/>
  <c r="EI16" i="8"/>
  <c r="EH39" i="8"/>
  <c r="EI39" i="8"/>
  <c r="DM92" i="38"/>
  <c r="DM90" i="38"/>
  <c r="DZ113" i="15"/>
  <c r="ET24" i="15"/>
  <c r="ET32" i="15"/>
  <c r="C81" i="2"/>
  <c r="T69" i="64"/>
  <c r="H26" i="65"/>
  <c r="L26" i="65"/>
  <c r="K26" i="65"/>
  <c r="DA58" i="8"/>
  <c r="DD43" i="8"/>
  <c r="DD45" i="8"/>
  <c r="EE40" i="8"/>
  <c r="CV387" i="41"/>
  <c r="EO33" i="29"/>
  <c r="EO36" i="29"/>
  <c r="H126" i="64"/>
  <c r="D52" i="45"/>
  <c r="H51" i="44"/>
  <c r="F51" i="44"/>
  <c r="D51" i="47"/>
  <c r="D52" i="59"/>
  <c r="D51" i="42"/>
  <c r="D51" i="60"/>
  <c r="D51" i="46"/>
  <c r="D51" i="66"/>
  <c r="D51" i="48"/>
  <c r="D42" i="46"/>
  <c r="D42" i="48"/>
  <c r="H42" i="48"/>
  <c r="H42" i="44"/>
  <c r="D42" i="60"/>
  <c r="D42" i="66"/>
  <c r="D42" i="47"/>
  <c r="D43" i="45"/>
  <c r="D43" i="59"/>
  <c r="D42" i="42"/>
  <c r="F42" i="44"/>
  <c r="F51" i="60"/>
  <c r="H51" i="60"/>
  <c r="H51" i="47"/>
  <c r="F51" i="47"/>
  <c r="F51" i="48"/>
  <c r="H51" i="48"/>
  <c r="H51" i="42"/>
  <c r="F51" i="42"/>
  <c r="H51" i="46"/>
  <c r="F51" i="46"/>
  <c r="H51" i="66"/>
  <c r="F51" i="66"/>
  <c r="F52" i="59"/>
  <c r="H52" i="59"/>
  <c r="F52" i="45"/>
  <c r="H52" i="45"/>
  <c r="H42" i="47"/>
  <c r="F42" i="47"/>
  <c r="F42" i="42"/>
  <c r="H42" i="42"/>
  <c r="H42" i="66"/>
  <c r="F42" i="66"/>
  <c r="F42" i="46"/>
  <c r="H42" i="46"/>
  <c r="F43" i="59"/>
  <c r="H43" i="59"/>
  <c r="F42" i="60"/>
  <c r="H42" i="60"/>
  <c r="F43" i="45"/>
  <c r="H43" i="45"/>
  <c r="EN78" i="29"/>
  <c r="CX58" i="8"/>
  <c r="CX45" i="8"/>
  <c r="CX55" i="8"/>
  <c r="EO70" i="29"/>
  <c r="DB58" i="8"/>
  <c r="CY45" i="8"/>
  <c r="CY52" i="8"/>
  <c r="ES21" i="15"/>
  <c r="DR76" i="38"/>
  <c r="DR15" i="38"/>
  <c r="ET78" i="15"/>
  <c r="C131" i="2"/>
  <c r="DR14" i="38"/>
  <c r="ES90" i="15"/>
  <c r="EE20" i="8"/>
  <c r="EH20" i="8"/>
  <c r="CV428" i="41"/>
  <c r="EE30" i="8"/>
  <c r="EH30" i="8"/>
  <c r="CV434" i="41"/>
  <c r="EE14" i="8"/>
  <c r="B186" i="2"/>
  <c r="B21" i="77"/>
  <c r="F21" i="77"/>
  <c r="EI20" i="8"/>
  <c r="B20" i="8"/>
  <c r="R76" i="1"/>
  <c r="T76" i="1"/>
  <c r="C51" i="75"/>
  <c r="ET21" i="15"/>
  <c r="R70" i="64"/>
  <c r="T70" i="64"/>
  <c r="H24" i="65"/>
  <c r="B55" i="64"/>
  <c r="B79" i="64"/>
  <c r="EG22" i="8"/>
  <c r="EG24" i="8"/>
  <c r="D13" i="8"/>
  <c r="DM20" i="38"/>
  <c r="K24" i="65"/>
  <c r="L24" i="65"/>
  <c r="CY55" i="8"/>
  <c r="DP88" i="38"/>
  <c r="CM64" i="38"/>
  <c r="L144" i="1"/>
  <c r="D10" i="66"/>
  <c r="F10" i="66"/>
  <c r="EG43" i="8"/>
  <c r="D41" i="8"/>
  <c r="D43" i="8"/>
  <c r="G183" i="2"/>
  <c r="J17" i="77"/>
  <c r="N17" i="77"/>
  <c r="R66" i="1"/>
  <c r="T66" i="1"/>
  <c r="C43" i="75"/>
  <c r="D43" i="75"/>
  <c r="G28" i="2"/>
  <c r="L28" i="2"/>
  <c r="C114" i="2"/>
  <c r="C117" i="2"/>
  <c r="B29" i="8"/>
  <c r="EI37" i="8"/>
  <c r="EN23" i="29"/>
  <c r="EN24" i="29"/>
  <c r="F29" i="77"/>
  <c r="R66" i="64"/>
  <c r="T66" i="64"/>
  <c r="H183" i="2"/>
  <c r="B92" i="2"/>
  <c r="C195" i="2"/>
  <c r="DR16" i="38"/>
  <c r="ES54" i="15"/>
  <c r="ET37" i="15"/>
  <c r="C85" i="2"/>
  <c r="B191" i="2"/>
  <c r="B26" i="77"/>
  <c r="F26" i="77"/>
  <c r="ET25" i="15"/>
  <c r="C74" i="2"/>
  <c r="ET48" i="15"/>
  <c r="C96" i="2"/>
  <c r="B199" i="2"/>
  <c r="B34" i="77"/>
  <c r="F34" i="77"/>
  <c r="ET33" i="15"/>
  <c r="C82" i="2"/>
  <c r="EN26" i="29"/>
  <c r="EN28" i="29"/>
  <c r="CV340" i="41"/>
  <c r="D23" i="65"/>
  <c r="L23" i="65"/>
  <c r="R64" i="64"/>
  <c r="T64" i="64"/>
  <c r="F144" i="64"/>
  <c r="F144" i="1"/>
  <c r="B83" i="64"/>
  <c r="B92" i="64"/>
  <c r="J55" i="64"/>
  <c r="J79" i="64"/>
  <c r="J83" i="64"/>
  <c r="J92" i="64"/>
  <c r="D51" i="75"/>
  <c r="G15" i="2"/>
  <c r="B176" i="2"/>
  <c r="B11" i="77"/>
  <c r="F11" i="77"/>
  <c r="F50" i="44"/>
  <c r="H50" i="44"/>
  <c r="L15" i="2"/>
  <c r="B180" i="2"/>
  <c r="B15" i="77"/>
  <c r="F15" i="77"/>
  <c r="DP16" i="38"/>
  <c r="DP18" i="38"/>
  <c r="DQ20" i="38"/>
  <c r="EQ54" i="15"/>
  <c r="ET44" i="15"/>
  <c r="EF41" i="8"/>
  <c r="EH38" i="8"/>
  <c r="EI38" i="8"/>
  <c r="EP36" i="29"/>
  <c r="C66" i="75"/>
  <c r="D66" i="75"/>
  <c r="D56" i="44"/>
  <c r="C23" i="75"/>
  <c r="DD53" i="38"/>
  <c r="DA53" i="38"/>
  <c r="DL53" i="38"/>
  <c r="DI53" i="38"/>
  <c r="DE53" i="38"/>
  <c r="DH53" i="38"/>
  <c r="DK53" i="38"/>
  <c r="DC53" i="38"/>
  <c r="DG53" i="38"/>
  <c r="DJ53" i="38"/>
  <c r="DF53" i="38"/>
  <c r="DM53" i="38"/>
  <c r="C14" i="56"/>
  <c r="H41" i="2"/>
  <c r="L41" i="2"/>
  <c r="C24" i="75"/>
  <c r="F24" i="75"/>
  <c r="F28" i="75"/>
  <c r="F30" i="75"/>
  <c r="J41" i="2"/>
  <c r="J43" i="2"/>
  <c r="DM64" i="38"/>
  <c r="D51" i="59"/>
  <c r="D50" i="60"/>
  <c r="CX52" i="8"/>
  <c r="EA107" i="15"/>
  <c r="EF58" i="8"/>
  <c r="C13" i="75"/>
  <c r="EH42" i="8"/>
  <c r="BY397" i="40"/>
  <c r="BY398" i="40"/>
  <c r="DV113" i="15"/>
  <c r="DV107" i="15"/>
  <c r="F10" i="44"/>
  <c r="D11" i="45"/>
  <c r="F11" i="45"/>
  <c r="J144" i="64"/>
  <c r="J144" i="1"/>
  <c r="EN34" i="29"/>
  <c r="F55" i="44"/>
  <c r="D56" i="59"/>
  <c r="H56" i="59"/>
  <c r="DP53" i="38"/>
  <c r="DR53" i="38"/>
  <c r="DN53" i="38"/>
  <c r="DO53" i="38"/>
  <c r="D22" i="8"/>
  <c r="D24" i="8"/>
  <c r="D45" i="8"/>
  <c r="B16" i="8"/>
  <c r="EI15" i="8"/>
  <c r="B15" i="8"/>
  <c r="EP19" i="29"/>
  <c r="EO19" i="29"/>
  <c r="EQ56" i="15"/>
  <c r="ET10" i="15"/>
  <c r="C57" i="2"/>
  <c r="H191" i="2"/>
  <c r="R73" i="64"/>
  <c r="T73" i="64"/>
  <c r="DZ107" i="15"/>
  <c r="CC397" i="40"/>
  <c r="CC398" i="40"/>
  <c r="C198" i="2"/>
  <c r="B103" i="2"/>
  <c r="DQ14" i="38"/>
  <c r="DQ18" i="38"/>
  <c r="ER69" i="15"/>
  <c r="ER71" i="15"/>
  <c r="ET11" i="15"/>
  <c r="ER103" i="15"/>
  <c r="ET101" i="15"/>
  <c r="ET103" i="15"/>
  <c r="DW107" i="15"/>
  <c r="EO78" i="29"/>
  <c r="EP78" i="29"/>
  <c r="EP89" i="29"/>
  <c r="DO31" i="38"/>
  <c r="CZ53" i="38"/>
  <c r="DB53" i="38"/>
  <c r="D33" i="8"/>
  <c r="EH33" i="8"/>
  <c r="DQ77" i="38"/>
  <c r="DJ64" i="38"/>
  <c r="B31" i="8"/>
  <c r="ET63" i="15"/>
  <c r="ET64" i="15"/>
  <c r="D13" i="75"/>
  <c r="EQ64" i="15"/>
  <c r="EQ71" i="15"/>
  <c r="D10" i="8"/>
  <c r="D144" i="1"/>
  <c r="ET47" i="15"/>
  <c r="C95" i="2"/>
  <c r="B198" i="2"/>
  <c r="B33" i="77"/>
  <c r="F33" i="77"/>
  <c r="B151" i="2"/>
  <c r="H189" i="2"/>
  <c r="R76" i="64"/>
  <c r="T76" i="64"/>
  <c r="C176" i="2"/>
  <c r="C200" i="2"/>
  <c r="R68" i="64"/>
  <c r="EG34" i="8"/>
  <c r="CV327" i="40"/>
  <c r="EN40" i="29"/>
  <c r="EN41" i="29"/>
  <c r="ET51" i="15"/>
  <c r="C99" i="2"/>
  <c r="BW51" i="38"/>
  <c r="CI53" i="38"/>
  <c r="CC51" i="38"/>
  <c r="ET53" i="15"/>
  <c r="C101" i="2"/>
  <c r="B204" i="2"/>
  <c r="B39" i="77"/>
  <c r="F39" i="77"/>
  <c r="CM51" i="38"/>
  <c r="DC43" i="8"/>
  <c r="DC45" i="8"/>
  <c r="DC52" i="8"/>
  <c r="DF43" i="8"/>
  <c r="DF45" i="8"/>
  <c r="DA43" i="8"/>
  <c r="DA45" i="8"/>
  <c r="CV251" i="41"/>
  <c r="CV259" i="41"/>
  <c r="CV267" i="41"/>
  <c r="CV275" i="41"/>
  <c r="CV290" i="41"/>
  <c r="CV298" i="41"/>
  <c r="CV306" i="41"/>
  <c r="CV314" i="41"/>
  <c r="CV322" i="41"/>
  <c r="C115" i="2"/>
  <c r="C155" i="2"/>
  <c r="C158" i="2"/>
  <c r="G190" i="2"/>
  <c r="J24" i="77"/>
  <c r="N24" i="77"/>
  <c r="EF43" i="8"/>
  <c r="D56" i="46"/>
  <c r="D56" i="66"/>
  <c r="EI13" i="8"/>
  <c r="B13" i="8"/>
  <c r="F106" i="64"/>
  <c r="C92" i="2"/>
  <c r="DC55" i="8"/>
  <c r="T68" i="64"/>
  <c r="F56" i="59"/>
  <c r="B38" i="8"/>
  <c r="D23" i="2"/>
  <c r="D43" i="2"/>
  <c r="D160" i="1"/>
  <c r="B55" i="1"/>
  <c r="J55" i="1"/>
  <c r="J79" i="1"/>
  <c r="J83" i="1"/>
  <c r="J92" i="1"/>
  <c r="D9" i="44"/>
  <c r="B79" i="1"/>
  <c r="B83" i="1"/>
  <c r="B92" i="1"/>
  <c r="L23" i="2"/>
  <c r="P132" i="64"/>
  <c r="P141" i="64"/>
  <c r="D144" i="64"/>
  <c r="H24" i="2"/>
  <c r="CY53" i="38"/>
  <c r="CR53" i="38"/>
  <c r="B19" i="8"/>
  <c r="L106" i="64"/>
  <c r="L106" i="1"/>
  <c r="EI19" i="8"/>
  <c r="R70" i="1"/>
  <c r="T70" i="1"/>
  <c r="C47" i="75"/>
  <c r="D47" i="75"/>
  <c r="DF52" i="8"/>
  <c r="DF55" i="8"/>
  <c r="C58" i="2"/>
  <c r="ET14" i="15"/>
  <c r="ET16" i="15"/>
  <c r="R64" i="1"/>
  <c r="T64" i="1"/>
  <c r="C41" i="75"/>
  <c r="D41" i="75"/>
  <c r="B195" i="2"/>
  <c r="B30" i="77"/>
  <c r="F30" i="77"/>
  <c r="D56" i="42"/>
  <c r="F56" i="42"/>
  <c r="D56" i="60"/>
  <c r="D56" i="48"/>
  <c r="F56" i="48"/>
  <c r="B188" i="2"/>
  <c r="B23" i="77"/>
  <c r="F23" i="77"/>
  <c r="B150" i="2"/>
  <c r="DR74" i="38"/>
  <c r="ES99" i="15"/>
  <c r="C63" i="75"/>
  <c r="D63" i="75"/>
  <c r="DN20" i="38"/>
  <c r="DO20" i="38"/>
  <c r="DP77" i="38"/>
  <c r="B185" i="2"/>
  <c r="B20" i="77"/>
  <c r="F20" i="77"/>
  <c r="K19" i="2"/>
  <c r="L19" i="2"/>
  <c r="B58" i="2"/>
  <c r="ES14" i="15"/>
  <c r="ES16" i="15"/>
  <c r="DE55" i="8"/>
  <c r="R59" i="1"/>
  <c r="K17" i="2"/>
  <c r="B182" i="2"/>
  <c r="B17" i="77"/>
  <c r="F17" i="77"/>
  <c r="DR88" i="38"/>
  <c r="DQ88" i="38"/>
  <c r="D50" i="66"/>
  <c r="D50" i="42"/>
  <c r="F50" i="42"/>
  <c r="D10" i="46"/>
  <c r="F10" i="46"/>
  <c r="D10" i="42"/>
  <c r="F10" i="42"/>
  <c r="D10" i="60"/>
  <c r="F10" i="60"/>
  <c r="D10" i="48"/>
  <c r="F10" i="48"/>
  <c r="CD397" i="40"/>
  <c r="CD398" i="40"/>
  <c r="EA113" i="15"/>
  <c r="D55" i="42"/>
  <c r="F55" i="42"/>
  <c r="D55" i="66"/>
  <c r="D56" i="45"/>
  <c r="H56" i="45"/>
  <c r="D55" i="60"/>
  <c r="EP34" i="29"/>
  <c r="B116" i="1"/>
  <c r="B30" i="8"/>
  <c r="C27" i="75"/>
  <c r="D27" i="75"/>
  <c r="EI30" i="8"/>
  <c r="EE41" i="8"/>
  <c r="EH41" i="8"/>
  <c r="EH40" i="8"/>
  <c r="CP64" i="38"/>
  <c r="CR64" i="38"/>
  <c r="B17" i="8"/>
  <c r="EI17" i="8"/>
  <c r="L28" i="65"/>
  <c r="B32" i="8"/>
  <c r="C19" i="75"/>
  <c r="F18" i="75"/>
  <c r="EI32" i="8"/>
  <c r="R132" i="64"/>
  <c r="R141" i="64"/>
  <c r="ET93" i="15"/>
  <c r="DR64" i="38"/>
  <c r="DR66" i="38"/>
  <c r="C71" i="2"/>
  <c r="D9" i="8"/>
  <c r="B144" i="64"/>
  <c r="B39" i="8"/>
  <c r="EO11" i="29"/>
  <c r="EP11" i="29"/>
  <c r="R69" i="1"/>
  <c r="T69" i="1"/>
  <c r="DB45" i="8"/>
  <c r="DB55" i="8"/>
  <c r="B125" i="2"/>
  <c r="B166" i="64"/>
  <c r="CV55" i="8"/>
  <c r="DP29" i="38"/>
  <c r="EH9" i="8"/>
  <c r="ER54" i="15"/>
  <c r="ET46" i="15"/>
  <c r="C94" i="2"/>
  <c r="ET80" i="15"/>
  <c r="C133" i="2"/>
  <c r="G181" i="2"/>
  <c r="J15" i="77"/>
  <c r="N15" i="77"/>
  <c r="R132" i="1"/>
  <c r="R141" i="1"/>
  <c r="L40" i="65"/>
  <c r="ET83" i="15"/>
  <c r="C136" i="2"/>
  <c r="G184" i="2"/>
  <c r="J18" i="77"/>
  <c r="N18" i="77"/>
  <c r="C182" i="2"/>
  <c r="DU113" i="15"/>
  <c r="DU107" i="15"/>
  <c r="BX397" i="40"/>
  <c r="BX398" i="40"/>
  <c r="EE28" i="8"/>
  <c r="CV435" i="41"/>
  <c r="CV9" i="41"/>
  <c r="CV17" i="41"/>
  <c r="CV25" i="41"/>
  <c r="CV33" i="41"/>
  <c r="CV41" i="41"/>
  <c r="CV49" i="41"/>
  <c r="CV57" i="41"/>
  <c r="CV65" i="41"/>
  <c r="CV73" i="41"/>
  <c r="CV81" i="41"/>
  <c r="CV89" i="41"/>
  <c r="CV97" i="41"/>
  <c r="CV128" i="41"/>
  <c r="CV136" i="41"/>
  <c r="CV144" i="41"/>
  <c r="CV156" i="41"/>
  <c r="CV13" i="41"/>
  <c r="CV21" i="41"/>
  <c r="CV29" i="41"/>
  <c r="CV37" i="41"/>
  <c r="CV45" i="41"/>
  <c r="CV53" i="41"/>
  <c r="CV61" i="41"/>
  <c r="CV69" i="41"/>
  <c r="CV77" i="41"/>
  <c r="CV85" i="41"/>
  <c r="CV93" i="41"/>
  <c r="CV101" i="41"/>
  <c r="CV132" i="41"/>
  <c r="CV140" i="41"/>
  <c r="CV148" i="41"/>
  <c r="EH28" i="8"/>
  <c r="B28" i="8"/>
  <c r="EE34" i="8"/>
  <c r="ET54" i="15"/>
  <c r="K26" i="2"/>
  <c r="B144" i="1"/>
  <c r="D11" i="8"/>
  <c r="EI40" i="8"/>
  <c r="B40" i="8"/>
  <c r="F55" i="66"/>
  <c r="H55" i="66"/>
  <c r="H50" i="42"/>
  <c r="T59" i="1"/>
  <c r="C37" i="75"/>
  <c r="D37" i="75"/>
  <c r="DP79" i="38"/>
  <c r="H55" i="42"/>
  <c r="H50" i="66"/>
  <c r="F50" i="66"/>
  <c r="F56" i="60"/>
  <c r="H56" i="60"/>
  <c r="G33" i="2"/>
  <c r="L33" i="2"/>
  <c r="L55" i="1"/>
  <c r="L58" i="1"/>
  <c r="P58" i="1"/>
  <c r="C62" i="2"/>
  <c r="C65" i="2"/>
  <c r="DP31" i="38"/>
  <c r="DR31" i="38"/>
  <c r="DQ31" i="38"/>
  <c r="DQ33" i="38"/>
  <c r="C150" i="2"/>
  <c r="B164" i="1"/>
  <c r="B37" i="68"/>
  <c r="B116" i="64"/>
  <c r="H55" i="60"/>
  <c r="F55" i="60"/>
  <c r="L55" i="64"/>
  <c r="B164" i="64"/>
  <c r="AB164" i="64"/>
  <c r="EH11" i="8"/>
  <c r="B9" i="8"/>
  <c r="B106" i="64"/>
  <c r="EI9" i="8"/>
  <c r="EG58" i="8"/>
  <c r="CP68" i="38"/>
  <c r="F56" i="45"/>
  <c r="DQ92" i="38"/>
  <c r="D43" i="65"/>
  <c r="D160" i="64"/>
  <c r="H56" i="42"/>
  <c r="DP35" i="38"/>
  <c r="EI28" i="8"/>
  <c r="DQ35" i="38"/>
  <c r="P55" i="1"/>
  <c r="B197" i="2"/>
  <c r="B32" i="77"/>
  <c r="F32" i="77"/>
  <c r="B106" i="1"/>
  <c r="G43" i="2"/>
  <c r="D166" i="1"/>
  <c r="C16" i="56"/>
  <c r="L77" i="1"/>
  <c r="L79" i="1"/>
  <c r="L83" i="1"/>
  <c r="L92" i="1"/>
  <c r="D11" i="44"/>
  <c r="T74" i="64"/>
  <c r="H30" i="48"/>
  <c r="H54" i="48"/>
  <c r="H56" i="48"/>
  <c r="F42" i="48"/>
  <c r="F47" i="48"/>
  <c r="F52" i="48"/>
  <c r="F44" i="48"/>
  <c r="F11" i="44"/>
  <c r="D11" i="46"/>
  <c r="F11" i="46"/>
  <c r="D11" i="66"/>
  <c r="F11" i="66"/>
  <c r="D12" i="45"/>
  <c r="F12" i="45"/>
  <c r="D11" i="47"/>
  <c r="F11" i="47"/>
  <c r="D11" i="48"/>
  <c r="F11" i="48"/>
  <c r="D11" i="42"/>
  <c r="F11" i="42"/>
  <c r="D12" i="59"/>
  <c r="F12" i="59"/>
  <c r="D11" i="60"/>
  <c r="F11" i="60"/>
  <c r="P79" i="1"/>
  <c r="P83" i="1"/>
  <c r="P92" i="1"/>
  <c r="P77" i="1"/>
  <c r="T58" i="1"/>
  <c r="H41" i="65"/>
  <c r="J41" i="65"/>
  <c r="J43" i="65"/>
  <c r="L17" i="2"/>
  <c r="ES56" i="15"/>
  <c r="EP20" i="29"/>
  <c r="B109" i="64"/>
  <c r="B109" i="1"/>
  <c r="B166" i="1"/>
  <c r="C103" i="2"/>
  <c r="C46" i="75"/>
  <c r="D46" i="75"/>
  <c r="H26" i="2"/>
  <c r="L26" i="2"/>
  <c r="D10" i="59"/>
  <c r="D9" i="48"/>
  <c r="D9" i="42"/>
  <c r="D10" i="45"/>
  <c r="F9" i="44"/>
  <c r="D9" i="46"/>
  <c r="D9" i="66"/>
  <c r="D9" i="60"/>
  <c r="H51" i="59"/>
  <c r="F51" i="59"/>
  <c r="DR68" i="38"/>
  <c r="P55" i="64"/>
  <c r="L58" i="64"/>
  <c r="EE43" i="8"/>
  <c r="B62" i="2"/>
  <c r="B65" i="2"/>
  <c r="G33" i="65"/>
  <c r="H56" i="46"/>
  <c r="F56" i="46"/>
  <c r="B33" i="8"/>
  <c r="EI33" i="8"/>
  <c r="EH34" i="8"/>
  <c r="DO35" i="38"/>
  <c r="DO33" i="38"/>
  <c r="DM68" i="38"/>
  <c r="DM66" i="38"/>
  <c r="EI41" i="8"/>
  <c r="EI43" i="8"/>
  <c r="B41" i="8"/>
  <c r="DQ79" i="38"/>
  <c r="DQ90" i="38"/>
  <c r="D9" i="47"/>
  <c r="DA55" i="8"/>
  <c r="DA52" i="8"/>
  <c r="CX53" i="38"/>
  <c r="CV53" i="38"/>
  <c r="CW53" i="38"/>
  <c r="CO53" i="38"/>
  <c r="CM53" i="38"/>
  <c r="CM66" i="38"/>
  <c r="CM68" i="38"/>
  <c r="EH14" i="8"/>
  <c r="EE22" i="8"/>
  <c r="EE24" i="8"/>
  <c r="DD52" i="8"/>
  <c r="DD55" i="8"/>
  <c r="G185" i="2"/>
  <c r="J19" i="77"/>
  <c r="N19" i="77"/>
  <c r="E29" i="2"/>
  <c r="L29" i="2"/>
  <c r="ES105" i="15"/>
  <c r="DY113" i="15"/>
  <c r="CB397" i="40"/>
  <c r="CB398" i="40"/>
  <c r="F109" i="64"/>
  <c r="CR66" i="38"/>
  <c r="DR92" i="38"/>
  <c r="K24" i="2"/>
  <c r="L24" i="2"/>
  <c r="B202" i="2"/>
  <c r="B37" i="77"/>
  <c r="F37" i="77"/>
  <c r="ET71" i="15"/>
  <c r="DJ68" i="38"/>
  <c r="DJ66" i="38"/>
  <c r="EN36" i="29"/>
  <c r="EO29" i="29"/>
  <c r="EP29" i="29"/>
  <c r="EN29" i="29"/>
  <c r="DP90" i="38"/>
  <c r="DP92" i="38"/>
  <c r="N106" i="64"/>
  <c r="N128" i="64"/>
  <c r="N106" i="1"/>
  <c r="CS64" i="38"/>
  <c r="CQ64" i="38"/>
  <c r="EH43" i="8"/>
  <c r="DI64" i="38"/>
  <c r="DH64" i="38"/>
  <c r="DN64" i="38"/>
  <c r="DK64" i="38"/>
  <c r="DO64" i="38"/>
  <c r="DN35" i="38"/>
  <c r="DN33" i="38"/>
  <c r="EG45" i="8"/>
  <c r="B27" i="8"/>
  <c r="B34" i="8"/>
  <c r="EI27" i="8"/>
  <c r="EI34" i="8"/>
  <c r="DB52" i="8"/>
  <c r="CR68" i="38"/>
  <c r="R67" i="1"/>
  <c r="T67" i="1"/>
  <c r="C44" i="75"/>
  <c r="D44" i="75"/>
  <c r="DR77" i="38"/>
  <c r="DR79" i="38"/>
  <c r="DR90" i="38"/>
  <c r="D21" i="3"/>
  <c r="L164" i="1"/>
  <c r="F56" i="66"/>
  <c r="H56" i="66"/>
  <c r="CL53" i="38"/>
  <c r="CN53" i="38"/>
  <c r="CK53" i="38"/>
  <c r="CJ53" i="38"/>
  <c r="DY107" i="15"/>
  <c r="D57" i="45"/>
  <c r="H56" i="44"/>
  <c r="D56" i="47"/>
  <c r="D57" i="59"/>
  <c r="F56" i="44"/>
  <c r="J106" i="64"/>
  <c r="J106" i="1"/>
  <c r="DS113" i="15"/>
  <c r="DS107" i="15"/>
  <c r="BV397" i="40"/>
  <c r="BV398" i="40"/>
  <c r="H144" i="64"/>
  <c r="T144" i="64"/>
  <c r="V144" i="64"/>
  <c r="H144" i="1"/>
  <c r="T144" i="1"/>
  <c r="V144" i="1"/>
  <c r="CS53" i="38"/>
  <c r="CT53" i="38"/>
  <c r="CU53" i="38"/>
  <c r="C121" i="2"/>
  <c r="ET69" i="15"/>
  <c r="R73" i="1"/>
  <c r="T73" i="1"/>
  <c r="G191" i="2"/>
  <c r="J25" i="77"/>
  <c r="N25" i="77"/>
  <c r="F106" i="1"/>
  <c r="C73" i="2"/>
  <c r="CP53" i="38"/>
  <c r="CP66" i="38"/>
  <c r="CQ53" i="38"/>
  <c r="D50" i="48"/>
  <c r="D51" i="45"/>
  <c r="D50" i="46"/>
  <c r="D50" i="47"/>
  <c r="DF64" i="38"/>
  <c r="DG64" i="38"/>
  <c r="DP20" i="38"/>
  <c r="DP33" i="38"/>
  <c r="D10" i="47"/>
  <c r="F10" i="47"/>
  <c r="D11" i="59"/>
  <c r="F11" i="59"/>
  <c r="DW113" i="15"/>
  <c r="BZ397" i="40"/>
  <c r="BZ398" i="40"/>
  <c r="DP64" i="38"/>
  <c r="EF34" i="8"/>
  <c r="EF45" i="8"/>
  <c r="EI42" i="8"/>
  <c r="B42" i="8"/>
  <c r="C29" i="75"/>
  <c r="D29" i="75"/>
  <c r="F50" i="60"/>
  <c r="H50" i="60"/>
  <c r="DR18" i="38"/>
  <c r="DR20" i="38"/>
  <c r="DR33" i="38"/>
  <c r="D17" i="3"/>
  <c r="L160" i="1"/>
  <c r="B187" i="2"/>
  <c r="B22" i="77"/>
  <c r="F22" i="77"/>
  <c r="K21" i="2"/>
  <c r="L21" i="2"/>
  <c r="EP23" i="29"/>
  <c r="EP24" i="29"/>
  <c r="EO23" i="29"/>
  <c r="EO24" i="29"/>
  <c r="DM33" i="38"/>
  <c r="DM35" i="38"/>
  <c r="CN64" i="38"/>
  <c r="D55" i="46"/>
  <c r="D55" i="47"/>
  <c r="D55" i="48"/>
  <c r="H55" i="44"/>
  <c r="EP71" i="29"/>
  <c r="EO71" i="29"/>
  <c r="EO72" i="29"/>
  <c r="ER99" i="15"/>
  <c r="DX113" i="15"/>
  <c r="EN70" i="29"/>
  <c r="EN72" i="29"/>
  <c r="EP70" i="29"/>
  <c r="HK108" i="15"/>
  <c r="HK109" i="15"/>
  <c r="EO15" i="29"/>
  <c r="EO20" i="29"/>
  <c r="EN15" i="29"/>
  <c r="EN20" i="29"/>
  <c r="ER14" i="15"/>
  <c r="ER16" i="15"/>
  <c r="B10" i="8"/>
  <c r="EI10" i="8"/>
  <c r="EI11" i="8"/>
  <c r="ET75" i="15"/>
  <c r="EQ90" i="15"/>
  <c r="EQ105" i="15"/>
  <c r="K17" i="65"/>
  <c r="R59" i="64"/>
  <c r="X162" i="64"/>
  <c r="AB162" i="64"/>
  <c r="B147" i="2"/>
  <c r="ET97" i="15"/>
  <c r="B129" i="2"/>
  <c r="ET76" i="15"/>
  <c r="C129" i="2"/>
  <c r="ER41" i="15"/>
  <c r="CO64" i="38"/>
  <c r="R65" i="1"/>
  <c r="T65" i="1"/>
  <c r="C42" i="75"/>
  <c r="D42" i="75"/>
  <c r="E25" i="2"/>
  <c r="ER90" i="15"/>
  <c r="ER105" i="15"/>
  <c r="CV392" i="40"/>
  <c r="HI107" i="15"/>
  <c r="HI108" i="15"/>
  <c r="HI109" i="15"/>
  <c r="ET89" i="15"/>
  <c r="C142" i="2"/>
  <c r="G188" i="2"/>
  <c r="J22" i="77"/>
  <c r="N22" i="77"/>
  <c r="K21" i="65"/>
  <c r="L21" i="65"/>
  <c r="C187" i="2"/>
  <c r="R67" i="64"/>
  <c r="T67" i="64"/>
  <c r="H185" i="2"/>
  <c r="X160" i="64"/>
  <c r="AB160" i="64"/>
  <c r="CW45" i="8"/>
  <c r="CA62" i="38"/>
  <c r="CT62" i="38"/>
  <c r="CY64" i="38"/>
  <c r="CU45" i="8"/>
  <c r="CV10" i="41"/>
  <c r="CS418" i="41"/>
  <c r="B80" i="2"/>
  <c r="C186" i="2"/>
  <c r="C206" i="2"/>
  <c r="ES41" i="15"/>
  <c r="ET86" i="15"/>
  <c r="C139" i="2"/>
  <c r="ET38" i="15"/>
  <c r="C86" i="2"/>
  <c r="B192" i="2"/>
  <c r="B27" i="77"/>
  <c r="F27" i="77"/>
  <c r="C83" i="2"/>
  <c r="B189" i="2"/>
  <c r="B24" i="77"/>
  <c r="F24" i="77"/>
  <c r="DT113" i="15"/>
  <c r="BW397" i="40"/>
  <c r="BW398" i="40"/>
  <c r="DT107" i="15"/>
  <c r="DL64" i="38"/>
  <c r="DO88" i="38"/>
  <c r="R62" i="64"/>
  <c r="T62" i="64"/>
  <c r="C185" i="2"/>
  <c r="K19" i="65"/>
  <c r="L19" i="65"/>
  <c r="DQ64" i="38"/>
  <c r="CZ45" i="8"/>
  <c r="CZ58" i="8"/>
  <c r="F117" i="1"/>
  <c r="F117" i="64"/>
  <c r="T164" i="1"/>
  <c r="P164" i="1"/>
  <c r="CY68" i="38"/>
  <c r="CY66" i="38"/>
  <c r="CT397" i="40"/>
  <c r="CT398" i="40"/>
  <c r="EQ113" i="15"/>
  <c r="EQ107" i="15"/>
  <c r="T59" i="64"/>
  <c r="J116" i="1"/>
  <c r="J116" i="64"/>
  <c r="F9" i="47"/>
  <c r="DE64" i="38"/>
  <c r="CZ64" i="38"/>
  <c r="DD64" i="38"/>
  <c r="DB64" i="38"/>
  <c r="CO68" i="38"/>
  <c r="CO66" i="38"/>
  <c r="F55" i="47"/>
  <c r="H55" i="47"/>
  <c r="H56" i="47"/>
  <c r="F56" i="47"/>
  <c r="N132" i="64"/>
  <c r="N141" i="64"/>
  <c r="L109" i="1"/>
  <c r="H43" i="65"/>
  <c r="D168" i="64"/>
  <c r="L41" i="65"/>
  <c r="CI64" i="38"/>
  <c r="CJ64" i="38"/>
  <c r="CL64" i="38"/>
  <c r="CK64" i="38"/>
  <c r="ER113" i="15"/>
  <c r="CU397" i="40"/>
  <c r="CU398" i="40"/>
  <c r="B168" i="64"/>
  <c r="B153" i="2"/>
  <c r="B90" i="2"/>
  <c r="F55" i="46"/>
  <c r="H55" i="46"/>
  <c r="P160" i="1"/>
  <c r="T160" i="1"/>
  <c r="DG68" i="38"/>
  <c r="DG66" i="38"/>
  <c r="F51" i="45"/>
  <c r="H51" i="45"/>
  <c r="ET41" i="15"/>
  <c r="ET56" i="15"/>
  <c r="CU64" i="38"/>
  <c r="CX64" i="38"/>
  <c r="DH66" i="38"/>
  <c r="DH68" i="38"/>
  <c r="CT64" i="38"/>
  <c r="D54" i="3"/>
  <c r="L164" i="64"/>
  <c r="DR35" i="38"/>
  <c r="EE45" i="8"/>
  <c r="EE58" i="8"/>
  <c r="F9" i="66"/>
  <c r="F9" i="42"/>
  <c r="L109" i="64"/>
  <c r="C36" i="75"/>
  <c r="B43" i="8"/>
  <c r="DL66" i="38"/>
  <c r="DL68" i="38"/>
  <c r="C147" i="2"/>
  <c r="ET99" i="15"/>
  <c r="EG52" i="8"/>
  <c r="EG55" i="8"/>
  <c r="DN66" i="38"/>
  <c r="DN68" i="38"/>
  <c r="F10" i="45"/>
  <c r="ES107" i="15"/>
  <c r="CZ52" i="8"/>
  <c r="CZ55" i="8"/>
  <c r="G186" i="2"/>
  <c r="J20" i="77"/>
  <c r="N20" i="77"/>
  <c r="R68" i="1"/>
  <c r="T68" i="1"/>
  <c r="C45" i="75"/>
  <c r="D45" i="75"/>
  <c r="E30" i="2"/>
  <c r="L30" i="2"/>
  <c r="CW55" i="8"/>
  <c r="CW52" i="8"/>
  <c r="L25" i="2"/>
  <c r="E43" i="2"/>
  <c r="D162" i="1"/>
  <c r="K27" i="2"/>
  <c r="R61" i="1"/>
  <c r="G178" i="2"/>
  <c r="J12" i="77"/>
  <c r="N12" i="77"/>
  <c r="L17" i="65"/>
  <c r="D106" i="64"/>
  <c r="D106" i="1"/>
  <c r="B11" i="8"/>
  <c r="CN68" i="38"/>
  <c r="CN66" i="38"/>
  <c r="F114" i="64"/>
  <c r="F114" i="1"/>
  <c r="EF52" i="8"/>
  <c r="EF55" i="8"/>
  <c r="DF68" i="38"/>
  <c r="DF66" i="38"/>
  <c r="H50" i="48"/>
  <c r="F50" i="48"/>
  <c r="B179" i="2"/>
  <c r="D12" i="44"/>
  <c r="C90" i="2"/>
  <c r="C105" i="2"/>
  <c r="H57" i="45"/>
  <c r="F57" i="45"/>
  <c r="CV64" i="38"/>
  <c r="DO68" i="38"/>
  <c r="DO66" i="38"/>
  <c r="DI68" i="38"/>
  <c r="DI66" i="38"/>
  <c r="CS66" i="38"/>
  <c r="CS68" i="38"/>
  <c r="EO37" i="29"/>
  <c r="EP37" i="29"/>
  <c r="EN37" i="29"/>
  <c r="B14" i="8"/>
  <c r="EH22" i="8"/>
  <c r="EH24" i="8"/>
  <c r="EH45" i="8"/>
  <c r="EI14" i="8"/>
  <c r="EI22" i="8"/>
  <c r="EI24" i="8"/>
  <c r="EI45" i="8"/>
  <c r="L33" i="65"/>
  <c r="G43" i="65"/>
  <c r="D166" i="64"/>
  <c r="P58" i="64"/>
  <c r="L77" i="64"/>
  <c r="L79" i="64"/>
  <c r="L83" i="64"/>
  <c r="L92" i="64"/>
  <c r="F9" i="46"/>
  <c r="F9" i="48"/>
  <c r="C18" i="56"/>
  <c r="B38" i="68"/>
  <c r="B27" i="68"/>
  <c r="L117" i="1"/>
  <c r="T117" i="1"/>
  <c r="V117" i="1"/>
  <c r="C128" i="2"/>
  <c r="ET90" i="15"/>
  <c r="ET105" i="15"/>
  <c r="ET113" i="15"/>
  <c r="F50" i="46"/>
  <c r="H50" i="46"/>
  <c r="DC64" i="38"/>
  <c r="CQ66" i="38"/>
  <c r="CQ68" i="38"/>
  <c r="CV397" i="40"/>
  <c r="CV398" i="40"/>
  <c r="ES113" i="15"/>
  <c r="L117" i="64"/>
  <c r="T117" i="64"/>
  <c r="V117" i="64"/>
  <c r="DQ68" i="38"/>
  <c r="DQ66" i="38"/>
  <c r="DO90" i="38"/>
  <c r="DO92" i="38"/>
  <c r="CU52" i="8"/>
  <c r="CU55" i="8"/>
  <c r="R61" i="64"/>
  <c r="T61" i="64"/>
  <c r="B144" i="2"/>
  <c r="B160" i="2"/>
  <c r="B162" i="2"/>
  <c r="K27" i="65"/>
  <c r="L27" i="65"/>
  <c r="H178" i="2"/>
  <c r="H206" i="2"/>
  <c r="I211" i="2"/>
  <c r="R55" i="64"/>
  <c r="ER56" i="15"/>
  <c r="EP72" i="29"/>
  <c r="EP87" i="29"/>
  <c r="F55" i="48"/>
  <c r="H55" i="48"/>
  <c r="DP68" i="38"/>
  <c r="DP66" i="38"/>
  <c r="F50" i="47"/>
  <c r="H50" i="47"/>
  <c r="C123" i="2"/>
  <c r="C125" i="2"/>
  <c r="B160" i="1"/>
  <c r="H57" i="59"/>
  <c r="F57" i="59"/>
  <c r="CW64" i="38"/>
  <c r="DA64" i="38"/>
  <c r="DK68" i="38"/>
  <c r="DK66" i="38"/>
  <c r="N128" i="1"/>
  <c r="D29" i="44"/>
  <c r="H43" i="2"/>
  <c r="D168" i="1"/>
  <c r="F126" i="64"/>
  <c r="F128" i="64"/>
  <c r="T109" i="64"/>
  <c r="B105" i="2"/>
  <c r="F9" i="60"/>
  <c r="F10" i="59"/>
  <c r="D49" i="44"/>
  <c r="C62" i="75"/>
  <c r="D62" i="75"/>
  <c r="T55" i="64"/>
  <c r="N132" i="1"/>
  <c r="N141" i="1"/>
  <c r="D29" i="47"/>
  <c r="D30" i="45"/>
  <c r="D29" i="48"/>
  <c r="D31" i="44"/>
  <c r="F29" i="44"/>
  <c r="D29" i="46"/>
  <c r="H29" i="44"/>
  <c r="D30" i="59"/>
  <c r="D29" i="66"/>
  <c r="D29" i="42"/>
  <c r="D29" i="60"/>
  <c r="DA68" i="38"/>
  <c r="DA66" i="38"/>
  <c r="C12" i="56"/>
  <c r="B35" i="68"/>
  <c r="B24" i="68"/>
  <c r="L114" i="64"/>
  <c r="T114" i="64"/>
  <c r="V114" i="64"/>
  <c r="B113" i="1"/>
  <c r="D113" i="1"/>
  <c r="B36" i="68"/>
  <c r="B25" i="68"/>
  <c r="D171" i="1"/>
  <c r="D173" i="1"/>
  <c r="E58" i="3"/>
  <c r="E25" i="3"/>
  <c r="EE55" i="8"/>
  <c r="EE52" i="8"/>
  <c r="EH46" i="8"/>
  <c r="CT66" i="38"/>
  <c r="CT68" i="38"/>
  <c r="CU66" i="38"/>
  <c r="CU68" i="38"/>
  <c r="CK66" i="38"/>
  <c r="CK68" i="38"/>
  <c r="DE68" i="38"/>
  <c r="DE66" i="38"/>
  <c r="T116" i="1"/>
  <c r="V116" i="1"/>
  <c r="L116" i="1"/>
  <c r="J126" i="1"/>
  <c r="J128" i="1"/>
  <c r="ER107" i="15"/>
  <c r="ET57" i="15"/>
  <c r="G177" i="2"/>
  <c r="C144" i="2"/>
  <c r="C160" i="2"/>
  <c r="C162" i="2"/>
  <c r="B113" i="64"/>
  <c r="D113" i="64"/>
  <c r="L160" i="64"/>
  <c r="D50" i="3"/>
  <c r="G12" i="57"/>
  <c r="CL68" i="38"/>
  <c r="CL66" i="38"/>
  <c r="DB68" i="38"/>
  <c r="DB66" i="38"/>
  <c r="G16" i="57"/>
  <c r="F132" i="64"/>
  <c r="F141" i="64"/>
  <c r="T58" i="64"/>
  <c r="T77" i="64"/>
  <c r="H14" i="64"/>
  <c r="P77" i="64"/>
  <c r="P79" i="64"/>
  <c r="P83" i="64"/>
  <c r="P92" i="64"/>
  <c r="CV68" i="38"/>
  <c r="CV66" i="38"/>
  <c r="D12" i="47"/>
  <c r="D12" i="46"/>
  <c r="D12" i="48"/>
  <c r="F12" i="44"/>
  <c r="D12" i="42"/>
  <c r="D12" i="66"/>
  <c r="D12" i="60"/>
  <c r="D13" i="45"/>
  <c r="D13" i="59"/>
  <c r="K43" i="65"/>
  <c r="T61" i="1"/>
  <c r="R77" i="1"/>
  <c r="D36" i="75"/>
  <c r="P164" i="64"/>
  <c r="T164" i="64"/>
  <c r="CJ66" i="38"/>
  <c r="CJ68" i="38"/>
  <c r="DD68" i="38"/>
  <c r="DD66" i="38"/>
  <c r="R77" i="64"/>
  <c r="R79" i="64"/>
  <c r="R83" i="64"/>
  <c r="R92" i="64"/>
  <c r="CW68" i="38"/>
  <c r="CW66" i="38"/>
  <c r="DC68" i="38"/>
  <c r="DC66" i="38"/>
  <c r="D171" i="64"/>
  <c r="D173" i="64"/>
  <c r="X166" i="64"/>
  <c r="AB166" i="64"/>
  <c r="H106" i="64"/>
  <c r="H128" i="64"/>
  <c r="B22" i="8"/>
  <c r="H106" i="1"/>
  <c r="H128" i="1"/>
  <c r="B14" i="77"/>
  <c r="B206" i="2"/>
  <c r="L114" i="1"/>
  <c r="T114" i="1"/>
  <c r="V114" i="1"/>
  <c r="F126" i="1"/>
  <c r="F128" i="1"/>
  <c r="B24" i="8"/>
  <c r="B45" i="8"/>
  <c r="C12" i="75"/>
  <c r="L43" i="65"/>
  <c r="L27" i="2"/>
  <c r="L43" i="2"/>
  <c r="K43" i="2"/>
  <c r="C153" i="2"/>
  <c r="B168" i="1"/>
  <c r="V109" i="64"/>
  <c r="CX68" i="38"/>
  <c r="CX66" i="38"/>
  <c r="AB168" i="64"/>
  <c r="B171" i="64"/>
  <c r="CI68" i="38"/>
  <c r="CI66" i="38"/>
  <c r="T109" i="1"/>
  <c r="CZ68" i="38"/>
  <c r="CZ66" i="38"/>
  <c r="J126" i="64"/>
  <c r="J128" i="64"/>
  <c r="L116" i="64"/>
  <c r="T116" i="64"/>
  <c r="V116" i="64"/>
  <c r="ET107" i="15"/>
  <c r="D46" i="44"/>
  <c r="C59" i="75"/>
  <c r="D59" i="75"/>
  <c r="C14" i="75"/>
  <c r="D12" i="75"/>
  <c r="D14" i="75"/>
  <c r="D32" i="75"/>
  <c r="B39" i="68"/>
  <c r="C20" i="56"/>
  <c r="C38" i="75"/>
  <c r="T77" i="1"/>
  <c r="H14" i="1"/>
  <c r="F13" i="59"/>
  <c r="F12" i="42"/>
  <c r="F12" i="47"/>
  <c r="J11" i="77"/>
  <c r="G206" i="2"/>
  <c r="J141" i="1"/>
  <c r="J132" i="1"/>
  <c r="T106" i="1"/>
  <c r="L113" i="1"/>
  <c r="B126" i="1"/>
  <c r="B128" i="1"/>
  <c r="B171" i="1"/>
  <c r="H29" i="42"/>
  <c r="F29" i="42"/>
  <c r="F29" i="46"/>
  <c r="H29" i="46"/>
  <c r="H30" i="45"/>
  <c r="F30" i="45"/>
  <c r="F14" i="64"/>
  <c r="J14" i="64"/>
  <c r="N14" i="64"/>
  <c r="T79" i="64"/>
  <c r="T83" i="64"/>
  <c r="I209" i="2"/>
  <c r="H141" i="64"/>
  <c r="H132" i="64"/>
  <c r="F171" i="64"/>
  <c r="F13" i="45"/>
  <c r="P160" i="64"/>
  <c r="T160" i="64"/>
  <c r="T106" i="64"/>
  <c r="B30" i="68"/>
  <c r="C24" i="68"/>
  <c r="F29" i="66"/>
  <c r="H29" i="66"/>
  <c r="F29" i="47"/>
  <c r="H29" i="47"/>
  <c r="F141" i="1"/>
  <c r="F132" i="1"/>
  <c r="F14" i="77"/>
  <c r="F41" i="77"/>
  <c r="B41" i="77"/>
  <c r="AC166" i="64"/>
  <c r="AB171" i="64"/>
  <c r="F12" i="60"/>
  <c r="F12" i="48"/>
  <c r="D126" i="64"/>
  <c r="D128" i="64"/>
  <c r="C61" i="75"/>
  <c r="D61" i="75"/>
  <c r="D48" i="44"/>
  <c r="D28" i="44"/>
  <c r="F30" i="59"/>
  <c r="H30" i="59"/>
  <c r="H31" i="44"/>
  <c r="D31" i="66"/>
  <c r="D31" i="47"/>
  <c r="D31" i="42"/>
  <c r="D32" i="59"/>
  <c r="D31" i="48"/>
  <c r="D31" i="60"/>
  <c r="F31" i="44"/>
  <c r="D32" i="45"/>
  <c r="D31" i="46"/>
  <c r="V109" i="1"/>
  <c r="F171" i="1"/>
  <c r="J132" i="64"/>
  <c r="J141" i="64"/>
  <c r="L10" i="65"/>
  <c r="L45" i="65"/>
  <c r="B173" i="64"/>
  <c r="H132" i="1"/>
  <c r="H141" i="1"/>
  <c r="X171" i="64"/>
  <c r="F12" i="66"/>
  <c r="F12" i="46"/>
  <c r="L113" i="64"/>
  <c r="T113" i="64"/>
  <c r="V113" i="64"/>
  <c r="B126" i="64"/>
  <c r="B128" i="64"/>
  <c r="C25" i="68"/>
  <c r="D126" i="1"/>
  <c r="D128" i="1"/>
  <c r="T113" i="1"/>
  <c r="V113" i="1"/>
  <c r="D45" i="44"/>
  <c r="F29" i="60"/>
  <c r="H29" i="60"/>
  <c r="H29" i="48"/>
  <c r="F29" i="48"/>
  <c r="D49" i="42"/>
  <c r="D49" i="48"/>
  <c r="D49" i="46"/>
  <c r="F49" i="44"/>
  <c r="D50" i="45"/>
  <c r="H49" i="44"/>
  <c r="D49" i="60"/>
  <c r="D49" i="47"/>
  <c r="D49" i="66"/>
  <c r="D50" i="59"/>
  <c r="D45" i="47"/>
  <c r="F45" i="44"/>
  <c r="D45" i="42"/>
  <c r="D46" i="59"/>
  <c r="D46" i="45"/>
  <c r="H45" i="44"/>
  <c r="D45" i="60"/>
  <c r="D45" i="66"/>
  <c r="D45" i="46"/>
  <c r="D45" i="48"/>
  <c r="R55" i="1"/>
  <c r="P44" i="77"/>
  <c r="P48" i="77"/>
  <c r="D41" i="44"/>
  <c r="H49" i="47"/>
  <c r="F49" i="47"/>
  <c r="H31" i="60"/>
  <c r="F31" i="60"/>
  <c r="F173" i="64"/>
  <c r="N45" i="65"/>
  <c r="N46" i="65"/>
  <c r="T92" i="64"/>
  <c r="H214" i="64"/>
  <c r="C24" i="56"/>
  <c r="F49" i="42"/>
  <c r="H49" i="42"/>
  <c r="H31" i="42"/>
  <c r="F31" i="42"/>
  <c r="H31" i="47"/>
  <c r="F31" i="47"/>
  <c r="D132" i="64"/>
  <c r="D141" i="64"/>
  <c r="F49" i="60"/>
  <c r="H49" i="60"/>
  <c r="F49" i="46"/>
  <c r="H49" i="46"/>
  <c r="B132" i="64"/>
  <c r="B141" i="64"/>
  <c r="Y168" i="64"/>
  <c r="Y164" i="64"/>
  <c r="Y170" i="64"/>
  <c r="Y160" i="64"/>
  <c r="Y162" i="64"/>
  <c r="X173" i="64"/>
  <c r="F173" i="1"/>
  <c r="F31" i="46"/>
  <c r="H31" i="46"/>
  <c r="H31" i="48"/>
  <c r="F31" i="48"/>
  <c r="H31" i="66"/>
  <c r="F31" i="66"/>
  <c r="F28" i="44"/>
  <c r="D28" i="46"/>
  <c r="D28" i="47"/>
  <c r="D28" i="60"/>
  <c r="D28" i="42"/>
  <c r="D28" i="48"/>
  <c r="H28" i="44"/>
  <c r="I33" i="44"/>
  <c r="D29" i="45"/>
  <c r="D29" i="59"/>
  <c r="D28" i="66"/>
  <c r="D33" i="44"/>
  <c r="C30" i="68"/>
  <c r="C27" i="68"/>
  <c r="B41" i="68"/>
  <c r="L10" i="2"/>
  <c r="L45" i="2"/>
  <c r="V106" i="1"/>
  <c r="N11" i="77"/>
  <c r="N41" i="77"/>
  <c r="J41" i="77"/>
  <c r="D38" i="75"/>
  <c r="C52" i="75"/>
  <c r="C39" i="68"/>
  <c r="F168" i="1"/>
  <c r="H49" i="66"/>
  <c r="F49" i="66"/>
  <c r="H50" i="45"/>
  <c r="F50" i="45"/>
  <c r="F50" i="59"/>
  <c r="H50" i="59"/>
  <c r="F49" i="48"/>
  <c r="H49" i="48"/>
  <c r="D141" i="1"/>
  <c r="D132" i="1"/>
  <c r="Y166" i="64"/>
  <c r="F166" i="64"/>
  <c r="F32" i="45"/>
  <c r="H32" i="45"/>
  <c r="H32" i="59"/>
  <c r="F32" i="59"/>
  <c r="D49" i="59"/>
  <c r="D48" i="47"/>
  <c r="H48" i="44"/>
  <c r="D48" i="42"/>
  <c r="F48" i="44"/>
  <c r="D48" i="66"/>
  <c r="D48" i="46"/>
  <c r="D48" i="48"/>
  <c r="D49" i="45"/>
  <c r="D48" i="60"/>
  <c r="AC170" i="64"/>
  <c r="AB173" i="64"/>
  <c r="AC164" i="64"/>
  <c r="F164" i="64"/>
  <c r="H164" i="64"/>
  <c r="AC160" i="64"/>
  <c r="AC162" i="64"/>
  <c r="V106" i="64"/>
  <c r="B141" i="1"/>
  <c r="B132" i="1"/>
  <c r="AC168" i="64"/>
  <c r="F168" i="64"/>
  <c r="H168" i="64"/>
  <c r="F46" i="44"/>
  <c r="D46" i="42"/>
  <c r="D47" i="59"/>
  <c r="D46" i="66"/>
  <c r="H46" i="44"/>
  <c r="D47" i="45"/>
  <c r="D46" i="46"/>
  <c r="D46" i="47"/>
  <c r="D46" i="60"/>
  <c r="D46" i="48"/>
  <c r="F46" i="47"/>
  <c r="H46" i="47"/>
  <c r="F46" i="66"/>
  <c r="H46" i="66"/>
  <c r="F48" i="48"/>
  <c r="H48" i="48"/>
  <c r="H48" i="42"/>
  <c r="F48" i="42"/>
  <c r="C41" i="68"/>
  <c r="C40" i="68"/>
  <c r="F170" i="1"/>
  <c r="C37" i="68"/>
  <c r="F164" i="1"/>
  <c r="C38" i="68"/>
  <c r="C36" i="68"/>
  <c r="F162" i="1"/>
  <c r="C35" i="68"/>
  <c r="F160" i="1"/>
  <c r="D34" i="59"/>
  <c r="D33" i="42"/>
  <c r="H33" i="44"/>
  <c r="D33" i="48"/>
  <c r="D33" i="60"/>
  <c r="F33" i="44"/>
  <c r="D34" i="45"/>
  <c r="D33" i="66"/>
  <c r="D33" i="47"/>
  <c r="D33" i="46"/>
  <c r="K33" i="44"/>
  <c r="F28" i="47"/>
  <c r="H28" i="47"/>
  <c r="I33" i="47"/>
  <c r="F162" i="64"/>
  <c r="H45" i="66"/>
  <c r="F45" i="66"/>
  <c r="F46" i="59"/>
  <c r="H46" i="59"/>
  <c r="H46" i="46"/>
  <c r="F46" i="46"/>
  <c r="F47" i="59"/>
  <c r="H47" i="59"/>
  <c r="H48" i="46"/>
  <c r="F48" i="46"/>
  <c r="F12" i="1"/>
  <c r="H28" i="66"/>
  <c r="I33" i="66"/>
  <c r="F28" i="66"/>
  <c r="F28" i="48"/>
  <c r="H28" i="48"/>
  <c r="I33" i="48"/>
  <c r="H28" i="46"/>
  <c r="I33" i="46"/>
  <c r="F28" i="46"/>
  <c r="Y171" i="64"/>
  <c r="F160" i="64"/>
  <c r="H275" i="64"/>
  <c r="H171" i="64"/>
  <c r="H173" i="64"/>
  <c r="F45" i="60"/>
  <c r="H45" i="60"/>
  <c r="F45" i="42"/>
  <c r="H45" i="42"/>
  <c r="F46" i="48"/>
  <c r="H46" i="48"/>
  <c r="F47" i="45"/>
  <c r="H47" i="45"/>
  <c r="H46" i="42"/>
  <c r="F46" i="42"/>
  <c r="AC171" i="64"/>
  <c r="H48" i="60"/>
  <c r="F48" i="60"/>
  <c r="H48" i="66"/>
  <c r="F48" i="66"/>
  <c r="H48" i="47"/>
  <c r="F48" i="47"/>
  <c r="F166" i="1"/>
  <c r="F29" i="59"/>
  <c r="H29" i="59"/>
  <c r="I34" i="59"/>
  <c r="H28" i="42"/>
  <c r="I33" i="42"/>
  <c r="F28" i="42"/>
  <c r="F170" i="64"/>
  <c r="H170" i="64"/>
  <c r="J170" i="64"/>
  <c r="D41" i="60"/>
  <c r="D41" i="48"/>
  <c r="D41" i="47"/>
  <c r="D42" i="45"/>
  <c r="D41" i="46"/>
  <c r="D41" i="42"/>
  <c r="F41" i="44"/>
  <c r="H41" i="44"/>
  <c r="D41" i="66"/>
  <c r="D42" i="59"/>
  <c r="R79" i="1"/>
  <c r="R83" i="1"/>
  <c r="R92" i="1"/>
  <c r="D13" i="44"/>
  <c r="T55" i="1"/>
  <c r="F45" i="48"/>
  <c r="H45" i="48"/>
  <c r="F46" i="60"/>
  <c r="H46" i="60"/>
  <c r="F12" i="64"/>
  <c r="J164" i="64"/>
  <c r="C54" i="3"/>
  <c r="E54" i="3"/>
  <c r="H49" i="45"/>
  <c r="F49" i="45"/>
  <c r="H49" i="59"/>
  <c r="F49" i="59"/>
  <c r="E20" i="56"/>
  <c r="G20" i="56"/>
  <c r="C20" i="57"/>
  <c r="H168" i="1"/>
  <c r="H29" i="45"/>
  <c r="I34" i="45"/>
  <c r="F29" i="45"/>
  <c r="F28" i="60"/>
  <c r="H28" i="60"/>
  <c r="I33" i="60"/>
  <c r="H45" i="46"/>
  <c r="F45" i="46"/>
  <c r="F46" i="45"/>
  <c r="H46" i="45"/>
  <c r="F45" i="47"/>
  <c r="H45" i="47"/>
  <c r="D13" i="46"/>
  <c r="D14" i="45"/>
  <c r="D13" i="48"/>
  <c r="D13" i="60"/>
  <c r="D13" i="47"/>
  <c r="D13" i="42"/>
  <c r="D14" i="59"/>
  <c r="D13" i="66"/>
  <c r="F13" i="44"/>
  <c r="H11" i="44"/>
  <c r="H13" i="44"/>
  <c r="H9" i="44"/>
  <c r="H10" i="44"/>
  <c r="D15" i="44"/>
  <c r="H12" i="44"/>
  <c r="F42" i="45"/>
  <c r="H42" i="45"/>
  <c r="K33" i="66"/>
  <c r="F33" i="66"/>
  <c r="H33" i="66"/>
  <c r="H33" i="48"/>
  <c r="F33" i="48"/>
  <c r="E12" i="56"/>
  <c r="B4" i="68"/>
  <c r="F174" i="1"/>
  <c r="H170" i="1"/>
  <c r="E22" i="56"/>
  <c r="G22" i="56"/>
  <c r="C22" i="57"/>
  <c r="H41" i="47"/>
  <c r="F41" i="47"/>
  <c r="E18" i="56"/>
  <c r="C4" i="68"/>
  <c r="F174" i="64"/>
  <c r="K33" i="48"/>
  <c r="C5" i="68"/>
  <c r="F33" i="46"/>
  <c r="H33" i="46"/>
  <c r="K33" i="46"/>
  <c r="F34" i="45"/>
  <c r="H34" i="45"/>
  <c r="B5" i="68"/>
  <c r="E14" i="56"/>
  <c r="F42" i="59"/>
  <c r="H42" i="59"/>
  <c r="F16" i="64"/>
  <c r="F41" i="66"/>
  <c r="H41" i="66"/>
  <c r="H41" i="42"/>
  <c r="F41" i="42"/>
  <c r="F41" i="48"/>
  <c r="H41" i="48"/>
  <c r="H33" i="47"/>
  <c r="K33" i="47"/>
  <c r="F33" i="47"/>
  <c r="F33" i="42"/>
  <c r="H33" i="42"/>
  <c r="N164" i="64"/>
  <c r="R164" i="64"/>
  <c r="V164" i="64"/>
  <c r="K34" i="45"/>
  <c r="F14" i="1"/>
  <c r="J14" i="1"/>
  <c r="N14" i="1"/>
  <c r="C5" i="75"/>
  <c r="T79" i="1"/>
  <c r="T83" i="1"/>
  <c r="B173" i="1"/>
  <c r="H41" i="46"/>
  <c r="F41" i="46"/>
  <c r="F41" i="60"/>
  <c r="H41" i="60"/>
  <c r="H33" i="60"/>
  <c r="K33" i="60"/>
  <c r="F33" i="60"/>
  <c r="H34" i="59"/>
  <c r="F34" i="59"/>
  <c r="H164" i="1"/>
  <c r="E16" i="56"/>
  <c r="G16" i="56"/>
  <c r="C16" i="57"/>
  <c r="J168" i="64"/>
  <c r="E24" i="56"/>
  <c r="I15" i="44"/>
  <c r="F13" i="66"/>
  <c r="H11" i="66"/>
  <c r="H9" i="66"/>
  <c r="H13" i="66"/>
  <c r="H10" i="66"/>
  <c r="H12" i="66"/>
  <c r="F13" i="60"/>
  <c r="H13" i="60"/>
  <c r="H9" i="60"/>
  <c r="H10" i="60"/>
  <c r="H11" i="60"/>
  <c r="H12" i="60"/>
  <c r="H214" i="1"/>
  <c r="N39" i="76"/>
  <c r="N45" i="2"/>
  <c r="N46" i="2"/>
  <c r="T92" i="1"/>
  <c r="F14" i="59"/>
  <c r="H12" i="59"/>
  <c r="H10" i="59"/>
  <c r="I16" i="59"/>
  <c r="H14" i="59"/>
  <c r="H11" i="59"/>
  <c r="H13" i="59"/>
  <c r="F13" i="48"/>
  <c r="H9" i="48"/>
  <c r="H10" i="48"/>
  <c r="H11" i="48"/>
  <c r="H13" i="48"/>
  <c r="H12" i="48"/>
  <c r="C21" i="3"/>
  <c r="E21" i="3"/>
  <c r="I22" i="75"/>
  <c r="I26" i="75"/>
  <c r="H256" i="64"/>
  <c r="H283" i="64"/>
  <c r="H195" i="64"/>
  <c r="H222" i="64"/>
  <c r="F16" i="1"/>
  <c r="C6" i="68"/>
  <c r="C17" i="68"/>
  <c r="C12" i="68"/>
  <c r="B6" i="68"/>
  <c r="B8" i="68"/>
  <c r="B12" i="68"/>
  <c r="D15" i="48"/>
  <c r="D15" i="66"/>
  <c r="D15" i="42"/>
  <c r="D16" i="45"/>
  <c r="D15" i="47"/>
  <c r="D15" i="46"/>
  <c r="H15" i="44"/>
  <c r="D15" i="60"/>
  <c r="D16" i="59"/>
  <c r="F15" i="44"/>
  <c r="F13" i="42"/>
  <c r="H13" i="42"/>
  <c r="H9" i="42"/>
  <c r="H10" i="42"/>
  <c r="H11" i="42"/>
  <c r="H12" i="42"/>
  <c r="F14" i="45"/>
  <c r="H11" i="45"/>
  <c r="H10" i="45"/>
  <c r="H12" i="45"/>
  <c r="H14" i="45"/>
  <c r="H13" i="45"/>
  <c r="K34" i="59"/>
  <c r="K33" i="42"/>
  <c r="B9" i="68"/>
  <c r="F13" i="47"/>
  <c r="H13" i="47"/>
  <c r="H11" i="47"/>
  <c r="H9" i="47"/>
  <c r="H10" i="47"/>
  <c r="H12" i="47"/>
  <c r="F13" i="46"/>
  <c r="H11" i="46"/>
  <c r="H13" i="46"/>
  <c r="H9" i="46"/>
  <c r="I15" i="46"/>
  <c r="H10" i="46"/>
  <c r="H12" i="46"/>
  <c r="F15" i="46"/>
  <c r="H15" i="46"/>
  <c r="F15" i="66"/>
  <c r="H15" i="66"/>
  <c r="B10" i="68"/>
  <c r="H166" i="64"/>
  <c r="H275" i="1"/>
  <c r="H171" i="1"/>
  <c r="I15" i="47"/>
  <c r="I15" i="42"/>
  <c r="F16" i="59"/>
  <c r="H16" i="59"/>
  <c r="F15" i="47"/>
  <c r="H15" i="47"/>
  <c r="H15" i="48"/>
  <c r="F15" i="48"/>
  <c r="B17" i="68"/>
  <c r="C9" i="68"/>
  <c r="H162" i="64"/>
  <c r="I15" i="66"/>
  <c r="F15" i="60"/>
  <c r="H15" i="60"/>
  <c r="F16" i="45"/>
  <c r="O16" i="45"/>
  <c r="H16" i="45"/>
  <c r="I16" i="45"/>
  <c r="K15" i="44"/>
  <c r="F15" i="42"/>
  <c r="H15" i="42"/>
  <c r="C8" i="68"/>
  <c r="H160" i="64"/>
  <c r="I15" i="48"/>
  <c r="I15" i="60"/>
  <c r="AF160" i="64"/>
  <c r="J160" i="64"/>
  <c r="C50" i="3"/>
  <c r="J162" i="64"/>
  <c r="AF162" i="64"/>
  <c r="C52" i="3"/>
  <c r="E52" i="3"/>
  <c r="K15" i="66"/>
  <c r="K15" i="47"/>
  <c r="H160" i="1"/>
  <c r="H166" i="1"/>
  <c r="H162" i="1"/>
  <c r="O15" i="47"/>
  <c r="O15" i="66"/>
  <c r="C10" i="68"/>
  <c r="K15" i="42"/>
  <c r="K16" i="59"/>
  <c r="H173" i="1"/>
  <c r="J168" i="1"/>
  <c r="J170" i="1"/>
  <c r="J164" i="1"/>
  <c r="AF166" i="64"/>
  <c r="C15" i="68"/>
  <c r="J166" i="64"/>
  <c r="K15" i="46"/>
  <c r="K15" i="60"/>
  <c r="O15" i="42"/>
  <c r="K16" i="45"/>
  <c r="K15" i="48"/>
  <c r="O16" i="59"/>
  <c r="O15" i="46"/>
  <c r="N164" i="1"/>
  <c r="V164" i="1"/>
  <c r="R164" i="1"/>
  <c r="B15" i="68"/>
  <c r="B48" i="68"/>
  <c r="J166" i="1"/>
  <c r="G18" i="56"/>
  <c r="C18" i="57"/>
  <c r="N162" i="64"/>
  <c r="V162" i="64"/>
  <c r="R162" i="64"/>
  <c r="H201" i="64"/>
  <c r="H228" i="64"/>
  <c r="H262" i="64"/>
  <c r="H289" i="64"/>
  <c r="V166" i="64"/>
  <c r="R166" i="64"/>
  <c r="N166" i="64"/>
  <c r="B46" i="68"/>
  <c r="C17" i="3"/>
  <c r="J160" i="1"/>
  <c r="G12" i="56"/>
  <c r="E50" i="3"/>
  <c r="E56" i="3"/>
  <c r="E61" i="3"/>
  <c r="E64" i="3"/>
  <c r="C56" i="3"/>
  <c r="J171" i="64"/>
  <c r="J173" i="64"/>
  <c r="N160" i="64"/>
  <c r="V160" i="64"/>
  <c r="V171" i="64"/>
  <c r="D28" i="64"/>
  <c r="R160" i="64"/>
  <c r="C19" i="3"/>
  <c r="E19" i="3"/>
  <c r="B47" i="68"/>
  <c r="J162" i="1"/>
  <c r="G14" i="56"/>
  <c r="C14" i="57"/>
  <c r="AF171" i="64"/>
  <c r="AG160" i="64"/>
  <c r="N171" i="64"/>
  <c r="D24" i="64"/>
  <c r="J171" i="1"/>
  <c r="J173" i="1"/>
  <c r="N160" i="1"/>
  <c r="V160" i="1"/>
  <c r="R160" i="1"/>
  <c r="H193" i="64"/>
  <c r="H220" i="64"/>
  <c r="H254" i="64"/>
  <c r="H281" i="64"/>
  <c r="N166" i="1"/>
  <c r="H262" i="1"/>
  <c r="H289" i="1"/>
  <c r="D23" i="44"/>
  <c r="R166" i="1"/>
  <c r="V166" i="1"/>
  <c r="H201" i="1"/>
  <c r="B49" i="68"/>
  <c r="C49" i="68"/>
  <c r="AG162" i="64"/>
  <c r="AG171" i="64"/>
  <c r="C12" i="57"/>
  <c r="G24" i="56"/>
  <c r="H195" i="1"/>
  <c r="H256" i="1"/>
  <c r="H283" i="1"/>
  <c r="AG166" i="64"/>
  <c r="N162" i="1"/>
  <c r="V162" i="1"/>
  <c r="R162" i="1"/>
  <c r="H192" i="64"/>
  <c r="H253" i="64"/>
  <c r="R171" i="64"/>
  <c r="D26" i="64"/>
  <c r="E17" i="3"/>
  <c r="E23" i="3"/>
  <c r="E28" i="3"/>
  <c r="E31" i="3"/>
  <c r="C23" i="3"/>
  <c r="C48" i="68"/>
  <c r="H222" i="1"/>
  <c r="N20" i="76"/>
  <c r="N47" i="76"/>
  <c r="N171" i="1"/>
  <c r="D24" i="1"/>
  <c r="H258" i="64"/>
  <c r="H280" i="64"/>
  <c r="H285" i="64"/>
  <c r="C46" i="68"/>
  <c r="D23" i="48"/>
  <c r="H23" i="44"/>
  <c r="D24" i="45"/>
  <c r="D23" i="42"/>
  <c r="D23" i="60"/>
  <c r="D24" i="59"/>
  <c r="D23" i="47"/>
  <c r="D23" i="66"/>
  <c r="F23" i="44"/>
  <c r="D23" i="46"/>
  <c r="C47" i="68"/>
  <c r="H219" i="64"/>
  <c r="H224" i="64"/>
  <c r="H197" i="64"/>
  <c r="E12" i="57"/>
  <c r="C24" i="57"/>
  <c r="N26" i="76"/>
  <c r="N53" i="76"/>
  <c r="C8" i="75"/>
  <c r="H228" i="1"/>
  <c r="H192" i="1"/>
  <c r="H253" i="1"/>
  <c r="R171" i="1"/>
  <c r="D26" i="1"/>
  <c r="L111" i="1"/>
  <c r="L111" i="64"/>
  <c r="H254" i="1"/>
  <c r="H281" i="1"/>
  <c r="H193" i="1"/>
  <c r="V171" i="1"/>
  <c r="D28" i="1"/>
  <c r="I12" i="57"/>
  <c r="H220" i="1"/>
  <c r="N18" i="76"/>
  <c r="N45" i="76"/>
  <c r="G26" i="75"/>
  <c r="G22" i="75"/>
  <c r="G30" i="75"/>
  <c r="H23" i="60"/>
  <c r="F23" i="60"/>
  <c r="H23" i="48"/>
  <c r="F23" i="48"/>
  <c r="T111" i="1"/>
  <c r="L126" i="1"/>
  <c r="L128" i="1"/>
  <c r="H23" i="46"/>
  <c r="F23" i="46"/>
  <c r="H280" i="1"/>
  <c r="H285" i="1"/>
  <c r="H258" i="1"/>
  <c r="H23" i="66"/>
  <c r="F23" i="66"/>
  <c r="H23" i="42"/>
  <c r="F23" i="42"/>
  <c r="F24" i="59"/>
  <c r="H24" i="59"/>
  <c r="T111" i="64"/>
  <c r="L126" i="64"/>
  <c r="L128" i="64"/>
  <c r="N17" i="76"/>
  <c r="H219" i="1"/>
  <c r="H224" i="1"/>
  <c r="D20" i="44"/>
  <c r="H197" i="1"/>
  <c r="C7" i="75"/>
  <c r="E20" i="57"/>
  <c r="I20" i="57"/>
  <c r="E16" i="57"/>
  <c r="I16" i="57"/>
  <c r="E22" i="57"/>
  <c r="I22" i="57"/>
  <c r="E14" i="57"/>
  <c r="I14" i="57"/>
  <c r="E18" i="57"/>
  <c r="I18" i="57"/>
  <c r="F23" i="47"/>
  <c r="H23" i="47"/>
  <c r="F24" i="45"/>
  <c r="H24" i="45"/>
  <c r="C25" i="75"/>
  <c r="F21" i="75"/>
  <c r="D20" i="60"/>
  <c r="F20" i="60"/>
  <c r="H20" i="60"/>
  <c r="F20" i="44"/>
  <c r="H20" i="44"/>
  <c r="D20" i="66"/>
  <c r="F20" i="66"/>
  <c r="H20" i="66"/>
  <c r="D20" i="47"/>
  <c r="F20" i="47"/>
  <c r="H20" i="47"/>
  <c r="D21" i="45"/>
  <c r="F21" i="45"/>
  <c r="H21" i="45"/>
  <c r="D20" i="46"/>
  <c r="F20" i="46"/>
  <c r="H20" i="46"/>
  <c r="D21" i="59"/>
  <c r="F21" i="59"/>
  <c r="H21" i="59"/>
  <c r="D20" i="42"/>
  <c r="F20" i="42"/>
  <c r="H20" i="42"/>
  <c r="D20" i="48"/>
  <c r="F20" i="48"/>
  <c r="H20" i="48"/>
  <c r="V111" i="1"/>
  <c r="T126" i="1"/>
  <c r="T128" i="1"/>
  <c r="N22" i="76"/>
  <c r="N44" i="76"/>
  <c r="N49" i="76"/>
  <c r="I24" i="57"/>
  <c r="E11" i="58"/>
  <c r="V111" i="64"/>
  <c r="V126" i="64"/>
  <c r="T126" i="64"/>
  <c r="T128" i="64"/>
  <c r="I36" i="57"/>
  <c r="I35" i="57"/>
  <c r="L141" i="64"/>
  <c r="L132" i="64"/>
  <c r="L141" i="1"/>
  <c r="L132" i="1"/>
  <c r="E24" i="57"/>
  <c r="G11" i="58"/>
  <c r="E12" i="58"/>
  <c r="E13" i="58"/>
  <c r="E14" i="58"/>
  <c r="E15" i="58"/>
  <c r="E16" i="58"/>
  <c r="E17" i="58"/>
  <c r="E18" i="58"/>
  <c r="E19" i="58"/>
  <c r="E20" i="58"/>
  <c r="E21" i="58"/>
  <c r="E22" i="58"/>
  <c r="C57" i="75"/>
  <c r="D43" i="44"/>
  <c r="V126" i="1"/>
  <c r="T141" i="64"/>
  <c r="T132" i="64"/>
  <c r="H12" i="64"/>
  <c r="J12" i="64"/>
  <c r="V128" i="64"/>
  <c r="T141" i="1"/>
  <c r="T132" i="1"/>
  <c r="V132" i="64"/>
  <c r="H212" i="64"/>
  <c r="H216" i="64"/>
  <c r="H226" i="64"/>
  <c r="H230" i="64"/>
  <c r="L29" i="64"/>
  <c r="V141" i="64"/>
  <c r="H273" i="64"/>
  <c r="H277" i="64"/>
  <c r="H287" i="64"/>
  <c r="H291" i="64"/>
  <c r="N29" i="64"/>
  <c r="D43" i="48"/>
  <c r="D43" i="46"/>
  <c r="F43" i="44"/>
  <c r="H43" i="44"/>
  <c r="D43" i="47"/>
  <c r="D43" i="66"/>
  <c r="D44" i="45"/>
  <c r="D43" i="60"/>
  <c r="D43" i="42"/>
  <c r="D44" i="59"/>
  <c r="D58" i="44"/>
  <c r="C67" i="75"/>
  <c r="D57" i="75"/>
  <c r="N12" i="64"/>
  <c r="N16" i="64"/>
  <c r="H250" i="64"/>
  <c r="H260" i="64"/>
  <c r="H264" i="64"/>
  <c r="N26" i="64"/>
  <c r="J16" i="64"/>
  <c r="H189" i="64"/>
  <c r="H199" i="64"/>
  <c r="H203" i="64"/>
  <c r="L26" i="64"/>
  <c r="H12" i="1"/>
  <c r="J12" i="1"/>
  <c r="V128" i="1"/>
  <c r="C12" i="58"/>
  <c r="G12" i="58"/>
  <c r="C13" i="58"/>
  <c r="G13" i="58"/>
  <c r="H44" i="59"/>
  <c r="F44" i="59"/>
  <c r="H43" i="46"/>
  <c r="F43" i="46"/>
  <c r="V132" i="1"/>
  <c r="H212" i="1"/>
  <c r="V141" i="1"/>
  <c r="H43" i="42"/>
  <c r="F43" i="42"/>
  <c r="H43" i="47"/>
  <c r="F43" i="47"/>
  <c r="F43" i="48"/>
  <c r="H43" i="48"/>
  <c r="F43" i="66"/>
  <c r="H43" i="66"/>
  <c r="N12" i="1"/>
  <c r="N16" i="1"/>
  <c r="H250" i="1"/>
  <c r="H260" i="1"/>
  <c r="H264" i="1"/>
  <c r="N26" i="1"/>
  <c r="J16" i="1"/>
  <c r="H189" i="1"/>
  <c r="F43" i="60"/>
  <c r="H43" i="60"/>
  <c r="D36" i="44"/>
  <c r="D58" i="46"/>
  <c r="D58" i="48"/>
  <c r="D58" i="42"/>
  <c r="D58" i="66"/>
  <c r="D58" i="60"/>
  <c r="F58" i="44"/>
  <c r="D59" i="45"/>
  <c r="D59" i="59"/>
  <c r="H58" i="44"/>
  <c r="D58" i="47"/>
  <c r="F44" i="45"/>
  <c r="H44" i="45"/>
  <c r="F58" i="66"/>
  <c r="H58" i="66"/>
  <c r="F59" i="45"/>
  <c r="H59" i="45"/>
  <c r="F58" i="42"/>
  <c r="H58" i="42"/>
  <c r="D17" i="44"/>
  <c r="H273" i="1"/>
  <c r="H277" i="1"/>
  <c r="H287" i="1"/>
  <c r="H291" i="1"/>
  <c r="N29" i="1"/>
  <c r="H59" i="59"/>
  <c r="F59" i="59"/>
  <c r="D36" i="42"/>
  <c r="D36" i="66"/>
  <c r="D36" i="60"/>
  <c r="D36" i="46"/>
  <c r="D37" i="45"/>
  <c r="D36" i="47"/>
  <c r="F36" i="44"/>
  <c r="D36" i="48"/>
  <c r="D37" i="59"/>
  <c r="H36" i="44"/>
  <c r="D37" i="44"/>
  <c r="F58" i="47"/>
  <c r="H58" i="47"/>
  <c r="H58" i="48"/>
  <c r="F58" i="48"/>
  <c r="N37" i="76"/>
  <c r="N41" i="76"/>
  <c r="N51" i="76"/>
  <c r="N55" i="76"/>
  <c r="H216" i="1"/>
  <c r="H226" i="1"/>
  <c r="H230" i="1"/>
  <c r="L29" i="1"/>
  <c r="H58" i="60"/>
  <c r="F58" i="60"/>
  <c r="H58" i="46"/>
  <c r="F58" i="46"/>
  <c r="C6" i="75"/>
  <c r="N14" i="76"/>
  <c r="N24" i="76"/>
  <c r="N28" i="76"/>
  <c r="H199" i="1"/>
  <c r="H203" i="1"/>
  <c r="L26" i="1"/>
  <c r="C14" i="58"/>
  <c r="G14" i="58"/>
  <c r="K36" i="44"/>
  <c r="I36" i="44"/>
  <c r="I37" i="44"/>
  <c r="H36" i="47"/>
  <c r="F36" i="47"/>
  <c r="F36" i="66"/>
  <c r="H36" i="66"/>
  <c r="G15" i="58"/>
  <c r="C15" i="58"/>
  <c r="D18" i="75"/>
  <c r="F19" i="75"/>
  <c r="F20" i="75"/>
  <c r="F22" i="75"/>
  <c r="H22" i="75"/>
  <c r="J22" i="75"/>
  <c r="F25" i="75"/>
  <c r="F26" i="75"/>
  <c r="H26" i="75"/>
  <c r="J26" i="75"/>
  <c r="D22" i="75"/>
  <c r="H37" i="59"/>
  <c r="F37" i="59"/>
  <c r="F37" i="45"/>
  <c r="H37" i="45"/>
  <c r="H36" i="42"/>
  <c r="F36" i="42"/>
  <c r="D17" i="46"/>
  <c r="F17" i="44"/>
  <c r="D17" i="48"/>
  <c r="D19" i="44"/>
  <c r="D17" i="60"/>
  <c r="D17" i="47"/>
  <c r="D18" i="45"/>
  <c r="D17" i="66"/>
  <c r="D18" i="59"/>
  <c r="H17" i="44"/>
  <c r="I19" i="44"/>
  <c r="D17" i="42"/>
  <c r="F36" i="48"/>
  <c r="H36" i="48"/>
  <c r="H36" i="46"/>
  <c r="F36" i="46"/>
  <c r="D37" i="46"/>
  <c r="D38" i="45"/>
  <c r="D38" i="59"/>
  <c r="D37" i="60"/>
  <c r="D37" i="42"/>
  <c r="D37" i="66"/>
  <c r="D37" i="48"/>
  <c r="H37" i="44"/>
  <c r="K37" i="44"/>
  <c r="F37" i="44"/>
  <c r="D37" i="47"/>
  <c r="H38" i="44"/>
  <c r="F36" i="60"/>
  <c r="H36" i="60"/>
  <c r="H38" i="48"/>
  <c r="F37" i="48"/>
  <c r="H37" i="48"/>
  <c r="F37" i="47"/>
  <c r="H38" i="47"/>
  <c r="H37" i="47"/>
  <c r="H37" i="66"/>
  <c r="F37" i="66"/>
  <c r="H38" i="66"/>
  <c r="H38" i="45"/>
  <c r="F38" i="45"/>
  <c r="H39" i="45"/>
  <c r="I36" i="48"/>
  <c r="K36" i="48"/>
  <c r="I37" i="48"/>
  <c r="H18" i="59"/>
  <c r="I20" i="59"/>
  <c r="F18" i="59"/>
  <c r="H17" i="60"/>
  <c r="I19" i="60"/>
  <c r="F17" i="60"/>
  <c r="F17" i="46"/>
  <c r="H17" i="46"/>
  <c r="I19" i="46"/>
  <c r="C16" i="58"/>
  <c r="G16" i="58"/>
  <c r="I36" i="47"/>
  <c r="K36" i="47"/>
  <c r="I37" i="47"/>
  <c r="I36" i="60"/>
  <c r="K36" i="60"/>
  <c r="I37" i="60"/>
  <c r="H38" i="42"/>
  <c r="H37" i="42"/>
  <c r="F37" i="42"/>
  <c r="H37" i="46"/>
  <c r="H38" i="46"/>
  <c r="F37" i="46"/>
  <c r="H17" i="66"/>
  <c r="I19" i="66"/>
  <c r="F17" i="66"/>
  <c r="O17" i="66"/>
  <c r="D19" i="66"/>
  <c r="F19" i="66"/>
  <c r="H19" i="66"/>
  <c r="F19" i="44"/>
  <c r="H19" i="44"/>
  <c r="D19" i="48"/>
  <c r="F19" i="48"/>
  <c r="H19" i="48"/>
  <c r="D20" i="45"/>
  <c r="F20" i="45"/>
  <c r="H20" i="45"/>
  <c r="D22" i="44"/>
  <c r="D19" i="42"/>
  <c r="F19" i="42"/>
  <c r="H19" i="42"/>
  <c r="D19" i="46"/>
  <c r="F19" i="46"/>
  <c r="H19" i="46"/>
  <c r="D20" i="59"/>
  <c r="F20" i="59"/>
  <c r="H20" i="59"/>
  <c r="D19" i="47"/>
  <c r="F19" i="47"/>
  <c r="H19" i="47"/>
  <c r="D19" i="60"/>
  <c r="F19" i="60"/>
  <c r="H19" i="60"/>
  <c r="I36" i="66"/>
  <c r="K36" i="66"/>
  <c r="I37" i="66"/>
  <c r="F37" i="60"/>
  <c r="H37" i="60"/>
  <c r="K37" i="60"/>
  <c r="H38" i="60"/>
  <c r="H17" i="42"/>
  <c r="I19" i="42"/>
  <c r="F17" i="42"/>
  <c r="H18" i="45"/>
  <c r="I20" i="45"/>
  <c r="F18" i="45"/>
  <c r="O18" i="45"/>
  <c r="H17" i="48"/>
  <c r="I19" i="48"/>
  <c r="F17" i="48"/>
  <c r="I36" i="42"/>
  <c r="K36" i="42"/>
  <c r="I37" i="42"/>
  <c r="I37" i="59"/>
  <c r="K37" i="59"/>
  <c r="I38" i="59"/>
  <c r="F38" i="59"/>
  <c r="H38" i="59"/>
  <c r="K38" i="59"/>
  <c r="H39" i="59"/>
  <c r="I36" i="46"/>
  <c r="K36" i="46"/>
  <c r="I37" i="46"/>
  <c r="F17" i="47"/>
  <c r="H17" i="47"/>
  <c r="I19" i="47"/>
  <c r="I37" i="45"/>
  <c r="K37" i="45"/>
  <c r="I38" i="45"/>
  <c r="O17" i="47"/>
  <c r="K19" i="46"/>
  <c r="I22" i="46"/>
  <c r="I22" i="48"/>
  <c r="K19" i="48"/>
  <c r="O17" i="46"/>
  <c r="O17" i="42"/>
  <c r="K19" i="60"/>
  <c r="I22" i="60"/>
  <c r="I22" i="42"/>
  <c r="K19" i="42"/>
  <c r="I22" i="44"/>
  <c r="K19" i="44"/>
  <c r="K37" i="42"/>
  <c r="C17" i="58"/>
  <c r="G17" i="58"/>
  <c r="K37" i="66"/>
  <c r="K37" i="48"/>
  <c r="I22" i="47"/>
  <c r="K19" i="47"/>
  <c r="D22" i="46"/>
  <c r="F22" i="46"/>
  <c r="H22" i="46"/>
  <c r="D22" i="66"/>
  <c r="F22" i="66"/>
  <c r="H22" i="66"/>
  <c r="D22" i="60"/>
  <c r="F22" i="60"/>
  <c r="H22" i="60"/>
  <c r="D22" i="47"/>
  <c r="F22" i="47"/>
  <c r="H22" i="47"/>
  <c r="F22" i="44"/>
  <c r="H22" i="44"/>
  <c r="D22" i="42"/>
  <c r="F22" i="42"/>
  <c r="H22" i="42"/>
  <c r="D23" i="45"/>
  <c r="F23" i="45"/>
  <c r="H23" i="45"/>
  <c r="D23" i="59"/>
  <c r="F23" i="59"/>
  <c r="H23" i="59"/>
  <c r="D22" i="48"/>
  <c r="F22" i="48"/>
  <c r="H22" i="48"/>
  <c r="D25" i="44"/>
  <c r="K19" i="66"/>
  <c r="I22" i="66"/>
  <c r="K38" i="45"/>
  <c r="K37" i="47"/>
  <c r="K20" i="59"/>
  <c r="I23" i="59"/>
  <c r="K20" i="45"/>
  <c r="I23" i="45"/>
  <c r="K37" i="46"/>
  <c r="O18" i="59"/>
  <c r="I26" i="59"/>
  <c r="K23" i="59"/>
  <c r="I25" i="47"/>
  <c r="K22" i="47"/>
  <c r="C18" i="58"/>
  <c r="G18" i="58"/>
  <c r="K23" i="45"/>
  <c r="I26" i="45"/>
  <c r="I25" i="60"/>
  <c r="K22" i="60"/>
  <c r="D25" i="48"/>
  <c r="D76" i="75"/>
  <c r="D72" i="75"/>
  <c r="D70" i="75"/>
  <c r="D26" i="59"/>
  <c r="D25" i="66"/>
  <c r="H25" i="44"/>
  <c r="D26" i="45"/>
  <c r="D25" i="47"/>
  <c r="D25" i="60"/>
  <c r="F25" i="44"/>
  <c r="D25" i="46"/>
  <c r="D25" i="42"/>
  <c r="K22" i="42"/>
  <c r="I25" i="42"/>
  <c r="I25" i="66"/>
  <c r="K22" i="66"/>
  <c r="K22" i="48"/>
  <c r="I25" i="48"/>
  <c r="K22" i="44"/>
  <c r="I25" i="44"/>
  <c r="I25" i="46"/>
  <c r="K22" i="46"/>
  <c r="K25" i="44"/>
  <c r="H25" i="48"/>
  <c r="K25" i="48"/>
  <c r="F25" i="48"/>
  <c r="F26" i="45"/>
  <c r="H26" i="45"/>
  <c r="K26" i="45"/>
  <c r="F25" i="60"/>
  <c r="H25" i="60"/>
  <c r="K25" i="60"/>
  <c r="F25" i="66"/>
  <c r="H25" i="66"/>
  <c r="K25" i="66"/>
  <c r="G19" i="58"/>
  <c r="C19" i="58"/>
  <c r="F25" i="46"/>
  <c r="H25" i="46"/>
  <c r="K25" i="46"/>
  <c r="F25" i="42"/>
  <c r="H25" i="42"/>
  <c r="K25" i="42"/>
  <c r="H25" i="47"/>
  <c r="K25" i="47"/>
  <c r="F25" i="47"/>
  <c r="F26" i="59"/>
  <c r="H26" i="59"/>
  <c r="K26" i="59"/>
  <c r="G20" i="58"/>
  <c r="C20" i="58"/>
  <c r="G21" i="58"/>
  <c r="C21" i="58"/>
  <c r="C22" i="58"/>
  <c r="G22" i="58"/>
  <c r="C31" i="58"/>
  <c r="A31" i="58"/>
</calcChain>
</file>

<file path=xl/comments1.xml><?xml version="1.0" encoding="utf-8"?>
<comments xmlns="http://schemas.openxmlformats.org/spreadsheetml/2006/main">
  <authors>
    <author>Valdes, Amnerys</author>
    <author>Coe, Connie</author>
    <author>Amnerys Valdes</author>
  </authors>
  <commentList>
    <comment ref="O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P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Q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R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S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T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U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V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W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X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Y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Z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A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B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C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D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E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F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X22" authorId="1" shapeId="0">
      <text>
        <r>
          <rPr>
            <b/>
            <sz val="9"/>
            <color indexed="81"/>
            <rFont val="Tahoma"/>
            <family val="2"/>
          </rPr>
          <t>Coe, Connie:</t>
        </r>
        <r>
          <rPr>
            <sz val="9"/>
            <color indexed="81"/>
            <rFont val="Tahoma"/>
            <family val="2"/>
          </rPr>
          <t xml:space="preserve">
from trial balance 930.05</t>
        </r>
      </text>
    </comment>
    <comment ref="Y22" authorId="1" shapeId="0">
      <text>
        <r>
          <rPr>
            <b/>
            <sz val="9"/>
            <color indexed="81"/>
            <rFont val="Tahoma"/>
            <family val="2"/>
          </rPr>
          <t>Coe, Connie:</t>
        </r>
        <r>
          <rPr>
            <sz val="9"/>
            <color indexed="81"/>
            <rFont val="Tahoma"/>
            <family val="2"/>
          </rPr>
          <t xml:space="preserve">
from trial balance 930.05</t>
        </r>
      </text>
    </comment>
    <comment ref="N39" authorId="2" shapeId="0">
      <text>
        <r>
          <rPr>
            <b/>
            <sz val="10"/>
            <color indexed="81"/>
            <rFont val="Tahoma"/>
            <family val="2"/>
          </rPr>
          <t>Amnerys Valdes:</t>
        </r>
        <r>
          <rPr>
            <sz val="10"/>
            <color indexed="81"/>
            <rFont val="Tahoma"/>
            <family val="2"/>
          </rPr>
          <t xml:space="preserve">
reverse sign from trial balance</t>
        </r>
      </text>
    </comment>
    <comment ref="O39" authorId="2" shapeId="0">
      <text>
        <r>
          <rPr>
            <b/>
            <sz val="10"/>
            <color indexed="81"/>
            <rFont val="Tahoma"/>
            <family val="2"/>
          </rPr>
          <t>Amnerys Valdes:</t>
        </r>
        <r>
          <rPr>
            <sz val="10"/>
            <color indexed="81"/>
            <rFont val="Tahoma"/>
            <family val="2"/>
          </rPr>
          <t xml:space="preserve">
reverse sign from trial balance</t>
        </r>
      </text>
    </comment>
    <comment ref="Q39" authorId="2" shapeId="0">
      <text>
        <r>
          <rPr>
            <b/>
            <sz val="10"/>
            <color indexed="81"/>
            <rFont val="Tahoma"/>
            <family val="2"/>
          </rPr>
          <t>Amnerys Valdes:</t>
        </r>
        <r>
          <rPr>
            <sz val="10"/>
            <color indexed="81"/>
            <rFont val="Tahoma"/>
            <family val="2"/>
          </rPr>
          <t xml:space="preserve">
reverse sign from trial balance</t>
        </r>
      </text>
    </comment>
    <comment ref="R39" authorId="2" shapeId="0">
      <text>
        <r>
          <rPr>
            <b/>
            <sz val="10"/>
            <color indexed="81"/>
            <rFont val="Tahoma"/>
            <family val="2"/>
          </rPr>
          <t>Amnerys Valdes:</t>
        </r>
        <r>
          <rPr>
            <sz val="10"/>
            <color indexed="81"/>
            <rFont val="Tahoma"/>
            <family val="2"/>
          </rPr>
          <t xml:space="preserve">
reverse sign from trial balance</t>
        </r>
      </text>
    </comment>
    <comment ref="S39" authorId="2" shapeId="0">
      <text>
        <r>
          <rPr>
            <b/>
            <sz val="10"/>
            <color indexed="81"/>
            <rFont val="Tahoma"/>
            <family val="2"/>
          </rPr>
          <t>Amnerys Valdes:</t>
        </r>
        <r>
          <rPr>
            <sz val="10"/>
            <color indexed="81"/>
            <rFont val="Tahoma"/>
            <family val="2"/>
          </rPr>
          <t xml:space="preserve">
reverse sign from trial balance</t>
        </r>
      </text>
    </comment>
    <comment ref="T39" authorId="2" shapeId="0">
      <text>
        <r>
          <rPr>
            <b/>
            <sz val="10"/>
            <color indexed="81"/>
            <rFont val="Tahoma"/>
            <family val="2"/>
          </rPr>
          <t>Amnerys Valdes:</t>
        </r>
        <r>
          <rPr>
            <sz val="10"/>
            <color indexed="81"/>
            <rFont val="Tahoma"/>
            <family val="2"/>
          </rPr>
          <t xml:space="preserve">
reverse sign from trial balance</t>
        </r>
      </text>
    </comment>
    <comment ref="AE39" authorId="1" shapeId="0">
      <text>
        <r>
          <rPr>
            <b/>
            <sz val="9"/>
            <color indexed="81"/>
            <rFont val="Tahoma"/>
            <family val="2"/>
          </rPr>
          <t>Coe, Connie:</t>
        </r>
        <r>
          <rPr>
            <sz val="9"/>
            <color indexed="81"/>
            <rFont val="Tahoma"/>
            <family val="2"/>
          </rPr>
          <t xml:space="preserve">
INCLUDE NEW ACCT 219.39</t>
        </r>
      </text>
    </comment>
  </commentList>
</comments>
</file>

<file path=xl/comments10.xml><?xml version="1.0" encoding="utf-8"?>
<comments xmlns="http://schemas.openxmlformats.org/spreadsheetml/2006/main">
  <authors>
    <author>Valdes, Amnerys</author>
    <author>Sue Richards</author>
  </authors>
  <commentList>
    <comment ref="K32" authorId="0" shapeId="0">
      <text>
        <r>
          <rPr>
            <b/>
            <sz val="9"/>
            <color indexed="81"/>
            <rFont val="Tahoma"/>
            <family val="2"/>
          </rPr>
          <t>Valdes, Amnerys:</t>
        </r>
        <r>
          <rPr>
            <sz val="9"/>
            <color indexed="81"/>
            <rFont val="Tahoma"/>
            <family val="2"/>
          </rPr>
          <t xml:space="preserve">
No need to make reclass going forward per Jeff.
01/20/15</t>
        </r>
      </text>
    </comment>
    <comment ref="A40" authorId="1" shapeId="0">
      <text>
        <r>
          <rPr>
            <b/>
            <sz val="8"/>
            <color indexed="81"/>
            <rFont val="Tahoma"/>
            <family val="2"/>
          </rPr>
          <t>Sue Richards:</t>
        </r>
        <r>
          <rPr>
            <sz val="8"/>
            <color indexed="81"/>
            <rFont val="Tahoma"/>
            <family val="2"/>
          </rPr>
          <t xml:space="preserve">
OCI related to Int Rate Swaps</t>
        </r>
      </text>
    </comment>
  </commentList>
</comments>
</file>

<file path=xl/comments11.xml><?xml version="1.0" encoding="utf-8"?>
<comments xmlns="http://schemas.openxmlformats.org/spreadsheetml/2006/main">
  <authors>
    <author>Anthony Trask x34282</author>
    <author>Ascroft, Sean M.</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D37" authorId="1" shapeId="0">
      <text>
        <r>
          <rPr>
            <b/>
            <sz val="9"/>
            <color indexed="81"/>
            <rFont val="Tahoma"/>
            <family val="2"/>
          </rPr>
          <t>Ascroft, Sean M.:</t>
        </r>
        <r>
          <rPr>
            <sz val="9"/>
            <color indexed="81"/>
            <rFont val="Tahoma"/>
            <family val="2"/>
          </rPr>
          <t xml:space="preserve">
add channelside gain (535k per qtr)</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2" shapeId="0">
      <text>
        <r>
          <rPr>
            <sz val="8"/>
            <color indexed="81"/>
            <rFont val="Tahoma"/>
            <family val="2"/>
          </rPr>
          <t xml:space="preserve">=difference between reg base system and reg base retail of NOI (column 11)
</t>
        </r>
      </text>
    </comment>
    <comment ref="A57" authorId="2"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2.xml><?xml version="1.0" encoding="utf-8"?>
<comments xmlns="http://schemas.openxmlformats.org/spreadsheetml/2006/main">
  <authors>
    <author>Anthony Trask x34282</author>
    <author>Nancy Grove X31766</author>
  </authors>
  <commentList>
    <comment ref="H10" authorId="0" shapeId="0">
      <text>
        <r>
          <rPr>
            <b/>
            <sz val="12"/>
            <color indexed="81"/>
            <rFont val="Tahoma"/>
            <family val="2"/>
          </rPr>
          <t xml:space="preserve">Anthony Trask x34282:
</t>
        </r>
        <r>
          <rPr>
            <sz val="12"/>
            <color indexed="81"/>
            <rFont val="Tahoma"/>
            <family val="2"/>
          </rPr>
          <t>Plug to eliminate variance</t>
        </r>
      </text>
    </comment>
    <comment ref="H1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20"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eliminate variance</t>
        </r>
      </text>
    </comment>
    <comment ref="H24" authorId="0" shapeId="0">
      <text>
        <r>
          <rPr>
            <b/>
            <sz val="12"/>
            <color indexed="81"/>
            <rFont val="Tahoma"/>
            <family val="2"/>
          </rPr>
          <t xml:space="preserve">Anthony Trask x34282:
</t>
        </r>
        <r>
          <rPr>
            <sz val="12"/>
            <color indexed="81"/>
            <rFont val="Tahoma"/>
            <family val="2"/>
          </rPr>
          <t>Plug to come back to the ROE difference.</t>
        </r>
      </text>
    </comment>
    <comment ref="H2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8" authorId="1" shapeId="0">
      <text>
        <r>
          <rPr>
            <sz val="8"/>
            <color indexed="81"/>
            <rFont val="Tahoma"/>
            <family val="2"/>
          </rPr>
          <t xml:space="preserve">=difference between reg base system and reg base retail of NOI (column 11)
</t>
        </r>
      </text>
    </comment>
    <comment ref="A58"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3.xml><?xml version="1.0" encoding="utf-8"?>
<comments xmlns="http://schemas.openxmlformats.org/spreadsheetml/2006/main">
  <authors>
    <author>Anthony Trask x34282</author>
    <author>Nancy Grove X31766</author>
  </authors>
  <commentList>
    <comment ref="H10" authorId="0" shapeId="0">
      <text>
        <r>
          <rPr>
            <b/>
            <sz val="12"/>
            <color indexed="81"/>
            <rFont val="Tahoma"/>
            <family val="2"/>
          </rPr>
          <t xml:space="preserve">Anthony Trask x34282:
</t>
        </r>
        <r>
          <rPr>
            <sz val="12"/>
            <color indexed="81"/>
            <rFont val="Tahoma"/>
            <family val="2"/>
          </rPr>
          <t>Plug to eliminate variance</t>
        </r>
      </text>
    </comment>
    <comment ref="H1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20"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eliminate variance</t>
        </r>
      </text>
    </comment>
    <comment ref="H24" authorId="0" shapeId="0">
      <text>
        <r>
          <rPr>
            <b/>
            <sz val="12"/>
            <color indexed="81"/>
            <rFont val="Tahoma"/>
            <family val="2"/>
          </rPr>
          <t xml:space="preserve">Anthony Trask x34282:
</t>
        </r>
        <r>
          <rPr>
            <sz val="12"/>
            <color indexed="81"/>
            <rFont val="Tahoma"/>
            <family val="2"/>
          </rPr>
          <t>Plug to come back to the ROE difference.</t>
        </r>
      </text>
    </comment>
    <comment ref="H2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8" authorId="1" shapeId="0">
      <text>
        <r>
          <rPr>
            <sz val="8"/>
            <color indexed="81"/>
            <rFont val="Tahoma"/>
            <family val="2"/>
          </rPr>
          <t xml:space="preserve">=difference between reg base system and reg base retail of NOI (column 11)
</t>
        </r>
      </text>
    </comment>
    <comment ref="A58"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4.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5.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6.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7.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8.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9.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2.xml><?xml version="1.0" encoding="utf-8"?>
<comments xmlns="http://schemas.openxmlformats.org/spreadsheetml/2006/main">
  <authors>
    <author>Ascroft, Sean M.</author>
    <author>Valdes, Amnerys</author>
  </authors>
  <commentList>
    <comment ref="B11" authorId="0" shapeId="0">
      <text>
        <r>
          <rPr>
            <b/>
            <sz val="9"/>
            <color indexed="81"/>
            <rFont val="Tahoma"/>
            <family val="2"/>
          </rPr>
          <t>Ascroft, Sean M.:</t>
        </r>
        <r>
          <rPr>
            <sz val="9"/>
            <color indexed="81"/>
            <rFont val="Tahoma"/>
            <family val="2"/>
          </rPr>
          <t xml:space="preserve">
2,947 taken out of the 5,032 (account 114000)</t>
        </r>
      </text>
    </comment>
    <comment ref="D13" authorId="0" shapeId="0">
      <text>
        <r>
          <rPr>
            <b/>
            <sz val="9"/>
            <color indexed="81"/>
            <rFont val="Tahoma"/>
            <family val="2"/>
          </rPr>
          <t>Ascroft, Sean M.:</t>
        </r>
        <r>
          <rPr>
            <sz val="9"/>
            <color indexed="81"/>
            <rFont val="Tahoma"/>
            <family val="2"/>
          </rPr>
          <t xml:space="preserve">
6,637 amort a month out of the 12,429 a month (account 115000) </t>
        </r>
      </text>
    </comment>
    <comment ref="B125" authorId="1" shapeId="0">
      <text>
        <r>
          <rPr>
            <b/>
            <sz val="9"/>
            <color indexed="81"/>
            <rFont val="Tahoma"/>
            <family val="2"/>
          </rPr>
          <t>Valdes, Amnerys:</t>
        </r>
        <r>
          <rPr>
            <sz val="9"/>
            <color indexed="81"/>
            <rFont val="Tahoma"/>
            <family val="2"/>
          </rPr>
          <t xml:space="preserve">
Copy formula down</t>
        </r>
      </text>
    </comment>
    <comment ref="B126" authorId="1" shapeId="0">
      <text>
        <r>
          <rPr>
            <b/>
            <sz val="9"/>
            <color indexed="81"/>
            <rFont val="Tahoma"/>
            <family val="2"/>
          </rPr>
          <t>Valdes, Amnerys:</t>
        </r>
        <r>
          <rPr>
            <sz val="9"/>
            <color indexed="81"/>
            <rFont val="Tahoma"/>
            <family val="2"/>
          </rPr>
          <t xml:space="preserve">
Copy formula down</t>
        </r>
      </text>
    </comment>
    <comment ref="B127" authorId="1" shapeId="0">
      <text>
        <r>
          <rPr>
            <b/>
            <sz val="9"/>
            <color indexed="81"/>
            <rFont val="Tahoma"/>
            <family val="2"/>
          </rPr>
          <t>Valdes, Amnerys:</t>
        </r>
        <r>
          <rPr>
            <sz val="9"/>
            <color indexed="81"/>
            <rFont val="Tahoma"/>
            <family val="2"/>
          </rPr>
          <t xml:space="preserve">
Copy formula down</t>
        </r>
      </text>
    </comment>
    <comment ref="B128" authorId="1" shapeId="0">
      <text>
        <r>
          <rPr>
            <b/>
            <sz val="9"/>
            <color indexed="81"/>
            <rFont val="Tahoma"/>
            <family val="2"/>
          </rPr>
          <t>Valdes, Amnerys:</t>
        </r>
        <r>
          <rPr>
            <sz val="9"/>
            <color indexed="81"/>
            <rFont val="Tahoma"/>
            <family val="2"/>
          </rPr>
          <t xml:space="preserve">
Copy formula down</t>
        </r>
      </text>
    </comment>
    <comment ref="B129" authorId="1" shapeId="0">
      <text>
        <r>
          <rPr>
            <b/>
            <sz val="9"/>
            <color indexed="81"/>
            <rFont val="Tahoma"/>
            <family val="2"/>
          </rPr>
          <t>Valdes, Amnerys:</t>
        </r>
        <r>
          <rPr>
            <sz val="9"/>
            <color indexed="81"/>
            <rFont val="Tahoma"/>
            <family val="2"/>
          </rPr>
          <t xml:space="preserve">
Copy formula down</t>
        </r>
      </text>
    </comment>
    <comment ref="B130" authorId="1" shapeId="0">
      <text>
        <r>
          <rPr>
            <b/>
            <sz val="9"/>
            <color indexed="81"/>
            <rFont val="Tahoma"/>
            <family val="2"/>
          </rPr>
          <t>Valdes, Amnerys:</t>
        </r>
        <r>
          <rPr>
            <sz val="9"/>
            <color indexed="81"/>
            <rFont val="Tahoma"/>
            <family val="2"/>
          </rPr>
          <t xml:space="preserve">
Copy formula down</t>
        </r>
      </text>
    </comment>
    <comment ref="B131" authorId="1" shapeId="0">
      <text>
        <r>
          <rPr>
            <b/>
            <sz val="9"/>
            <color indexed="81"/>
            <rFont val="Tahoma"/>
            <family val="2"/>
          </rPr>
          <t>Valdes, Amnerys:</t>
        </r>
        <r>
          <rPr>
            <sz val="9"/>
            <color indexed="81"/>
            <rFont val="Tahoma"/>
            <family val="2"/>
          </rPr>
          <t xml:space="preserve">
Copy formula down</t>
        </r>
      </text>
    </comment>
    <comment ref="B132" authorId="1" shapeId="0">
      <text>
        <r>
          <rPr>
            <b/>
            <sz val="9"/>
            <color indexed="81"/>
            <rFont val="Tahoma"/>
            <family val="2"/>
          </rPr>
          <t>Valdes, Amnerys:</t>
        </r>
        <r>
          <rPr>
            <sz val="9"/>
            <color indexed="81"/>
            <rFont val="Tahoma"/>
            <family val="2"/>
          </rPr>
          <t xml:space="preserve">
Copy formula down</t>
        </r>
      </text>
    </comment>
    <comment ref="B133" authorId="1" shapeId="0">
      <text>
        <r>
          <rPr>
            <b/>
            <sz val="9"/>
            <color indexed="81"/>
            <rFont val="Tahoma"/>
            <family val="2"/>
          </rPr>
          <t>Valdes, Amnerys:</t>
        </r>
        <r>
          <rPr>
            <sz val="9"/>
            <color indexed="81"/>
            <rFont val="Tahoma"/>
            <family val="2"/>
          </rPr>
          <t xml:space="preserve">
Copy formula down</t>
        </r>
      </text>
    </comment>
    <comment ref="B134" authorId="1" shapeId="0">
      <text>
        <r>
          <rPr>
            <b/>
            <sz val="9"/>
            <color indexed="81"/>
            <rFont val="Tahoma"/>
            <family val="2"/>
          </rPr>
          <t>Valdes, Amnerys:</t>
        </r>
        <r>
          <rPr>
            <sz val="9"/>
            <color indexed="81"/>
            <rFont val="Tahoma"/>
            <family val="2"/>
          </rPr>
          <t xml:space="preserve">
Copy formula down</t>
        </r>
      </text>
    </comment>
    <comment ref="B135" authorId="1" shapeId="0">
      <text>
        <r>
          <rPr>
            <b/>
            <sz val="9"/>
            <color indexed="81"/>
            <rFont val="Tahoma"/>
            <family val="2"/>
          </rPr>
          <t>Valdes, Amnerys:</t>
        </r>
        <r>
          <rPr>
            <sz val="9"/>
            <color indexed="81"/>
            <rFont val="Tahoma"/>
            <family val="2"/>
          </rPr>
          <t xml:space="preserve">
Copy formula down</t>
        </r>
      </text>
    </comment>
    <comment ref="B136" authorId="1" shapeId="0">
      <text>
        <r>
          <rPr>
            <b/>
            <sz val="9"/>
            <color indexed="81"/>
            <rFont val="Tahoma"/>
            <family val="2"/>
          </rPr>
          <t>Valdes, Amnerys:</t>
        </r>
        <r>
          <rPr>
            <sz val="9"/>
            <color indexed="81"/>
            <rFont val="Tahoma"/>
            <family val="2"/>
          </rPr>
          <t xml:space="preserve">
Copy formula down</t>
        </r>
      </text>
    </comment>
    <comment ref="B137" authorId="1" shapeId="0">
      <text>
        <r>
          <rPr>
            <b/>
            <sz val="9"/>
            <color indexed="81"/>
            <rFont val="Tahoma"/>
            <family val="2"/>
          </rPr>
          <t>Valdes, Amnerys:</t>
        </r>
        <r>
          <rPr>
            <sz val="9"/>
            <color indexed="81"/>
            <rFont val="Tahoma"/>
            <family val="2"/>
          </rPr>
          <t xml:space="preserve">
Copy formula down</t>
        </r>
      </text>
    </comment>
  </commentList>
</comments>
</file>

<file path=xl/comments3.xml><?xml version="1.0" encoding="utf-8"?>
<comments xmlns="http://schemas.openxmlformats.org/spreadsheetml/2006/main">
  <authors>
    <author>Valdes, Amnerys</author>
  </authors>
  <commentList>
    <comment ref="C10" authorId="0" shapeId="0">
      <text>
        <r>
          <rPr>
            <b/>
            <sz val="9"/>
            <color indexed="81"/>
            <rFont val="Tahoma"/>
            <family val="2"/>
          </rPr>
          <t>Valdes, Amnerys:</t>
        </r>
        <r>
          <rPr>
            <sz val="9"/>
            <color indexed="81"/>
            <rFont val="Tahoma"/>
            <family val="2"/>
          </rPr>
          <t xml:space="preserve">
Def expenses
</t>
        </r>
      </text>
    </comment>
    <comment ref="C16" authorId="0" shapeId="0">
      <text>
        <r>
          <rPr>
            <b/>
            <sz val="9"/>
            <color indexed="81"/>
            <rFont val="Tahoma"/>
            <family val="2"/>
          </rPr>
          <t>Valdes, Amnerys:</t>
        </r>
        <r>
          <rPr>
            <sz val="9"/>
            <color indexed="81"/>
            <rFont val="Tahoma"/>
            <family val="2"/>
          </rPr>
          <t xml:space="preserve">
Def revenues</t>
        </r>
      </text>
    </comment>
  </commentList>
</comments>
</file>

<file path=xl/comments4.xml><?xml version="1.0" encoding="utf-8"?>
<comments xmlns="http://schemas.openxmlformats.org/spreadsheetml/2006/main">
  <authors>
    <author>Coe, Connie</author>
    <author>Amnerys Valdes</author>
    <author>Valdes, Amnerys</author>
    <author>Coe, Connie P.</author>
    <author>Hoyos, Nichole</author>
  </authors>
  <commentList>
    <comment ref="AC10" authorId="0" shapeId="0">
      <text>
        <r>
          <rPr>
            <b/>
            <sz val="9"/>
            <color indexed="81"/>
            <rFont val="Tahoma"/>
            <family val="2"/>
          </rPr>
          <t>Coe, Connie:</t>
        </r>
        <r>
          <rPr>
            <sz val="9"/>
            <color indexed="81"/>
            <rFont val="Tahoma"/>
            <family val="2"/>
          </rPr>
          <t xml:space="preserve">
Accts 101 + 106</t>
        </r>
      </text>
    </comment>
    <comment ref="AD10" authorId="0" shapeId="0">
      <text>
        <r>
          <rPr>
            <b/>
            <sz val="9"/>
            <color indexed="81"/>
            <rFont val="Tahoma"/>
            <family val="2"/>
          </rPr>
          <t>Coe, Connie:</t>
        </r>
        <r>
          <rPr>
            <sz val="9"/>
            <color indexed="81"/>
            <rFont val="Tahoma"/>
            <family val="2"/>
          </rPr>
          <t xml:space="preserve">
Accts 101 + 106</t>
        </r>
      </text>
    </comment>
    <comment ref="AE10" authorId="0" shapeId="0">
      <text>
        <r>
          <rPr>
            <b/>
            <sz val="9"/>
            <color indexed="81"/>
            <rFont val="Tahoma"/>
            <family val="2"/>
          </rPr>
          <t>Coe, Connie:</t>
        </r>
        <r>
          <rPr>
            <sz val="9"/>
            <color indexed="81"/>
            <rFont val="Tahoma"/>
            <family val="2"/>
          </rPr>
          <t xml:space="preserve">
Accts 101 + 106</t>
        </r>
      </text>
    </comment>
    <comment ref="AF10" authorId="0" shapeId="0">
      <text>
        <r>
          <rPr>
            <b/>
            <sz val="9"/>
            <color indexed="81"/>
            <rFont val="Tahoma"/>
            <family val="2"/>
          </rPr>
          <t>Coe, Connie:</t>
        </r>
        <r>
          <rPr>
            <sz val="9"/>
            <color indexed="81"/>
            <rFont val="Tahoma"/>
            <family val="2"/>
          </rPr>
          <t xml:space="preserve">
Accts 101 + 106</t>
        </r>
      </text>
    </comment>
    <comment ref="AG10" authorId="0" shapeId="0">
      <text>
        <r>
          <rPr>
            <b/>
            <sz val="9"/>
            <color indexed="81"/>
            <rFont val="Tahoma"/>
            <family val="2"/>
          </rPr>
          <t>Coe, Connie:</t>
        </r>
        <r>
          <rPr>
            <sz val="9"/>
            <color indexed="81"/>
            <rFont val="Tahoma"/>
            <family val="2"/>
          </rPr>
          <t xml:space="preserve">
Accts 101 + 106</t>
        </r>
      </text>
    </comment>
    <comment ref="AH10" authorId="0" shapeId="0">
      <text>
        <r>
          <rPr>
            <b/>
            <sz val="9"/>
            <color indexed="81"/>
            <rFont val="Tahoma"/>
            <family val="2"/>
          </rPr>
          <t>Coe, Connie:</t>
        </r>
        <r>
          <rPr>
            <sz val="9"/>
            <color indexed="81"/>
            <rFont val="Tahoma"/>
            <family val="2"/>
          </rPr>
          <t xml:space="preserve">
Accts 101 + 106</t>
        </r>
      </text>
    </comment>
    <comment ref="AI10" authorId="0" shapeId="0">
      <text>
        <r>
          <rPr>
            <b/>
            <sz val="9"/>
            <color indexed="81"/>
            <rFont val="Tahoma"/>
            <family val="2"/>
          </rPr>
          <t>Coe, Connie:</t>
        </r>
        <r>
          <rPr>
            <sz val="9"/>
            <color indexed="81"/>
            <rFont val="Tahoma"/>
            <family val="2"/>
          </rPr>
          <t xml:space="preserve">
Accts 101 + 106</t>
        </r>
      </text>
    </comment>
    <comment ref="AC11" authorId="0" shapeId="0">
      <text>
        <r>
          <rPr>
            <b/>
            <sz val="9"/>
            <color indexed="81"/>
            <rFont val="Tahoma"/>
            <family val="2"/>
          </rPr>
          <t>Coe, Connie:</t>
        </r>
        <r>
          <rPr>
            <sz val="9"/>
            <color indexed="81"/>
            <rFont val="Tahoma"/>
            <family val="2"/>
          </rPr>
          <t xml:space="preserve">
Acct 105
</t>
        </r>
      </text>
    </comment>
    <comment ref="AD11" authorId="0" shapeId="0">
      <text>
        <r>
          <rPr>
            <b/>
            <sz val="9"/>
            <color indexed="81"/>
            <rFont val="Tahoma"/>
            <family val="2"/>
          </rPr>
          <t>Coe, Connie:</t>
        </r>
        <r>
          <rPr>
            <sz val="9"/>
            <color indexed="81"/>
            <rFont val="Tahoma"/>
            <family val="2"/>
          </rPr>
          <t xml:space="preserve">
Acct 105
</t>
        </r>
      </text>
    </comment>
    <comment ref="AE11" authorId="0" shapeId="0">
      <text>
        <r>
          <rPr>
            <b/>
            <sz val="9"/>
            <color indexed="81"/>
            <rFont val="Tahoma"/>
            <family val="2"/>
          </rPr>
          <t>Coe, Connie:</t>
        </r>
        <r>
          <rPr>
            <sz val="9"/>
            <color indexed="81"/>
            <rFont val="Tahoma"/>
            <family val="2"/>
          </rPr>
          <t xml:space="preserve">
Acct 105
</t>
        </r>
      </text>
    </comment>
    <comment ref="AF11" authorId="0" shapeId="0">
      <text>
        <r>
          <rPr>
            <b/>
            <sz val="9"/>
            <color indexed="81"/>
            <rFont val="Tahoma"/>
            <family val="2"/>
          </rPr>
          <t>Coe, Connie:</t>
        </r>
        <r>
          <rPr>
            <sz val="9"/>
            <color indexed="81"/>
            <rFont val="Tahoma"/>
            <family val="2"/>
          </rPr>
          <t xml:space="preserve">
Acct 105
</t>
        </r>
      </text>
    </comment>
    <comment ref="AG11" authorId="0" shapeId="0">
      <text>
        <r>
          <rPr>
            <b/>
            <sz val="9"/>
            <color indexed="81"/>
            <rFont val="Tahoma"/>
            <family val="2"/>
          </rPr>
          <t>Coe, Connie:</t>
        </r>
        <r>
          <rPr>
            <sz val="9"/>
            <color indexed="81"/>
            <rFont val="Tahoma"/>
            <family val="2"/>
          </rPr>
          <t xml:space="preserve">
Acct 105
</t>
        </r>
      </text>
    </comment>
    <comment ref="AH11" authorId="0" shapeId="0">
      <text>
        <r>
          <rPr>
            <b/>
            <sz val="9"/>
            <color indexed="81"/>
            <rFont val="Tahoma"/>
            <family val="2"/>
          </rPr>
          <t>Coe, Connie:</t>
        </r>
        <r>
          <rPr>
            <sz val="9"/>
            <color indexed="81"/>
            <rFont val="Tahoma"/>
            <family val="2"/>
          </rPr>
          <t xml:space="preserve">
Acct 105
</t>
        </r>
      </text>
    </comment>
    <comment ref="AI11" authorId="0" shapeId="0">
      <text>
        <r>
          <rPr>
            <b/>
            <sz val="9"/>
            <color indexed="81"/>
            <rFont val="Tahoma"/>
            <family val="2"/>
          </rPr>
          <t>Coe, Connie:</t>
        </r>
        <r>
          <rPr>
            <sz val="9"/>
            <color indexed="81"/>
            <rFont val="Tahoma"/>
            <family val="2"/>
          </rPr>
          <t xml:space="preserve">
Acct 105
</t>
        </r>
      </text>
    </comment>
    <comment ref="AC12" authorId="0" shapeId="0">
      <text>
        <r>
          <rPr>
            <b/>
            <sz val="9"/>
            <color indexed="81"/>
            <rFont val="Tahoma"/>
            <family val="2"/>
          </rPr>
          <t>Coe, Connie:</t>
        </r>
        <r>
          <rPr>
            <sz val="9"/>
            <color indexed="81"/>
            <rFont val="Tahoma"/>
            <family val="2"/>
          </rPr>
          <t xml:space="preserve">
Acct 107  partial adj to Acct 115  by Cognos to the BS FRS203</t>
        </r>
      </text>
    </comment>
    <comment ref="AD12" authorId="0" shapeId="0">
      <text>
        <r>
          <rPr>
            <b/>
            <sz val="9"/>
            <color indexed="81"/>
            <rFont val="Tahoma"/>
            <family val="2"/>
          </rPr>
          <t>Coe, Connie:</t>
        </r>
        <r>
          <rPr>
            <sz val="9"/>
            <color indexed="81"/>
            <rFont val="Tahoma"/>
            <family val="2"/>
          </rPr>
          <t xml:space="preserve">
Acct 107  partial adj to Acct 115  by Cognos to the BS FRS203</t>
        </r>
      </text>
    </comment>
    <comment ref="AE12" authorId="0" shapeId="0">
      <text>
        <r>
          <rPr>
            <b/>
            <sz val="9"/>
            <color indexed="81"/>
            <rFont val="Tahoma"/>
            <family val="2"/>
          </rPr>
          <t>Coe, Connie:</t>
        </r>
        <r>
          <rPr>
            <sz val="9"/>
            <color indexed="81"/>
            <rFont val="Tahoma"/>
            <family val="2"/>
          </rPr>
          <t xml:space="preserve">
Acct 107  partial adj to Acct 115  by Cognos to the BS FRS203</t>
        </r>
      </text>
    </comment>
    <comment ref="AF12" authorId="0" shapeId="0">
      <text>
        <r>
          <rPr>
            <b/>
            <sz val="9"/>
            <color indexed="81"/>
            <rFont val="Tahoma"/>
            <family val="2"/>
          </rPr>
          <t>Coe, Connie:</t>
        </r>
        <r>
          <rPr>
            <sz val="9"/>
            <color indexed="81"/>
            <rFont val="Tahoma"/>
            <family val="2"/>
          </rPr>
          <t xml:space="preserve">
Acct 107  partial adj to Acct 115  by Cognos to the BS FRS203</t>
        </r>
      </text>
    </comment>
    <comment ref="AG12" authorId="0" shapeId="0">
      <text>
        <r>
          <rPr>
            <b/>
            <sz val="9"/>
            <color indexed="81"/>
            <rFont val="Tahoma"/>
            <family val="2"/>
          </rPr>
          <t>Coe, Connie:</t>
        </r>
        <r>
          <rPr>
            <sz val="9"/>
            <color indexed="81"/>
            <rFont val="Tahoma"/>
            <family val="2"/>
          </rPr>
          <t xml:space="preserve">
Acct 107  partial adj to Acct 115  by Cognos to the BS FRS203</t>
        </r>
      </text>
    </comment>
    <comment ref="AH12" authorId="0" shapeId="0">
      <text>
        <r>
          <rPr>
            <b/>
            <sz val="9"/>
            <color indexed="81"/>
            <rFont val="Tahoma"/>
            <family val="2"/>
          </rPr>
          <t>Coe, Connie:</t>
        </r>
        <r>
          <rPr>
            <sz val="9"/>
            <color indexed="81"/>
            <rFont val="Tahoma"/>
            <family val="2"/>
          </rPr>
          <t xml:space="preserve">
Acct 107  partial adj to Acct 115  by Cognos to the BS FRS203</t>
        </r>
      </text>
    </comment>
    <comment ref="AI12" authorId="0" shapeId="0">
      <text>
        <r>
          <rPr>
            <b/>
            <sz val="9"/>
            <color indexed="81"/>
            <rFont val="Tahoma"/>
            <family val="2"/>
          </rPr>
          <t>Coe, Connie:</t>
        </r>
        <r>
          <rPr>
            <sz val="9"/>
            <color indexed="81"/>
            <rFont val="Tahoma"/>
            <family val="2"/>
          </rPr>
          <t xml:space="preserve">
Acct 107  partial adj to Acct 115  by Cognos to the BS FRS203</t>
        </r>
      </text>
    </comment>
    <comment ref="AC13" authorId="0" shapeId="0">
      <text>
        <r>
          <rPr>
            <b/>
            <sz val="9"/>
            <color indexed="81"/>
            <rFont val="Tahoma"/>
            <family val="2"/>
          </rPr>
          <t>Coe, Connie:</t>
        </r>
        <r>
          <rPr>
            <sz val="9"/>
            <color indexed="81"/>
            <rFont val="Tahoma"/>
            <family val="2"/>
          </rPr>
          <t xml:space="preserve">
Acct 114</t>
        </r>
      </text>
    </comment>
    <comment ref="AD13" authorId="0" shapeId="0">
      <text>
        <r>
          <rPr>
            <b/>
            <sz val="9"/>
            <color indexed="81"/>
            <rFont val="Tahoma"/>
            <family val="2"/>
          </rPr>
          <t>Coe, Connie:</t>
        </r>
        <r>
          <rPr>
            <sz val="9"/>
            <color indexed="81"/>
            <rFont val="Tahoma"/>
            <family val="2"/>
          </rPr>
          <t xml:space="preserve">
Acct 114</t>
        </r>
      </text>
    </comment>
    <comment ref="AE13" authorId="0" shapeId="0">
      <text>
        <r>
          <rPr>
            <b/>
            <sz val="9"/>
            <color indexed="81"/>
            <rFont val="Tahoma"/>
            <family val="2"/>
          </rPr>
          <t>Coe, Connie:</t>
        </r>
        <r>
          <rPr>
            <sz val="9"/>
            <color indexed="81"/>
            <rFont val="Tahoma"/>
            <family val="2"/>
          </rPr>
          <t xml:space="preserve">
Acct 114</t>
        </r>
      </text>
    </comment>
    <comment ref="AF13" authorId="0" shapeId="0">
      <text>
        <r>
          <rPr>
            <b/>
            <sz val="9"/>
            <color indexed="81"/>
            <rFont val="Tahoma"/>
            <family val="2"/>
          </rPr>
          <t>Coe, Connie:</t>
        </r>
        <r>
          <rPr>
            <sz val="9"/>
            <color indexed="81"/>
            <rFont val="Tahoma"/>
            <family val="2"/>
          </rPr>
          <t xml:space="preserve">
Acct 114</t>
        </r>
      </text>
    </comment>
    <comment ref="AG13" authorId="0" shapeId="0">
      <text>
        <r>
          <rPr>
            <b/>
            <sz val="9"/>
            <color indexed="81"/>
            <rFont val="Tahoma"/>
            <family val="2"/>
          </rPr>
          <t>Coe, Connie:</t>
        </r>
        <r>
          <rPr>
            <sz val="9"/>
            <color indexed="81"/>
            <rFont val="Tahoma"/>
            <family val="2"/>
          </rPr>
          <t xml:space="preserve">
Acct 114</t>
        </r>
      </text>
    </comment>
    <comment ref="AH13" authorId="0" shapeId="0">
      <text>
        <r>
          <rPr>
            <b/>
            <sz val="9"/>
            <color indexed="81"/>
            <rFont val="Tahoma"/>
            <family val="2"/>
          </rPr>
          <t>Coe, Connie:</t>
        </r>
        <r>
          <rPr>
            <sz val="9"/>
            <color indexed="81"/>
            <rFont val="Tahoma"/>
            <family val="2"/>
          </rPr>
          <t xml:space="preserve">
Acct 114</t>
        </r>
      </text>
    </comment>
    <comment ref="AI13" authorId="0" shapeId="0">
      <text>
        <r>
          <rPr>
            <b/>
            <sz val="9"/>
            <color indexed="81"/>
            <rFont val="Tahoma"/>
            <family val="2"/>
          </rPr>
          <t>Coe, Connie:</t>
        </r>
        <r>
          <rPr>
            <sz val="9"/>
            <color indexed="81"/>
            <rFont val="Tahoma"/>
            <family val="2"/>
          </rPr>
          <t xml:space="preserve">
Acct 114</t>
        </r>
      </text>
    </comment>
    <comment ref="AC15" authorId="0" shapeId="0">
      <text>
        <r>
          <rPr>
            <b/>
            <sz val="9"/>
            <color indexed="81"/>
            <rFont val="Tahoma"/>
            <family val="2"/>
          </rPr>
          <t>Coe, Connie:</t>
        </r>
        <r>
          <rPr>
            <sz val="9"/>
            <color indexed="81"/>
            <rFont val="Tahoma"/>
            <family val="2"/>
          </rPr>
          <t xml:space="preserve">
Acct 108  partial adjust to Acct 115 by Cognos to the BS FRS203</t>
        </r>
      </text>
    </comment>
    <comment ref="AD15" authorId="0" shapeId="0">
      <text>
        <r>
          <rPr>
            <b/>
            <sz val="9"/>
            <color indexed="81"/>
            <rFont val="Tahoma"/>
            <family val="2"/>
          </rPr>
          <t>Coe, Connie:</t>
        </r>
        <r>
          <rPr>
            <sz val="9"/>
            <color indexed="81"/>
            <rFont val="Tahoma"/>
            <family val="2"/>
          </rPr>
          <t xml:space="preserve">
Acct 108  partial adjust to Acct 115 by Cognos to the BS FRS203</t>
        </r>
      </text>
    </comment>
    <comment ref="AE15" authorId="0" shapeId="0">
      <text>
        <r>
          <rPr>
            <b/>
            <sz val="9"/>
            <color indexed="81"/>
            <rFont val="Tahoma"/>
            <family val="2"/>
          </rPr>
          <t>Coe, Connie:</t>
        </r>
        <r>
          <rPr>
            <sz val="9"/>
            <color indexed="81"/>
            <rFont val="Tahoma"/>
            <family val="2"/>
          </rPr>
          <t xml:space="preserve">
Acct 108  partial adjust to Acct 115 by Cognos to the BS FRS203</t>
        </r>
      </text>
    </comment>
    <comment ref="AF15" authorId="0" shapeId="0">
      <text>
        <r>
          <rPr>
            <b/>
            <sz val="9"/>
            <color indexed="81"/>
            <rFont val="Tahoma"/>
            <family val="2"/>
          </rPr>
          <t>Coe, Connie:</t>
        </r>
        <r>
          <rPr>
            <sz val="9"/>
            <color indexed="81"/>
            <rFont val="Tahoma"/>
            <family val="2"/>
          </rPr>
          <t xml:space="preserve">
Acct 108  partial adjust to Acct 115 by Cognos to the BS FRS203</t>
        </r>
      </text>
    </comment>
    <comment ref="AG15" authorId="0" shapeId="0">
      <text>
        <r>
          <rPr>
            <b/>
            <sz val="9"/>
            <color indexed="81"/>
            <rFont val="Tahoma"/>
            <family val="2"/>
          </rPr>
          <t>Coe, Connie:</t>
        </r>
        <r>
          <rPr>
            <sz val="9"/>
            <color indexed="81"/>
            <rFont val="Tahoma"/>
            <family val="2"/>
          </rPr>
          <t xml:space="preserve">
Acct 108  partial adjust to Acct 115 by Cognos to the BS FRS203</t>
        </r>
      </text>
    </comment>
    <comment ref="AH15" authorId="0" shapeId="0">
      <text>
        <r>
          <rPr>
            <b/>
            <sz val="9"/>
            <color indexed="81"/>
            <rFont val="Tahoma"/>
            <family val="2"/>
          </rPr>
          <t>Coe, Connie:</t>
        </r>
        <r>
          <rPr>
            <sz val="9"/>
            <color indexed="81"/>
            <rFont val="Tahoma"/>
            <family val="2"/>
          </rPr>
          <t xml:space="preserve">
Acct 108  partial adjust to Acct 115 by Cognos to the BS FRS203</t>
        </r>
      </text>
    </comment>
    <comment ref="AI15" authorId="0" shapeId="0">
      <text>
        <r>
          <rPr>
            <b/>
            <sz val="9"/>
            <color indexed="81"/>
            <rFont val="Tahoma"/>
            <family val="2"/>
          </rPr>
          <t>Coe, Connie:</t>
        </r>
        <r>
          <rPr>
            <sz val="9"/>
            <color indexed="81"/>
            <rFont val="Tahoma"/>
            <family val="2"/>
          </rPr>
          <t xml:space="preserve">
Acct 108  partial adjust to Acct 115 by Cognos to the BS FRS203</t>
        </r>
      </text>
    </comment>
    <comment ref="AC18" authorId="0" shapeId="0">
      <text>
        <r>
          <rPr>
            <b/>
            <sz val="9"/>
            <color indexed="81"/>
            <rFont val="Tahoma"/>
            <family val="2"/>
          </rPr>
          <t>Coe, Connie:</t>
        </r>
        <r>
          <rPr>
            <sz val="9"/>
            <color indexed="81"/>
            <rFont val="Tahoma"/>
            <family val="2"/>
          </rPr>
          <t xml:space="preserve">
Acct 123
</t>
        </r>
      </text>
    </comment>
    <comment ref="AD18" authorId="0" shapeId="0">
      <text>
        <r>
          <rPr>
            <b/>
            <sz val="9"/>
            <color indexed="81"/>
            <rFont val="Tahoma"/>
            <family val="2"/>
          </rPr>
          <t>Coe, Connie:</t>
        </r>
        <r>
          <rPr>
            <sz val="9"/>
            <color indexed="81"/>
            <rFont val="Tahoma"/>
            <family val="2"/>
          </rPr>
          <t xml:space="preserve">
Acct 123
</t>
        </r>
      </text>
    </comment>
    <comment ref="AE18" authorId="0" shapeId="0">
      <text>
        <r>
          <rPr>
            <b/>
            <sz val="9"/>
            <color indexed="81"/>
            <rFont val="Tahoma"/>
            <family val="2"/>
          </rPr>
          <t>Coe, Connie:</t>
        </r>
        <r>
          <rPr>
            <sz val="9"/>
            <color indexed="81"/>
            <rFont val="Tahoma"/>
            <family val="2"/>
          </rPr>
          <t xml:space="preserve">
Acct 123
</t>
        </r>
      </text>
    </comment>
    <comment ref="AF18" authorId="0" shapeId="0">
      <text>
        <r>
          <rPr>
            <b/>
            <sz val="9"/>
            <color indexed="81"/>
            <rFont val="Tahoma"/>
            <family val="2"/>
          </rPr>
          <t>Coe, Connie:</t>
        </r>
        <r>
          <rPr>
            <sz val="9"/>
            <color indexed="81"/>
            <rFont val="Tahoma"/>
            <family val="2"/>
          </rPr>
          <t xml:space="preserve">
Acct 123
</t>
        </r>
      </text>
    </comment>
    <comment ref="AG18" authorId="0" shapeId="0">
      <text>
        <r>
          <rPr>
            <b/>
            <sz val="9"/>
            <color indexed="81"/>
            <rFont val="Tahoma"/>
            <family val="2"/>
          </rPr>
          <t>Coe, Connie:</t>
        </r>
        <r>
          <rPr>
            <sz val="9"/>
            <color indexed="81"/>
            <rFont val="Tahoma"/>
            <family val="2"/>
          </rPr>
          <t xml:space="preserve">
Acct 123
</t>
        </r>
      </text>
    </comment>
    <comment ref="AH18" authorId="0" shapeId="0">
      <text>
        <r>
          <rPr>
            <b/>
            <sz val="9"/>
            <color indexed="81"/>
            <rFont val="Tahoma"/>
            <family val="2"/>
          </rPr>
          <t>Coe, Connie:</t>
        </r>
        <r>
          <rPr>
            <sz val="9"/>
            <color indexed="81"/>
            <rFont val="Tahoma"/>
            <family val="2"/>
          </rPr>
          <t xml:space="preserve">
Acct 123
</t>
        </r>
      </text>
    </comment>
    <comment ref="AI18" authorId="0" shapeId="0">
      <text>
        <r>
          <rPr>
            <b/>
            <sz val="9"/>
            <color indexed="81"/>
            <rFont val="Tahoma"/>
            <family val="2"/>
          </rPr>
          <t>Coe, Connie:</t>
        </r>
        <r>
          <rPr>
            <sz val="9"/>
            <color indexed="81"/>
            <rFont val="Tahoma"/>
            <family val="2"/>
          </rPr>
          <t xml:space="preserve">
Acct 123
</t>
        </r>
      </text>
    </comment>
    <comment ref="AC24" authorId="0" shapeId="0">
      <text>
        <r>
          <rPr>
            <b/>
            <sz val="9"/>
            <color indexed="81"/>
            <rFont val="Tahoma"/>
            <family val="2"/>
          </rPr>
          <t>Coe, Connie:</t>
        </r>
        <r>
          <rPr>
            <sz val="9"/>
            <color indexed="81"/>
            <rFont val="Tahoma"/>
            <family val="2"/>
          </rPr>
          <t xml:space="preserve">
Acct 131
</t>
        </r>
      </text>
    </comment>
    <comment ref="AD24" authorId="0" shapeId="0">
      <text>
        <r>
          <rPr>
            <b/>
            <sz val="9"/>
            <color indexed="81"/>
            <rFont val="Tahoma"/>
            <family val="2"/>
          </rPr>
          <t>Coe, Connie:</t>
        </r>
        <r>
          <rPr>
            <sz val="9"/>
            <color indexed="81"/>
            <rFont val="Tahoma"/>
            <family val="2"/>
          </rPr>
          <t xml:space="preserve">
Acct 131
</t>
        </r>
      </text>
    </comment>
    <comment ref="AE24" authorId="0" shapeId="0">
      <text>
        <r>
          <rPr>
            <b/>
            <sz val="9"/>
            <color indexed="81"/>
            <rFont val="Tahoma"/>
            <family val="2"/>
          </rPr>
          <t>Coe, Connie:</t>
        </r>
        <r>
          <rPr>
            <sz val="9"/>
            <color indexed="81"/>
            <rFont val="Tahoma"/>
            <family val="2"/>
          </rPr>
          <t xml:space="preserve">
Acct 131
</t>
        </r>
      </text>
    </comment>
    <comment ref="AF24" authorId="0" shapeId="0">
      <text>
        <r>
          <rPr>
            <b/>
            <sz val="9"/>
            <color indexed="81"/>
            <rFont val="Tahoma"/>
            <family val="2"/>
          </rPr>
          <t>Coe, Connie:</t>
        </r>
        <r>
          <rPr>
            <sz val="9"/>
            <color indexed="81"/>
            <rFont val="Tahoma"/>
            <family val="2"/>
          </rPr>
          <t xml:space="preserve">
Acct 131
</t>
        </r>
      </text>
    </comment>
    <comment ref="AG24" authorId="0" shapeId="0">
      <text>
        <r>
          <rPr>
            <b/>
            <sz val="9"/>
            <color indexed="81"/>
            <rFont val="Tahoma"/>
            <family val="2"/>
          </rPr>
          <t>Coe, Connie:</t>
        </r>
        <r>
          <rPr>
            <sz val="9"/>
            <color indexed="81"/>
            <rFont val="Tahoma"/>
            <family val="2"/>
          </rPr>
          <t xml:space="preserve">
Acct 131
</t>
        </r>
      </text>
    </comment>
    <comment ref="AH24" authorId="0" shapeId="0">
      <text>
        <r>
          <rPr>
            <b/>
            <sz val="9"/>
            <color indexed="81"/>
            <rFont val="Tahoma"/>
            <family val="2"/>
          </rPr>
          <t>Coe, Connie:</t>
        </r>
        <r>
          <rPr>
            <sz val="9"/>
            <color indexed="81"/>
            <rFont val="Tahoma"/>
            <family val="2"/>
          </rPr>
          <t xml:space="preserve">
Acct 131
</t>
        </r>
      </text>
    </comment>
    <comment ref="AI24" authorId="0" shapeId="0">
      <text>
        <r>
          <rPr>
            <b/>
            <sz val="9"/>
            <color indexed="81"/>
            <rFont val="Tahoma"/>
            <family val="2"/>
          </rPr>
          <t>Coe, Connie:</t>
        </r>
        <r>
          <rPr>
            <sz val="9"/>
            <color indexed="81"/>
            <rFont val="Tahoma"/>
            <family val="2"/>
          </rPr>
          <t xml:space="preserve">
Acct 131
</t>
        </r>
      </text>
    </comment>
    <comment ref="AC25" authorId="0" shapeId="0">
      <text>
        <r>
          <rPr>
            <b/>
            <sz val="9"/>
            <color indexed="81"/>
            <rFont val="Tahoma"/>
            <family val="2"/>
          </rPr>
          <t>Coe, Connie:</t>
        </r>
        <r>
          <rPr>
            <sz val="9"/>
            <color indexed="81"/>
            <rFont val="Tahoma"/>
            <family val="2"/>
          </rPr>
          <t xml:space="preserve">
Acct 134
</t>
        </r>
      </text>
    </comment>
    <comment ref="AD25" authorId="0" shapeId="0">
      <text>
        <r>
          <rPr>
            <b/>
            <sz val="9"/>
            <color indexed="81"/>
            <rFont val="Tahoma"/>
            <family val="2"/>
          </rPr>
          <t>Coe, Connie:</t>
        </r>
        <r>
          <rPr>
            <sz val="9"/>
            <color indexed="81"/>
            <rFont val="Tahoma"/>
            <family val="2"/>
          </rPr>
          <t xml:space="preserve">
Acct 134
</t>
        </r>
      </text>
    </comment>
    <comment ref="AE25" authorId="0" shapeId="0">
      <text>
        <r>
          <rPr>
            <b/>
            <sz val="9"/>
            <color indexed="81"/>
            <rFont val="Tahoma"/>
            <family val="2"/>
          </rPr>
          <t>Coe, Connie:</t>
        </r>
        <r>
          <rPr>
            <sz val="9"/>
            <color indexed="81"/>
            <rFont val="Tahoma"/>
            <family val="2"/>
          </rPr>
          <t xml:space="preserve">
Acct 134
</t>
        </r>
      </text>
    </comment>
    <comment ref="AF25" authorId="0" shapeId="0">
      <text>
        <r>
          <rPr>
            <b/>
            <sz val="9"/>
            <color indexed="81"/>
            <rFont val="Tahoma"/>
            <family val="2"/>
          </rPr>
          <t>Coe, Connie:</t>
        </r>
        <r>
          <rPr>
            <sz val="9"/>
            <color indexed="81"/>
            <rFont val="Tahoma"/>
            <family val="2"/>
          </rPr>
          <t xml:space="preserve">
Acct 134
</t>
        </r>
      </text>
    </comment>
    <comment ref="AG25" authorId="0" shapeId="0">
      <text>
        <r>
          <rPr>
            <b/>
            <sz val="9"/>
            <color indexed="81"/>
            <rFont val="Tahoma"/>
            <family val="2"/>
          </rPr>
          <t>Coe, Connie:</t>
        </r>
        <r>
          <rPr>
            <sz val="9"/>
            <color indexed="81"/>
            <rFont val="Tahoma"/>
            <family val="2"/>
          </rPr>
          <t xml:space="preserve">
Acct 134
</t>
        </r>
      </text>
    </comment>
    <comment ref="AH25" authorId="0" shapeId="0">
      <text>
        <r>
          <rPr>
            <b/>
            <sz val="9"/>
            <color indexed="81"/>
            <rFont val="Tahoma"/>
            <family val="2"/>
          </rPr>
          <t>Coe, Connie:</t>
        </r>
        <r>
          <rPr>
            <sz val="9"/>
            <color indexed="81"/>
            <rFont val="Tahoma"/>
            <family val="2"/>
          </rPr>
          <t xml:space="preserve">
Acct 134
</t>
        </r>
      </text>
    </comment>
    <comment ref="AI25" authorId="0" shapeId="0">
      <text>
        <r>
          <rPr>
            <b/>
            <sz val="9"/>
            <color indexed="81"/>
            <rFont val="Tahoma"/>
            <family val="2"/>
          </rPr>
          <t>Coe, Connie:</t>
        </r>
        <r>
          <rPr>
            <sz val="9"/>
            <color indexed="81"/>
            <rFont val="Tahoma"/>
            <family val="2"/>
          </rPr>
          <t xml:space="preserve">
Acct 134
</t>
        </r>
      </text>
    </comment>
    <comment ref="AC26" authorId="0" shapeId="0">
      <text>
        <r>
          <rPr>
            <b/>
            <sz val="9"/>
            <color indexed="81"/>
            <rFont val="Tahoma"/>
            <family val="2"/>
          </rPr>
          <t>Coe, Connie:</t>
        </r>
        <r>
          <rPr>
            <sz val="9"/>
            <color indexed="81"/>
            <rFont val="Tahoma"/>
            <family val="2"/>
          </rPr>
          <t xml:space="preserve">
Acct 135
</t>
        </r>
      </text>
    </comment>
    <comment ref="AD26" authorId="0" shapeId="0">
      <text>
        <r>
          <rPr>
            <b/>
            <sz val="9"/>
            <color indexed="81"/>
            <rFont val="Tahoma"/>
            <family val="2"/>
          </rPr>
          <t>Coe, Connie:</t>
        </r>
        <r>
          <rPr>
            <sz val="9"/>
            <color indexed="81"/>
            <rFont val="Tahoma"/>
            <family val="2"/>
          </rPr>
          <t xml:space="preserve">
Acct 135
</t>
        </r>
      </text>
    </comment>
    <comment ref="AE26" authorId="0" shapeId="0">
      <text>
        <r>
          <rPr>
            <b/>
            <sz val="9"/>
            <color indexed="81"/>
            <rFont val="Tahoma"/>
            <family val="2"/>
          </rPr>
          <t>Coe, Connie:</t>
        </r>
        <r>
          <rPr>
            <sz val="9"/>
            <color indexed="81"/>
            <rFont val="Tahoma"/>
            <family val="2"/>
          </rPr>
          <t xml:space="preserve">
Acct 135
</t>
        </r>
      </text>
    </comment>
    <comment ref="AF26" authorId="0" shapeId="0">
      <text>
        <r>
          <rPr>
            <b/>
            <sz val="9"/>
            <color indexed="81"/>
            <rFont val="Tahoma"/>
            <family val="2"/>
          </rPr>
          <t>Coe, Connie:</t>
        </r>
        <r>
          <rPr>
            <sz val="9"/>
            <color indexed="81"/>
            <rFont val="Tahoma"/>
            <family val="2"/>
          </rPr>
          <t xml:space="preserve">
Acct 135
</t>
        </r>
      </text>
    </comment>
    <comment ref="AG26" authorId="0" shapeId="0">
      <text>
        <r>
          <rPr>
            <b/>
            <sz val="9"/>
            <color indexed="81"/>
            <rFont val="Tahoma"/>
            <family val="2"/>
          </rPr>
          <t>Coe, Connie:</t>
        </r>
        <r>
          <rPr>
            <sz val="9"/>
            <color indexed="81"/>
            <rFont val="Tahoma"/>
            <family val="2"/>
          </rPr>
          <t xml:space="preserve">
Acct 135
</t>
        </r>
      </text>
    </comment>
    <comment ref="AH26" authorId="0" shapeId="0">
      <text>
        <r>
          <rPr>
            <b/>
            <sz val="9"/>
            <color indexed="81"/>
            <rFont val="Tahoma"/>
            <family val="2"/>
          </rPr>
          <t>Coe, Connie:</t>
        </r>
        <r>
          <rPr>
            <sz val="9"/>
            <color indexed="81"/>
            <rFont val="Tahoma"/>
            <family val="2"/>
          </rPr>
          <t xml:space="preserve">
Acct 135
</t>
        </r>
      </text>
    </comment>
    <comment ref="AI26" authorId="0" shapeId="0">
      <text>
        <r>
          <rPr>
            <b/>
            <sz val="9"/>
            <color indexed="81"/>
            <rFont val="Tahoma"/>
            <family val="2"/>
          </rPr>
          <t>Coe, Connie:</t>
        </r>
        <r>
          <rPr>
            <sz val="9"/>
            <color indexed="81"/>
            <rFont val="Tahoma"/>
            <family val="2"/>
          </rPr>
          <t xml:space="preserve">
Acct 135
</t>
        </r>
      </text>
    </comment>
    <comment ref="A29" authorId="1" shapeId="0">
      <text>
        <r>
          <rPr>
            <b/>
            <sz val="10"/>
            <color indexed="81"/>
            <rFont val="Tahoma"/>
            <family val="2"/>
          </rPr>
          <t>Amnerys Valdes:</t>
        </r>
        <r>
          <rPr>
            <sz val="10"/>
            <color indexed="81"/>
            <rFont val="Tahoma"/>
            <family val="2"/>
          </rPr>
          <t xml:space="preserve">
Gas</t>
        </r>
      </text>
    </comment>
    <comment ref="X29" authorId="1" shapeId="0">
      <text>
        <r>
          <rPr>
            <b/>
            <sz val="10"/>
            <color indexed="81"/>
            <rFont val="Tahoma"/>
            <family val="2"/>
          </rPr>
          <t>Amnerys Valdes:</t>
        </r>
        <r>
          <rPr>
            <sz val="10"/>
            <color indexed="81"/>
            <rFont val="Tahoma"/>
            <family val="2"/>
          </rPr>
          <t xml:space="preserve">
Gas</t>
        </r>
      </text>
    </comment>
    <comment ref="AC29" authorId="0" shapeId="0">
      <text>
        <r>
          <rPr>
            <b/>
            <sz val="9"/>
            <color indexed="81"/>
            <rFont val="Tahoma"/>
            <family val="2"/>
          </rPr>
          <t>Coe, Connie:</t>
        </r>
        <r>
          <rPr>
            <sz val="9"/>
            <color indexed="81"/>
            <rFont val="Tahoma"/>
            <family val="2"/>
          </rPr>
          <t xml:space="preserve">
Acct 142
</t>
        </r>
      </text>
    </comment>
    <comment ref="AD29" authorId="0" shapeId="0">
      <text>
        <r>
          <rPr>
            <b/>
            <sz val="9"/>
            <color indexed="81"/>
            <rFont val="Tahoma"/>
            <family val="2"/>
          </rPr>
          <t>Coe, Connie:</t>
        </r>
        <r>
          <rPr>
            <sz val="9"/>
            <color indexed="81"/>
            <rFont val="Tahoma"/>
            <family val="2"/>
          </rPr>
          <t xml:space="preserve">
Acct 142
</t>
        </r>
      </text>
    </comment>
    <comment ref="AE29" authorId="0" shapeId="0">
      <text>
        <r>
          <rPr>
            <b/>
            <sz val="9"/>
            <color indexed="81"/>
            <rFont val="Tahoma"/>
            <family val="2"/>
          </rPr>
          <t>Coe, Connie:</t>
        </r>
        <r>
          <rPr>
            <sz val="9"/>
            <color indexed="81"/>
            <rFont val="Tahoma"/>
            <family val="2"/>
          </rPr>
          <t xml:space="preserve">
Acct 142
</t>
        </r>
      </text>
    </comment>
    <comment ref="AF29" authorId="0" shapeId="0">
      <text>
        <r>
          <rPr>
            <b/>
            <sz val="9"/>
            <color indexed="81"/>
            <rFont val="Tahoma"/>
            <family val="2"/>
          </rPr>
          <t>Coe, Connie:</t>
        </r>
        <r>
          <rPr>
            <sz val="9"/>
            <color indexed="81"/>
            <rFont val="Tahoma"/>
            <family val="2"/>
          </rPr>
          <t xml:space="preserve">
Acct 142
</t>
        </r>
      </text>
    </comment>
    <comment ref="AG29" authorId="0" shapeId="0">
      <text>
        <r>
          <rPr>
            <b/>
            <sz val="9"/>
            <color indexed="81"/>
            <rFont val="Tahoma"/>
            <family val="2"/>
          </rPr>
          <t>Coe, Connie:</t>
        </r>
        <r>
          <rPr>
            <sz val="9"/>
            <color indexed="81"/>
            <rFont val="Tahoma"/>
            <family val="2"/>
          </rPr>
          <t xml:space="preserve">
Acct 142
</t>
        </r>
      </text>
    </comment>
    <comment ref="AH29" authorId="0" shapeId="0">
      <text>
        <r>
          <rPr>
            <b/>
            <sz val="9"/>
            <color indexed="81"/>
            <rFont val="Tahoma"/>
            <family val="2"/>
          </rPr>
          <t>Coe, Connie:</t>
        </r>
        <r>
          <rPr>
            <sz val="9"/>
            <color indexed="81"/>
            <rFont val="Tahoma"/>
            <family val="2"/>
          </rPr>
          <t xml:space="preserve">
Acct 142
</t>
        </r>
      </text>
    </comment>
    <comment ref="AI29" authorId="0" shapeId="0">
      <text>
        <r>
          <rPr>
            <b/>
            <sz val="9"/>
            <color indexed="81"/>
            <rFont val="Tahoma"/>
            <family val="2"/>
          </rPr>
          <t>Coe, Connie:</t>
        </r>
        <r>
          <rPr>
            <sz val="9"/>
            <color indexed="81"/>
            <rFont val="Tahoma"/>
            <family val="2"/>
          </rPr>
          <t xml:space="preserve">
Acct 142
</t>
        </r>
      </text>
    </comment>
    <comment ref="A30" authorId="1" shapeId="0">
      <text>
        <r>
          <rPr>
            <b/>
            <sz val="10"/>
            <color indexed="81"/>
            <rFont val="Tahoma"/>
            <family val="2"/>
          </rPr>
          <t>Amnerys Valdes:</t>
        </r>
        <r>
          <rPr>
            <sz val="10"/>
            <color indexed="81"/>
            <rFont val="Tahoma"/>
            <family val="2"/>
          </rPr>
          <t xml:space="preserve">
Merchandise Jobbing &amp; Other</t>
        </r>
      </text>
    </comment>
    <comment ref="Q30" authorId="2" shapeId="0">
      <text>
        <r>
          <rPr>
            <b/>
            <sz val="9"/>
            <color indexed="81"/>
            <rFont val="Tahoma"/>
            <family val="2"/>
          </rPr>
          <t>Valdes, Amnerys:</t>
        </r>
        <r>
          <rPr>
            <sz val="9"/>
            <color indexed="81"/>
            <rFont val="Tahoma"/>
            <family val="2"/>
          </rPr>
          <t xml:space="preserve">
Per Sue's file</t>
        </r>
      </text>
    </comment>
    <comment ref="X30" authorId="1" shapeId="0">
      <text>
        <r>
          <rPr>
            <b/>
            <sz val="10"/>
            <color indexed="81"/>
            <rFont val="Tahoma"/>
            <family val="2"/>
          </rPr>
          <t>Amnerys Valdes:</t>
        </r>
        <r>
          <rPr>
            <sz val="10"/>
            <color indexed="81"/>
            <rFont val="Tahoma"/>
            <family val="2"/>
          </rPr>
          <t xml:space="preserve">
Merchandise Jobbing &amp; Other</t>
        </r>
      </text>
    </comment>
    <comment ref="AC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D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E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F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G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H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I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C31" authorId="0" shapeId="0">
      <text>
        <r>
          <rPr>
            <b/>
            <sz val="9"/>
            <color indexed="81"/>
            <rFont val="Tahoma"/>
            <family val="2"/>
          </rPr>
          <t>Coe, Connie:</t>
        </r>
        <r>
          <rPr>
            <sz val="9"/>
            <color indexed="81"/>
            <rFont val="Tahoma"/>
            <family val="2"/>
          </rPr>
          <t xml:space="preserve">
Acct 144
</t>
        </r>
      </text>
    </comment>
    <comment ref="AD31" authorId="0" shapeId="0">
      <text>
        <r>
          <rPr>
            <b/>
            <sz val="9"/>
            <color indexed="81"/>
            <rFont val="Tahoma"/>
            <family val="2"/>
          </rPr>
          <t>Coe, Connie:</t>
        </r>
        <r>
          <rPr>
            <sz val="9"/>
            <color indexed="81"/>
            <rFont val="Tahoma"/>
            <family val="2"/>
          </rPr>
          <t xml:space="preserve">
Acct 144
</t>
        </r>
      </text>
    </comment>
    <comment ref="AE31" authorId="0" shapeId="0">
      <text>
        <r>
          <rPr>
            <b/>
            <sz val="9"/>
            <color indexed="81"/>
            <rFont val="Tahoma"/>
            <family val="2"/>
          </rPr>
          <t>Coe, Connie:</t>
        </r>
        <r>
          <rPr>
            <sz val="9"/>
            <color indexed="81"/>
            <rFont val="Tahoma"/>
            <family val="2"/>
          </rPr>
          <t xml:space="preserve">
Acct 144
</t>
        </r>
      </text>
    </comment>
    <comment ref="AF31" authorId="0" shapeId="0">
      <text>
        <r>
          <rPr>
            <b/>
            <sz val="9"/>
            <color indexed="81"/>
            <rFont val="Tahoma"/>
            <family val="2"/>
          </rPr>
          <t>Coe, Connie:</t>
        </r>
        <r>
          <rPr>
            <sz val="9"/>
            <color indexed="81"/>
            <rFont val="Tahoma"/>
            <family val="2"/>
          </rPr>
          <t xml:space="preserve">
Acct 144
</t>
        </r>
      </text>
    </comment>
    <comment ref="AG31" authorId="0" shapeId="0">
      <text>
        <r>
          <rPr>
            <b/>
            <sz val="9"/>
            <color indexed="81"/>
            <rFont val="Tahoma"/>
            <family val="2"/>
          </rPr>
          <t>Coe, Connie:</t>
        </r>
        <r>
          <rPr>
            <sz val="9"/>
            <color indexed="81"/>
            <rFont val="Tahoma"/>
            <family val="2"/>
          </rPr>
          <t xml:space="preserve">
Acct 144
</t>
        </r>
      </text>
    </comment>
    <comment ref="AH31" authorId="0" shapeId="0">
      <text>
        <r>
          <rPr>
            <b/>
            <sz val="9"/>
            <color indexed="81"/>
            <rFont val="Tahoma"/>
            <family val="2"/>
          </rPr>
          <t>Coe, Connie:</t>
        </r>
        <r>
          <rPr>
            <sz val="9"/>
            <color indexed="81"/>
            <rFont val="Tahoma"/>
            <family val="2"/>
          </rPr>
          <t xml:space="preserve">
Acct 144
</t>
        </r>
      </text>
    </comment>
    <comment ref="AI31" authorId="0" shapeId="0">
      <text>
        <r>
          <rPr>
            <b/>
            <sz val="9"/>
            <color indexed="81"/>
            <rFont val="Tahoma"/>
            <family val="2"/>
          </rPr>
          <t>Coe, Connie:</t>
        </r>
        <r>
          <rPr>
            <sz val="9"/>
            <color indexed="81"/>
            <rFont val="Tahoma"/>
            <family val="2"/>
          </rPr>
          <t xml:space="preserve">
Acct 144
</t>
        </r>
      </text>
    </comment>
    <comment ref="A32" authorId="2" shapeId="0">
      <text>
        <r>
          <rPr>
            <b/>
            <sz val="9"/>
            <color indexed="81"/>
            <rFont val="Tahoma"/>
            <family val="2"/>
          </rPr>
          <t>Valdes, Amnerys:</t>
        </r>
        <r>
          <rPr>
            <sz val="9"/>
            <color indexed="81"/>
            <rFont val="Tahoma"/>
            <family val="2"/>
          </rPr>
          <t xml:space="preserve">
Acc 146.07 + 146.53 + 146.52</t>
        </r>
      </text>
    </comment>
    <comment ref="V32" authorId="2" shapeId="0">
      <text>
        <r>
          <rPr>
            <b/>
            <sz val="9"/>
            <color indexed="81"/>
            <rFont val="Tahoma"/>
            <family val="2"/>
          </rPr>
          <t>Valdes, Amnerys:</t>
        </r>
        <r>
          <rPr>
            <sz val="9"/>
            <color indexed="81"/>
            <rFont val="Tahoma"/>
            <family val="2"/>
          </rPr>
          <t xml:space="preserve">
Acc 146.07 + 146.53 + 146.52</t>
        </r>
      </text>
    </comment>
    <comment ref="W32" authorId="2" shapeId="0">
      <text>
        <r>
          <rPr>
            <b/>
            <sz val="9"/>
            <color indexed="81"/>
            <rFont val="Tahoma"/>
            <family val="2"/>
          </rPr>
          <t>Valdes, Amnerys:</t>
        </r>
        <r>
          <rPr>
            <sz val="9"/>
            <color indexed="81"/>
            <rFont val="Tahoma"/>
            <family val="2"/>
          </rPr>
          <t xml:space="preserve">
Acc 146.07 + 146.53 + 146.52</t>
        </r>
      </text>
    </comment>
    <comment ref="X32" authorId="2" shapeId="0">
      <text>
        <r>
          <rPr>
            <b/>
            <sz val="9"/>
            <color indexed="81"/>
            <rFont val="Tahoma"/>
            <family val="2"/>
          </rPr>
          <t>Valdes, Amnerys:</t>
        </r>
        <r>
          <rPr>
            <sz val="9"/>
            <color indexed="81"/>
            <rFont val="Tahoma"/>
            <family val="2"/>
          </rPr>
          <t xml:space="preserve">
Acc 146.07 + 146.53 + 146.52</t>
        </r>
      </text>
    </comment>
    <comment ref="Y32" authorId="2" shapeId="0">
      <text>
        <r>
          <rPr>
            <b/>
            <sz val="9"/>
            <color indexed="81"/>
            <rFont val="Tahoma"/>
            <family val="2"/>
          </rPr>
          <t>Valdes, Amnerys:</t>
        </r>
        <r>
          <rPr>
            <sz val="9"/>
            <color indexed="81"/>
            <rFont val="Tahoma"/>
            <family val="2"/>
          </rPr>
          <t xml:space="preserve">
Acc 146.07 + 146.53 + 146.52</t>
        </r>
      </text>
    </comment>
    <comment ref="Z32" authorId="2" shapeId="0">
      <text>
        <r>
          <rPr>
            <b/>
            <sz val="9"/>
            <color indexed="81"/>
            <rFont val="Tahoma"/>
            <family val="2"/>
          </rPr>
          <t>Valdes, Amnerys:</t>
        </r>
        <r>
          <rPr>
            <sz val="9"/>
            <color indexed="81"/>
            <rFont val="Tahoma"/>
            <family val="2"/>
          </rPr>
          <t xml:space="preserve">
Acc 146.07 + 146.53 + 146.52</t>
        </r>
      </text>
    </comment>
    <comment ref="AA32" authorId="2" shapeId="0">
      <text>
        <r>
          <rPr>
            <b/>
            <sz val="9"/>
            <color indexed="81"/>
            <rFont val="Tahoma"/>
            <family val="2"/>
          </rPr>
          <t>Valdes, Amnerys:</t>
        </r>
        <r>
          <rPr>
            <sz val="9"/>
            <color indexed="81"/>
            <rFont val="Tahoma"/>
            <family val="2"/>
          </rPr>
          <t xml:space="preserve">
Acc 146.07 + 146.53 + 146.52</t>
        </r>
      </text>
    </comment>
    <comment ref="AB32" authorId="2" shapeId="0">
      <text>
        <r>
          <rPr>
            <b/>
            <sz val="9"/>
            <color indexed="81"/>
            <rFont val="Tahoma"/>
            <family val="2"/>
          </rPr>
          <t>Valdes, Amnerys:</t>
        </r>
        <r>
          <rPr>
            <sz val="9"/>
            <color indexed="81"/>
            <rFont val="Tahoma"/>
            <family val="2"/>
          </rPr>
          <t xml:space="preserve">
Acc 146.07 + 146.53 + 146.52</t>
        </r>
      </text>
    </comment>
    <comment ref="AC32" authorId="2" shapeId="0">
      <text>
        <r>
          <rPr>
            <b/>
            <sz val="9"/>
            <color indexed="81"/>
            <rFont val="Tahoma"/>
            <family val="2"/>
          </rPr>
          <t>Valdes, Amnerys:</t>
        </r>
        <r>
          <rPr>
            <sz val="9"/>
            <color indexed="81"/>
            <rFont val="Tahoma"/>
            <family val="2"/>
          </rPr>
          <t xml:space="preserve">
Acc 146.07 + 146.53 + 146.52</t>
        </r>
      </text>
    </comment>
    <comment ref="AD32" authorId="2" shapeId="0">
      <text>
        <r>
          <rPr>
            <b/>
            <sz val="9"/>
            <color indexed="81"/>
            <rFont val="Tahoma"/>
            <family val="2"/>
          </rPr>
          <t>Valdes, Amnerys:</t>
        </r>
        <r>
          <rPr>
            <sz val="9"/>
            <color indexed="81"/>
            <rFont val="Tahoma"/>
            <family val="2"/>
          </rPr>
          <t xml:space="preserve">
Acc 146.07 + 146.53 + 146.52</t>
        </r>
      </text>
    </comment>
    <comment ref="AE32" authorId="2" shapeId="0">
      <text>
        <r>
          <rPr>
            <b/>
            <sz val="9"/>
            <color indexed="81"/>
            <rFont val="Tahoma"/>
            <family val="2"/>
          </rPr>
          <t>Valdes, Amnerys:</t>
        </r>
        <r>
          <rPr>
            <sz val="9"/>
            <color indexed="81"/>
            <rFont val="Tahoma"/>
            <family val="2"/>
          </rPr>
          <t xml:space="preserve">
Acc 146.07 + 146.53 + 146.52</t>
        </r>
      </text>
    </comment>
    <comment ref="AF32" authorId="2" shapeId="0">
      <text>
        <r>
          <rPr>
            <b/>
            <sz val="9"/>
            <color indexed="81"/>
            <rFont val="Tahoma"/>
            <family val="2"/>
          </rPr>
          <t>Valdes, Amnerys:</t>
        </r>
        <r>
          <rPr>
            <sz val="9"/>
            <color indexed="81"/>
            <rFont val="Tahoma"/>
            <family val="2"/>
          </rPr>
          <t xml:space="preserve">
Acc 146.07 + 146.53 + 146.52</t>
        </r>
      </text>
    </comment>
    <comment ref="AG32" authorId="2" shapeId="0">
      <text>
        <r>
          <rPr>
            <b/>
            <sz val="9"/>
            <color indexed="81"/>
            <rFont val="Tahoma"/>
            <family val="2"/>
          </rPr>
          <t>Valdes, Amnerys:</t>
        </r>
        <r>
          <rPr>
            <sz val="9"/>
            <color indexed="81"/>
            <rFont val="Tahoma"/>
            <family val="2"/>
          </rPr>
          <t xml:space="preserve">
Acc 146.07 + 146.53 + 146.52</t>
        </r>
      </text>
    </comment>
    <comment ref="AH32" authorId="2" shapeId="0">
      <text>
        <r>
          <rPr>
            <b/>
            <sz val="9"/>
            <color indexed="81"/>
            <rFont val="Tahoma"/>
            <family val="2"/>
          </rPr>
          <t>Valdes, Amnerys:</t>
        </r>
        <r>
          <rPr>
            <sz val="9"/>
            <color indexed="81"/>
            <rFont val="Tahoma"/>
            <family val="2"/>
          </rPr>
          <t xml:space="preserve">
Acc 146.07 + 146.53 + 146.52</t>
        </r>
      </text>
    </comment>
    <comment ref="AI32" authorId="2" shapeId="0">
      <text>
        <r>
          <rPr>
            <b/>
            <sz val="9"/>
            <color indexed="81"/>
            <rFont val="Tahoma"/>
            <family val="2"/>
          </rPr>
          <t>Valdes, Amnerys:</t>
        </r>
        <r>
          <rPr>
            <sz val="9"/>
            <color indexed="81"/>
            <rFont val="Tahoma"/>
            <family val="2"/>
          </rPr>
          <t xml:space="preserve">
Acc 146.07 + 146.53 + 146.52</t>
        </r>
      </text>
    </comment>
    <comment ref="A33" authorId="2" shapeId="0">
      <text>
        <r>
          <rPr>
            <b/>
            <sz val="9"/>
            <color indexed="81"/>
            <rFont val="Tahoma"/>
            <family val="2"/>
          </rPr>
          <t>Valdes, Amnerys:</t>
        </r>
        <r>
          <rPr>
            <sz val="9"/>
            <color indexed="81"/>
            <rFont val="Tahoma"/>
            <family val="2"/>
          </rPr>
          <t xml:space="preserve">
Acc 146 - (Acc 146.07 + 146.53 + 146.52)</t>
        </r>
      </text>
    </comment>
    <comment ref="V33" authorId="2" shapeId="0">
      <text>
        <r>
          <rPr>
            <b/>
            <sz val="9"/>
            <color indexed="81"/>
            <rFont val="Tahoma"/>
            <family val="2"/>
          </rPr>
          <t>Valdes, Amnerys:</t>
        </r>
        <r>
          <rPr>
            <sz val="9"/>
            <color indexed="81"/>
            <rFont val="Tahoma"/>
            <family val="2"/>
          </rPr>
          <t xml:space="preserve">
Acc 146 -(Acc 146.07 + 146.53 + 146.52)</t>
        </r>
      </text>
    </comment>
    <comment ref="W33" authorId="2" shapeId="0">
      <text>
        <r>
          <rPr>
            <b/>
            <sz val="9"/>
            <color indexed="81"/>
            <rFont val="Tahoma"/>
            <family val="2"/>
          </rPr>
          <t>Valdes, Amnerys:</t>
        </r>
        <r>
          <rPr>
            <sz val="9"/>
            <color indexed="81"/>
            <rFont val="Tahoma"/>
            <family val="2"/>
          </rPr>
          <t xml:space="preserve">
Acc 146 -(Acc 146.07 + 146.53 + 146.52)</t>
        </r>
      </text>
    </comment>
    <comment ref="X33" authorId="2" shapeId="0">
      <text>
        <r>
          <rPr>
            <b/>
            <sz val="9"/>
            <color indexed="81"/>
            <rFont val="Tahoma"/>
            <family val="2"/>
          </rPr>
          <t>Valdes, Amnerys:</t>
        </r>
        <r>
          <rPr>
            <sz val="9"/>
            <color indexed="81"/>
            <rFont val="Tahoma"/>
            <family val="2"/>
          </rPr>
          <t xml:space="preserve">
Acc 146 - (Acc 146.07 + 146.53 + 146.52)</t>
        </r>
      </text>
    </comment>
    <comment ref="Y33" authorId="2" shapeId="0">
      <text>
        <r>
          <rPr>
            <b/>
            <sz val="9"/>
            <color indexed="81"/>
            <rFont val="Tahoma"/>
            <family val="2"/>
          </rPr>
          <t>Valdes, Amnerys:</t>
        </r>
        <r>
          <rPr>
            <sz val="9"/>
            <color indexed="81"/>
            <rFont val="Tahoma"/>
            <family val="2"/>
          </rPr>
          <t xml:space="preserve">
Acc 146 - (Acc 146.07 + 146.53 + 146.52)</t>
        </r>
      </text>
    </comment>
    <comment ref="Z33" authorId="2" shapeId="0">
      <text>
        <r>
          <rPr>
            <b/>
            <sz val="9"/>
            <color indexed="81"/>
            <rFont val="Tahoma"/>
            <family val="2"/>
          </rPr>
          <t>Valdes, Amnerys:</t>
        </r>
        <r>
          <rPr>
            <sz val="9"/>
            <color indexed="81"/>
            <rFont val="Tahoma"/>
            <family val="2"/>
          </rPr>
          <t xml:space="preserve">
Acc 146 - (Acc 146.07 + 146.53 + 146.52)</t>
        </r>
      </text>
    </comment>
    <comment ref="AA33" authorId="2" shapeId="0">
      <text>
        <r>
          <rPr>
            <b/>
            <sz val="9"/>
            <color indexed="81"/>
            <rFont val="Tahoma"/>
            <family val="2"/>
          </rPr>
          <t>Valdes, Amnerys:</t>
        </r>
        <r>
          <rPr>
            <sz val="9"/>
            <color indexed="81"/>
            <rFont val="Tahoma"/>
            <family val="2"/>
          </rPr>
          <t xml:space="preserve">
Acc 146 - (Acc 146.07 + 146.53 + 146.52)</t>
        </r>
      </text>
    </comment>
    <comment ref="AB33" authorId="2" shapeId="0">
      <text>
        <r>
          <rPr>
            <b/>
            <sz val="9"/>
            <color indexed="81"/>
            <rFont val="Tahoma"/>
            <family val="2"/>
          </rPr>
          <t>Valdes, Amnerys:</t>
        </r>
        <r>
          <rPr>
            <sz val="9"/>
            <color indexed="81"/>
            <rFont val="Tahoma"/>
            <family val="2"/>
          </rPr>
          <t xml:space="preserve">
Acc 146 - (Acc 146.07 + 146.53 + 146.52)</t>
        </r>
      </text>
    </comment>
    <comment ref="AC33" authorId="2" shapeId="0">
      <text>
        <r>
          <rPr>
            <b/>
            <sz val="9"/>
            <color indexed="81"/>
            <rFont val="Tahoma"/>
            <family val="2"/>
          </rPr>
          <t>Valdes, Amnerys:</t>
        </r>
        <r>
          <rPr>
            <sz val="9"/>
            <color indexed="81"/>
            <rFont val="Tahoma"/>
            <family val="2"/>
          </rPr>
          <t xml:space="preserve">
Acc 146 - (Acc 146.07 + 146.53 + 146.52)</t>
        </r>
      </text>
    </comment>
    <comment ref="AD33" authorId="2" shapeId="0">
      <text>
        <r>
          <rPr>
            <b/>
            <sz val="9"/>
            <color indexed="81"/>
            <rFont val="Tahoma"/>
            <family val="2"/>
          </rPr>
          <t>Valdes, Amnerys:</t>
        </r>
        <r>
          <rPr>
            <sz val="9"/>
            <color indexed="81"/>
            <rFont val="Tahoma"/>
            <family val="2"/>
          </rPr>
          <t xml:space="preserve">
Acc 146 - (Acc 146.07 + 146.53 + 146.52)</t>
        </r>
      </text>
    </comment>
    <comment ref="AE33" authorId="2" shapeId="0">
      <text>
        <r>
          <rPr>
            <b/>
            <sz val="9"/>
            <color indexed="81"/>
            <rFont val="Tahoma"/>
            <family val="2"/>
          </rPr>
          <t>Valdes, Amnerys:</t>
        </r>
        <r>
          <rPr>
            <sz val="9"/>
            <color indexed="81"/>
            <rFont val="Tahoma"/>
            <family val="2"/>
          </rPr>
          <t xml:space="preserve">
Acc 146 - (Acc 146.07 + 146.53 + 146.52)</t>
        </r>
      </text>
    </comment>
    <comment ref="AF33" authorId="2" shapeId="0">
      <text>
        <r>
          <rPr>
            <b/>
            <sz val="9"/>
            <color indexed="81"/>
            <rFont val="Tahoma"/>
            <family val="2"/>
          </rPr>
          <t>Valdes, Amnerys:</t>
        </r>
        <r>
          <rPr>
            <sz val="9"/>
            <color indexed="81"/>
            <rFont val="Tahoma"/>
            <family val="2"/>
          </rPr>
          <t xml:space="preserve">
Acc 146 - (Acc 146.07 + 146.53 + 146.52)</t>
        </r>
      </text>
    </comment>
    <comment ref="AG33" authorId="2" shapeId="0">
      <text>
        <r>
          <rPr>
            <b/>
            <sz val="9"/>
            <color indexed="81"/>
            <rFont val="Tahoma"/>
            <family val="2"/>
          </rPr>
          <t>Valdes, Amnerys:</t>
        </r>
        <r>
          <rPr>
            <sz val="9"/>
            <color indexed="81"/>
            <rFont val="Tahoma"/>
            <family val="2"/>
          </rPr>
          <t xml:space="preserve">
Acc 146 - (Acc 146.07 + 146.53 + 146.52)</t>
        </r>
      </text>
    </comment>
    <comment ref="AH33" authorId="2" shapeId="0">
      <text>
        <r>
          <rPr>
            <b/>
            <sz val="9"/>
            <color indexed="81"/>
            <rFont val="Tahoma"/>
            <family val="2"/>
          </rPr>
          <t>Valdes, Amnerys:</t>
        </r>
        <r>
          <rPr>
            <sz val="9"/>
            <color indexed="81"/>
            <rFont val="Tahoma"/>
            <family val="2"/>
          </rPr>
          <t xml:space="preserve">
Acc 146 - (Acc 146.07 + 146.53 + 146.52)</t>
        </r>
      </text>
    </comment>
    <comment ref="AI33" authorId="2" shapeId="0">
      <text>
        <r>
          <rPr>
            <b/>
            <sz val="9"/>
            <color indexed="81"/>
            <rFont val="Tahoma"/>
            <family val="2"/>
          </rPr>
          <t>Valdes, Amnerys:</t>
        </r>
        <r>
          <rPr>
            <sz val="9"/>
            <color indexed="81"/>
            <rFont val="Tahoma"/>
            <family val="2"/>
          </rPr>
          <t xml:space="preserve">
Acc 146 - (Acc 146.07 + 146.53 + 146.52)</t>
        </r>
      </text>
    </comment>
    <comment ref="AP33" authorId="3" shapeId="0">
      <text>
        <r>
          <rPr>
            <b/>
            <sz val="9"/>
            <color indexed="81"/>
            <rFont val="Tahoma"/>
            <family val="2"/>
          </rPr>
          <t>Coe, Connie P.:</t>
        </r>
        <r>
          <rPr>
            <sz val="9"/>
            <color indexed="81"/>
            <rFont val="Tahoma"/>
            <family val="2"/>
          </rPr>
          <t xml:space="preserve">
146</t>
        </r>
      </text>
    </comment>
    <comment ref="A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P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Q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R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S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T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47" authorId="3" shapeId="0">
      <text>
        <r>
          <rPr>
            <b/>
            <sz val="9"/>
            <color indexed="81"/>
            <rFont val="Tahoma"/>
            <family val="2"/>
          </rPr>
          <t>Coe, Connie P.:</t>
        </r>
        <r>
          <rPr>
            <sz val="9"/>
            <color indexed="81"/>
            <rFont val="Tahoma"/>
            <family val="2"/>
          </rPr>
          <t xml:space="preserve">
1860800 Def Db Oth
182 Oth Reg Asst
(1823070) Comp Rate Adj (see unbilled Rev)
-(1823102) Rate Case Exp Curr
-(1823105) Curr Deriv Reg Asst
-(1823205) LT Deriv Reg Asst</t>
        </r>
      </text>
    </comment>
    <comment ref="AP47"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50" authorId="3" shapeId="0">
      <text>
        <r>
          <rPr>
            <b/>
            <sz val="9"/>
            <color indexed="81"/>
            <rFont val="Tahoma"/>
            <family val="2"/>
          </rPr>
          <t>Coe, Connie P.:</t>
        </r>
        <r>
          <rPr>
            <sz val="9"/>
            <color indexed="81"/>
            <rFont val="Tahoma"/>
            <family val="2"/>
          </rPr>
          <t xml:space="preserve">
Legacy account 18672
</t>
        </r>
      </text>
    </comment>
    <comment ref="A52" authorId="1" shapeId="0">
      <text>
        <r>
          <rPr>
            <b/>
            <sz val="10"/>
            <color indexed="81"/>
            <rFont val="Tahoma"/>
            <family val="2"/>
          </rPr>
          <t>Amnerys Valdes:</t>
        </r>
        <r>
          <rPr>
            <sz val="10"/>
            <color indexed="81"/>
            <rFont val="Tahoma"/>
            <family val="2"/>
          </rPr>
          <t xml:space="preserve">
Unrecovered Gas Costs (Acc 191.05 + 191.06) + Reg Derivative (Acc 191.07) 
= Unrecov Gas Costs in B/S Statement</t>
        </r>
      </text>
    </comment>
    <comment ref="O52" authorId="1" shapeId="0">
      <text>
        <r>
          <rPr>
            <b/>
            <sz val="10"/>
            <color indexed="81"/>
            <rFont val="Tahoma"/>
            <family val="2"/>
          </rPr>
          <t>Amnerys Valdes:</t>
        </r>
        <r>
          <rPr>
            <sz val="10"/>
            <color indexed="81"/>
            <rFont val="Tahoma"/>
            <family val="2"/>
          </rPr>
          <t xml:space="preserve">
Acc 191.05 + 191.06</t>
        </r>
      </text>
    </comment>
    <comment ref="P52" authorId="1" shapeId="0">
      <text>
        <r>
          <rPr>
            <b/>
            <sz val="10"/>
            <color indexed="81"/>
            <rFont val="Tahoma"/>
            <family val="2"/>
          </rPr>
          <t>Amnerys Valdes:</t>
        </r>
        <r>
          <rPr>
            <sz val="10"/>
            <color indexed="81"/>
            <rFont val="Tahoma"/>
            <family val="2"/>
          </rPr>
          <t xml:space="preserve">
Acc 191.05 + 191.06</t>
        </r>
      </text>
    </comment>
    <comment ref="Q52" authorId="1" shapeId="0">
      <text>
        <r>
          <rPr>
            <b/>
            <sz val="10"/>
            <color indexed="81"/>
            <rFont val="Tahoma"/>
            <family val="2"/>
          </rPr>
          <t>Amnerys Valdes:</t>
        </r>
        <r>
          <rPr>
            <sz val="10"/>
            <color indexed="81"/>
            <rFont val="Tahoma"/>
            <family val="2"/>
          </rPr>
          <t xml:space="preserve">
Acc 191.05 + 191.06</t>
        </r>
      </text>
    </comment>
    <comment ref="R52" authorId="1" shapeId="0">
      <text>
        <r>
          <rPr>
            <b/>
            <sz val="10"/>
            <color indexed="81"/>
            <rFont val="Tahoma"/>
            <family val="2"/>
          </rPr>
          <t>Amnerys Valdes:</t>
        </r>
        <r>
          <rPr>
            <sz val="10"/>
            <color indexed="81"/>
            <rFont val="Tahoma"/>
            <family val="2"/>
          </rPr>
          <t xml:space="preserve">
Acc 191.05 + 191.06</t>
        </r>
      </text>
    </comment>
    <comment ref="S52" authorId="1" shapeId="0">
      <text>
        <r>
          <rPr>
            <b/>
            <sz val="10"/>
            <color indexed="81"/>
            <rFont val="Tahoma"/>
            <family val="2"/>
          </rPr>
          <t>Amnerys Valdes:</t>
        </r>
        <r>
          <rPr>
            <sz val="10"/>
            <color indexed="81"/>
            <rFont val="Tahoma"/>
            <family val="2"/>
          </rPr>
          <t xml:space="preserve">
Acc 191.05 + 191.06</t>
        </r>
      </text>
    </comment>
    <comment ref="T52" authorId="1" shapeId="0">
      <text>
        <r>
          <rPr>
            <b/>
            <sz val="10"/>
            <color indexed="81"/>
            <rFont val="Tahoma"/>
            <family val="2"/>
          </rPr>
          <t>Amnerys Valdes:</t>
        </r>
        <r>
          <rPr>
            <sz val="10"/>
            <color indexed="81"/>
            <rFont val="Tahoma"/>
            <family val="2"/>
          </rPr>
          <t xml:space="preserve">
Acc 191.05 + 191.06</t>
        </r>
      </text>
    </comment>
    <comment ref="U52" authorId="1" shapeId="0">
      <text>
        <r>
          <rPr>
            <b/>
            <sz val="10"/>
            <color indexed="81"/>
            <rFont val="Tahoma"/>
            <family val="2"/>
          </rPr>
          <t>Amnerys Valdes:</t>
        </r>
        <r>
          <rPr>
            <sz val="10"/>
            <color indexed="81"/>
            <rFont val="Tahoma"/>
            <family val="2"/>
          </rPr>
          <t xml:space="preserve">
Acc 191.05 + 191.06</t>
        </r>
      </text>
    </comment>
    <comment ref="V52" authorId="1" shapeId="0">
      <text>
        <r>
          <rPr>
            <b/>
            <sz val="10"/>
            <color indexed="81"/>
            <rFont val="Tahoma"/>
            <family val="2"/>
          </rPr>
          <t>Amnerys Valdes:</t>
        </r>
        <r>
          <rPr>
            <sz val="10"/>
            <color indexed="81"/>
            <rFont val="Tahoma"/>
            <family val="2"/>
          </rPr>
          <t xml:space="preserve">
Acc 191.05 + 191.06</t>
        </r>
      </text>
    </comment>
    <comment ref="W52" authorId="1" shapeId="0">
      <text>
        <r>
          <rPr>
            <b/>
            <sz val="10"/>
            <color indexed="81"/>
            <rFont val="Tahoma"/>
            <family val="2"/>
          </rPr>
          <t>Amnerys Valdes:</t>
        </r>
        <r>
          <rPr>
            <sz val="10"/>
            <color indexed="81"/>
            <rFont val="Tahoma"/>
            <family val="2"/>
          </rPr>
          <t xml:space="preserve">
Acc 191.05 + 191.06</t>
        </r>
      </text>
    </comment>
    <comment ref="X52" authorId="1" shapeId="0">
      <text>
        <r>
          <rPr>
            <b/>
            <sz val="10"/>
            <color indexed="81"/>
            <rFont val="Tahoma"/>
            <family val="2"/>
          </rPr>
          <t>Amnerys Valdes:</t>
        </r>
        <r>
          <rPr>
            <sz val="10"/>
            <color indexed="81"/>
            <rFont val="Tahoma"/>
            <family val="2"/>
          </rPr>
          <t xml:space="preserve">
Acc 191.05 + 191.06</t>
        </r>
      </text>
    </comment>
    <comment ref="Y52" authorId="1" shapeId="0">
      <text>
        <r>
          <rPr>
            <b/>
            <sz val="10"/>
            <color indexed="81"/>
            <rFont val="Tahoma"/>
            <family val="2"/>
          </rPr>
          <t>Amnerys Valdes:</t>
        </r>
        <r>
          <rPr>
            <sz val="10"/>
            <color indexed="81"/>
            <rFont val="Tahoma"/>
            <family val="2"/>
          </rPr>
          <t xml:space="preserve">
Acc 191.05 + 191.06</t>
        </r>
      </text>
    </comment>
    <comment ref="Z52" authorId="1" shapeId="0">
      <text>
        <r>
          <rPr>
            <b/>
            <sz val="10"/>
            <color indexed="81"/>
            <rFont val="Tahoma"/>
            <family val="2"/>
          </rPr>
          <t>Amnerys Valdes:</t>
        </r>
        <r>
          <rPr>
            <sz val="10"/>
            <color indexed="81"/>
            <rFont val="Tahoma"/>
            <family val="2"/>
          </rPr>
          <t xml:space="preserve">
Acc 191.05 + 191.06</t>
        </r>
      </text>
    </comment>
    <comment ref="AA52" authorId="1" shapeId="0">
      <text>
        <r>
          <rPr>
            <b/>
            <sz val="10"/>
            <color indexed="81"/>
            <rFont val="Tahoma"/>
            <family val="2"/>
          </rPr>
          <t>Amnerys Valdes:</t>
        </r>
        <r>
          <rPr>
            <sz val="10"/>
            <color indexed="81"/>
            <rFont val="Tahoma"/>
            <family val="2"/>
          </rPr>
          <t xml:space="preserve">
Acc 191.05 + 191.06</t>
        </r>
      </text>
    </comment>
    <comment ref="AB52" authorId="1" shapeId="0">
      <text>
        <r>
          <rPr>
            <b/>
            <sz val="10"/>
            <color indexed="81"/>
            <rFont val="Tahoma"/>
            <family val="2"/>
          </rPr>
          <t>Amnerys Valdes:</t>
        </r>
        <r>
          <rPr>
            <sz val="10"/>
            <color indexed="81"/>
            <rFont val="Tahoma"/>
            <family val="2"/>
          </rPr>
          <t xml:space="preserve">
Acc 191.05 + 191.06</t>
        </r>
      </text>
    </comment>
    <comment ref="AC52" authorId="1" shapeId="0">
      <text>
        <r>
          <rPr>
            <b/>
            <sz val="10"/>
            <color indexed="81"/>
            <rFont val="Tahoma"/>
            <family val="2"/>
          </rPr>
          <t>Amnerys Valdes:</t>
        </r>
        <r>
          <rPr>
            <sz val="10"/>
            <color indexed="81"/>
            <rFont val="Tahoma"/>
            <family val="2"/>
          </rPr>
          <t xml:space="preserve">
Acc 191.05 + 191.06</t>
        </r>
      </text>
    </comment>
    <comment ref="AD52" authorId="1" shapeId="0">
      <text>
        <r>
          <rPr>
            <b/>
            <sz val="10"/>
            <color indexed="81"/>
            <rFont val="Tahoma"/>
            <family val="2"/>
          </rPr>
          <t>Amnerys Valdes:</t>
        </r>
        <r>
          <rPr>
            <sz val="10"/>
            <color indexed="81"/>
            <rFont val="Tahoma"/>
            <family val="2"/>
          </rPr>
          <t xml:space="preserve">
Acc 191.05 + 191.06</t>
        </r>
      </text>
    </comment>
    <comment ref="AE52" authorId="1" shapeId="0">
      <text>
        <r>
          <rPr>
            <b/>
            <sz val="10"/>
            <color indexed="81"/>
            <rFont val="Tahoma"/>
            <family val="2"/>
          </rPr>
          <t>Amnerys Valdes:</t>
        </r>
        <r>
          <rPr>
            <sz val="10"/>
            <color indexed="81"/>
            <rFont val="Tahoma"/>
            <family val="2"/>
          </rPr>
          <t xml:space="preserve">
Acc 191.05 + 191.06</t>
        </r>
      </text>
    </comment>
    <comment ref="AF52" authorId="1" shapeId="0">
      <text>
        <r>
          <rPr>
            <b/>
            <sz val="10"/>
            <color indexed="81"/>
            <rFont val="Tahoma"/>
            <family val="2"/>
          </rPr>
          <t>Amnerys Valdes:</t>
        </r>
        <r>
          <rPr>
            <sz val="10"/>
            <color indexed="81"/>
            <rFont val="Tahoma"/>
            <family val="2"/>
          </rPr>
          <t xml:space="preserve">
Acc 191.05 + 191.06</t>
        </r>
      </text>
    </comment>
    <comment ref="AG52" authorId="1" shapeId="0">
      <text>
        <r>
          <rPr>
            <b/>
            <sz val="10"/>
            <color indexed="81"/>
            <rFont val="Tahoma"/>
            <family val="2"/>
          </rPr>
          <t>Amnerys Valdes:</t>
        </r>
        <r>
          <rPr>
            <sz val="10"/>
            <color indexed="81"/>
            <rFont val="Tahoma"/>
            <family val="2"/>
          </rPr>
          <t xml:space="preserve">
Acc 191.05 + 191.06</t>
        </r>
      </text>
    </comment>
    <comment ref="AH52" authorId="1" shapeId="0">
      <text>
        <r>
          <rPr>
            <b/>
            <sz val="10"/>
            <color indexed="81"/>
            <rFont val="Tahoma"/>
            <family val="2"/>
          </rPr>
          <t>Amnerys Valdes:</t>
        </r>
        <r>
          <rPr>
            <sz val="10"/>
            <color indexed="81"/>
            <rFont val="Tahoma"/>
            <family val="2"/>
          </rPr>
          <t xml:space="preserve">
Acc 191.05 + 191.06</t>
        </r>
      </text>
    </comment>
    <comment ref="AI52" authorId="1" shapeId="0">
      <text>
        <r>
          <rPr>
            <b/>
            <sz val="10"/>
            <color indexed="81"/>
            <rFont val="Tahoma"/>
            <family val="2"/>
          </rPr>
          <t>Amnerys Valdes:</t>
        </r>
        <r>
          <rPr>
            <sz val="10"/>
            <color indexed="81"/>
            <rFont val="Tahoma"/>
            <family val="2"/>
          </rPr>
          <t xml:space="preserve">
Acc 191.05 + 191.06</t>
        </r>
      </text>
    </comment>
    <comment ref="AJ52" authorId="3" shapeId="0">
      <text>
        <r>
          <rPr>
            <b/>
            <sz val="9"/>
            <color indexed="81"/>
            <rFont val="Tahoma"/>
            <family val="2"/>
          </rPr>
          <t>Coe, Connie P.:</t>
        </r>
        <r>
          <rPr>
            <sz val="9"/>
            <color indexed="81"/>
            <rFont val="Tahoma"/>
            <family val="2"/>
          </rPr>
          <t xml:space="preserve">
</t>
        </r>
      </text>
    </comment>
    <comment ref="A53" authorId="1" shapeId="0">
      <text>
        <r>
          <rPr>
            <b/>
            <sz val="10"/>
            <color indexed="81"/>
            <rFont val="Tahoma"/>
            <family val="2"/>
          </rPr>
          <t>Amnerys Valdes:</t>
        </r>
        <r>
          <rPr>
            <sz val="10"/>
            <color indexed="81"/>
            <rFont val="Tahoma"/>
            <family val="2"/>
          </rPr>
          <t xml:space="preserve">
Acc 191.07 (Mark to Market Derivative)</t>
        </r>
      </text>
    </comment>
    <comment ref="O53" authorId="1" shapeId="0">
      <text>
        <r>
          <rPr>
            <b/>
            <sz val="10"/>
            <color indexed="81"/>
            <rFont val="Tahoma"/>
            <family val="2"/>
          </rPr>
          <t>Amnerys Valdes:</t>
        </r>
        <r>
          <rPr>
            <sz val="10"/>
            <color indexed="81"/>
            <rFont val="Tahoma"/>
            <family val="2"/>
          </rPr>
          <t xml:space="preserve">
Acc 191.07</t>
        </r>
      </text>
    </comment>
    <comment ref="P53" authorId="1" shapeId="0">
      <text>
        <r>
          <rPr>
            <b/>
            <sz val="10"/>
            <color indexed="81"/>
            <rFont val="Tahoma"/>
            <family val="2"/>
          </rPr>
          <t>Amnerys Valdes:</t>
        </r>
        <r>
          <rPr>
            <sz val="10"/>
            <color indexed="81"/>
            <rFont val="Tahoma"/>
            <family val="2"/>
          </rPr>
          <t xml:space="preserve">
Acc 191.07</t>
        </r>
      </text>
    </comment>
    <comment ref="Q53" authorId="1" shapeId="0">
      <text>
        <r>
          <rPr>
            <b/>
            <sz val="10"/>
            <color indexed="81"/>
            <rFont val="Tahoma"/>
            <family val="2"/>
          </rPr>
          <t>Amnerys Valdes:</t>
        </r>
        <r>
          <rPr>
            <sz val="10"/>
            <color indexed="81"/>
            <rFont val="Tahoma"/>
            <family val="2"/>
          </rPr>
          <t xml:space="preserve">
Acc 191.07</t>
        </r>
      </text>
    </comment>
    <comment ref="R53" authorId="1" shapeId="0">
      <text>
        <r>
          <rPr>
            <b/>
            <sz val="10"/>
            <color indexed="81"/>
            <rFont val="Tahoma"/>
            <family val="2"/>
          </rPr>
          <t>Amnerys Valdes:</t>
        </r>
        <r>
          <rPr>
            <sz val="10"/>
            <color indexed="81"/>
            <rFont val="Tahoma"/>
            <family val="2"/>
          </rPr>
          <t xml:space="preserve">
Acc 191.07</t>
        </r>
      </text>
    </comment>
    <comment ref="S53" authorId="1" shapeId="0">
      <text>
        <r>
          <rPr>
            <b/>
            <sz val="10"/>
            <color indexed="81"/>
            <rFont val="Tahoma"/>
            <family val="2"/>
          </rPr>
          <t>Amnerys Valdes:</t>
        </r>
        <r>
          <rPr>
            <sz val="10"/>
            <color indexed="81"/>
            <rFont val="Tahoma"/>
            <family val="2"/>
          </rPr>
          <t xml:space="preserve">
Acc 191.07</t>
        </r>
      </text>
    </comment>
    <comment ref="T53" authorId="1" shapeId="0">
      <text>
        <r>
          <rPr>
            <b/>
            <sz val="10"/>
            <color indexed="81"/>
            <rFont val="Tahoma"/>
            <family val="2"/>
          </rPr>
          <t>Amnerys Valdes:</t>
        </r>
        <r>
          <rPr>
            <sz val="10"/>
            <color indexed="81"/>
            <rFont val="Tahoma"/>
            <family val="2"/>
          </rPr>
          <t xml:space="preserve">
Acc 191.07</t>
        </r>
      </text>
    </comment>
    <comment ref="U53" authorId="1" shapeId="0">
      <text>
        <r>
          <rPr>
            <b/>
            <sz val="10"/>
            <color indexed="81"/>
            <rFont val="Tahoma"/>
            <family val="2"/>
          </rPr>
          <t>Amnerys Valdes:</t>
        </r>
        <r>
          <rPr>
            <sz val="10"/>
            <color indexed="81"/>
            <rFont val="Tahoma"/>
            <family val="2"/>
          </rPr>
          <t xml:space="preserve">
Acc 191.07</t>
        </r>
      </text>
    </comment>
    <comment ref="V53" authorId="1" shapeId="0">
      <text>
        <r>
          <rPr>
            <b/>
            <sz val="10"/>
            <color indexed="81"/>
            <rFont val="Tahoma"/>
            <family val="2"/>
          </rPr>
          <t>Amnerys Valdes:</t>
        </r>
        <r>
          <rPr>
            <sz val="10"/>
            <color indexed="81"/>
            <rFont val="Tahoma"/>
            <family val="2"/>
          </rPr>
          <t xml:space="preserve">
Acc 191.07</t>
        </r>
      </text>
    </comment>
    <comment ref="W53" authorId="1" shapeId="0">
      <text>
        <r>
          <rPr>
            <b/>
            <sz val="10"/>
            <color indexed="81"/>
            <rFont val="Tahoma"/>
            <family val="2"/>
          </rPr>
          <t>Amnerys Valdes:</t>
        </r>
        <r>
          <rPr>
            <sz val="10"/>
            <color indexed="81"/>
            <rFont val="Tahoma"/>
            <family val="2"/>
          </rPr>
          <t xml:space="preserve">
Acc 191.07</t>
        </r>
      </text>
    </comment>
    <comment ref="X53" authorId="1" shapeId="0">
      <text>
        <r>
          <rPr>
            <b/>
            <sz val="10"/>
            <color indexed="81"/>
            <rFont val="Tahoma"/>
            <family val="2"/>
          </rPr>
          <t>Amnerys Valdes:</t>
        </r>
        <r>
          <rPr>
            <sz val="10"/>
            <color indexed="81"/>
            <rFont val="Tahoma"/>
            <family val="2"/>
          </rPr>
          <t xml:space="preserve">
Acc 191.07</t>
        </r>
      </text>
    </comment>
    <comment ref="Y53" authorId="1" shapeId="0">
      <text>
        <r>
          <rPr>
            <b/>
            <sz val="10"/>
            <color indexed="81"/>
            <rFont val="Tahoma"/>
            <family val="2"/>
          </rPr>
          <t>Amnerys Valdes:</t>
        </r>
        <r>
          <rPr>
            <sz val="10"/>
            <color indexed="81"/>
            <rFont val="Tahoma"/>
            <family val="2"/>
          </rPr>
          <t xml:space="preserve">
Acc 191.07</t>
        </r>
      </text>
    </comment>
    <comment ref="Z53" authorId="1" shapeId="0">
      <text>
        <r>
          <rPr>
            <b/>
            <sz val="10"/>
            <color indexed="81"/>
            <rFont val="Tahoma"/>
            <family val="2"/>
          </rPr>
          <t>Amnerys Valdes:</t>
        </r>
        <r>
          <rPr>
            <sz val="10"/>
            <color indexed="81"/>
            <rFont val="Tahoma"/>
            <family val="2"/>
          </rPr>
          <t xml:space="preserve">
Acc 191.07</t>
        </r>
      </text>
    </comment>
    <comment ref="AA53" authorId="1" shapeId="0">
      <text>
        <r>
          <rPr>
            <b/>
            <sz val="10"/>
            <color indexed="81"/>
            <rFont val="Tahoma"/>
            <family val="2"/>
          </rPr>
          <t>Amnerys Valdes:</t>
        </r>
        <r>
          <rPr>
            <sz val="10"/>
            <color indexed="81"/>
            <rFont val="Tahoma"/>
            <family val="2"/>
          </rPr>
          <t xml:space="preserve">
Acc 191.07</t>
        </r>
      </text>
    </comment>
    <comment ref="AB53" authorId="1" shapeId="0">
      <text>
        <r>
          <rPr>
            <b/>
            <sz val="10"/>
            <color indexed="81"/>
            <rFont val="Tahoma"/>
            <family val="2"/>
          </rPr>
          <t>Amnerys Valdes:</t>
        </r>
        <r>
          <rPr>
            <sz val="10"/>
            <color indexed="81"/>
            <rFont val="Tahoma"/>
            <family val="2"/>
          </rPr>
          <t xml:space="preserve">
Acc 191.07</t>
        </r>
      </text>
    </comment>
    <comment ref="AC53" authorId="1" shapeId="0">
      <text>
        <r>
          <rPr>
            <b/>
            <sz val="10"/>
            <color indexed="81"/>
            <rFont val="Tahoma"/>
            <family val="2"/>
          </rPr>
          <t>Amnerys Valdes:</t>
        </r>
        <r>
          <rPr>
            <sz val="10"/>
            <color indexed="81"/>
            <rFont val="Tahoma"/>
            <family val="2"/>
          </rPr>
          <t xml:space="preserve">
Acc 191.07</t>
        </r>
      </text>
    </comment>
    <comment ref="AD53" authorId="1" shapeId="0">
      <text>
        <r>
          <rPr>
            <b/>
            <sz val="10"/>
            <color indexed="81"/>
            <rFont val="Tahoma"/>
            <family val="2"/>
          </rPr>
          <t>Amnerys Valdes:</t>
        </r>
        <r>
          <rPr>
            <sz val="10"/>
            <color indexed="81"/>
            <rFont val="Tahoma"/>
            <family val="2"/>
          </rPr>
          <t xml:space="preserve">
Acc 191.07</t>
        </r>
      </text>
    </comment>
    <comment ref="AE53" authorId="1" shapeId="0">
      <text>
        <r>
          <rPr>
            <b/>
            <sz val="10"/>
            <color indexed="81"/>
            <rFont val="Tahoma"/>
            <family val="2"/>
          </rPr>
          <t>Amnerys Valdes:</t>
        </r>
        <r>
          <rPr>
            <sz val="10"/>
            <color indexed="81"/>
            <rFont val="Tahoma"/>
            <family val="2"/>
          </rPr>
          <t xml:space="preserve">
Acc 191.07</t>
        </r>
      </text>
    </comment>
    <comment ref="AF53" authorId="1" shapeId="0">
      <text>
        <r>
          <rPr>
            <b/>
            <sz val="10"/>
            <color indexed="81"/>
            <rFont val="Tahoma"/>
            <family val="2"/>
          </rPr>
          <t>Amnerys Valdes:</t>
        </r>
        <r>
          <rPr>
            <sz val="10"/>
            <color indexed="81"/>
            <rFont val="Tahoma"/>
            <family val="2"/>
          </rPr>
          <t xml:space="preserve">
Acc 191.07</t>
        </r>
      </text>
    </comment>
    <comment ref="AG53" authorId="1" shapeId="0">
      <text>
        <r>
          <rPr>
            <b/>
            <sz val="10"/>
            <color indexed="81"/>
            <rFont val="Tahoma"/>
            <family val="2"/>
          </rPr>
          <t>Amnerys Valdes:</t>
        </r>
        <r>
          <rPr>
            <sz val="10"/>
            <color indexed="81"/>
            <rFont val="Tahoma"/>
            <family val="2"/>
          </rPr>
          <t xml:space="preserve">
Acc 191.07</t>
        </r>
      </text>
    </comment>
    <comment ref="AH53" authorId="1" shapeId="0">
      <text>
        <r>
          <rPr>
            <b/>
            <sz val="10"/>
            <color indexed="81"/>
            <rFont val="Tahoma"/>
            <family val="2"/>
          </rPr>
          <t>Amnerys Valdes:</t>
        </r>
        <r>
          <rPr>
            <sz val="10"/>
            <color indexed="81"/>
            <rFont val="Tahoma"/>
            <family val="2"/>
          </rPr>
          <t xml:space="preserve">
Acc 191.07</t>
        </r>
      </text>
    </comment>
    <comment ref="AI53" authorId="1" shapeId="0">
      <text>
        <r>
          <rPr>
            <b/>
            <sz val="10"/>
            <color indexed="81"/>
            <rFont val="Tahoma"/>
            <family val="2"/>
          </rPr>
          <t>Amnerys Valdes:</t>
        </r>
        <r>
          <rPr>
            <sz val="10"/>
            <color indexed="81"/>
            <rFont val="Tahoma"/>
            <family val="2"/>
          </rPr>
          <t xml:space="preserve">
Acc 191.07</t>
        </r>
      </text>
    </comment>
    <comment ref="AJ53" authorId="3" shapeId="0">
      <text>
        <r>
          <rPr>
            <b/>
            <sz val="9"/>
            <color indexed="81"/>
            <rFont val="Tahoma"/>
            <family val="2"/>
          </rPr>
          <t>Coe, Connie P.:</t>
        </r>
        <r>
          <rPr>
            <sz val="9"/>
            <color indexed="81"/>
            <rFont val="Tahoma"/>
            <family val="2"/>
          </rPr>
          <t xml:space="preserve">
1823105 and 1823205</t>
        </r>
      </text>
    </comment>
    <comment ref="AO53" authorId="3" shapeId="0">
      <text>
        <r>
          <rPr>
            <b/>
            <sz val="9"/>
            <color indexed="81"/>
            <rFont val="Tahoma"/>
            <family val="2"/>
          </rPr>
          <t>Coe, Connie P.:</t>
        </r>
        <r>
          <rPr>
            <sz val="9"/>
            <color indexed="81"/>
            <rFont val="Tahoma"/>
            <family val="2"/>
          </rPr>
          <t xml:space="preserve">
1823105 Curr Deriv Reg Asst
1823205 LT Deriv Reg Asst</t>
        </r>
      </text>
    </comment>
    <comment ref="AP53"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EG57" authorId="4" shapeId="0">
      <text>
        <r>
          <rPr>
            <b/>
            <sz val="9"/>
            <color indexed="81"/>
            <rFont val="Tahoma"/>
            <family val="2"/>
          </rPr>
          <t>Hoyos, Nichole:</t>
        </r>
        <r>
          <rPr>
            <sz val="9"/>
            <color indexed="81"/>
            <rFont val="Tahoma"/>
            <family val="2"/>
          </rPr>
          <t xml:space="preserve">
Variance due to FERC cash adjustment directly to FERC accounts to deal with the negative cash.</t>
        </r>
      </text>
    </comment>
    <comment ref="AC61" authorId="0" shapeId="0">
      <text>
        <r>
          <rPr>
            <b/>
            <sz val="9"/>
            <color indexed="81"/>
            <rFont val="Tahoma"/>
            <family val="2"/>
          </rPr>
          <t>Coe, Connie:</t>
        </r>
        <r>
          <rPr>
            <sz val="9"/>
            <color indexed="81"/>
            <rFont val="Tahoma"/>
            <family val="2"/>
          </rPr>
          <t xml:space="preserve">
Acct 207 + Acct 211</t>
        </r>
      </text>
    </comment>
    <comment ref="AD61" authorId="0" shapeId="0">
      <text>
        <r>
          <rPr>
            <b/>
            <sz val="9"/>
            <color indexed="81"/>
            <rFont val="Tahoma"/>
            <family val="2"/>
          </rPr>
          <t>Coe, Connie:</t>
        </r>
        <r>
          <rPr>
            <sz val="9"/>
            <color indexed="81"/>
            <rFont val="Tahoma"/>
            <family val="2"/>
          </rPr>
          <t xml:space="preserve">
Acct 207 + Acct 211</t>
        </r>
      </text>
    </comment>
    <comment ref="AE61" authorId="0" shapeId="0">
      <text>
        <r>
          <rPr>
            <b/>
            <sz val="9"/>
            <color indexed="81"/>
            <rFont val="Tahoma"/>
            <family val="2"/>
          </rPr>
          <t>Coe, Connie:</t>
        </r>
        <r>
          <rPr>
            <sz val="9"/>
            <color indexed="81"/>
            <rFont val="Tahoma"/>
            <family val="2"/>
          </rPr>
          <t xml:space="preserve">
Acct 207 + Acct 211</t>
        </r>
      </text>
    </comment>
    <comment ref="AF61" authorId="0" shapeId="0">
      <text>
        <r>
          <rPr>
            <b/>
            <sz val="9"/>
            <color indexed="81"/>
            <rFont val="Tahoma"/>
            <family val="2"/>
          </rPr>
          <t>Coe, Connie:</t>
        </r>
        <r>
          <rPr>
            <sz val="9"/>
            <color indexed="81"/>
            <rFont val="Tahoma"/>
            <family val="2"/>
          </rPr>
          <t xml:space="preserve">
Acct 207 + Acct 211</t>
        </r>
      </text>
    </comment>
    <comment ref="AG61" authorId="0" shapeId="0">
      <text>
        <r>
          <rPr>
            <b/>
            <sz val="9"/>
            <color indexed="81"/>
            <rFont val="Tahoma"/>
            <family val="2"/>
          </rPr>
          <t>Coe, Connie:</t>
        </r>
        <r>
          <rPr>
            <sz val="9"/>
            <color indexed="81"/>
            <rFont val="Tahoma"/>
            <family val="2"/>
          </rPr>
          <t xml:space="preserve">
Acct 207 + Acct 211</t>
        </r>
      </text>
    </comment>
    <comment ref="AH61" authorId="0" shapeId="0">
      <text>
        <r>
          <rPr>
            <b/>
            <sz val="9"/>
            <color indexed="81"/>
            <rFont val="Tahoma"/>
            <family val="2"/>
          </rPr>
          <t>Coe, Connie:</t>
        </r>
        <r>
          <rPr>
            <sz val="9"/>
            <color indexed="81"/>
            <rFont val="Tahoma"/>
            <family val="2"/>
          </rPr>
          <t xml:space="preserve">
Acct 207 + Acct 211</t>
        </r>
      </text>
    </comment>
    <comment ref="AI61" authorId="0" shapeId="0">
      <text>
        <r>
          <rPr>
            <b/>
            <sz val="9"/>
            <color indexed="81"/>
            <rFont val="Tahoma"/>
            <family val="2"/>
          </rPr>
          <t>Coe, Connie:</t>
        </r>
        <r>
          <rPr>
            <sz val="9"/>
            <color indexed="81"/>
            <rFont val="Tahoma"/>
            <family val="2"/>
          </rPr>
          <t xml:space="preserve">
Acct 207 + Acct 211</t>
        </r>
      </text>
    </comment>
    <comment ref="A62" authorId="1" shapeId="0">
      <text>
        <r>
          <rPr>
            <b/>
            <sz val="10"/>
            <color indexed="81"/>
            <rFont val="Tahoma"/>
            <family val="2"/>
          </rPr>
          <t>Amnerys Valdes:</t>
        </r>
        <r>
          <rPr>
            <sz val="10"/>
            <color indexed="81"/>
            <rFont val="Tahoma"/>
            <family val="2"/>
          </rPr>
          <t xml:space="preserve">
Unappr R/E (216.01 + 216.07 + 216.13) + Other (219.37) = Unappr R/E in B/S statment</t>
        </r>
      </text>
    </comment>
    <comment ref="O62" authorId="1" shapeId="0">
      <text>
        <r>
          <rPr>
            <b/>
            <sz val="10"/>
            <color indexed="81"/>
            <rFont val="Tahoma"/>
            <family val="2"/>
          </rPr>
          <t>Amnerys Valdes:</t>
        </r>
        <r>
          <rPr>
            <sz val="10"/>
            <color indexed="81"/>
            <rFont val="Tahoma"/>
            <family val="2"/>
          </rPr>
          <t xml:space="preserve">
From detailed B/S (FRS-F506)</t>
        </r>
      </text>
    </comment>
    <comment ref="P62" authorId="1" shapeId="0">
      <text>
        <r>
          <rPr>
            <b/>
            <sz val="10"/>
            <color indexed="81"/>
            <rFont val="Tahoma"/>
            <family val="2"/>
          </rPr>
          <t>Amnerys Valdes:</t>
        </r>
        <r>
          <rPr>
            <sz val="10"/>
            <color indexed="81"/>
            <rFont val="Tahoma"/>
            <family val="2"/>
          </rPr>
          <t xml:space="preserve">
From detailed B/S (FRS-F506)</t>
        </r>
      </text>
    </comment>
    <comment ref="Q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R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S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T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U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V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W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X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Y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Z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A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B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C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D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E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F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G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H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I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63" authorId="1" shapeId="0">
      <text>
        <r>
          <rPr>
            <b/>
            <sz val="10"/>
            <color indexed="81"/>
            <rFont val="Tahoma"/>
            <family val="2"/>
          </rPr>
          <t>Amnerys Valdes:</t>
        </r>
        <r>
          <rPr>
            <sz val="10"/>
            <color indexed="81"/>
            <rFont val="Tahoma"/>
            <family val="2"/>
          </rPr>
          <t xml:space="preserve">
Acc 219.37 - OCI-INT RATE SWAP 08</t>
        </r>
      </text>
    </comment>
    <comment ref="O63" authorId="1" shapeId="0">
      <text>
        <r>
          <rPr>
            <b/>
            <sz val="10"/>
            <color indexed="81"/>
            <rFont val="Tahoma"/>
            <family val="2"/>
          </rPr>
          <t>Amnerys Valdes:</t>
        </r>
        <r>
          <rPr>
            <sz val="10"/>
            <color indexed="81"/>
            <rFont val="Tahoma"/>
            <family val="2"/>
          </rPr>
          <t xml:space="preserve">
From detailed B/S (FRS-F506)</t>
        </r>
      </text>
    </comment>
    <comment ref="P63" authorId="1" shapeId="0">
      <text>
        <r>
          <rPr>
            <b/>
            <sz val="10"/>
            <color indexed="81"/>
            <rFont val="Tahoma"/>
            <family val="2"/>
          </rPr>
          <t>Amnerys Valdes:</t>
        </r>
        <r>
          <rPr>
            <sz val="10"/>
            <color indexed="81"/>
            <rFont val="Tahoma"/>
            <family val="2"/>
          </rPr>
          <t xml:space="preserve">
From detailed B/S (FRS-F506)</t>
        </r>
      </text>
    </comment>
    <comment ref="Q63" authorId="1" shapeId="0">
      <text>
        <r>
          <rPr>
            <b/>
            <sz val="10"/>
            <color indexed="81"/>
            <rFont val="Tahoma"/>
            <family val="2"/>
          </rPr>
          <t>Amnerys Valdes:</t>
        </r>
        <r>
          <rPr>
            <sz val="10"/>
            <color indexed="81"/>
            <rFont val="Tahoma"/>
            <family val="2"/>
          </rPr>
          <t xml:space="preserve">
From detailed B/S (FRS-F506) or Trial Balance Acc 219.37</t>
        </r>
      </text>
    </comment>
    <comment ref="R63" authorId="1" shapeId="0">
      <text>
        <r>
          <rPr>
            <b/>
            <sz val="10"/>
            <color indexed="81"/>
            <rFont val="Tahoma"/>
            <family val="2"/>
          </rPr>
          <t>Amnerys Valdes:</t>
        </r>
        <r>
          <rPr>
            <sz val="10"/>
            <color indexed="81"/>
            <rFont val="Tahoma"/>
            <family val="2"/>
          </rPr>
          <t xml:space="preserve">
From detailed B/S (FRS-F506) or Trial Balance Acc 219.37</t>
        </r>
      </text>
    </comment>
    <comment ref="S63" authorId="1" shapeId="0">
      <text>
        <r>
          <rPr>
            <b/>
            <sz val="10"/>
            <color indexed="81"/>
            <rFont val="Tahoma"/>
            <family val="2"/>
          </rPr>
          <t>Amnerys Valdes:</t>
        </r>
        <r>
          <rPr>
            <sz val="10"/>
            <color indexed="81"/>
            <rFont val="Tahoma"/>
            <family val="2"/>
          </rPr>
          <t xml:space="preserve">
From detailed B/S (FRS-F506) or Trial Balance Acc 219.37</t>
        </r>
      </text>
    </comment>
    <comment ref="T63" authorId="1" shapeId="0">
      <text>
        <r>
          <rPr>
            <b/>
            <sz val="10"/>
            <color indexed="81"/>
            <rFont val="Tahoma"/>
            <family val="2"/>
          </rPr>
          <t>Amnerys Valdes:</t>
        </r>
        <r>
          <rPr>
            <sz val="10"/>
            <color indexed="81"/>
            <rFont val="Tahoma"/>
            <family val="2"/>
          </rPr>
          <t xml:space="preserve">
From detailed B/S (FRS-F506) or Trial Balance Acc 219.37</t>
        </r>
      </text>
    </comment>
    <comment ref="U63" authorId="1" shapeId="0">
      <text>
        <r>
          <rPr>
            <b/>
            <sz val="10"/>
            <color indexed="81"/>
            <rFont val="Tahoma"/>
            <family val="2"/>
          </rPr>
          <t>Amnerys Valdes:</t>
        </r>
        <r>
          <rPr>
            <sz val="10"/>
            <color indexed="81"/>
            <rFont val="Tahoma"/>
            <family val="2"/>
          </rPr>
          <t xml:space="preserve">
From detailed B/S (FRS-F506) or Trial Balance Acc 219.37</t>
        </r>
      </text>
    </comment>
    <comment ref="V63" authorId="1" shapeId="0">
      <text>
        <r>
          <rPr>
            <b/>
            <sz val="10"/>
            <color indexed="81"/>
            <rFont val="Tahoma"/>
            <family val="2"/>
          </rPr>
          <t>Amnerys Valdes:</t>
        </r>
        <r>
          <rPr>
            <sz val="10"/>
            <color indexed="81"/>
            <rFont val="Tahoma"/>
            <family val="2"/>
          </rPr>
          <t xml:space="preserve">
From detailed B/S (FRS-F506) or Trial Balance Acc 219.37</t>
        </r>
      </text>
    </comment>
    <comment ref="W63" authorId="1" shapeId="0">
      <text>
        <r>
          <rPr>
            <b/>
            <sz val="10"/>
            <color indexed="81"/>
            <rFont val="Tahoma"/>
            <family val="2"/>
          </rPr>
          <t>Amnerys Valdes:</t>
        </r>
        <r>
          <rPr>
            <sz val="10"/>
            <color indexed="81"/>
            <rFont val="Tahoma"/>
            <family val="2"/>
          </rPr>
          <t xml:space="preserve">
From detailed B/S (FRS-F506) or Trial Balance Acc 219.37</t>
        </r>
      </text>
    </comment>
    <comment ref="X63" authorId="1" shapeId="0">
      <text>
        <r>
          <rPr>
            <b/>
            <sz val="10"/>
            <color indexed="81"/>
            <rFont val="Tahoma"/>
            <family val="2"/>
          </rPr>
          <t>Amnerys Valdes:</t>
        </r>
        <r>
          <rPr>
            <sz val="10"/>
            <color indexed="81"/>
            <rFont val="Tahoma"/>
            <family val="2"/>
          </rPr>
          <t xml:space="preserve">
From detailed B/S (FRS-F506) or Trial Balance Acc 219.37</t>
        </r>
      </text>
    </comment>
    <comment ref="Y63" authorId="1" shapeId="0">
      <text>
        <r>
          <rPr>
            <b/>
            <sz val="10"/>
            <color indexed="81"/>
            <rFont val="Tahoma"/>
            <family val="2"/>
          </rPr>
          <t>Amnerys Valdes:</t>
        </r>
        <r>
          <rPr>
            <sz val="10"/>
            <color indexed="81"/>
            <rFont val="Tahoma"/>
            <family val="2"/>
          </rPr>
          <t xml:space="preserve">
From detailed B/S (FRS-F506) or Trial Balance Acc 219.37</t>
        </r>
      </text>
    </comment>
    <comment ref="Z63" authorId="1" shapeId="0">
      <text>
        <r>
          <rPr>
            <b/>
            <sz val="10"/>
            <color indexed="81"/>
            <rFont val="Tahoma"/>
            <family val="2"/>
          </rPr>
          <t>Amnerys Valdes:</t>
        </r>
        <r>
          <rPr>
            <sz val="10"/>
            <color indexed="81"/>
            <rFont val="Tahoma"/>
            <family val="2"/>
          </rPr>
          <t xml:space="preserve">
From detailed B/S (FRS-F506) or Trial Balance Acc 219.37</t>
        </r>
      </text>
    </comment>
    <comment ref="AA63" authorId="1" shapeId="0">
      <text>
        <r>
          <rPr>
            <b/>
            <sz val="10"/>
            <color indexed="81"/>
            <rFont val="Tahoma"/>
            <family val="2"/>
          </rPr>
          <t>Amnerys Valdes:</t>
        </r>
        <r>
          <rPr>
            <sz val="10"/>
            <color indexed="81"/>
            <rFont val="Tahoma"/>
            <family val="2"/>
          </rPr>
          <t xml:space="preserve">
From detailed B/S (FRS-F506) or Trial Balance Acc 219.37</t>
        </r>
      </text>
    </comment>
    <comment ref="AB63" authorId="1" shapeId="0">
      <text>
        <r>
          <rPr>
            <b/>
            <sz val="10"/>
            <color indexed="81"/>
            <rFont val="Tahoma"/>
            <family val="2"/>
          </rPr>
          <t>Amnerys Valdes:</t>
        </r>
        <r>
          <rPr>
            <sz val="10"/>
            <color indexed="81"/>
            <rFont val="Tahoma"/>
            <family val="2"/>
          </rPr>
          <t xml:space="preserve">
From detailed B/S (FRS-F506) or Trial Balance Acc 219.37</t>
        </r>
      </text>
    </comment>
    <comment ref="AC63" authorId="1" shapeId="0">
      <text>
        <r>
          <rPr>
            <b/>
            <sz val="10"/>
            <color indexed="81"/>
            <rFont val="Tahoma"/>
            <family val="2"/>
          </rPr>
          <t>Amnerys Valdes:</t>
        </r>
        <r>
          <rPr>
            <sz val="10"/>
            <color indexed="81"/>
            <rFont val="Tahoma"/>
            <family val="2"/>
          </rPr>
          <t xml:space="preserve">
From detailed B/S (FRS-F506) or Trial Balance Acc 219.37</t>
        </r>
      </text>
    </comment>
    <comment ref="AD63" authorId="1" shapeId="0">
      <text>
        <r>
          <rPr>
            <b/>
            <sz val="10"/>
            <color indexed="81"/>
            <rFont val="Tahoma"/>
            <family val="2"/>
          </rPr>
          <t>Amnerys Valdes:</t>
        </r>
        <r>
          <rPr>
            <sz val="10"/>
            <color indexed="81"/>
            <rFont val="Tahoma"/>
            <family val="2"/>
          </rPr>
          <t xml:space="preserve">
From detailed B/S (FRS-F506) or Trial Balance Acc 219.37</t>
        </r>
      </text>
    </comment>
    <comment ref="AE63" authorId="1" shapeId="0">
      <text>
        <r>
          <rPr>
            <b/>
            <sz val="10"/>
            <color indexed="81"/>
            <rFont val="Tahoma"/>
            <family val="2"/>
          </rPr>
          <t>Amnerys Valdes:</t>
        </r>
        <r>
          <rPr>
            <sz val="10"/>
            <color indexed="81"/>
            <rFont val="Tahoma"/>
            <family val="2"/>
          </rPr>
          <t xml:space="preserve">
From detailed B/S (FRS-F506) or Trial Balance Acc 219.37</t>
        </r>
      </text>
    </comment>
    <comment ref="AF63" authorId="1" shapeId="0">
      <text>
        <r>
          <rPr>
            <b/>
            <sz val="10"/>
            <color indexed="81"/>
            <rFont val="Tahoma"/>
            <family val="2"/>
          </rPr>
          <t>Amnerys Valdes:</t>
        </r>
        <r>
          <rPr>
            <sz val="10"/>
            <color indexed="81"/>
            <rFont val="Tahoma"/>
            <family val="2"/>
          </rPr>
          <t xml:space="preserve">
From detailed B/S (FRS-F506) or Trial Balance Acc 219.37</t>
        </r>
      </text>
    </comment>
    <comment ref="AG63" authorId="1" shapeId="0">
      <text>
        <r>
          <rPr>
            <b/>
            <sz val="10"/>
            <color indexed="81"/>
            <rFont val="Tahoma"/>
            <family val="2"/>
          </rPr>
          <t>Amnerys Valdes:</t>
        </r>
        <r>
          <rPr>
            <sz val="10"/>
            <color indexed="81"/>
            <rFont val="Tahoma"/>
            <family val="2"/>
          </rPr>
          <t xml:space="preserve">
From detailed B/S (FRS-F506) or Trial Balance Acc 219.37</t>
        </r>
      </text>
    </comment>
    <comment ref="AH63" authorId="1" shapeId="0">
      <text>
        <r>
          <rPr>
            <b/>
            <sz val="10"/>
            <color indexed="81"/>
            <rFont val="Tahoma"/>
            <family val="2"/>
          </rPr>
          <t>Amnerys Valdes:</t>
        </r>
        <r>
          <rPr>
            <sz val="10"/>
            <color indexed="81"/>
            <rFont val="Tahoma"/>
            <family val="2"/>
          </rPr>
          <t xml:space="preserve">
From detailed B/S (FRS-F506) or Trial Balance Acc 219.37 + Acc 219.39
</t>
        </r>
      </text>
    </comment>
    <comment ref="AI63" authorId="1" shapeId="0">
      <text>
        <r>
          <rPr>
            <b/>
            <sz val="10"/>
            <color indexed="81"/>
            <rFont val="Tahoma"/>
            <family val="2"/>
          </rPr>
          <t>Amnerys Valdes:</t>
        </r>
        <r>
          <rPr>
            <sz val="10"/>
            <color indexed="81"/>
            <rFont val="Tahoma"/>
            <family val="2"/>
          </rPr>
          <t xml:space="preserve">
From detailed B/S (FRS-F506) or Trial Balance Acc 219</t>
        </r>
      </text>
    </comment>
    <comment ref="AC66" authorId="0" shapeId="0">
      <text>
        <r>
          <rPr>
            <b/>
            <sz val="9"/>
            <color indexed="81"/>
            <rFont val="Tahoma"/>
            <family val="2"/>
          </rPr>
          <t>Coe, Connie:</t>
        </r>
        <r>
          <rPr>
            <sz val="9"/>
            <color indexed="81"/>
            <rFont val="Tahoma"/>
            <family val="2"/>
          </rPr>
          <t xml:space="preserve">
Acct 224</t>
        </r>
      </text>
    </comment>
    <comment ref="AD66" authorId="0" shapeId="0">
      <text>
        <r>
          <rPr>
            <b/>
            <sz val="9"/>
            <color indexed="81"/>
            <rFont val="Tahoma"/>
            <family val="2"/>
          </rPr>
          <t>Coe, Connie:</t>
        </r>
        <r>
          <rPr>
            <sz val="9"/>
            <color indexed="81"/>
            <rFont val="Tahoma"/>
            <family val="2"/>
          </rPr>
          <t xml:space="preserve">
Acct 224</t>
        </r>
      </text>
    </comment>
    <comment ref="AE66" authorId="0" shapeId="0">
      <text>
        <r>
          <rPr>
            <b/>
            <sz val="9"/>
            <color indexed="81"/>
            <rFont val="Tahoma"/>
            <family val="2"/>
          </rPr>
          <t>Coe, Connie:</t>
        </r>
        <r>
          <rPr>
            <sz val="9"/>
            <color indexed="81"/>
            <rFont val="Tahoma"/>
            <family val="2"/>
          </rPr>
          <t xml:space="preserve">
Acct 224</t>
        </r>
      </text>
    </comment>
    <comment ref="AF66" authorId="0" shapeId="0">
      <text>
        <r>
          <rPr>
            <b/>
            <sz val="9"/>
            <color indexed="81"/>
            <rFont val="Tahoma"/>
            <family val="2"/>
          </rPr>
          <t>Coe, Connie:</t>
        </r>
        <r>
          <rPr>
            <sz val="9"/>
            <color indexed="81"/>
            <rFont val="Tahoma"/>
            <family val="2"/>
          </rPr>
          <t xml:space="preserve">
Acct 224</t>
        </r>
      </text>
    </comment>
    <comment ref="AG66" authorId="0" shapeId="0">
      <text>
        <r>
          <rPr>
            <b/>
            <sz val="9"/>
            <color indexed="81"/>
            <rFont val="Tahoma"/>
            <family val="2"/>
          </rPr>
          <t>Coe, Connie:</t>
        </r>
        <r>
          <rPr>
            <sz val="9"/>
            <color indexed="81"/>
            <rFont val="Tahoma"/>
            <family val="2"/>
          </rPr>
          <t xml:space="preserve">
Acct 224</t>
        </r>
      </text>
    </comment>
    <comment ref="AH66" authorId="0" shapeId="0">
      <text>
        <r>
          <rPr>
            <b/>
            <sz val="9"/>
            <color indexed="81"/>
            <rFont val="Tahoma"/>
            <family val="2"/>
          </rPr>
          <t>Coe, Connie:</t>
        </r>
        <r>
          <rPr>
            <sz val="9"/>
            <color indexed="81"/>
            <rFont val="Tahoma"/>
            <family val="2"/>
          </rPr>
          <t xml:space="preserve">
Acct 224</t>
        </r>
      </text>
    </comment>
    <comment ref="AI66" authorId="0" shapeId="0">
      <text>
        <r>
          <rPr>
            <b/>
            <sz val="9"/>
            <color indexed="81"/>
            <rFont val="Tahoma"/>
            <family val="2"/>
          </rPr>
          <t>Coe, Connie:</t>
        </r>
        <r>
          <rPr>
            <sz val="9"/>
            <color indexed="81"/>
            <rFont val="Tahoma"/>
            <family val="2"/>
          </rPr>
          <t xml:space="preserve">
Acct 224</t>
        </r>
      </text>
    </comment>
    <comment ref="AC68" authorId="0" shapeId="0">
      <text>
        <r>
          <rPr>
            <b/>
            <sz val="9"/>
            <color indexed="81"/>
            <rFont val="Tahoma"/>
            <family val="2"/>
          </rPr>
          <t>Coe, Connie:</t>
        </r>
        <r>
          <rPr>
            <sz val="9"/>
            <color indexed="81"/>
            <rFont val="Tahoma"/>
            <family val="2"/>
          </rPr>
          <t xml:space="preserve">
Acct 226</t>
        </r>
      </text>
    </comment>
    <comment ref="AD68" authorId="0" shapeId="0">
      <text>
        <r>
          <rPr>
            <b/>
            <sz val="9"/>
            <color indexed="81"/>
            <rFont val="Tahoma"/>
            <family val="2"/>
          </rPr>
          <t>Coe, Connie:</t>
        </r>
        <r>
          <rPr>
            <sz val="9"/>
            <color indexed="81"/>
            <rFont val="Tahoma"/>
            <family val="2"/>
          </rPr>
          <t xml:space="preserve">
Acct 226</t>
        </r>
      </text>
    </comment>
    <comment ref="AE68" authorId="0" shapeId="0">
      <text>
        <r>
          <rPr>
            <b/>
            <sz val="9"/>
            <color indexed="81"/>
            <rFont val="Tahoma"/>
            <family val="2"/>
          </rPr>
          <t>Coe, Connie:</t>
        </r>
        <r>
          <rPr>
            <sz val="9"/>
            <color indexed="81"/>
            <rFont val="Tahoma"/>
            <family val="2"/>
          </rPr>
          <t xml:space="preserve">
Acct 226</t>
        </r>
      </text>
    </comment>
    <comment ref="AF68" authorId="0" shapeId="0">
      <text>
        <r>
          <rPr>
            <b/>
            <sz val="9"/>
            <color indexed="81"/>
            <rFont val="Tahoma"/>
            <family val="2"/>
          </rPr>
          <t>Coe, Connie:</t>
        </r>
        <r>
          <rPr>
            <sz val="9"/>
            <color indexed="81"/>
            <rFont val="Tahoma"/>
            <family val="2"/>
          </rPr>
          <t xml:space="preserve">
Acct 226</t>
        </r>
      </text>
    </comment>
    <comment ref="AG68" authorId="0" shapeId="0">
      <text>
        <r>
          <rPr>
            <b/>
            <sz val="9"/>
            <color indexed="81"/>
            <rFont val="Tahoma"/>
            <family val="2"/>
          </rPr>
          <t>Coe, Connie:</t>
        </r>
        <r>
          <rPr>
            <sz val="9"/>
            <color indexed="81"/>
            <rFont val="Tahoma"/>
            <family val="2"/>
          </rPr>
          <t xml:space="preserve">
Acct 226</t>
        </r>
      </text>
    </comment>
    <comment ref="AH68" authorId="0" shapeId="0">
      <text>
        <r>
          <rPr>
            <b/>
            <sz val="9"/>
            <color indexed="81"/>
            <rFont val="Tahoma"/>
            <family val="2"/>
          </rPr>
          <t>Coe, Connie:</t>
        </r>
        <r>
          <rPr>
            <sz val="9"/>
            <color indexed="81"/>
            <rFont val="Tahoma"/>
            <family val="2"/>
          </rPr>
          <t xml:space="preserve">
Acct 226</t>
        </r>
      </text>
    </comment>
    <comment ref="AI68" authorId="0" shapeId="0">
      <text>
        <r>
          <rPr>
            <b/>
            <sz val="9"/>
            <color indexed="81"/>
            <rFont val="Tahoma"/>
            <family val="2"/>
          </rPr>
          <t>Coe, Connie:</t>
        </r>
        <r>
          <rPr>
            <sz val="9"/>
            <color indexed="81"/>
            <rFont val="Tahoma"/>
            <family val="2"/>
          </rPr>
          <t xml:space="preserve">
Acct 226</t>
        </r>
      </text>
    </comment>
    <comment ref="A74" authorId="2" shapeId="0">
      <text>
        <r>
          <rPr>
            <b/>
            <sz val="9"/>
            <color indexed="81"/>
            <rFont val="Tahoma"/>
            <family val="2"/>
          </rPr>
          <t>Valdes, Amnerys:</t>
        </r>
        <r>
          <rPr>
            <sz val="9"/>
            <color indexed="81"/>
            <rFont val="Tahoma"/>
            <family val="2"/>
          </rPr>
          <t xml:space="preserve">
Reclass balance in Acc 2330711 - N/P Intercompany (PGS advance from TEC) to Notes Payable.
Considered S/T debt in cap structure</t>
        </r>
      </text>
    </comment>
    <comment ref="L74" authorId="2" shapeId="0">
      <text>
        <r>
          <rPr>
            <b/>
            <sz val="9"/>
            <color indexed="81"/>
            <rFont val="Tahoma"/>
            <family val="2"/>
          </rPr>
          <t>Valdes, Amnerys:</t>
        </r>
        <r>
          <rPr>
            <sz val="9"/>
            <color indexed="81"/>
            <rFont val="Tahoma"/>
            <family val="2"/>
          </rPr>
          <t xml:space="preserve">
Receivable amount from PGS to TEC</t>
        </r>
      </text>
    </comment>
    <comment ref="Q74" authorId="2" shapeId="0">
      <text>
        <r>
          <rPr>
            <b/>
            <sz val="9"/>
            <color indexed="81"/>
            <rFont val="Tahoma"/>
            <family val="2"/>
          </rPr>
          <t>Valdes, Amnerys:</t>
        </r>
        <r>
          <rPr>
            <sz val="9"/>
            <color indexed="81"/>
            <rFont val="Tahoma"/>
            <family val="2"/>
          </rPr>
          <t xml:space="preserve">
Per Sue's file</t>
        </r>
      </text>
    </comment>
    <comment ref="R74" authorId="2" shapeId="0">
      <text>
        <r>
          <rPr>
            <b/>
            <sz val="9"/>
            <color indexed="81"/>
            <rFont val="Tahoma"/>
            <family val="2"/>
          </rPr>
          <t>Valdes, Amnerys:</t>
        </r>
        <r>
          <rPr>
            <sz val="9"/>
            <color indexed="81"/>
            <rFont val="Tahoma"/>
            <family val="2"/>
          </rPr>
          <t xml:space="preserve">
PGS payable to TEC in Jan 11. Reclassed from A/P Assoc Co.</t>
        </r>
      </text>
    </comment>
    <comment ref="S74" authorId="2" shapeId="0">
      <text>
        <r>
          <rPr>
            <b/>
            <sz val="9"/>
            <color indexed="81"/>
            <rFont val="Tahoma"/>
            <family val="2"/>
          </rPr>
          <t>Valdes, Amnerys:</t>
        </r>
        <r>
          <rPr>
            <sz val="9"/>
            <color indexed="81"/>
            <rFont val="Tahoma"/>
            <family val="2"/>
          </rPr>
          <t xml:space="preserve">
PGS payable to TEC in Feb 11. Reclassed from A/P Assoc Co.</t>
        </r>
      </text>
    </comment>
    <comment ref="V74" authorId="2" shapeId="0">
      <text>
        <r>
          <rPr>
            <b/>
            <sz val="9"/>
            <color indexed="81"/>
            <rFont val="Tahoma"/>
            <family val="2"/>
          </rPr>
          <t>Valdes, Amnerys:</t>
        </r>
        <r>
          <rPr>
            <sz val="9"/>
            <color indexed="81"/>
            <rFont val="Tahoma"/>
            <family val="2"/>
          </rPr>
          <t xml:space="preserve">
No PGS payable to TEC in May 11</t>
        </r>
      </text>
    </comment>
    <comment ref="W74" authorId="2" shapeId="0">
      <text>
        <r>
          <rPr>
            <b/>
            <sz val="9"/>
            <color indexed="81"/>
            <rFont val="Tahoma"/>
            <family val="2"/>
          </rPr>
          <t>Valdes, Amnerys:</t>
        </r>
        <r>
          <rPr>
            <sz val="9"/>
            <color indexed="81"/>
            <rFont val="Tahoma"/>
            <family val="2"/>
          </rPr>
          <t xml:space="preserve">
No PGS payable to TEC in June 11</t>
        </r>
      </text>
    </comment>
    <comment ref="Y74" authorId="2" shapeId="0">
      <text>
        <r>
          <rPr>
            <sz val="9"/>
            <color indexed="81"/>
            <rFont val="Tahoma"/>
            <family val="2"/>
          </rPr>
          <t xml:space="preserve">PGS payable to TEC August 2011.  Acct. 234.53
</t>
        </r>
      </text>
    </comment>
    <comment ref="Z74" authorId="2" shapeId="0">
      <text>
        <r>
          <rPr>
            <b/>
            <sz val="9"/>
            <color indexed="81"/>
            <rFont val="Tahoma"/>
            <family val="2"/>
          </rPr>
          <t>Valdes, Amnerys:</t>
        </r>
        <r>
          <rPr>
            <sz val="9"/>
            <color indexed="81"/>
            <rFont val="Tahoma"/>
            <family val="2"/>
          </rPr>
          <t xml:space="preserve">
No PGS payable to TEC in June 11</t>
        </r>
      </text>
    </comment>
    <comment ref="AA74" authorId="2" shapeId="0">
      <text>
        <r>
          <rPr>
            <sz val="9"/>
            <color indexed="81"/>
            <rFont val="Tahoma"/>
            <family val="2"/>
          </rPr>
          <t xml:space="preserve">PGS payable to TEC August 2011.  Acct. 234.53
</t>
        </r>
      </text>
    </comment>
    <comment ref="AB74" authorId="2" shapeId="0">
      <text>
        <r>
          <rPr>
            <sz val="9"/>
            <color indexed="81"/>
            <rFont val="Tahoma"/>
            <family val="2"/>
          </rPr>
          <t xml:space="preserve">PGS payable to TEC August 2011.  Acct. 234.53
</t>
        </r>
      </text>
    </comment>
    <comment ref="AC74" authorId="2" shapeId="0">
      <text>
        <r>
          <rPr>
            <sz val="9"/>
            <color indexed="81"/>
            <rFont val="Tahoma"/>
            <family val="2"/>
          </rPr>
          <t xml:space="preserve">PGS payable to TEC August 2011.  Acct. 234.53
</t>
        </r>
      </text>
    </comment>
    <comment ref="AD74" authorId="2" shapeId="0">
      <text>
        <r>
          <rPr>
            <sz val="9"/>
            <color indexed="81"/>
            <rFont val="Tahoma"/>
            <family val="2"/>
          </rPr>
          <t xml:space="preserve">PGS payable to TEC August 2011.  Acct. 234.53
</t>
        </r>
      </text>
    </comment>
    <comment ref="AE74" authorId="2" shapeId="0">
      <text>
        <r>
          <rPr>
            <sz val="9"/>
            <color indexed="81"/>
            <rFont val="Tahoma"/>
            <family val="2"/>
          </rPr>
          <t xml:space="preserve">PGS payable to TEC August 2011.  Acct. 234.53
</t>
        </r>
      </text>
    </comment>
    <comment ref="AF74" authorId="2" shapeId="0">
      <text>
        <r>
          <rPr>
            <sz val="9"/>
            <color indexed="81"/>
            <rFont val="Tahoma"/>
            <family val="2"/>
          </rPr>
          <t xml:space="preserve">PGS payable to TEC August 2011.  Acct. 234.53
</t>
        </r>
      </text>
    </comment>
    <comment ref="AG74" authorId="2" shapeId="0">
      <text>
        <r>
          <rPr>
            <sz val="9"/>
            <color indexed="81"/>
            <rFont val="Tahoma"/>
            <family val="2"/>
          </rPr>
          <t xml:space="preserve">PGS payable to TEC August 2011.  Acct. 234.53
</t>
        </r>
      </text>
    </comment>
    <comment ref="AH74" authorId="2" shapeId="0">
      <text>
        <r>
          <rPr>
            <sz val="9"/>
            <color indexed="81"/>
            <rFont val="Tahoma"/>
            <family val="2"/>
          </rPr>
          <t xml:space="preserve">PGS payable to TEC August 2011.  Acct. 234.53
</t>
        </r>
      </text>
    </comment>
    <comment ref="AI74" authorId="2" shapeId="0">
      <text>
        <r>
          <rPr>
            <sz val="9"/>
            <color indexed="81"/>
            <rFont val="Tahoma"/>
            <family val="2"/>
          </rPr>
          <t xml:space="preserve">PGS payable to TEC August 2011.  Acct. 234.53
</t>
        </r>
      </text>
    </comment>
    <comment ref="BA74" authorId="2" shapeId="0">
      <text>
        <r>
          <rPr>
            <b/>
            <sz val="9"/>
            <color indexed="81"/>
            <rFont val="Tahoma"/>
            <family val="2"/>
          </rPr>
          <t>Valdes, Amnerys:</t>
        </r>
        <r>
          <rPr>
            <sz val="9"/>
            <color indexed="81"/>
            <rFont val="Tahoma"/>
            <family val="2"/>
          </rPr>
          <t xml:space="preserve">
reclass Acc 2330711 - N/P Intercompany to Notes Payable.</t>
        </r>
      </text>
    </comment>
    <comment ref="BB74" authorId="2" shapeId="0">
      <text>
        <r>
          <rPr>
            <b/>
            <sz val="9"/>
            <color indexed="81"/>
            <rFont val="Tahoma"/>
            <family val="2"/>
          </rPr>
          <t>Valdes, Amnerys:</t>
        </r>
        <r>
          <rPr>
            <sz val="9"/>
            <color indexed="81"/>
            <rFont val="Tahoma"/>
            <family val="2"/>
          </rPr>
          <t xml:space="preserve">
reclass Acc 2330711 - N/P Intercompany to Notes Payable.</t>
        </r>
      </text>
    </comment>
    <comment ref="BC74" authorId="2" shapeId="0">
      <text>
        <r>
          <rPr>
            <b/>
            <sz val="9"/>
            <color indexed="81"/>
            <rFont val="Tahoma"/>
            <family val="2"/>
          </rPr>
          <t>Valdes, Amnerys:</t>
        </r>
        <r>
          <rPr>
            <sz val="9"/>
            <color indexed="81"/>
            <rFont val="Tahoma"/>
            <family val="2"/>
          </rPr>
          <t xml:space="preserve">
reclass Acc 2330711 - N/P Intercompany to Notes Payable.</t>
        </r>
      </text>
    </comment>
    <comment ref="BD74" authorId="2" shapeId="0">
      <text>
        <r>
          <rPr>
            <b/>
            <sz val="9"/>
            <color indexed="81"/>
            <rFont val="Tahoma"/>
            <family val="2"/>
          </rPr>
          <t>Valdes, Amnerys:</t>
        </r>
        <r>
          <rPr>
            <sz val="9"/>
            <color indexed="81"/>
            <rFont val="Tahoma"/>
            <family val="2"/>
          </rPr>
          <t xml:space="preserve">
reclass Acc 2330711 - N/P Intercompany to Notes Payable.</t>
        </r>
      </text>
    </comment>
    <comment ref="BE74" authorId="2" shapeId="0">
      <text>
        <r>
          <rPr>
            <b/>
            <sz val="9"/>
            <color indexed="81"/>
            <rFont val="Tahoma"/>
            <family val="2"/>
          </rPr>
          <t>Valdes, Amnerys:</t>
        </r>
        <r>
          <rPr>
            <sz val="9"/>
            <color indexed="81"/>
            <rFont val="Tahoma"/>
            <family val="2"/>
          </rPr>
          <t xml:space="preserve">
reclass Acc 2330711 - N/P Intercompany to Notes Payable.</t>
        </r>
      </text>
    </comment>
    <comment ref="BF74" authorId="2" shapeId="0">
      <text>
        <r>
          <rPr>
            <b/>
            <sz val="9"/>
            <color indexed="81"/>
            <rFont val="Tahoma"/>
            <family val="2"/>
          </rPr>
          <t>Valdes, Amnerys:</t>
        </r>
        <r>
          <rPr>
            <sz val="9"/>
            <color indexed="81"/>
            <rFont val="Tahoma"/>
            <family val="2"/>
          </rPr>
          <t xml:space="preserve">
reclass Acc 2330711 - N/P Intercompany to Notes Payable.</t>
        </r>
      </text>
    </comment>
    <comment ref="BG74" authorId="2" shapeId="0">
      <text>
        <r>
          <rPr>
            <b/>
            <sz val="9"/>
            <color indexed="81"/>
            <rFont val="Tahoma"/>
            <family val="2"/>
          </rPr>
          <t>Valdes, Amnerys:</t>
        </r>
        <r>
          <rPr>
            <sz val="9"/>
            <color indexed="81"/>
            <rFont val="Tahoma"/>
            <family val="2"/>
          </rPr>
          <t xml:space="preserve">
reclass Acc 2330711 - N/P Intercompany to Notes Payable.</t>
        </r>
      </text>
    </comment>
    <comment ref="BH74" authorId="2" shapeId="0">
      <text>
        <r>
          <rPr>
            <b/>
            <sz val="9"/>
            <color indexed="81"/>
            <rFont val="Tahoma"/>
            <family val="2"/>
          </rPr>
          <t>Valdes, Amnerys:</t>
        </r>
        <r>
          <rPr>
            <sz val="9"/>
            <color indexed="81"/>
            <rFont val="Tahoma"/>
            <family val="2"/>
          </rPr>
          <t xml:space="preserve">
reclass Acc 2330711 - N/P Intercompany to Notes Payable.</t>
        </r>
      </text>
    </comment>
    <comment ref="BI74" authorId="2" shapeId="0">
      <text>
        <r>
          <rPr>
            <b/>
            <sz val="9"/>
            <color indexed="81"/>
            <rFont val="Tahoma"/>
            <family val="2"/>
          </rPr>
          <t>Valdes, Amnerys:</t>
        </r>
        <r>
          <rPr>
            <sz val="9"/>
            <color indexed="81"/>
            <rFont val="Tahoma"/>
            <family val="2"/>
          </rPr>
          <t xml:space="preserve">
reclass Acc 2330711 - N/P Intercompany to Notes Payable.</t>
        </r>
      </text>
    </comment>
    <comment ref="BJ74" authorId="2" shapeId="0">
      <text>
        <r>
          <rPr>
            <b/>
            <sz val="9"/>
            <color indexed="81"/>
            <rFont val="Tahoma"/>
            <family val="2"/>
          </rPr>
          <t>Valdes, Amnerys:</t>
        </r>
        <r>
          <rPr>
            <sz val="9"/>
            <color indexed="81"/>
            <rFont val="Tahoma"/>
            <family val="2"/>
          </rPr>
          <t xml:space="preserve">
reclass Acc 2330711 - N/P Intercompany to Notes Payable.</t>
        </r>
      </text>
    </comment>
    <comment ref="BK74" authorId="2" shapeId="0">
      <text>
        <r>
          <rPr>
            <b/>
            <sz val="9"/>
            <color indexed="81"/>
            <rFont val="Tahoma"/>
            <family val="2"/>
          </rPr>
          <t>Valdes, Amnerys:</t>
        </r>
        <r>
          <rPr>
            <sz val="9"/>
            <color indexed="81"/>
            <rFont val="Tahoma"/>
            <family val="2"/>
          </rPr>
          <t xml:space="preserve">
reclass Acc 2330711 - N/P Intercompany to Notes Payable.</t>
        </r>
      </text>
    </comment>
    <comment ref="BL74" authorId="2" shapeId="0">
      <text>
        <r>
          <rPr>
            <b/>
            <sz val="9"/>
            <color indexed="81"/>
            <rFont val="Tahoma"/>
            <family val="2"/>
          </rPr>
          <t>Valdes, Amnerys:</t>
        </r>
        <r>
          <rPr>
            <sz val="9"/>
            <color indexed="81"/>
            <rFont val="Tahoma"/>
            <family val="2"/>
          </rPr>
          <t xml:space="preserve">
reclass Acc 2330711 - N/P Intercompany to Notes Payable.</t>
        </r>
      </text>
    </comment>
    <comment ref="BM74" authorId="2" shapeId="0">
      <text>
        <r>
          <rPr>
            <b/>
            <sz val="9"/>
            <color indexed="81"/>
            <rFont val="Tahoma"/>
            <family val="2"/>
          </rPr>
          <t>Valdes, Amnerys:</t>
        </r>
        <r>
          <rPr>
            <sz val="9"/>
            <color indexed="81"/>
            <rFont val="Tahoma"/>
            <family val="2"/>
          </rPr>
          <t xml:space="preserve">
reclass Acc 2330711 - N/P Intercompany to Notes Payable.</t>
        </r>
      </text>
    </comment>
    <comment ref="BN74" authorId="2" shapeId="0">
      <text>
        <r>
          <rPr>
            <b/>
            <sz val="9"/>
            <color indexed="81"/>
            <rFont val="Tahoma"/>
            <family val="2"/>
          </rPr>
          <t>Valdes, Amnerys:</t>
        </r>
        <r>
          <rPr>
            <sz val="9"/>
            <color indexed="81"/>
            <rFont val="Tahoma"/>
            <family val="2"/>
          </rPr>
          <t xml:space="preserve">
reclass Acc 2330711 - N/P Intercompany to Notes Payable.</t>
        </r>
      </text>
    </comment>
    <comment ref="BO74" authorId="2" shapeId="0">
      <text>
        <r>
          <rPr>
            <b/>
            <sz val="9"/>
            <color indexed="81"/>
            <rFont val="Tahoma"/>
            <family val="2"/>
          </rPr>
          <t>Valdes, Amnerys:</t>
        </r>
        <r>
          <rPr>
            <sz val="9"/>
            <color indexed="81"/>
            <rFont val="Tahoma"/>
            <family val="2"/>
          </rPr>
          <t xml:space="preserve">
reclass Acc 2330711 - N/P Intercompany to Notes Payable.</t>
        </r>
      </text>
    </comment>
    <comment ref="BP74" authorId="2" shapeId="0">
      <text>
        <r>
          <rPr>
            <b/>
            <sz val="9"/>
            <color indexed="81"/>
            <rFont val="Tahoma"/>
            <family val="2"/>
          </rPr>
          <t>Valdes, Amnerys:</t>
        </r>
        <r>
          <rPr>
            <sz val="9"/>
            <color indexed="81"/>
            <rFont val="Tahoma"/>
            <family val="2"/>
          </rPr>
          <t xml:space="preserve">
reclass Acc 2330711 - N/P Intercompany to Notes Payable.</t>
        </r>
      </text>
    </comment>
    <comment ref="BQ74" authorId="2" shapeId="0">
      <text>
        <r>
          <rPr>
            <b/>
            <sz val="9"/>
            <color indexed="81"/>
            <rFont val="Tahoma"/>
            <family val="2"/>
          </rPr>
          <t>Valdes, Amnerys:</t>
        </r>
        <r>
          <rPr>
            <sz val="9"/>
            <color indexed="81"/>
            <rFont val="Tahoma"/>
            <family val="2"/>
          </rPr>
          <t xml:space="preserve">
reclass Acc 2330711 - N/P Intercompany to Notes Payable.</t>
        </r>
      </text>
    </comment>
    <comment ref="BR74" authorId="2" shapeId="0">
      <text>
        <r>
          <rPr>
            <b/>
            <sz val="9"/>
            <color indexed="81"/>
            <rFont val="Tahoma"/>
            <family val="2"/>
          </rPr>
          <t>Valdes, Amnerys:</t>
        </r>
        <r>
          <rPr>
            <sz val="9"/>
            <color indexed="81"/>
            <rFont val="Tahoma"/>
            <family val="2"/>
          </rPr>
          <t xml:space="preserve">
reclass Acc 2330711 - N/P Intercompany to Notes Payable.</t>
        </r>
      </text>
    </comment>
    <comment ref="BS74" authorId="2" shapeId="0">
      <text>
        <r>
          <rPr>
            <b/>
            <sz val="9"/>
            <color indexed="81"/>
            <rFont val="Tahoma"/>
            <family val="2"/>
          </rPr>
          <t>Valdes, Amnerys:</t>
        </r>
        <r>
          <rPr>
            <sz val="9"/>
            <color indexed="81"/>
            <rFont val="Tahoma"/>
            <family val="2"/>
          </rPr>
          <t xml:space="preserve">
reclass Acc 2330711 - N/P Intercompany to Notes Payable.</t>
        </r>
      </text>
    </comment>
    <comment ref="AC75" authorId="0" shapeId="0">
      <text>
        <r>
          <rPr>
            <b/>
            <sz val="9"/>
            <color indexed="81"/>
            <rFont val="Tahoma"/>
            <family val="2"/>
          </rPr>
          <t>Coe, Connie:</t>
        </r>
        <r>
          <rPr>
            <sz val="9"/>
            <color indexed="81"/>
            <rFont val="Tahoma"/>
            <family val="2"/>
          </rPr>
          <t xml:space="preserve">
Account 232</t>
        </r>
      </text>
    </comment>
    <comment ref="AD75" authorId="0" shapeId="0">
      <text>
        <r>
          <rPr>
            <b/>
            <sz val="9"/>
            <color indexed="81"/>
            <rFont val="Tahoma"/>
            <family val="2"/>
          </rPr>
          <t>Coe, Connie:</t>
        </r>
        <r>
          <rPr>
            <sz val="9"/>
            <color indexed="81"/>
            <rFont val="Tahoma"/>
            <family val="2"/>
          </rPr>
          <t xml:space="preserve">
Account 232</t>
        </r>
      </text>
    </comment>
    <comment ref="AE75" authorId="0" shapeId="0">
      <text>
        <r>
          <rPr>
            <b/>
            <sz val="9"/>
            <color indexed="81"/>
            <rFont val="Tahoma"/>
            <family val="2"/>
          </rPr>
          <t>Coe, Connie:</t>
        </r>
        <r>
          <rPr>
            <sz val="9"/>
            <color indexed="81"/>
            <rFont val="Tahoma"/>
            <family val="2"/>
          </rPr>
          <t xml:space="preserve">
Account 232</t>
        </r>
      </text>
    </comment>
    <comment ref="AF75" authorId="0" shapeId="0">
      <text>
        <r>
          <rPr>
            <b/>
            <sz val="9"/>
            <color indexed="81"/>
            <rFont val="Tahoma"/>
            <family val="2"/>
          </rPr>
          <t>Coe, Connie:</t>
        </r>
        <r>
          <rPr>
            <sz val="9"/>
            <color indexed="81"/>
            <rFont val="Tahoma"/>
            <family val="2"/>
          </rPr>
          <t xml:space="preserve">
Account 232</t>
        </r>
      </text>
    </comment>
    <comment ref="AG75" authorId="0" shapeId="0">
      <text>
        <r>
          <rPr>
            <b/>
            <sz val="9"/>
            <color indexed="81"/>
            <rFont val="Tahoma"/>
            <family val="2"/>
          </rPr>
          <t>Coe, Connie:</t>
        </r>
        <r>
          <rPr>
            <sz val="9"/>
            <color indexed="81"/>
            <rFont val="Tahoma"/>
            <family val="2"/>
          </rPr>
          <t xml:space="preserve">
Account 232</t>
        </r>
      </text>
    </comment>
    <comment ref="AH75" authorId="0" shapeId="0">
      <text>
        <r>
          <rPr>
            <b/>
            <sz val="9"/>
            <color indexed="81"/>
            <rFont val="Tahoma"/>
            <family val="2"/>
          </rPr>
          <t>Coe, Connie:</t>
        </r>
        <r>
          <rPr>
            <sz val="9"/>
            <color indexed="81"/>
            <rFont val="Tahoma"/>
            <family val="2"/>
          </rPr>
          <t xml:space="preserve">
Account 232</t>
        </r>
      </text>
    </comment>
    <comment ref="AI75" authorId="0" shapeId="0">
      <text>
        <r>
          <rPr>
            <b/>
            <sz val="9"/>
            <color indexed="81"/>
            <rFont val="Tahoma"/>
            <family val="2"/>
          </rPr>
          <t>Coe, Connie:</t>
        </r>
        <r>
          <rPr>
            <sz val="9"/>
            <color indexed="81"/>
            <rFont val="Tahoma"/>
            <family val="2"/>
          </rPr>
          <t xml:space="preserve">
Account 232</t>
        </r>
      </text>
    </comment>
    <comment ref="AO75" authorId="3" shapeId="0">
      <text>
        <r>
          <rPr>
            <b/>
            <sz val="9"/>
            <color indexed="81"/>
            <rFont val="Tahoma"/>
            <family val="2"/>
          </rPr>
          <t>Coe, Connie P.:</t>
        </r>
        <r>
          <rPr>
            <sz val="9"/>
            <color indexed="81"/>
            <rFont val="Tahoma"/>
            <family val="2"/>
          </rPr>
          <t xml:space="preserve">
B/S includes all of 232xxxxx
SR excludes:
2320008 in Msc Curr Liab
2320015 in Msc Curr Liab
2320020 in P&amp;B Reserve
2320022 in P&amp;B Reserve</t>
        </r>
      </text>
    </comment>
    <comment ref="A76" authorId="2" shapeId="0">
      <text>
        <r>
          <rPr>
            <b/>
            <sz val="9"/>
            <color indexed="81"/>
            <rFont val="Tahoma"/>
            <family val="2"/>
          </rPr>
          <t>Valdes, Amnerys:</t>
        </r>
        <r>
          <rPr>
            <sz val="9"/>
            <color indexed="81"/>
            <rFont val="Tahoma"/>
            <family val="2"/>
          </rPr>
          <t xml:space="preserve">
Reclass balance in Acc 2330711 - N/P Intercompany (PGS advance from TEC) to Notes Payable.
Considered S/T debt in cap structure</t>
        </r>
      </text>
    </comment>
    <comment ref="O76" authorId="1" shapeId="0">
      <text>
        <r>
          <rPr>
            <b/>
            <sz val="10"/>
            <color indexed="81"/>
            <rFont val="Tahoma"/>
            <family val="2"/>
          </rPr>
          <t>Amnerys Valdes:</t>
        </r>
        <r>
          <rPr>
            <sz val="10"/>
            <color indexed="81"/>
            <rFont val="Tahoma"/>
            <family val="2"/>
          </rPr>
          <t xml:space="preserve">
Acc 234.07 &amp; 234.52</t>
        </r>
      </text>
    </comment>
    <comment ref="P76" authorId="1" shapeId="0">
      <text>
        <r>
          <rPr>
            <b/>
            <sz val="10"/>
            <color indexed="81"/>
            <rFont val="Tahoma"/>
            <family val="2"/>
          </rPr>
          <t>Amnerys Valdes:</t>
        </r>
        <r>
          <rPr>
            <sz val="10"/>
            <color indexed="81"/>
            <rFont val="Tahoma"/>
            <family val="2"/>
          </rPr>
          <t xml:space="preserve">
Acc 234.07 &amp; 234.52</t>
        </r>
      </text>
    </comment>
    <comment ref="Q76" authorId="1" shapeId="0">
      <text>
        <r>
          <rPr>
            <b/>
            <sz val="10"/>
            <color indexed="81"/>
            <rFont val="Tahoma"/>
            <family val="2"/>
          </rPr>
          <t>Amnerys Valdes:</t>
        </r>
        <r>
          <rPr>
            <sz val="10"/>
            <color indexed="81"/>
            <rFont val="Tahoma"/>
            <family val="2"/>
          </rPr>
          <t xml:space="preserve">
Acc 234.07 &amp; 234.52</t>
        </r>
      </text>
    </comment>
    <comment ref="R76" authorId="1" shapeId="0">
      <text>
        <r>
          <rPr>
            <b/>
            <sz val="10"/>
            <color indexed="81"/>
            <rFont val="Tahoma"/>
            <family val="2"/>
          </rPr>
          <t>Amnerys Valdes:</t>
        </r>
        <r>
          <rPr>
            <sz val="10"/>
            <color indexed="81"/>
            <rFont val="Tahoma"/>
            <family val="2"/>
          </rPr>
          <t xml:space="preserve">
Acc 234.07 &amp; 234.52</t>
        </r>
      </text>
    </comment>
    <comment ref="S76" authorId="1" shapeId="0">
      <text>
        <r>
          <rPr>
            <b/>
            <sz val="10"/>
            <color indexed="81"/>
            <rFont val="Tahoma"/>
            <family val="2"/>
          </rPr>
          <t>Amnerys Valdes:</t>
        </r>
        <r>
          <rPr>
            <sz val="10"/>
            <color indexed="81"/>
            <rFont val="Tahoma"/>
            <family val="2"/>
          </rPr>
          <t xml:space="preserve">
Acc 234.07 &amp; 234.52</t>
        </r>
      </text>
    </comment>
    <comment ref="T76" authorId="2" shapeId="0">
      <text>
        <r>
          <rPr>
            <b/>
            <sz val="9"/>
            <color indexed="81"/>
            <rFont val="Tahoma"/>
            <family val="2"/>
          </rPr>
          <t>Valdes, Amnerys:</t>
        </r>
        <r>
          <rPr>
            <sz val="9"/>
            <color indexed="81"/>
            <rFont val="Tahoma"/>
            <family val="2"/>
          </rPr>
          <t xml:space="preserve">
Acc 234.07 &amp; 234.52</t>
        </r>
      </text>
    </comment>
    <comment ref="U76" authorId="1" shapeId="0">
      <text>
        <r>
          <rPr>
            <b/>
            <sz val="10"/>
            <color indexed="81"/>
            <rFont val="Tahoma"/>
            <family val="2"/>
          </rPr>
          <t>Amnerys Valdes:</t>
        </r>
        <r>
          <rPr>
            <sz val="10"/>
            <color indexed="81"/>
            <rFont val="Tahoma"/>
            <family val="2"/>
          </rPr>
          <t xml:space="preserve">
Acc 234.07 &amp; 234.52</t>
        </r>
      </text>
    </comment>
    <comment ref="V76" authorId="1" shapeId="0">
      <text>
        <r>
          <rPr>
            <b/>
            <sz val="10"/>
            <color indexed="81"/>
            <rFont val="Tahoma"/>
            <family val="2"/>
          </rPr>
          <t>Amnerys Valdes:</t>
        </r>
        <r>
          <rPr>
            <sz val="10"/>
            <color indexed="81"/>
            <rFont val="Tahoma"/>
            <family val="2"/>
          </rPr>
          <t xml:space="preserve">
Acc 234.07 &amp; 234.52</t>
        </r>
      </text>
    </comment>
    <comment ref="W76" authorId="2" shapeId="0">
      <text>
        <r>
          <rPr>
            <b/>
            <sz val="9"/>
            <color indexed="81"/>
            <rFont val="Tahoma"/>
            <family val="2"/>
          </rPr>
          <t>Valdes, Amnerys:</t>
        </r>
        <r>
          <rPr>
            <sz val="9"/>
            <color indexed="81"/>
            <rFont val="Tahoma"/>
            <family val="2"/>
          </rPr>
          <t xml:space="preserve">
Acc 234.07 &amp; 234.52</t>
        </r>
      </text>
    </comment>
    <comment ref="X76" authorId="1" shapeId="0">
      <text>
        <r>
          <rPr>
            <b/>
            <sz val="10"/>
            <color indexed="81"/>
            <rFont val="Tahoma"/>
            <family val="2"/>
          </rPr>
          <t>Amnerys Valdes:</t>
        </r>
        <r>
          <rPr>
            <sz val="10"/>
            <color indexed="81"/>
            <rFont val="Tahoma"/>
            <family val="2"/>
          </rPr>
          <t xml:space="preserve">
Acc 234.07 &amp; 234.52</t>
        </r>
      </text>
    </comment>
    <comment ref="Y76" authorId="1" shapeId="0">
      <text>
        <r>
          <rPr>
            <b/>
            <sz val="10"/>
            <color indexed="81"/>
            <rFont val="Tahoma"/>
            <family val="2"/>
          </rPr>
          <t>Amnerys Valdes:</t>
        </r>
        <r>
          <rPr>
            <sz val="10"/>
            <color indexed="81"/>
            <rFont val="Tahoma"/>
            <family val="2"/>
          </rPr>
          <t xml:space="preserve">
Acc 234.07 &amp; 234.52</t>
        </r>
      </text>
    </comment>
    <comment ref="Z76" authorId="1" shapeId="0">
      <text>
        <r>
          <rPr>
            <b/>
            <sz val="10"/>
            <color indexed="81"/>
            <rFont val="Tahoma"/>
            <family val="2"/>
          </rPr>
          <t>Amnerys Valdes:</t>
        </r>
        <r>
          <rPr>
            <sz val="10"/>
            <color indexed="81"/>
            <rFont val="Tahoma"/>
            <family val="2"/>
          </rPr>
          <t xml:space="preserve">
Acc 234.07 &amp; 234.52</t>
        </r>
      </text>
    </comment>
    <comment ref="AA76" authorId="1" shapeId="0">
      <text>
        <r>
          <rPr>
            <b/>
            <sz val="10"/>
            <color indexed="81"/>
            <rFont val="Tahoma"/>
            <family val="2"/>
          </rPr>
          <t>Amnerys Valdes:</t>
        </r>
        <r>
          <rPr>
            <sz val="10"/>
            <color indexed="81"/>
            <rFont val="Tahoma"/>
            <family val="2"/>
          </rPr>
          <t xml:space="preserve">
Acc 234.07 &amp; 234.52</t>
        </r>
      </text>
    </comment>
    <comment ref="AB76" authorId="1" shapeId="0">
      <text>
        <r>
          <rPr>
            <b/>
            <sz val="10"/>
            <color indexed="81"/>
            <rFont val="Tahoma"/>
            <family val="2"/>
          </rPr>
          <t>Amnerys Valdes:</t>
        </r>
        <r>
          <rPr>
            <sz val="10"/>
            <color indexed="81"/>
            <rFont val="Tahoma"/>
            <family val="2"/>
          </rPr>
          <t xml:space="preserve">
Acc 234.07 &amp; 234.52</t>
        </r>
      </text>
    </comment>
    <comment ref="AC76" authorId="1" shapeId="0">
      <text>
        <r>
          <rPr>
            <b/>
            <sz val="10"/>
            <color indexed="81"/>
            <rFont val="Tahoma"/>
            <family val="2"/>
          </rPr>
          <t>Amnerys Valdes:</t>
        </r>
        <r>
          <rPr>
            <sz val="10"/>
            <color indexed="81"/>
            <rFont val="Tahoma"/>
            <family val="2"/>
          </rPr>
          <t xml:space="preserve">
Acc 234.07 &amp; 234.52</t>
        </r>
      </text>
    </comment>
    <comment ref="AD76" authorId="1" shapeId="0">
      <text>
        <r>
          <rPr>
            <b/>
            <sz val="10"/>
            <color indexed="81"/>
            <rFont val="Tahoma"/>
            <family val="2"/>
          </rPr>
          <t>Amnerys Valdes:</t>
        </r>
        <r>
          <rPr>
            <sz val="10"/>
            <color indexed="81"/>
            <rFont val="Tahoma"/>
            <family val="2"/>
          </rPr>
          <t xml:space="preserve">
Acc 234.07 &amp; 234.52</t>
        </r>
      </text>
    </comment>
    <comment ref="AE76" authorId="1" shapeId="0">
      <text>
        <r>
          <rPr>
            <b/>
            <sz val="10"/>
            <color indexed="81"/>
            <rFont val="Tahoma"/>
            <family val="2"/>
          </rPr>
          <t>Amnerys Valdes:</t>
        </r>
        <r>
          <rPr>
            <sz val="10"/>
            <color indexed="81"/>
            <rFont val="Tahoma"/>
            <family val="2"/>
          </rPr>
          <t xml:space="preserve">
Acc 234.07 &amp; 234.52</t>
        </r>
      </text>
    </comment>
    <comment ref="AF76" authorId="1" shapeId="0">
      <text>
        <r>
          <rPr>
            <b/>
            <sz val="10"/>
            <color indexed="81"/>
            <rFont val="Tahoma"/>
            <family val="2"/>
          </rPr>
          <t>Amnerys Valdes:</t>
        </r>
        <r>
          <rPr>
            <sz val="10"/>
            <color indexed="81"/>
            <rFont val="Tahoma"/>
            <family val="2"/>
          </rPr>
          <t xml:space="preserve">
Acc 234.07 &amp; 234.52</t>
        </r>
      </text>
    </comment>
    <comment ref="AG76" authorId="1" shapeId="0">
      <text>
        <r>
          <rPr>
            <b/>
            <sz val="10"/>
            <color indexed="81"/>
            <rFont val="Tahoma"/>
            <family val="2"/>
          </rPr>
          <t>Amnerys Valdes:</t>
        </r>
        <r>
          <rPr>
            <sz val="10"/>
            <color indexed="81"/>
            <rFont val="Tahoma"/>
            <family val="2"/>
          </rPr>
          <t xml:space="preserve">
Acc 234.07 &amp; 234.52</t>
        </r>
      </text>
    </comment>
    <comment ref="AH76" authorId="1" shapeId="0">
      <text>
        <r>
          <rPr>
            <b/>
            <sz val="10"/>
            <color indexed="81"/>
            <rFont val="Tahoma"/>
            <family val="2"/>
          </rPr>
          <t>Amnerys Valdes:</t>
        </r>
        <r>
          <rPr>
            <sz val="10"/>
            <color indexed="81"/>
            <rFont val="Tahoma"/>
            <family val="2"/>
          </rPr>
          <t xml:space="preserve">
Acc 234.07 &amp; 234.52</t>
        </r>
      </text>
    </comment>
    <comment ref="AI76" authorId="1" shapeId="0">
      <text>
        <r>
          <rPr>
            <b/>
            <sz val="10"/>
            <color indexed="81"/>
            <rFont val="Tahoma"/>
            <family val="2"/>
          </rPr>
          <t>Amnerys Valdes:</t>
        </r>
        <r>
          <rPr>
            <sz val="10"/>
            <color indexed="81"/>
            <rFont val="Tahoma"/>
            <family val="2"/>
          </rPr>
          <t xml:space="preserve">
Acc 234.07 &amp; 234.52</t>
        </r>
      </text>
    </comment>
    <comment ref="BA76" authorId="2" shapeId="0">
      <text>
        <r>
          <rPr>
            <b/>
            <sz val="9"/>
            <color indexed="81"/>
            <rFont val="Tahoma"/>
            <family val="2"/>
          </rPr>
          <t>Valdes, Amnerys:</t>
        </r>
        <r>
          <rPr>
            <sz val="9"/>
            <color indexed="81"/>
            <rFont val="Tahoma"/>
            <family val="2"/>
          </rPr>
          <t xml:space="preserve">
reclass Acc 2330711 - N/P Intercompany to Notes Payable.</t>
        </r>
      </text>
    </comment>
    <comment ref="BB76" authorId="2" shapeId="0">
      <text>
        <r>
          <rPr>
            <b/>
            <sz val="9"/>
            <color indexed="81"/>
            <rFont val="Tahoma"/>
            <family val="2"/>
          </rPr>
          <t>Valdes, Amnerys:</t>
        </r>
        <r>
          <rPr>
            <sz val="9"/>
            <color indexed="81"/>
            <rFont val="Tahoma"/>
            <family val="2"/>
          </rPr>
          <t xml:space="preserve">
reclass Acc 2330711 - N/P Intercompany to Notes Payable.</t>
        </r>
      </text>
    </comment>
    <comment ref="BC76" authorId="2" shapeId="0">
      <text>
        <r>
          <rPr>
            <b/>
            <sz val="9"/>
            <color indexed="81"/>
            <rFont val="Tahoma"/>
            <family val="2"/>
          </rPr>
          <t>Valdes, Amnerys:</t>
        </r>
        <r>
          <rPr>
            <sz val="9"/>
            <color indexed="81"/>
            <rFont val="Tahoma"/>
            <family val="2"/>
          </rPr>
          <t xml:space="preserve">
reclass Acc 2330711 - N/P Intercompany to Notes Payable.</t>
        </r>
      </text>
    </comment>
    <comment ref="BD76" authorId="2" shapeId="0">
      <text>
        <r>
          <rPr>
            <b/>
            <sz val="9"/>
            <color indexed="81"/>
            <rFont val="Tahoma"/>
            <family val="2"/>
          </rPr>
          <t>Valdes, Amnerys:</t>
        </r>
        <r>
          <rPr>
            <sz val="9"/>
            <color indexed="81"/>
            <rFont val="Tahoma"/>
            <family val="2"/>
          </rPr>
          <t xml:space="preserve">
reclass Acc 2330711 - N/P Intercompany to Notes Payable.</t>
        </r>
      </text>
    </comment>
    <comment ref="BE76" authorId="2" shapeId="0">
      <text>
        <r>
          <rPr>
            <b/>
            <sz val="9"/>
            <color indexed="81"/>
            <rFont val="Tahoma"/>
            <family val="2"/>
          </rPr>
          <t>Valdes, Amnerys:</t>
        </r>
        <r>
          <rPr>
            <sz val="9"/>
            <color indexed="81"/>
            <rFont val="Tahoma"/>
            <family val="2"/>
          </rPr>
          <t xml:space="preserve">
reclass Acc 2330711 - N/P Intercompany to Notes Payable.</t>
        </r>
      </text>
    </comment>
    <comment ref="BF76" authorId="2" shapeId="0">
      <text>
        <r>
          <rPr>
            <b/>
            <sz val="9"/>
            <color indexed="81"/>
            <rFont val="Tahoma"/>
            <family val="2"/>
          </rPr>
          <t>Valdes, Amnerys:</t>
        </r>
        <r>
          <rPr>
            <sz val="9"/>
            <color indexed="81"/>
            <rFont val="Tahoma"/>
            <family val="2"/>
          </rPr>
          <t xml:space="preserve">
reclass Acc 2330711 - N/P Intercompany to Notes Payable.</t>
        </r>
      </text>
    </comment>
    <comment ref="BG76" authorId="2" shapeId="0">
      <text>
        <r>
          <rPr>
            <b/>
            <sz val="9"/>
            <color indexed="81"/>
            <rFont val="Tahoma"/>
            <family val="2"/>
          </rPr>
          <t>Valdes, Amnerys:</t>
        </r>
        <r>
          <rPr>
            <sz val="9"/>
            <color indexed="81"/>
            <rFont val="Tahoma"/>
            <family val="2"/>
          </rPr>
          <t xml:space="preserve">
reclass Acc 2330711 - N/P Intercompany to Notes Payable.</t>
        </r>
      </text>
    </comment>
    <comment ref="BH76" authorId="2" shapeId="0">
      <text>
        <r>
          <rPr>
            <b/>
            <sz val="9"/>
            <color indexed="81"/>
            <rFont val="Tahoma"/>
            <family val="2"/>
          </rPr>
          <t>Valdes, Amnerys:</t>
        </r>
        <r>
          <rPr>
            <sz val="9"/>
            <color indexed="81"/>
            <rFont val="Tahoma"/>
            <family val="2"/>
          </rPr>
          <t xml:space="preserve">
reclass Acc 2330711 - N/P Intercompany to Notes Payable.</t>
        </r>
      </text>
    </comment>
    <comment ref="BI76" authorId="2" shapeId="0">
      <text>
        <r>
          <rPr>
            <b/>
            <sz val="9"/>
            <color indexed="81"/>
            <rFont val="Tahoma"/>
            <family val="2"/>
          </rPr>
          <t>Valdes, Amnerys:</t>
        </r>
        <r>
          <rPr>
            <sz val="9"/>
            <color indexed="81"/>
            <rFont val="Tahoma"/>
            <family val="2"/>
          </rPr>
          <t xml:space="preserve">
reclass Acc 2330711 - N/P Intercompany to Notes Payable.</t>
        </r>
      </text>
    </comment>
    <comment ref="BJ76" authorId="2" shapeId="0">
      <text>
        <r>
          <rPr>
            <b/>
            <sz val="9"/>
            <color indexed="81"/>
            <rFont val="Tahoma"/>
            <family val="2"/>
          </rPr>
          <t>Valdes, Amnerys:</t>
        </r>
        <r>
          <rPr>
            <sz val="9"/>
            <color indexed="81"/>
            <rFont val="Tahoma"/>
            <family val="2"/>
          </rPr>
          <t xml:space="preserve">
reclass Acc 2330711 - N/P Intercompany to Notes Payable.</t>
        </r>
      </text>
    </comment>
    <comment ref="BK76" authorId="2" shapeId="0">
      <text>
        <r>
          <rPr>
            <b/>
            <sz val="9"/>
            <color indexed="81"/>
            <rFont val="Tahoma"/>
            <family val="2"/>
          </rPr>
          <t>Valdes, Amnerys:</t>
        </r>
        <r>
          <rPr>
            <sz val="9"/>
            <color indexed="81"/>
            <rFont val="Tahoma"/>
            <family val="2"/>
          </rPr>
          <t xml:space="preserve">
reclass Acc 2330711 - N/P Intercompany to Notes Payable.</t>
        </r>
      </text>
    </comment>
    <comment ref="BL76" authorId="2" shapeId="0">
      <text>
        <r>
          <rPr>
            <b/>
            <sz val="9"/>
            <color indexed="81"/>
            <rFont val="Tahoma"/>
            <family val="2"/>
          </rPr>
          <t>Valdes, Amnerys:</t>
        </r>
        <r>
          <rPr>
            <sz val="9"/>
            <color indexed="81"/>
            <rFont val="Tahoma"/>
            <family val="2"/>
          </rPr>
          <t xml:space="preserve">
reclass Acc 2330711 - N/P Intercompany to Notes Payable.</t>
        </r>
      </text>
    </comment>
    <comment ref="BM76" authorId="2" shapeId="0">
      <text>
        <r>
          <rPr>
            <b/>
            <sz val="9"/>
            <color indexed="81"/>
            <rFont val="Tahoma"/>
            <family val="2"/>
          </rPr>
          <t>Valdes, Amnerys:</t>
        </r>
        <r>
          <rPr>
            <sz val="9"/>
            <color indexed="81"/>
            <rFont val="Tahoma"/>
            <family val="2"/>
          </rPr>
          <t xml:space="preserve">
reclass Acc 2330711 - N/P Intercompany to Notes Payable.</t>
        </r>
      </text>
    </comment>
    <comment ref="BN76" authorId="2" shapeId="0">
      <text>
        <r>
          <rPr>
            <b/>
            <sz val="9"/>
            <color indexed="81"/>
            <rFont val="Tahoma"/>
            <family val="2"/>
          </rPr>
          <t>Valdes, Amnerys:</t>
        </r>
        <r>
          <rPr>
            <sz val="9"/>
            <color indexed="81"/>
            <rFont val="Tahoma"/>
            <family val="2"/>
          </rPr>
          <t xml:space="preserve">
reclass Acc 2330711 - N/P Intercompany to Notes Payable.</t>
        </r>
      </text>
    </comment>
    <comment ref="BO76" authorId="2" shapeId="0">
      <text>
        <r>
          <rPr>
            <b/>
            <sz val="9"/>
            <color indexed="81"/>
            <rFont val="Tahoma"/>
            <family val="2"/>
          </rPr>
          <t>Valdes, Amnerys:</t>
        </r>
        <r>
          <rPr>
            <sz val="9"/>
            <color indexed="81"/>
            <rFont val="Tahoma"/>
            <family val="2"/>
          </rPr>
          <t xml:space="preserve">
reclass Acc 2330711 - N/P Intercompany to Notes Payable.</t>
        </r>
      </text>
    </comment>
    <comment ref="BP76" authorId="2" shapeId="0">
      <text>
        <r>
          <rPr>
            <b/>
            <sz val="9"/>
            <color indexed="81"/>
            <rFont val="Tahoma"/>
            <family val="2"/>
          </rPr>
          <t>Valdes, Amnerys:</t>
        </r>
        <r>
          <rPr>
            <sz val="9"/>
            <color indexed="81"/>
            <rFont val="Tahoma"/>
            <family val="2"/>
          </rPr>
          <t xml:space="preserve">
reclass Acc 2330711 - N/P Intercompany to Notes Payable.</t>
        </r>
      </text>
    </comment>
    <comment ref="BQ76" authorId="2" shapeId="0">
      <text>
        <r>
          <rPr>
            <b/>
            <sz val="9"/>
            <color indexed="81"/>
            <rFont val="Tahoma"/>
            <family val="2"/>
          </rPr>
          <t>Valdes, Amnerys:</t>
        </r>
        <r>
          <rPr>
            <sz val="9"/>
            <color indexed="81"/>
            <rFont val="Tahoma"/>
            <family val="2"/>
          </rPr>
          <t xml:space="preserve">
reclass Acc 2330711 - N/P Intercompany to Notes Payable.</t>
        </r>
      </text>
    </comment>
    <comment ref="BR76" authorId="2" shapeId="0">
      <text>
        <r>
          <rPr>
            <b/>
            <sz val="9"/>
            <color indexed="81"/>
            <rFont val="Tahoma"/>
            <family val="2"/>
          </rPr>
          <t>Valdes, Amnerys:</t>
        </r>
        <r>
          <rPr>
            <sz val="9"/>
            <color indexed="81"/>
            <rFont val="Tahoma"/>
            <family val="2"/>
          </rPr>
          <t xml:space="preserve">
reclass Acc 2330711 - N/P Intercompany to Notes Payable.</t>
        </r>
      </text>
    </comment>
    <comment ref="BS76" authorId="2" shapeId="0">
      <text>
        <r>
          <rPr>
            <b/>
            <sz val="9"/>
            <color indexed="81"/>
            <rFont val="Tahoma"/>
            <family val="2"/>
          </rPr>
          <t>Valdes, Amnerys:</t>
        </r>
        <r>
          <rPr>
            <sz val="9"/>
            <color indexed="81"/>
            <rFont val="Tahoma"/>
            <family val="2"/>
          </rPr>
          <t xml:space="preserve">
reclass Acc 2330711 - N/P Intercompany to Notes Payable.</t>
        </r>
      </text>
    </comment>
    <comment ref="O77" authorId="1" shapeId="0">
      <text>
        <r>
          <rPr>
            <b/>
            <sz val="10"/>
            <color indexed="81"/>
            <rFont val="Tahoma"/>
            <family val="2"/>
          </rPr>
          <t>Amnerys Valdes:</t>
        </r>
        <r>
          <rPr>
            <sz val="10"/>
            <color indexed="81"/>
            <rFont val="Tahoma"/>
            <family val="2"/>
          </rPr>
          <t xml:space="preserve">
Acc 234 - (Acc 234.07 &amp; 234.52)</t>
        </r>
      </text>
    </comment>
    <comment ref="P77" authorId="1" shapeId="0">
      <text>
        <r>
          <rPr>
            <b/>
            <sz val="10"/>
            <color indexed="81"/>
            <rFont val="Tahoma"/>
            <family val="2"/>
          </rPr>
          <t>Amnerys Valdes:</t>
        </r>
        <r>
          <rPr>
            <sz val="10"/>
            <color indexed="81"/>
            <rFont val="Tahoma"/>
            <family val="2"/>
          </rPr>
          <t xml:space="preserve">
Acc 234 - (Acc 234.07 &amp; 234.52)</t>
        </r>
      </text>
    </comment>
    <comment ref="Q77" authorId="1" shapeId="0">
      <text>
        <r>
          <rPr>
            <b/>
            <sz val="10"/>
            <color indexed="81"/>
            <rFont val="Tahoma"/>
            <family val="2"/>
          </rPr>
          <t>Amnerys Valdes:</t>
        </r>
        <r>
          <rPr>
            <sz val="10"/>
            <color indexed="81"/>
            <rFont val="Tahoma"/>
            <family val="2"/>
          </rPr>
          <t xml:space="preserve">
Acc 234 - (Acc 234.07 &amp; 234.52)</t>
        </r>
      </text>
    </comment>
    <comment ref="R77" authorId="1" shapeId="0">
      <text>
        <r>
          <rPr>
            <b/>
            <sz val="10"/>
            <color indexed="81"/>
            <rFont val="Tahoma"/>
            <family val="2"/>
          </rPr>
          <t>Amnerys Valdes:</t>
        </r>
        <r>
          <rPr>
            <sz val="10"/>
            <color indexed="81"/>
            <rFont val="Tahoma"/>
            <family val="2"/>
          </rPr>
          <t xml:space="preserve">
Acc 234 - (Acc 234.07 &amp; 234.52)
</t>
        </r>
      </text>
    </comment>
    <comment ref="S77" authorId="1" shapeId="0">
      <text>
        <r>
          <rPr>
            <b/>
            <sz val="10"/>
            <color indexed="81"/>
            <rFont val="Tahoma"/>
            <family val="2"/>
          </rPr>
          <t>Amnerys Valdes:</t>
        </r>
        <r>
          <rPr>
            <sz val="10"/>
            <color indexed="81"/>
            <rFont val="Tahoma"/>
            <family val="2"/>
          </rPr>
          <t xml:space="preserve">
Acc 234 - (Acc 234.07 &amp; 234.52)</t>
        </r>
      </text>
    </comment>
    <comment ref="T77" authorId="2" shapeId="0">
      <text>
        <r>
          <rPr>
            <b/>
            <sz val="9"/>
            <color indexed="81"/>
            <rFont val="Tahoma"/>
            <family val="2"/>
          </rPr>
          <t>Valdes, Amnerys:</t>
        </r>
        <r>
          <rPr>
            <sz val="9"/>
            <color indexed="81"/>
            <rFont val="Tahoma"/>
            <family val="2"/>
          </rPr>
          <t xml:space="preserve">
Acc 234 - (Acc 234.07 &amp; 234.52)</t>
        </r>
      </text>
    </comment>
    <comment ref="U77" authorId="1" shapeId="0">
      <text>
        <r>
          <rPr>
            <b/>
            <sz val="10"/>
            <color indexed="81"/>
            <rFont val="Tahoma"/>
            <family val="2"/>
          </rPr>
          <t>Amnerys Valdes:</t>
        </r>
        <r>
          <rPr>
            <sz val="10"/>
            <color indexed="81"/>
            <rFont val="Tahoma"/>
            <family val="2"/>
          </rPr>
          <t xml:space="preserve">
Acc 234 - (Acc 234.07 &amp; 234.52)
</t>
        </r>
      </text>
    </comment>
    <comment ref="V77" authorId="1" shapeId="0">
      <text>
        <r>
          <rPr>
            <b/>
            <sz val="10"/>
            <color indexed="81"/>
            <rFont val="Tahoma"/>
            <family val="2"/>
          </rPr>
          <t>Amnerys Valdes:</t>
        </r>
        <r>
          <rPr>
            <sz val="10"/>
            <color indexed="81"/>
            <rFont val="Tahoma"/>
            <family val="2"/>
          </rPr>
          <t xml:space="preserve">
Acc 234 - (Acc 234.07 &amp; 234.52)
</t>
        </r>
      </text>
    </comment>
    <comment ref="W77" authorId="1" shapeId="0">
      <text>
        <r>
          <rPr>
            <b/>
            <sz val="10"/>
            <color indexed="81"/>
            <rFont val="Tahoma"/>
            <family val="2"/>
          </rPr>
          <t>Amnerys Valdes:</t>
        </r>
        <r>
          <rPr>
            <sz val="10"/>
            <color indexed="81"/>
            <rFont val="Tahoma"/>
            <family val="2"/>
          </rPr>
          <t xml:space="preserve">
Acc 234 - (Acc 234.07 &amp; 234.52)
</t>
        </r>
      </text>
    </comment>
    <comment ref="X77" authorId="1" shapeId="0">
      <text>
        <r>
          <rPr>
            <b/>
            <sz val="10"/>
            <color indexed="81"/>
            <rFont val="Tahoma"/>
            <family val="2"/>
          </rPr>
          <t>Amnerys Valdes:</t>
        </r>
        <r>
          <rPr>
            <sz val="10"/>
            <color indexed="81"/>
            <rFont val="Tahoma"/>
            <family val="2"/>
          </rPr>
          <t xml:space="preserve">
Acc 234 - (Acc 234.07 &amp; 234.52)
</t>
        </r>
      </text>
    </comment>
    <comment ref="Y77" authorId="1" shapeId="0">
      <text>
        <r>
          <rPr>
            <b/>
            <sz val="10"/>
            <color indexed="81"/>
            <rFont val="Tahoma"/>
            <family val="2"/>
          </rPr>
          <t>Amnerys Valdes:</t>
        </r>
        <r>
          <rPr>
            <sz val="10"/>
            <color indexed="81"/>
            <rFont val="Tahoma"/>
            <family val="2"/>
          </rPr>
          <t xml:space="preserve">
Acc 234 - (Acc 234.07 &amp; 234.52)
</t>
        </r>
      </text>
    </comment>
    <comment ref="Z77" authorId="1" shapeId="0">
      <text>
        <r>
          <rPr>
            <b/>
            <sz val="10"/>
            <color indexed="81"/>
            <rFont val="Tahoma"/>
            <family val="2"/>
          </rPr>
          <t>Amnerys Valdes:</t>
        </r>
        <r>
          <rPr>
            <sz val="10"/>
            <color indexed="81"/>
            <rFont val="Tahoma"/>
            <family val="2"/>
          </rPr>
          <t xml:space="preserve">
Acc 234 - (Acc 234.07 &amp; 234.52)
</t>
        </r>
      </text>
    </comment>
    <comment ref="AA77" authorId="1" shapeId="0">
      <text>
        <r>
          <rPr>
            <b/>
            <sz val="10"/>
            <color indexed="81"/>
            <rFont val="Tahoma"/>
            <family val="2"/>
          </rPr>
          <t>Amnerys Valdes:</t>
        </r>
        <r>
          <rPr>
            <sz val="10"/>
            <color indexed="81"/>
            <rFont val="Tahoma"/>
            <family val="2"/>
          </rPr>
          <t xml:space="preserve">
Acc 234 - (Acc 234.07 &amp; 234.52)
</t>
        </r>
      </text>
    </comment>
    <comment ref="AB77" authorId="1" shapeId="0">
      <text>
        <r>
          <rPr>
            <b/>
            <sz val="10"/>
            <color indexed="81"/>
            <rFont val="Tahoma"/>
            <family val="2"/>
          </rPr>
          <t>Amnerys Valdes:</t>
        </r>
        <r>
          <rPr>
            <sz val="10"/>
            <color indexed="81"/>
            <rFont val="Tahoma"/>
            <family val="2"/>
          </rPr>
          <t xml:space="preserve">
Acc 234 - (Acc 234.07 &amp; 234.52)
</t>
        </r>
      </text>
    </comment>
    <comment ref="AC77" authorId="1" shapeId="0">
      <text>
        <r>
          <rPr>
            <b/>
            <sz val="10"/>
            <color indexed="81"/>
            <rFont val="Tahoma"/>
            <family val="2"/>
          </rPr>
          <t>Amnerys Valdes:</t>
        </r>
        <r>
          <rPr>
            <sz val="10"/>
            <color indexed="81"/>
            <rFont val="Tahoma"/>
            <family val="2"/>
          </rPr>
          <t xml:space="preserve">
Acc 234 - (Acc 234.07 &amp; 234.52 &amp; 234.53)
</t>
        </r>
      </text>
    </comment>
    <comment ref="AD77" authorId="1" shapeId="0">
      <text>
        <r>
          <rPr>
            <b/>
            <sz val="10"/>
            <color indexed="81"/>
            <rFont val="Tahoma"/>
            <family val="2"/>
          </rPr>
          <t>Amnerys Valdes:</t>
        </r>
        <r>
          <rPr>
            <sz val="10"/>
            <color indexed="81"/>
            <rFont val="Tahoma"/>
            <family val="2"/>
          </rPr>
          <t xml:space="preserve">
Acc 234 - (Acc 234.07 &amp; 234.52 &amp; 234.53)
</t>
        </r>
      </text>
    </comment>
    <comment ref="AE77" authorId="1" shapeId="0">
      <text>
        <r>
          <rPr>
            <b/>
            <sz val="10"/>
            <color indexed="81"/>
            <rFont val="Tahoma"/>
            <family val="2"/>
          </rPr>
          <t>Amnerys Valdes:</t>
        </r>
        <r>
          <rPr>
            <sz val="10"/>
            <color indexed="81"/>
            <rFont val="Tahoma"/>
            <family val="2"/>
          </rPr>
          <t xml:space="preserve">
Acc 234 - (Acc 234.07 &amp; 234.52 &amp; 234.53)
</t>
        </r>
      </text>
    </comment>
    <comment ref="AF77" authorId="1" shapeId="0">
      <text>
        <r>
          <rPr>
            <b/>
            <sz val="10"/>
            <color indexed="81"/>
            <rFont val="Tahoma"/>
            <family val="2"/>
          </rPr>
          <t>Amnerys Valdes:</t>
        </r>
        <r>
          <rPr>
            <sz val="10"/>
            <color indexed="81"/>
            <rFont val="Tahoma"/>
            <family val="2"/>
          </rPr>
          <t xml:space="preserve">
Acc 234 - (Acc 234.07 &amp; 234.52 &amp; 234.53)
</t>
        </r>
      </text>
    </comment>
    <comment ref="AG77" authorId="1" shapeId="0">
      <text>
        <r>
          <rPr>
            <b/>
            <sz val="10"/>
            <color indexed="81"/>
            <rFont val="Tahoma"/>
            <family val="2"/>
          </rPr>
          <t>Amnerys Valdes:</t>
        </r>
        <r>
          <rPr>
            <sz val="10"/>
            <color indexed="81"/>
            <rFont val="Tahoma"/>
            <family val="2"/>
          </rPr>
          <t xml:space="preserve">
Acc 234 - (Acc 234.07 &amp; 234.52 &amp; 234.53)
</t>
        </r>
      </text>
    </comment>
    <comment ref="AH77" authorId="1" shapeId="0">
      <text>
        <r>
          <rPr>
            <b/>
            <sz val="10"/>
            <color indexed="81"/>
            <rFont val="Tahoma"/>
            <family val="2"/>
          </rPr>
          <t>Amnerys Valdes:</t>
        </r>
        <r>
          <rPr>
            <sz val="10"/>
            <color indexed="81"/>
            <rFont val="Tahoma"/>
            <family val="2"/>
          </rPr>
          <t xml:space="preserve">
Acc 234 - (Acc 234.07 &amp; 234.52 &amp; 234.53)
</t>
        </r>
      </text>
    </comment>
    <comment ref="AI77" authorId="1" shapeId="0">
      <text>
        <r>
          <rPr>
            <b/>
            <sz val="10"/>
            <color indexed="81"/>
            <rFont val="Tahoma"/>
            <family val="2"/>
          </rPr>
          <t>Amnerys Valdes:</t>
        </r>
        <r>
          <rPr>
            <sz val="10"/>
            <color indexed="81"/>
            <rFont val="Tahoma"/>
            <family val="2"/>
          </rPr>
          <t xml:space="preserve">
Acc 234 - (Acc 234.07 &amp; 234.52 &amp; 234.53)
</t>
        </r>
      </text>
    </comment>
    <comment ref="X78" authorId="0" shapeId="0">
      <text>
        <r>
          <rPr>
            <b/>
            <sz val="9"/>
            <color indexed="81"/>
            <rFont val="Tahoma"/>
            <family val="2"/>
          </rPr>
          <t>Coe, Connie:</t>
        </r>
        <r>
          <rPr>
            <sz val="9"/>
            <color indexed="81"/>
            <rFont val="Tahoma"/>
            <family val="2"/>
          </rPr>
          <t xml:space="preserve">
Acc 235.90</t>
        </r>
      </text>
    </comment>
    <comment ref="AA78" authorId="0" shapeId="0">
      <text>
        <r>
          <rPr>
            <b/>
            <sz val="9"/>
            <color indexed="81"/>
            <rFont val="Tahoma"/>
            <family val="2"/>
          </rPr>
          <t>Coe, Connie:</t>
        </r>
        <r>
          <rPr>
            <sz val="9"/>
            <color indexed="81"/>
            <rFont val="Tahoma"/>
            <family val="2"/>
          </rPr>
          <t xml:space="preserve">
Acc 235.90</t>
        </r>
      </text>
    </comment>
    <comment ref="AB78" authorId="0" shapeId="0">
      <text>
        <r>
          <rPr>
            <b/>
            <sz val="9"/>
            <color indexed="81"/>
            <rFont val="Tahoma"/>
            <family val="2"/>
          </rPr>
          <t>Coe, Connie:</t>
        </r>
        <r>
          <rPr>
            <sz val="9"/>
            <color indexed="81"/>
            <rFont val="Tahoma"/>
            <family val="2"/>
          </rPr>
          <t xml:space="preserve">
Acc 235.90</t>
        </r>
      </text>
    </comment>
    <comment ref="A79" authorId="0" shapeId="0">
      <text>
        <r>
          <rPr>
            <b/>
            <sz val="9"/>
            <color indexed="81"/>
            <rFont val="Tahoma"/>
            <family val="2"/>
          </rPr>
          <t>Coe, Connie:</t>
        </r>
        <r>
          <rPr>
            <sz val="9"/>
            <color indexed="81"/>
            <rFont val="Tahoma"/>
            <family val="2"/>
          </rPr>
          <t xml:space="preserve">
Accts 236.11 - 236.16
</t>
        </r>
      </text>
    </comment>
    <comment ref="AC79" authorId="0" shapeId="0">
      <text>
        <r>
          <rPr>
            <b/>
            <sz val="9"/>
            <color indexed="81"/>
            <rFont val="Tahoma"/>
            <family val="2"/>
          </rPr>
          <t>Coe, Connie:</t>
        </r>
        <r>
          <rPr>
            <sz val="9"/>
            <color indexed="81"/>
            <rFont val="Tahoma"/>
            <family val="2"/>
          </rPr>
          <t xml:space="preserve">
Acc 236.11 - 236.16</t>
        </r>
      </text>
    </comment>
    <comment ref="AD79" authorId="0" shapeId="0">
      <text>
        <r>
          <rPr>
            <b/>
            <sz val="9"/>
            <color indexed="81"/>
            <rFont val="Tahoma"/>
            <family val="2"/>
          </rPr>
          <t>Coe, Connie:</t>
        </r>
        <r>
          <rPr>
            <sz val="9"/>
            <color indexed="81"/>
            <rFont val="Tahoma"/>
            <family val="2"/>
          </rPr>
          <t xml:space="preserve">
Acc 236.11 - 236.16</t>
        </r>
      </text>
    </comment>
    <comment ref="AE79" authorId="0" shapeId="0">
      <text>
        <r>
          <rPr>
            <b/>
            <sz val="9"/>
            <color indexed="81"/>
            <rFont val="Tahoma"/>
            <family val="2"/>
          </rPr>
          <t>Coe, Connie:</t>
        </r>
        <r>
          <rPr>
            <sz val="9"/>
            <color indexed="81"/>
            <rFont val="Tahoma"/>
            <family val="2"/>
          </rPr>
          <t xml:space="preserve">
Acc 236.11 - 236.16</t>
        </r>
      </text>
    </comment>
    <comment ref="AF79" authorId="0" shapeId="0">
      <text>
        <r>
          <rPr>
            <b/>
            <sz val="9"/>
            <color indexed="81"/>
            <rFont val="Tahoma"/>
            <family val="2"/>
          </rPr>
          <t>Coe, Connie:</t>
        </r>
        <r>
          <rPr>
            <sz val="9"/>
            <color indexed="81"/>
            <rFont val="Tahoma"/>
            <family val="2"/>
          </rPr>
          <t xml:space="preserve">
Acc 236.11 - 236.16</t>
        </r>
      </text>
    </comment>
    <comment ref="AG79" authorId="0" shapeId="0">
      <text>
        <r>
          <rPr>
            <b/>
            <sz val="9"/>
            <color indexed="81"/>
            <rFont val="Tahoma"/>
            <family val="2"/>
          </rPr>
          <t>Coe, Connie:</t>
        </r>
        <r>
          <rPr>
            <sz val="9"/>
            <color indexed="81"/>
            <rFont val="Tahoma"/>
            <family val="2"/>
          </rPr>
          <t xml:space="preserve">
Acc 236.11 - 236.16</t>
        </r>
      </text>
    </comment>
    <comment ref="AH79" authorId="0" shapeId="0">
      <text>
        <r>
          <rPr>
            <b/>
            <sz val="9"/>
            <color indexed="81"/>
            <rFont val="Tahoma"/>
            <family val="2"/>
          </rPr>
          <t>Coe, Connie:</t>
        </r>
        <r>
          <rPr>
            <sz val="9"/>
            <color indexed="81"/>
            <rFont val="Tahoma"/>
            <family val="2"/>
          </rPr>
          <t xml:space="preserve">
Acc 236.11 - 236.16</t>
        </r>
      </text>
    </comment>
    <comment ref="AI79" authorId="0" shapeId="0">
      <text>
        <r>
          <rPr>
            <b/>
            <sz val="9"/>
            <color indexed="81"/>
            <rFont val="Tahoma"/>
            <family val="2"/>
          </rPr>
          <t>Coe, Connie:</t>
        </r>
        <r>
          <rPr>
            <sz val="9"/>
            <color indexed="81"/>
            <rFont val="Tahoma"/>
            <family val="2"/>
          </rPr>
          <t xml:space="preserve">
Acc 236.11 - 236.16</t>
        </r>
      </text>
    </comment>
    <comment ref="AP79" authorId="3" shapeId="0">
      <text>
        <r>
          <rPr>
            <b/>
            <sz val="9"/>
            <color indexed="81"/>
            <rFont val="Tahoma"/>
            <family val="2"/>
          </rPr>
          <t>Coe, Connie P.:</t>
        </r>
        <r>
          <rPr>
            <sz val="9"/>
            <color indexed="81"/>
            <rFont val="Tahoma"/>
            <family val="2"/>
          </rPr>
          <t xml:space="preserve">
2360600, 2360601, 2360602, 2360603, 
2360604, 2360605</t>
        </r>
      </text>
    </comment>
    <comment ref="A80" authorId="0" shapeId="0">
      <text>
        <r>
          <rPr>
            <b/>
            <sz val="9"/>
            <color indexed="81"/>
            <rFont val="Tahoma"/>
            <family val="2"/>
          </rPr>
          <t>Coe, Connie:</t>
        </r>
        <r>
          <rPr>
            <sz val="9"/>
            <color indexed="81"/>
            <rFont val="Tahoma"/>
            <family val="2"/>
          </rPr>
          <t xml:space="preserve">
Accts 236.01+263.02
</t>
        </r>
      </text>
    </comment>
    <comment ref="AC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D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E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F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G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H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I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X81" authorId="0" shapeId="0">
      <text>
        <r>
          <rPr>
            <b/>
            <sz val="9"/>
            <color indexed="81"/>
            <rFont val="Tahoma"/>
            <family val="2"/>
          </rPr>
          <t>Coe, Connie:</t>
        </r>
        <r>
          <rPr>
            <sz val="9"/>
            <color indexed="81"/>
            <rFont val="Tahoma"/>
            <family val="2"/>
          </rPr>
          <t xml:space="preserve">
Acct. 237</t>
        </r>
      </text>
    </comment>
    <comment ref="AA81" authorId="0" shapeId="0">
      <text>
        <r>
          <rPr>
            <b/>
            <sz val="9"/>
            <color indexed="81"/>
            <rFont val="Tahoma"/>
            <family val="2"/>
          </rPr>
          <t>Coe, Connie:</t>
        </r>
        <r>
          <rPr>
            <sz val="9"/>
            <color indexed="81"/>
            <rFont val="Tahoma"/>
            <family val="2"/>
          </rPr>
          <t xml:space="preserve">
Acct. 237</t>
        </r>
      </text>
    </comment>
    <comment ref="AB81" authorId="0" shapeId="0">
      <text>
        <r>
          <rPr>
            <b/>
            <sz val="9"/>
            <color indexed="81"/>
            <rFont val="Tahoma"/>
            <family val="2"/>
          </rPr>
          <t>Coe, Connie:</t>
        </r>
        <r>
          <rPr>
            <sz val="9"/>
            <color indexed="81"/>
            <rFont val="Tahoma"/>
            <family val="2"/>
          </rPr>
          <t xml:space="preserve">
Acct. 237</t>
        </r>
      </text>
    </comment>
    <comment ref="X83" authorId="0" shapeId="0">
      <text>
        <r>
          <rPr>
            <b/>
            <sz val="9"/>
            <color indexed="81"/>
            <rFont val="Tahoma"/>
            <family val="2"/>
          </rPr>
          <t>Coe, Connie:</t>
        </r>
        <r>
          <rPr>
            <sz val="9"/>
            <color indexed="81"/>
            <rFont val="Tahoma"/>
            <family val="2"/>
          </rPr>
          <t xml:space="preserve">
Acct. 241</t>
        </r>
      </text>
    </comment>
    <comment ref="AP83" authorId="3" shapeId="0">
      <text>
        <r>
          <rPr>
            <b/>
            <sz val="9"/>
            <color indexed="81"/>
            <rFont val="Tahoma"/>
            <family val="2"/>
          </rPr>
          <t>Coe, Connie P.:</t>
        </r>
        <r>
          <rPr>
            <sz val="9"/>
            <color indexed="81"/>
            <rFont val="Tahoma"/>
            <family val="2"/>
          </rPr>
          <t xml:space="preserve">
241
2360605
</t>
        </r>
      </text>
    </comment>
    <comment ref="A84" authorId="1" shapeId="0">
      <text>
        <r>
          <rPr>
            <b/>
            <sz val="10"/>
            <color indexed="81"/>
            <rFont val="Tahoma"/>
            <family val="2"/>
          </rPr>
          <t>Amnerys Valdes:</t>
        </r>
        <r>
          <rPr>
            <sz val="10"/>
            <color indexed="81"/>
            <rFont val="Tahoma"/>
            <family val="2"/>
          </rPr>
          <t xml:space="preserve">
Acc 242.53</t>
        </r>
      </text>
    </comment>
    <comment ref="O84" authorId="1" shapeId="0">
      <text>
        <r>
          <rPr>
            <b/>
            <sz val="10"/>
            <color indexed="81"/>
            <rFont val="Tahoma"/>
            <family val="2"/>
          </rPr>
          <t>Amnerys Valdes:</t>
        </r>
        <r>
          <rPr>
            <sz val="10"/>
            <color indexed="81"/>
            <rFont val="Tahoma"/>
            <family val="2"/>
          </rPr>
          <t xml:space="preserve">
Acc 242.53</t>
        </r>
      </text>
    </comment>
    <comment ref="P84" authorId="1" shapeId="0">
      <text>
        <r>
          <rPr>
            <b/>
            <sz val="10"/>
            <color indexed="81"/>
            <rFont val="Tahoma"/>
            <family val="2"/>
          </rPr>
          <t>Amnerys Valdes:</t>
        </r>
        <r>
          <rPr>
            <sz val="10"/>
            <color indexed="81"/>
            <rFont val="Tahoma"/>
            <family val="2"/>
          </rPr>
          <t xml:space="preserve">
Acc 242.53</t>
        </r>
      </text>
    </comment>
    <comment ref="Q84" authorId="1" shapeId="0">
      <text>
        <r>
          <rPr>
            <b/>
            <sz val="10"/>
            <color indexed="81"/>
            <rFont val="Tahoma"/>
            <family val="2"/>
          </rPr>
          <t>Amnerys Valdes:</t>
        </r>
        <r>
          <rPr>
            <sz val="10"/>
            <color indexed="81"/>
            <rFont val="Tahoma"/>
            <family val="2"/>
          </rPr>
          <t xml:space="preserve">
Acc 242.53</t>
        </r>
      </text>
    </comment>
    <comment ref="R84" authorId="1" shapeId="0">
      <text>
        <r>
          <rPr>
            <b/>
            <sz val="10"/>
            <color indexed="81"/>
            <rFont val="Tahoma"/>
            <family val="2"/>
          </rPr>
          <t>Amnerys Valdes:</t>
        </r>
        <r>
          <rPr>
            <sz val="10"/>
            <color indexed="81"/>
            <rFont val="Tahoma"/>
            <family val="2"/>
          </rPr>
          <t xml:space="preserve">
Acc 242.53</t>
        </r>
      </text>
    </comment>
    <comment ref="S84" authorId="1" shapeId="0">
      <text>
        <r>
          <rPr>
            <b/>
            <sz val="10"/>
            <color indexed="81"/>
            <rFont val="Tahoma"/>
            <family val="2"/>
          </rPr>
          <t>Amnerys Valdes:</t>
        </r>
        <r>
          <rPr>
            <sz val="10"/>
            <color indexed="81"/>
            <rFont val="Tahoma"/>
            <family val="2"/>
          </rPr>
          <t xml:space="preserve">
Acc 242.53</t>
        </r>
      </text>
    </comment>
    <comment ref="T84" authorId="1" shapeId="0">
      <text>
        <r>
          <rPr>
            <b/>
            <sz val="10"/>
            <color indexed="81"/>
            <rFont val="Tahoma"/>
            <family val="2"/>
          </rPr>
          <t>Amnerys Valdes:</t>
        </r>
        <r>
          <rPr>
            <sz val="10"/>
            <color indexed="81"/>
            <rFont val="Tahoma"/>
            <family val="2"/>
          </rPr>
          <t xml:space="preserve">
Acc 242.53</t>
        </r>
      </text>
    </comment>
    <comment ref="U84" authorId="1" shapeId="0">
      <text>
        <r>
          <rPr>
            <b/>
            <sz val="10"/>
            <color indexed="81"/>
            <rFont val="Tahoma"/>
            <family val="2"/>
          </rPr>
          <t>Amnerys Valdes:</t>
        </r>
        <r>
          <rPr>
            <sz val="10"/>
            <color indexed="81"/>
            <rFont val="Tahoma"/>
            <family val="2"/>
          </rPr>
          <t xml:space="preserve">
Acc 242.53</t>
        </r>
      </text>
    </comment>
    <comment ref="V84" authorId="1" shapeId="0">
      <text>
        <r>
          <rPr>
            <b/>
            <sz val="10"/>
            <color indexed="81"/>
            <rFont val="Tahoma"/>
            <family val="2"/>
          </rPr>
          <t>Amnerys Valdes:</t>
        </r>
        <r>
          <rPr>
            <sz val="10"/>
            <color indexed="81"/>
            <rFont val="Tahoma"/>
            <family val="2"/>
          </rPr>
          <t xml:space="preserve">
Acc 242.53</t>
        </r>
      </text>
    </comment>
    <comment ref="W84" authorId="1" shapeId="0">
      <text>
        <r>
          <rPr>
            <b/>
            <sz val="10"/>
            <color indexed="81"/>
            <rFont val="Tahoma"/>
            <family val="2"/>
          </rPr>
          <t>Amnerys Valdes:</t>
        </r>
        <r>
          <rPr>
            <sz val="10"/>
            <color indexed="81"/>
            <rFont val="Tahoma"/>
            <family val="2"/>
          </rPr>
          <t xml:space="preserve">
Acc 242.53</t>
        </r>
      </text>
    </comment>
    <comment ref="X84" authorId="1" shapeId="0">
      <text>
        <r>
          <rPr>
            <b/>
            <sz val="10"/>
            <color indexed="81"/>
            <rFont val="Tahoma"/>
            <family val="2"/>
          </rPr>
          <t>Amnerys Valdes:</t>
        </r>
        <r>
          <rPr>
            <sz val="10"/>
            <color indexed="81"/>
            <rFont val="Tahoma"/>
            <family val="2"/>
          </rPr>
          <t xml:space="preserve">
Acc 242.53</t>
        </r>
      </text>
    </comment>
    <comment ref="Y84" authorId="1" shapeId="0">
      <text>
        <r>
          <rPr>
            <b/>
            <sz val="10"/>
            <color indexed="81"/>
            <rFont val="Tahoma"/>
            <family val="2"/>
          </rPr>
          <t>Amnerys Valdes:</t>
        </r>
        <r>
          <rPr>
            <sz val="10"/>
            <color indexed="81"/>
            <rFont val="Tahoma"/>
            <family val="2"/>
          </rPr>
          <t xml:space="preserve">
Acc 242.53</t>
        </r>
      </text>
    </comment>
    <comment ref="Z84" authorId="1" shapeId="0">
      <text>
        <r>
          <rPr>
            <b/>
            <sz val="10"/>
            <color indexed="81"/>
            <rFont val="Tahoma"/>
            <family val="2"/>
          </rPr>
          <t>Amnerys Valdes:</t>
        </r>
        <r>
          <rPr>
            <sz val="10"/>
            <color indexed="81"/>
            <rFont val="Tahoma"/>
            <family val="2"/>
          </rPr>
          <t xml:space="preserve">
Acc 242.53</t>
        </r>
      </text>
    </comment>
    <comment ref="AA84" authorId="1" shapeId="0">
      <text>
        <r>
          <rPr>
            <b/>
            <sz val="10"/>
            <color indexed="81"/>
            <rFont val="Tahoma"/>
            <family val="2"/>
          </rPr>
          <t>Amnerys Valdes:</t>
        </r>
        <r>
          <rPr>
            <sz val="10"/>
            <color indexed="81"/>
            <rFont val="Tahoma"/>
            <family val="2"/>
          </rPr>
          <t xml:space="preserve">
Acc 242.53</t>
        </r>
      </text>
    </comment>
    <comment ref="AB84" authorId="1" shapeId="0">
      <text>
        <r>
          <rPr>
            <b/>
            <sz val="10"/>
            <color indexed="81"/>
            <rFont val="Tahoma"/>
            <family val="2"/>
          </rPr>
          <t>Amnerys Valdes:</t>
        </r>
        <r>
          <rPr>
            <sz val="10"/>
            <color indexed="81"/>
            <rFont val="Tahoma"/>
            <family val="2"/>
          </rPr>
          <t xml:space="preserve">
Acc 242.53</t>
        </r>
      </text>
    </comment>
    <comment ref="AC84" authorId="1" shapeId="0">
      <text>
        <r>
          <rPr>
            <b/>
            <sz val="10"/>
            <color indexed="81"/>
            <rFont val="Tahoma"/>
            <family val="2"/>
          </rPr>
          <t>Amnerys Valdes:</t>
        </r>
        <r>
          <rPr>
            <sz val="10"/>
            <color indexed="81"/>
            <rFont val="Tahoma"/>
            <family val="2"/>
          </rPr>
          <t xml:space="preserve">
Acc 242.53</t>
        </r>
      </text>
    </comment>
    <comment ref="AD84" authorId="1" shapeId="0">
      <text>
        <r>
          <rPr>
            <b/>
            <sz val="10"/>
            <color indexed="81"/>
            <rFont val="Tahoma"/>
            <family val="2"/>
          </rPr>
          <t>Amnerys Valdes:</t>
        </r>
        <r>
          <rPr>
            <sz val="10"/>
            <color indexed="81"/>
            <rFont val="Tahoma"/>
            <family val="2"/>
          </rPr>
          <t xml:space="preserve">
Acc 242.53</t>
        </r>
      </text>
    </comment>
    <comment ref="AE84" authorId="1" shapeId="0">
      <text>
        <r>
          <rPr>
            <b/>
            <sz val="10"/>
            <color indexed="81"/>
            <rFont val="Tahoma"/>
            <family val="2"/>
          </rPr>
          <t>Amnerys Valdes:</t>
        </r>
        <r>
          <rPr>
            <sz val="10"/>
            <color indexed="81"/>
            <rFont val="Tahoma"/>
            <family val="2"/>
          </rPr>
          <t xml:space="preserve">
Acc 242.53</t>
        </r>
      </text>
    </comment>
    <comment ref="AF84" authorId="1" shapeId="0">
      <text>
        <r>
          <rPr>
            <b/>
            <sz val="10"/>
            <color indexed="81"/>
            <rFont val="Tahoma"/>
            <family val="2"/>
          </rPr>
          <t>Amnerys Valdes:</t>
        </r>
        <r>
          <rPr>
            <sz val="10"/>
            <color indexed="81"/>
            <rFont val="Tahoma"/>
            <family val="2"/>
          </rPr>
          <t xml:space="preserve">
Acc 242.53</t>
        </r>
      </text>
    </comment>
    <comment ref="AG84" authorId="1" shapeId="0">
      <text>
        <r>
          <rPr>
            <b/>
            <sz val="10"/>
            <color indexed="81"/>
            <rFont val="Tahoma"/>
            <family val="2"/>
          </rPr>
          <t>Amnerys Valdes:</t>
        </r>
        <r>
          <rPr>
            <sz val="10"/>
            <color indexed="81"/>
            <rFont val="Tahoma"/>
            <family val="2"/>
          </rPr>
          <t xml:space="preserve">
Acc 242.53</t>
        </r>
      </text>
    </comment>
    <comment ref="AH84" authorId="1" shapeId="0">
      <text>
        <r>
          <rPr>
            <b/>
            <sz val="10"/>
            <color indexed="81"/>
            <rFont val="Tahoma"/>
            <family val="2"/>
          </rPr>
          <t>Amnerys Valdes:</t>
        </r>
        <r>
          <rPr>
            <sz val="10"/>
            <color indexed="81"/>
            <rFont val="Tahoma"/>
            <family val="2"/>
          </rPr>
          <t xml:space="preserve">
Acc 242.53</t>
        </r>
      </text>
    </comment>
    <comment ref="AI84" authorId="1" shapeId="0">
      <text>
        <r>
          <rPr>
            <b/>
            <sz val="10"/>
            <color indexed="81"/>
            <rFont val="Tahoma"/>
            <family val="2"/>
          </rPr>
          <t>Amnerys Valdes:</t>
        </r>
        <r>
          <rPr>
            <sz val="10"/>
            <color indexed="81"/>
            <rFont val="Tahoma"/>
            <family val="2"/>
          </rPr>
          <t xml:space="preserve">
Acc 242.53</t>
        </r>
      </text>
    </comment>
    <comment ref="A85" authorId="1" shapeId="0">
      <text>
        <r>
          <rPr>
            <b/>
            <sz val="10"/>
            <color indexed="81"/>
            <rFont val="Tahoma"/>
            <family val="2"/>
          </rPr>
          <t>Amnerys Valdes:</t>
        </r>
        <r>
          <rPr>
            <sz val="10"/>
            <color indexed="81"/>
            <rFont val="Tahoma"/>
            <family val="2"/>
          </rPr>
          <t xml:space="preserve">
Acc 242.98</t>
        </r>
      </text>
    </comment>
    <comment ref="O85" authorId="1" shapeId="0">
      <text>
        <r>
          <rPr>
            <b/>
            <sz val="10"/>
            <color indexed="81"/>
            <rFont val="Tahoma"/>
            <family val="2"/>
          </rPr>
          <t>Amnerys Valdes:</t>
        </r>
        <r>
          <rPr>
            <sz val="10"/>
            <color indexed="81"/>
            <rFont val="Tahoma"/>
            <family val="2"/>
          </rPr>
          <t xml:space="preserve">
Acc 242.98</t>
        </r>
      </text>
    </comment>
    <comment ref="P85" authorId="1" shapeId="0">
      <text>
        <r>
          <rPr>
            <b/>
            <sz val="10"/>
            <color indexed="81"/>
            <rFont val="Tahoma"/>
            <family val="2"/>
          </rPr>
          <t>Amnerys Valdes:</t>
        </r>
        <r>
          <rPr>
            <sz val="10"/>
            <color indexed="81"/>
            <rFont val="Tahoma"/>
            <family val="2"/>
          </rPr>
          <t xml:space="preserve">
Acc 242.98</t>
        </r>
      </text>
    </comment>
    <comment ref="Q85" authorId="1" shapeId="0">
      <text>
        <r>
          <rPr>
            <b/>
            <sz val="10"/>
            <color indexed="81"/>
            <rFont val="Tahoma"/>
            <family val="2"/>
          </rPr>
          <t>Amnerys Valdes:</t>
        </r>
        <r>
          <rPr>
            <sz val="10"/>
            <color indexed="81"/>
            <rFont val="Tahoma"/>
            <family val="2"/>
          </rPr>
          <t xml:space="preserve">
Acc 242.98</t>
        </r>
      </text>
    </comment>
    <comment ref="R85" authorId="1" shapeId="0">
      <text>
        <r>
          <rPr>
            <b/>
            <sz val="10"/>
            <color indexed="81"/>
            <rFont val="Tahoma"/>
            <family val="2"/>
          </rPr>
          <t>Amnerys Valdes:</t>
        </r>
        <r>
          <rPr>
            <sz val="10"/>
            <color indexed="81"/>
            <rFont val="Tahoma"/>
            <family val="2"/>
          </rPr>
          <t xml:space="preserve">
Acc 242.98</t>
        </r>
      </text>
    </comment>
    <comment ref="S85" authorId="1" shapeId="0">
      <text>
        <r>
          <rPr>
            <b/>
            <sz val="10"/>
            <color indexed="81"/>
            <rFont val="Tahoma"/>
            <family val="2"/>
          </rPr>
          <t>Amnerys Valdes:</t>
        </r>
        <r>
          <rPr>
            <sz val="10"/>
            <color indexed="81"/>
            <rFont val="Tahoma"/>
            <family val="2"/>
          </rPr>
          <t xml:space="preserve">
Acc 242.98</t>
        </r>
      </text>
    </comment>
    <comment ref="T85" authorId="1" shapeId="0">
      <text>
        <r>
          <rPr>
            <b/>
            <sz val="10"/>
            <color indexed="81"/>
            <rFont val="Tahoma"/>
            <family val="2"/>
          </rPr>
          <t>Amnerys Valdes:</t>
        </r>
        <r>
          <rPr>
            <sz val="10"/>
            <color indexed="81"/>
            <rFont val="Tahoma"/>
            <family val="2"/>
          </rPr>
          <t xml:space="preserve">
Acc 242.98</t>
        </r>
      </text>
    </comment>
    <comment ref="U85" authorId="1" shapeId="0">
      <text>
        <r>
          <rPr>
            <b/>
            <sz val="10"/>
            <color indexed="81"/>
            <rFont val="Tahoma"/>
            <family val="2"/>
          </rPr>
          <t>Amnerys Valdes:</t>
        </r>
        <r>
          <rPr>
            <sz val="10"/>
            <color indexed="81"/>
            <rFont val="Tahoma"/>
            <family val="2"/>
          </rPr>
          <t xml:space="preserve">
Acc 242.98</t>
        </r>
      </text>
    </comment>
    <comment ref="V85" authorId="1" shapeId="0">
      <text>
        <r>
          <rPr>
            <b/>
            <sz val="10"/>
            <color indexed="81"/>
            <rFont val="Tahoma"/>
            <family val="2"/>
          </rPr>
          <t>Amnerys Valdes:</t>
        </r>
        <r>
          <rPr>
            <sz val="10"/>
            <color indexed="81"/>
            <rFont val="Tahoma"/>
            <family val="2"/>
          </rPr>
          <t xml:space="preserve">
Acc 242.98</t>
        </r>
      </text>
    </comment>
    <comment ref="W85" authorId="1" shapeId="0">
      <text>
        <r>
          <rPr>
            <b/>
            <sz val="10"/>
            <color indexed="81"/>
            <rFont val="Tahoma"/>
            <family val="2"/>
          </rPr>
          <t>Amnerys Valdes:</t>
        </r>
        <r>
          <rPr>
            <sz val="10"/>
            <color indexed="81"/>
            <rFont val="Tahoma"/>
            <family val="2"/>
          </rPr>
          <t xml:space="preserve">
Acc 242.98</t>
        </r>
      </text>
    </comment>
    <comment ref="X85" authorId="1" shapeId="0">
      <text>
        <r>
          <rPr>
            <b/>
            <sz val="10"/>
            <color indexed="81"/>
            <rFont val="Tahoma"/>
            <family val="2"/>
          </rPr>
          <t>Amnerys Valdes:</t>
        </r>
        <r>
          <rPr>
            <sz val="10"/>
            <color indexed="81"/>
            <rFont val="Tahoma"/>
            <family val="2"/>
          </rPr>
          <t xml:space="preserve">
Acc 242.98</t>
        </r>
      </text>
    </comment>
    <comment ref="Y85" authorId="1" shapeId="0">
      <text>
        <r>
          <rPr>
            <b/>
            <sz val="10"/>
            <color indexed="81"/>
            <rFont val="Tahoma"/>
            <family val="2"/>
          </rPr>
          <t>Amnerys Valdes:</t>
        </r>
        <r>
          <rPr>
            <sz val="10"/>
            <color indexed="81"/>
            <rFont val="Tahoma"/>
            <family val="2"/>
          </rPr>
          <t xml:space="preserve">
Acc 242.98</t>
        </r>
      </text>
    </comment>
    <comment ref="Z85" authorId="1" shapeId="0">
      <text>
        <r>
          <rPr>
            <b/>
            <sz val="10"/>
            <color indexed="81"/>
            <rFont val="Tahoma"/>
            <family val="2"/>
          </rPr>
          <t>Amnerys Valdes:</t>
        </r>
        <r>
          <rPr>
            <sz val="10"/>
            <color indexed="81"/>
            <rFont val="Tahoma"/>
            <family val="2"/>
          </rPr>
          <t xml:space="preserve">
Acc 242.98</t>
        </r>
      </text>
    </comment>
    <comment ref="AA85" authorId="1" shapeId="0">
      <text>
        <r>
          <rPr>
            <b/>
            <sz val="10"/>
            <color indexed="81"/>
            <rFont val="Tahoma"/>
            <family val="2"/>
          </rPr>
          <t>Amnerys Valdes:</t>
        </r>
        <r>
          <rPr>
            <sz val="10"/>
            <color indexed="81"/>
            <rFont val="Tahoma"/>
            <family val="2"/>
          </rPr>
          <t xml:space="preserve">
Acc 242.98</t>
        </r>
      </text>
    </comment>
    <comment ref="AB85" authorId="1" shapeId="0">
      <text>
        <r>
          <rPr>
            <b/>
            <sz val="10"/>
            <color indexed="81"/>
            <rFont val="Tahoma"/>
            <family val="2"/>
          </rPr>
          <t>Amnerys Valdes:</t>
        </r>
        <r>
          <rPr>
            <sz val="10"/>
            <color indexed="81"/>
            <rFont val="Tahoma"/>
            <family val="2"/>
          </rPr>
          <t xml:space="preserve">
Acc 242.98</t>
        </r>
      </text>
    </comment>
    <comment ref="AC85" authorId="1" shapeId="0">
      <text>
        <r>
          <rPr>
            <b/>
            <sz val="10"/>
            <color indexed="81"/>
            <rFont val="Tahoma"/>
            <family val="2"/>
          </rPr>
          <t>Amnerys Valdes:</t>
        </r>
        <r>
          <rPr>
            <sz val="10"/>
            <color indexed="81"/>
            <rFont val="Tahoma"/>
            <family val="2"/>
          </rPr>
          <t xml:space="preserve">
Acc 242.98</t>
        </r>
      </text>
    </comment>
    <comment ref="AD85" authorId="1" shapeId="0">
      <text>
        <r>
          <rPr>
            <b/>
            <sz val="10"/>
            <color indexed="81"/>
            <rFont val="Tahoma"/>
            <family val="2"/>
          </rPr>
          <t>Amnerys Valdes:</t>
        </r>
        <r>
          <rPr>
            <sz val="10"/>
            <color indexed="81"/>
            <rFont val="Tahoma"/>
            <family val="2"/>
          </rPr>
          <t xml:space="preserve">
Acc 242.98</t>
        </r>
      </text>
    </comment>
    <comment ref="AE85" authorId="1" shapeId="0">
      <text>
        <r>
          <rPr>
            <b/>
            <sz val="10"/>
            <color indexed="81"/>
            <rFont val="Tahoma"/>
            <family val="2"/>
          </rPr>
          <t>Amnerys Valdes:</t>
        </r>
        <r>
          <rPr>
            <sz val="10"/>
            <color indexed="81"/>
            <rFont val="Tahoma"/>
            <family val="2"/>
          </rPr>
          <t xml:space="preserve">
Acc 242.98</t>
        </r>
      </text>
    </comment>
    <comment ref="AF85" authorId="1" shapeId="0">
      <text>
        <r>
          <rPr>
            <b/>
            <sz val="10"/>
            <color indexed="81"/>
            <rFont val="Tahoma"/>
            <family val="2"/>
          </rPr>
          <t>Amnerys Valdes:</t>
        </r>
        <r>
          <rPr>
            <sz val="10"/>
            <color indexed="81"/>
            <rFont val="Tahoma"/>
            <family val="2"/>
          </rPr>
          <t xml:space="preserve">
Acc 242.98</t>
        </r>
      </text>
    </comment>
    <comment ref="AG85" authorId="1" shapeId="0">
      <text>
        <r>
          <rPr>
            <b/>
            <sz val="10"/>
            <color indexed="81"/>
            <rFont val="Tahoma"/>
            <family val="2"/>
          </rPr>
          <t>Amnerys Valdes:</t>
        </r>
        <r>
          <rPr>
            <sz val="10"/>
            <color indexed="81"/>
            <rFont val="Tahoma"/>
            <family val="2"/>
          </rPr>
          <t xml:space="preserve">
Acc 242.98</t>
        </r>
      </text>
    </comment>
    <comment ref="AH85" authorId="1" shapeId="0">
      <text>
        <r>
          <rPr>
            <b/>
            <sz val="10"/>
            <color indexed="81"/>
            <rFont val="Tahoma"/>
            <family val="2"/>
          </rPr>
          <t>Amnerys Valdes:</t>
        </r>
        <r>
          <rPr>
            <sz val="10"/>
            <color indexed="81"/>
            <rFont val="Tahoma"/>
            <family val="2"/>
          </rPr>
          <t xml:space="preserve">
Acc 242.98</t>
        </r>
      </text>
    </comment>
    <comment ref="AI85" authorId="1" shapeId="0">
      <text>
        <r>
          <rPr>
            <b/>
            <sz val="10"/>
            <color indexed="81"/>
            <rFont val="Tahoma"/>
            <family val="2"/>
          </rPr>
          <t>Amnerys Valdes:</t>
        </r>
        <r>
          <rPr>
            <sz val="10"/>
            <color indexed="81"/>
            <rFont val="Tahoma"/>
            <family val="2"/>
          </rPr>
          <t xml:space="preserve">
Acc 242.98</t>
        </r>
      </text>
    </comment>
    <comment ref="A86" authorId="1" shapeId="0">
      <text>
        <r>
          <rPr>
            <b/>
            <sz val="10"/>
            <color indexed="81"/>
            <rFont val="Tahoma"/>
            <family val="2"/>
          </rPr>
          <t>Amnerys Valdes:</t>
        </r>
        <r>
          <rPr>
            <sz val="10"/>
            <color indexed="81"/>
            <rFont val="Tahoma"/>
            <family val="2"/>
          </rPr>
          <t xml:space="preserve">
Acc 242.98</t>
        </r>
      </text>
    </comment>
    <comment ref="X88" authorId="0" shapeId="0">
      <text>
        <r>
          <rPr>
            <b/>
            <sz val="9"/>
            <color indexed="81"/>
            <rFont val="Tahoma"/>
            <family val="2"/>
          </rPr>
          <t>Coe, Connie:</t>
        </r>
        <r>
          <rPr>
            <sz val="9"/>
            <color indexed="81"/>
            <rFont val="Tahoma"/>
            <family val="2"/>
          </rPr>
          <t xml:space="preserve">
Acct 245
</t>
        </r>
      </text>
    </comment>
    <comment ref="A89" authorId="1" shapeId="0">
      <text>
        <r>
          <rPr>
            <b/>
            <sz val="10"/>
            <color indexed="81"/>
            <rFont val="Tahoma"/>
            <family val="2"/>
          </rPr>
          <t>Amnerys Valdes:</t>
        </r>
        <r>
          <rPr>
            <sz val="10"/>
            <color indexed="81"/>
            <rFont val="Tahoma"/>
            <family val="2"/>
          </rPr>
          <t xml:space="preserve">
Acc 242 - (Acc 242.53 &amp; 242.98)</t>
        </r>
      </text>
    </comment>
    <comment ref="O89" authorId="1" shapeId="0">
      <text>
        <r>
          <rPr>
            <b/>
            <sz val="10"/>
            <color indexed="81"/>
            <rFont val="Tahoma"/>
            <family val="2"/>
          </rPr>
          <t>Amnerys Valdes:</t>
        </r>
        <r>
          <rPr>
            <sz val="10"/>
            <color indexed="81"/>
            <rFont val="Tahoma"/>
            <family val="2"/>
          </rPr>
          <t xml:space="preserve">
Acc 242 - (Acc 242.53 &amp; 242.98)</t>
        </r>
      </text>
    </comment>
    <comment ref="P89" authorId="1" shapeId="0">
      <text>
        <r>
          <rPr>
            <b/>
            <sz val="10"/>
            <color indexed="81"/>
            <rFont val="Tahoma"/>
            <family val="2"/>
          </rPr>
          <t>Amnerys Valdes:</t>
        </r>
        <r>
          <rPr>
            <sz val="10"/>
            <color indexed="81"/>
            <rFont val="Tahoma"/>
            <family val="2"/>
          </rPr>
          <t xml:space="preserve">
Acc 242 - (Acc 242.53 &amp; 242.98)</t>
        </r>
      </text>
    </comment>
    <comment ref="Q89" authorId="1" shapeId="0">
      <text>
        <r>
          <rPr>
            <b/>
            <sz val="10"/>
            <color indexed="81"/>
            <rFont val="Tahoma"/>
            <family val="2"/>
          </rPr>
          <t>Amnerys Valdes:</t>
        </r>
        <r>
          <rPr>
            <sz val="10"/>
            <color indexed="81"/>
            <rFont val="Tahoma"/>
            <family val="2"/>
          </rPr>
          <t xml:space="preserve">
Acc 242 - (Acc 242.53 &amp; 242.98)</t>
        </r>
      </text>
    </comment>
    <comment ref="R89" authorId="1" shapeId="0">
      <text>
        <r>
          <rPr>
            <b/>
            <sz val="10"/>
            <color indexed="81"/>
            <rFont val="Tahoma"/>
            <family val="2"/>
          </rPr>
          <t>Amnerys Valdes:</t>
        </r>
        <r>
          <rPr>
            <sz val="10"/>
            <color indexed="81"/>
            <rFont val="Tahoma"/>
            <family val="2"/>
          </rPr>
          <t xml:space="preserve">
Acc 242 - (Acc 242.53 &amp; 242.98)</t>
        </r>
      </text>
    </comment>
    <comment ref="S89" authorId="1" shapeId="0">
      <text>
        <r>
          <rPr>
            <b/>
            <sz val="10"/>
            <color indexed="81"/>
            <rFont val="Tahoma"/>
            <family val="2"/>
          </rPr>
          <t>Amnerys Valdes:</t>
        </r>
        <r>
          <rPr>
            <sz val="10"/>
            <color indexed="81"/>
            <rFont val="Tahoma"/>
            <family val="2"/>
          </rPr>
          <t xml:space="preserve">
Acc 242 - (Acc 242.53 &amp; 242.98)</t>
        </r>
      </text>
    </comment>
    <comment ref="T89" authorId="1" shapeId="0">
      <text>
        <r>
          <rPr>
            <b/>
            <sz val="10"/>
            <color indexed="81"/>
            <rFont val="Tahoma"/>
            <family val="2"/>
          </rPr>
          <t>Amnerys Valdes:</t>
        </r>
        <r>
          <rPr>
            <sz val="10"/>
            <color indexed="81"/>
            <rFont val="Tahoma"/>
            <family val="2"/>
          </rPr>
          <t xml:space="preserve">
Acc 242 - (Acc 242.53 &amp; 242.98)</t>
        </r>
      </text>
    </comment>
    <comment ref="U89" authorId="1" shapeId="0">
      <text>
        <r>
          <rPr>
            <b/>
            <sz val="10"/>
            <color indexed="81"/>
            <rFont val="Tahoma"/>
            <family val="2"/>
          </rPr>
          <t>Amnerys Valdes:</t>
        </r>
        <r>
          <rPr>
            <sz val="10"/>
            <color indexed="81"/>
            <rFont val="Tahoma"/>
            <family val="2"/>
          </rPr>
          <t xml:space="preserve">
Acc 242 - (Acc 242.53 &amp; 242.98)</t>
        </r>
      </text>
    </comment>
    <comment ref="V89" authorId="1" shapeId="0">
      <text>
        <r>
          <rPr>
            <b/>
            <sz val="10"/>
            <color indexed="81"/>
            <rFont val="Tahoma"/>
            <family val="2"/>
          </rPr>
          <t>Amnerys Valdes:</t>
        </r>
        <r>
          <rPr>
            <sz val="10"/>
            <color indexed="81"/>
            <rFont val="Tahoma"/>
            <family val="2"/>
          </rPr>
          <t xml:space="preserve">
Acc 242 - (Acc 242.53 &amp; 242.98)</t>
        </r>
      </text>
    </comment>
    <comment ref="W89" authorId="1" shapeId="0">
      <text>
        <r>
          <rPr>
            <b/>
            <sz val="10"/>
            <color indexed="81"/>
            <rFont val="Tahoma"/>
            <family val="2"/>
          </rPr>
          <t>Amnerys Valdes:</t>
        </r>
        <r>
          <rPr>
            <sz val="10"/>
            <color indexed="81"/>
            <rFont val="Tahoma"/>
            <family val="2"/>
          </rPr>
          <t xml:space="preserve">
Acc 242 - (Acc 242.53 &amp; 242.98)</t>
        </r>
      </text>
    </comment>
    <comment ref="X89" authorId="1" shapeId="0">
      <text>
        <r>
          <rPr>
            <b/>
            <sz val="10"/>
            <color indexed="81"/>
            <rFont val="Tahoma"/>
            <family val="2"/>
          </rPr>
          <t>Amnerys Valdes:</t>
        </r>
        <r>
          <rPr>
            <sz val="10"/>
            <color indexed="81"/>
            <rFont val="Tahoma"/>
            <family val="2"/>
          </rPr>
          <t xml:space="preserve">
Acc 242 - (Acc 242.53 &amp; 242.98) or detailed B/S less inactive dep. And Consv cost true-up</t>
        </r>
      </text>
    </comment>
    <comment ref="Y89" authorId="1" shapeId="0">
      <text>
        <r>
          <rPr>
            <b/>
            <sz val="10"/>
            <color indexed="81"/>
            <rFont val="Tahoma"/>
            <family val="2"/>
          </rPr>
          <t>Amnerys Valdes:</t>
        </r>
        <r>
          <rPr>
            <sz val="10"/>
            <color indexed="81"/>
            <rFont val="Tahoma"/>
            <family val="2"/>
          </rPr>
          <t xml:space="preserve">
Acc 242 - (Acc 242.53 &amp; 242.98)</t>
        </r>
      </text>
    </comment>
    <comment ref="Z89" authorId="1" shapeId="0">
      <text>
        <r>
          <rPr>
            <b/>
            <sz val="10"/>
            <color indexed="81"/>
            <rFont val="Tahoma"/>
            <family val="2"/>
          </rPr>
          <t>Amnerys Valdes:</t>
        </r>
        <r>
          <rPr>
            <sz val="10"/>
            <color indexed="81"/>
            <rFont val="Tahoma"/>
            <family val="2"/>
          </rPr>
          <t xml:space="preserve">
Acc 242 - (Acc 242.53 &amp; 242.98)</t>
        </r>
      </text>
    </comment>
    <comment ref="AA89" authorId="1" shapeId="0">
      <text>
        <r>
          <rPr>
            <b/>
            <sz val="10"/>
            <color indexed="81"/>
            <rFont val="Tahoma"/>
            <family val="2"/>
          </rPr>
          <t>Amnerys Valdes:</t>
        </r>
        <r>
          <rPr>
            <sz val="10"/>
            <color indexed="81"/>
            <rFont val="Tahoma"/>
            <family val="2"/>
          </rPr>
          <t xml:space="preserve">
Acc 242 - (Acc 242.53 &amp; 242.98)</t>
        </r>
      </text>
    </comment>
    <comment ref="AB89" authorId="1" shapeId="0">
      <text>
        <r>
          <rPr>
            <b/>
            <sz val="10"/>
            <color indexed="81"/>
            <rFont val="Tahoma"/>
            <family val="2"/>
          </rPr>
          <t>Amnerys Valdes:</t>
        </r>
        <r>
          <rPr>
            <sz val="10"/>
            <color indexed="81"/>
            <rFont val="Tahoma"/>
            <family val="2"/>
          </rPr>
          <t xml:space="preserve">
Acc 242 - (Acc 242.53 &amp; 242.98)</t>
        </r>
      </text>
    </comment>
    <comment ref="AC89" authorId="1" shapeId="0">
      <text>
        <r>
          <rPr>
            <b/>
            <sz val="10"/>
            <color indexed="81"/>
            <rFont val="Tahoma"/>
            <family val="2"/>
          </rPr>
          <t>Amnerys Valdes:</t>
        </r>
        <r>
          <rPr>
            <sz val="10"/>
            <color indexed="81"/>
            <rFont val="Tahoma"/>
            <family val="2"/>
          </rPr>
          <t xml:space="preserve">
Acc 242 - (Acc 242.53 &amp; 242.98)</t>
        </r>
      </text>
    </comment>
    <comment ref="AD89" authorId="1" shapeId="0">
      <text>
        <r>
          <rPr>
            <b/>
            <sz val="10"/>
            <color indexed="81"/>
            <rFont val="Tahoma"/>
            <family val="2"/>
          </rPr>
          <t>Amnerys Valdes:</t>
        </r>
        <r>
          <rPr>
            <sz val="10"/>
            <color indexed="81"/>
            <rFont val="Tahoma"/>
            <family val="2"/>
          </rPr>
          <t xml:space="preserve">
Acc 242 - (Acc 242.53 &amp; 242.98)</t>
        </r>
      </text>
    </comment>
    <comment ref="AE89" authorId="1" shapeId="0">
      <text>
        <r>
          <rPr>
            <b/>
            <sz val="10"/>
            <color indexed="81"/>
            <rFont val="Tahoma"/>
            <family val="2"/>
          </rPr>
          <t>Amnerys Valdes:</t>
        </r>
        <r>
          <rPr>
            <sz val="10"/>
            <color indexed="81"/>
            <rFont val="Tahoma"/>
            <family val="2"/>
          </rPr>
          <t xml:space="preserve">
Acc 242 - (Acc 242.53 &amp; 242.98)</t>
        </r>
      </text>
    </comment>
    <comment ref="AF89" authorId="1" shapeId="0">
      <text>
        <r>
          <rPr>
            <b/>
            <sz val="10"/>
            <color indexed="81"/>
            <rFont val="Tahoma"/>
            <family val="2"/>
          </rPr>
          <t>Amnerys Valdes:</t>
        </r>
        <r>
          <rPr>
            <sz val="10"/>
            <color indexed="81"/>
            <rFont val="Tahoma"/>
            <family val="2"/>
          </rPr>
          <t xml:space="preserve">
Acc 242 - (Acc 242.53 &amp; 242.98)</t>
        </r>
      </text>
    </comment>
    <comment ref="AG89" authorId="1" shapeId="0">
      <text>
        <r>
          <rPr>
            <b/>
            <sz val="10"/>
            <color indexed="81"/>
            <rFont val="Tahoma"/>
            <family val="2"/>
          </rPr>
          <t>Amnerys Valdes:</t>
        </r>
        <r>
          <rPr>
            <sz val="10"/>
            <color indexed="81"/>
            <rFont val="Tahoma"/>
            <family val="2"/>
          </rPr>
          <t xml:space="preserve">
Acc 242 - (Acc 242.53 &amp; 242.98)</t>
        </r>
      </text>
    </comment>
    <comment ref="AH89" authorId="1" shapeId="0">
      <text>
        <r>
          <rPr>
            <b/>
            <sz val="10"/>
            <color indexed="81"/>
            <rFont val="Tahoma"/>
            <family val="2"/>
          </rPr>
          <t>Amnerys Valdes:</t>
        </r>
        <r>
          <rPr>
            <sz val="10"/>
            <color indexed="81"/>
            <rFont val="Tahoma"/>
            <family val="2"/>
          </rPr>
          <t xml:space="preserve">
Acc 242 - (Acc 242.53 &amp; 242.98)</t>
        </r>
      </text>
    </comment>
    <comment ref="AI89" authorId="1" shapeId="0">
      <text>
        <r>
          <rPr>
            <b/>
            <sz val="10"/>
            <color indexed="81"/>
            <rFont val="Tahoma"/>
            <family val="2"/>
          </rPr>
          <t>Amnerys Valdes:</t>
        </r>
        <r>
          <rPr>
            <sz val="10"/>
            <color indexed="81"/>
            <rFont val="Tahoma"/>
            <family val="2"/>
          </rPr>
          <t xml:space="preserve">
Acc 242 - (Acc 242.53 &amp; 242.98)</t>
        </r>
      </text>
    </comment>
    <comment ref="X93" authorId="1" shapeId="0">
      <text>
        <r>
          <rPr>
            <b/>
            <sz val="10"/>
            <color indexed="81"/>
            <rFont val="Tahoma"/>
            <family val="2"/>
          </rPr>
          <t>Connie Coe:</t>
        </r>
        <r>
          <rPr>
            <sz val="10"/>
            <color indexed="81"/>
            <rFont val="Tahoma"/>
            <family val="2"/>
          </rPr>
          <t xml:space="preserve">
From detailed B/S (FRS-F506) </t>
        </r>
      </text>
    </comment>
    <comment ref="A94" authorId="1" shapeId="0">
      <text>
        <r>
          <rPr>
            <b/>
            <sz val="10"/>
            <color indexed="81"/>
            <rFont val="Tahoma"/>
            <family val="2"/>
          </rPr>
          <t>Amnerys Valdes:</t>
        </r>
        <r>
          <rPr>
            <sz val="10"/>
            <color indexed="81"/>
            <rFont val="Tahoma"/>
            <family val="2"/>
          </rPr>
          <t xml:space="preserve">
From detailed B/S (FRS-F506) or Trial Balance Acc 252</t>
        </r>
      </text>
    </comment>
    <comment ref="O94" authorId="1" shapeId="0">
      <text>
        <r>
          <rPr>
            <b/>
            <sz val="10"/>
            <color indexed="81"/>
            <rFont val="Tahoma"/>
            <family val="2"/>
          </rPr>
          <t>Amnerys Valdes:</t>
        </r>
        <r>
          <rPr>
            <sz val="10"/>
            <color indexed="81"/>
            <rFont val="Tahoma"/>
            <family val="2"/>
          </rPr>
          <t xml:space="preserve">
From detailed B/S (FRS-F506)</t>
        </r>
      </text>
    </comment>
    <comment ref="P94" authorId="1" shapeId="0">
      <text>
        <r>
          <rPr>
            <b/>
            <sz val="10"/>
            <color indexed="81"/>
            <rFont val="Tahoma"/>
            <family val="2"/>
          </rPr>
          <t>Amnerys Valdes:</t>
        </r>
        <r>
          <rPr>
            <sz val="10"/>
            <color indexed="81"/>
            <rFont val="Tahoma"/>
            <family val="2"/>
          </rPr>
          <t xml:space="preserve">
From detailed B/S (FRS-F506)</t>
        </r>
      </text>
    </comment>
    <comment ref="Q94" authorId="1" shapeId="0">
      <text>
        <r>
          <rPr>
            <b/>
            <sz val="10"/>
            <color indexed="81"/>
            <rFont val="Tahoma"/>
            <family val="2"/>
          </rPr>
          <t>Amnerys Valdes:</t>
        </r>
        <r>
          <rPr>
            <sz val="10"/>
            <color indexed="81"/>
            <rFont val="Tahoma"/>
            <family val="2"/>
          </rPr>
          <t xml:space="preserve">
From detailed B/S (FRS-F506) or Trial Balance Acc 252</t>
        </r>
      </text>
    </comment>
    <comment ref="R94" authorId="1" shapeId="0">
      <text>
        <r>
          <rPr>
            <b/>
            <sz val="10"/>
            <color indexed="81"/>
            <rFont val="Tahoma"/>
            <family val="2"/>
          </rPr>
          <t>Amnerys Valdes:</t>
        </r>
        <r>
          <rPr>
            <sz val="10"/>
            <color indexed="81"/>
            <rFont val="Tahoma"/>
            <family val="2"/>
          </rPr>
          <t xml:space="preserve">
From detailed B/S (FRS-F506) or Trial Balance Acc 252</t>
        </r>
      </text>
    </comment>
    <comment ref="S94" authorId="1" shapeId="0">
      <text>
        <r>
          <rPr>
            <b/>
            <sz val="10"/>
            <color indexed="81"/>
            <rFont val="Tahoma"/>
            <family val="2"/>
          </rPr>
          <t>Amnerys Valdes:</t>
        </r>
        <r>
          <rPr>
            <sz val="10"/>
            <color indexed="81"/>
            <rFont val="Tahoma"/>
            <family val="2"/>
          </rPr>
          <t xml:space="preserve">
From detailed B/S (FRS-F506) or Trial Balance Acc 252</t>
        </r>
      </text>
    </comment>
    <comment ref="T94" authorId="1" shapeId="0">
      <text>
        <r>
          <rPr>
            <b/>
            <sz val="10"/>
            <color indexed="81"/>
            <rFont val="Tahoma"/>
            <family val="2"/>
          </rPr>
          <t>Amnerys Valdes:</t>
        </r>
        <r>
          <rPr>
            <sz val="10"/>
            <color indexed="81"/>
            <rFont val="Tahoma"/>
            <family val="2"/>
          </rPr>
          <t xml:space="preserve">
From detailed B/S (FRS-F506) or Trial Balance Acc 252</t>
        </r>
      </text>
    </comment>
    <comment ref="U94" authorId="1" shapeId="0">
      <text>
        <r>
          <rPr>
            <b/>
            <sz val="10"/>
            <color indexed="81"/>
            <rFont val="Tahoma"/>
            <family val="2"/>
          </rPr>
          <t>Amnerys Valdes:</t>
        </r>
        <r>
          <rPr>
            <sz val="10"/>
            <color indexed="81"/>
            <rFont val="Tahoma"/>
            <family val="2"/>
          </rPr>
          <t xml:space="preserve">
From detailed B/S (FRS-F506) or Trial Balance Acc 252</t>
        </r>
      </text>
    </comment>
    <comment ref="V94" authorId="1" shapeId="0">
      <text>
        <r>
          <rPr>
            <b/>
            <sz val="10"/>
            <color indexed="81"/>
            <rFont val="Tahoma"/>
            <family val="2"/>
          </rPr>
          <t>Amnerys Valdes:</t>
        </r>
        <r>
          <rPr>
            <sz val="10"/>
            <color indexed="81"/>
            <rFont val="Tahoma"/>
            <family val="2"/>
          </rPr>
          <t xml:space="preserve">
From detailed B/S (FRS-F506) or Trial Balance Acc 252</t>
        </r>
      </text>
    </comment>
    <comment ref="W94" authorId="1" shapeId="0">
      <text>
        <r>
          <rPr>
            <b/>
            <sz val="10"/>
            <color indexed="81"/>
            <rFont val="Tahoma"/>
            <family val="2"/>
          </rPr>
          <t>Amnerys Valdes:</t>
        </r>
        <r>
          <rPr>
            <sz val="10"/>
            <color indexed="81"/>
            <rFont val="Tahoma"/>
            <family val="2"/>
          </rPr>
          <t xml:space="preserve">
From detailed B/S (FRS-F506) or Trial Balance Acc 252</t>
        </r>
      </text>
    </comment>
    <comment ref="X94" authorId="1" shapeId="0">
      <text>
        <r>
          <rPr>
            <b/>
            <sz val="10"/>
            <color indexed="81"/>
            <rFont val="Tahoma"/>
            <family val="2"/>
          </rPr>
          <t>Amnerys Valdes:</t>
        </r>
        <r>
          <rPr>
            <sz val="10"/>
            <color indexed="81"/>
            <rFont val="Tahoma"/>
            <family val="2"/>
          </rPr>
          <t xml:space="preserve">
From detailed B/S (FRS-F506) or Trial Balance Acc 252</t>
        </r>
      </text>
    </comment>
    <comment ref="Y94" authorId="1" shapeId="0">
      <text>
        <r>
          <rPr>
            <b/>
            <sz val="10"/>
            <color indexed="81"/>
            <rFont val="Tahoma"/>
            <family val="2"/>
          </rPr>
          <t>Amnerys Valdes:</t>
        </r>
        <r>
          <rPr>
            <sz val="10"/>
            <color indexed="81"/>
            <rFont val="Tahoma"/>
            <family val="2"/>
          </rPr>
          <t xml:space="preserve">
From detailed B/S (FRS-F506) or Trial Balance Acc 252</t>
        </r>
      </text>
    </comment>
    <comment ref="Z94" authorId="1" shapeId="0">
      <text>
        <r>
          <rPr>
            <b/>
            <sz val="10"/>
            <color indexed="81"/>
            <rFont val="Tahoma"/>
            <family val="2"/>
          </rPr>
          <t>Amnerys Valdes:</t>
        </r>
        <r>
          <rPr>
            <sz val="10"/>
            <color indexed="81"/>
            <rFont val="Tahoma"/>
            <family val="2"/>
          </rPr>
          <t xml:space="preserve">
From detailed B/S (FRS-F506) or Trial Balance Acc 252</t>
        </r>
      </text>
    </comment>
    <comment ref="AA94" authorId="1" shapeId="0">
      <text>
        <r>
          <rPr>
            <b/>
            <sz val="10"/>
            <color indexed="81"/>
            <rFont val="Tahoma"/>
            <family val="2"/>
          </rPr>
          <t>Amnerys Valdes:</t>
        </r>
        <r>
          <rPr>
            <sz val="10"/>
            <color indexed="81"/>
            <rFont val="Tahoma"/>
            <family val="2"/>
          </rPr>
          <t xml:space="preserve">
From detailed B/S (FRS-F506) or Trial Balance Acc 252</t>
        </r>
      </text>
    </comment>
    <comment ref="AB94" authorId="1" shapeId="0">
      <text>
        <r>
          <rPr>
            <b/>
            <sz val="10"/>
            <color indexed="81"/>
            <rFont val="Tahoma"/>
            <family val="2"/>
          </rPr>
          <t>Amnerys Valdes:</t>
        </r>
        <r>
          <rPr>
            <sz val="10"/>
            <color indexed="81"/>
            <rFont val="Tahoma"/>
            <family val="2"/>
          </rPr>
          <t xml:space="preserve">
From detailed B/S (FRS-F506) or Trial Balance Acc 252</t>
        </r>
      </text>
    </comment>
    <comment ref="AC94" authorId="1" shapeId="0">
      <text>
        <r>
          <rPr>
            <b/>
            <sz val="10"/>
            <color indexed="81"/>
            <rFont val="Tahoma"/>
            <family val="2"/>
          </rPr>
          <t>Amnerys Valdes:</t>
        </r>
        <r>
          <rPr>
            <sz val="10"/>
            <color indexed="81"/>
            <rFont val="Tahoma"/>
            <family val="2"/>
          </rPr>
          <t xml:space="preserve">
From detailed B/S (FRS-F506) or Trial Balance Acc 252</t>
        </r>
      </text>
    </comment>
    <comment ref="AD94" authorId="1" shapeId="0">
      <text>
        <r>
          <rPr>
            <b/>
            <sz val="10"/>
            <color indexed="81"/>
            <rFont val="Tahoma"/>
            <family val="2"/>
          </rPr>
          <t>Amnerys Valdes:</t>
        </r>
        <r>
          <rPr>
            <sz val="10"/>
            <color indexed="81"/>
            <rFont val="Tahoma"/>
            <family val="2"/>
          </rPr>
          <t xml:space="preserve">
From detailed B/S (FRS-F506) or Trial Balance Acc 252</t>
        </r>
      </text>
    </comment>
    <comment ref="AE94" authorId="1" shapeId="0">
      <text>
        <r>
          <rPr>
            <b/>
            <sz val="10"/>
            <color indexed="81"/>
            <rFont val="Tahoma"/>
            <family val="2"/>
          </rPr>
          <t>Amnerys Valdes:</t>
        </r>
        <r>
          <rPr>
            <sz val="10"/>
            <color indexed="81"/>
            <rFont val="Tahoma"/>
            <family val="2"/>
          </rPr>
          <t xml:space="preserve">
From detailed B/S (FRS-F506) or Trial Balance Acc 252</t>
        </r>
      </text>
    </comment>
    <comment ref="AF94" authorId="1" shapeId="0">
      <text>
        <r>
          <rPr>
            <b/>
            <sz val="10"/>
            <color indexed="81"/>
            <rFont val="Tahoma"/>
            <family val="2"/>
          </rPr>
          <t>Amnerys Valdes:</t>
        </r>
        <r>
          <rPr>
            <sz val="10"/>
            <color indexed="81"/>
            <rFont val="Tahoma"/>
            <family val="2"/>
          </rPr>
          <t xml:space="preserve">
From detailed B/S (FRS-F506) or Trial Balance Acc 252</t>
        </r>
      </text>
    </comment>
    <comment ref="AG94" authorId="1" shapeId="0">
      <text>
        <r>
          <rPr>
            <b/>
            <sz val="10"/>
            <color indexed="81"/>
            <rFont val="Tahoma"/>
            <family val="2"/>
          </rPr>
          <t>Amnerys Valdes:</t>
        </r>
        <r>
          <rPr>
            <sz val="10"/>
            <color indexed="81"/>
            <rFont val="Tahoma"/>
            <family val="2"/>
          </rPr>
          <t xml:space="preserve">
From detailed B/S (FRS-F506) or Trial Balance Acc 252</t>
        </r>
      </text>
    </comment>
    <comment ref="AH94" authorId="1" shapeId="0">
      <text>
        <r>
          <rPr>
            <b/>
            <sz val="10"/>
            <color indexed="81"/>
            <rFont val="Tahoma"/>
            <family val="2"/>
          </rPr>
          <t>Amnerys Valdes:</t>
        </r>
        <r>
          <rPr>
            <sz val="10"/>
            <color indexed="81"/>
            <rFont val="Tahoma"/>
            <family val="2"/>
          </rPr>
          <t xml:space="preserve">
From detailed B/S (FRS-F506) or Trial Balance Acc 252</t>
        </r>
      </text>
    </comment>
    <comment ref="AI94" authorId="1" shapeId="0">
      <text>
        <r>
          <rPr>
            <b/>
            <sz val="10"/>
            <color indexed="81"/>
            <rFont val="Tahoma"/>
            <family val="2"/>
          </rPr>
          <t>Amnerys Valdes:</t>
        </r>
        <r>
          <rPr>
            <sz val="10"/>
            <color indexed="81"/>
            <rFont val="Tahoma"/>
            <family val="2"/>
          </rPr>
          <t xml:space="preserve">
From detailed B/S (FRS-F506) or Trial Balance Acc 252</t>
        </r>
      </text>
    </comment>
    <comment ref="A95" authorId="1" shapeId="0">
      <text>
        <r>
          <rPr>
            <b/>
            <sz val="10"/>
            <color indexed="81"/>
            <rFont val="Tahoma"/>
            <family val="2"/>
          </rPr>
          <t>Amnerys Valdes:</t>
        </r>
        <r>
          <rPr>
            <sz val="10"/>
            <color indexed="81"/>
            <rFont val="Tahoma"/>
            <family val="2"/>
          </rPr>
          <t xml:space="preserve">
From detailed B/S (FRS-F506) or Trial Balance Acc 253 + 254</t>
        </r>
      </text>
    </comment>
    <comment ref="O95" authorId="1" shapeId="0">
      <text>
        <r>
          <rPr>
            <b/>
            <sz val="10"/>
            <color indexed="81"/>
            <rFont val="Tahoma"/>
            <family val="2"/>
          </rPr>
          <t>Amnerys Valdes:</t>
        </r>
        <r>
          <rPr>
            <sz val="10"/>
            <color indexed="81"/>
            <rFont val="Tahoma"/>
            <family val="2"/>
          </rPr>
          <t xml:space="preserve">
From detailed B/S (FRS-F506)</t>
        </r>
      </text>
    </comment>
    <comment ref="P95" authorId="1" shapeId="0">
      <text>
        <r>
          <rPr>
            <b/>
            <sz val="10"/>
            <color indexed="81"/>
            <rFont val="Tahoma"/>
            <family val="2"/>
          </rPr>
          <t>Amnerys Valdes:</t>
        </r>
        <r>
          <rPr>
            <sz val="10"/>
            <color indexed="81"/>
            <rFont val="Tahoma"/>
            <family val="2"/>
          </rPr>
          <t xml:space="preserve">
From detailed B/S (FRS-F506)</t>
        </r>
      </text>
    </comment>
    <comment ref="Q95" authorId="1" shapeId="0">
      <text>
        <r>
          <rPr>
            <b/>
            <sz val="10"/>
            <color indexed="81"/>
            <rFont val="Tahoma"/>
            <family val="2"/>
          </rPr>
          <t>Amnerys Valdes:</t>
        </r>
        <r>
          <rPr>
            <sz val="10"/>
            <color indexed="81"/>
            <rFont val="Tahoma"/>
            <family val="2"/>
          </rPr>
          <t xml:space="preserve">
From detailed B/S (FRS-F506) or Trial Balance Acc 253 + 254</t>
        </r>
      </text>
    </comment>
    <comment ref="R95" authorId="1" shapeId="0">
      <text>
        <r>
          <rPr>
            <b/>
            <sz val="10"/>
            <color indexed="81"/>
            <rFont val="Tahoma"/>
            <family val="2"/>
          </rPr>
          <t>Amnerys Valdes:</t>
        </r>
        <r>
          <rPr>
            <sz val="10"/>
            <color indexed="81"/>
            <rFont val="Tahoma"/>
            <family val="2"/>
          </rPr>
          <t xml:space="preserve">
From detailed B/S (FRS-F506) or Trial Balance Acc 253 + 254</t>
        </r>
      </text>
    </comment>
    <comment ref="S95" authorId="1" shapeId="0">
      <text>
        <r>
          <rPr>
            <b/>
            <sz val="10"/>
            <color indexed="81"/>
            <rFont val="Tahoma"/>
            <family val="2"/>
          </rPr>
          <t>Amnerys Valdes:</t>
        </r>
        <r>
          <rPr>
            <sz val="10"/>
            <color indexed="81"/>
            <rFont val="Tahoma"/>
            <family val="2"/>
          </rPr>
          <t xml:space="preserve">
From detailed B/S (FRS-F506) or Trial Balance Acc 253 + 254</t>
        </r>
      </text>
    </comment>
    <comment ref="T95" authorId="1" shapeId="0">
      <text>
        <r>
          <rPr>
            <b/>
            <sz val="10"/>
            <color indexed="81"/>
            <rFont val="Tahoma"/>
            <family val="2"/>
          </rPr>
          <t>Amnerys Valdes:</t>
        </r>
        <r>
          <rPr>
            <sz val="10"/>
            <color indexed="81"/>
            <rFont val="Tahoma"/>
            <family val="2"/>
          </rPr>
          <t xml:space="preserve">
From detailed B/S (FRS-F506) or Trial Balance Acc 253 + 254</t>
        </r>
      </text>
    </comment>
    <comment ref="U95" authorId="1" shapeId="0">
      <text>
        <r>
          <rPr>
            <b/>
            <sz val="10"/>
            <color indexed="81"/>
            <rFont val="Tahoma"/>
            <family val="2"/>
          </rPr>
          <t>Amnerys Valdes:</t>
        </r>
        <r>
          <rPr>
            <sz val="10"/>
            <color indexed="81"/>
            <rFont val="Tahoma"/>
            <family val="2"/>
          </rPr>
          <t xml:space="preserve">
From detailed B/S (FRS-F506) or Trial Balance Acc 253 + 254</t>
        </r>
      </text>
    </comment>
    <comment ref="V95" authorId="1" shapeId="0">
      <text>
        <r>
          <rPr>
            <b/>
            <sz val="10"/>
            <color indexed="81"/>
            <rFont val="Tahoma"/>
            <family val="2"/>
          </rPr>
          <t>Amnerys Valdes:</t>
        </r>
        <r>
          <rPr>
            <sz val="10"/>
            <color indexed="81"/>
            <rFont val="Tahoma"/>
            <family val="2"/>
          </rPr>
          <t xml:space="preserve">
From detailed B/S (FRS-F506) or Trial Balance Acc 253 + 254</t>
        </r>
      </text>
    </comment>
    <comment ref="W95" authorId="1" shapeId="0">
      <text>
        <r>
          <rPr>
            <b/>
            <sz val="10"/>
            <color indexed="81"/>
            <rFont val="Tahoma"/>
            <family val="2"/>
          </rPr>
          <t>Amnerys Valdes:</t>
        </r>
        <r>
          <rPr>
            <sz val="10"/>
            <color indexed="81"/>
            <rFont val="Tahoma"/>
            <family val="2"/>
          </rPr>
          <t xml:space="preserve">
From detailed B/S (FRS-F506) or Trial Balance Acc 253 + 254</t>
        </r>
      </text>
    </comment>
    <comment ref="X95" authorId="1" shapeId="0">
      <text>
        <r>
          <rPr>
            <b/>
            <sz val="10"/>
            <color indexed="81"/>
            <rFont val="Tahoma"/>
            <family val="2"/>
          </rPr>
          <t>Amnerys Valdes:</t>
        </r>
        <r>
          <rPr>
            <sz val="10"/>
            <color indexed="81"/>
            <rFont val="Tahoma"/>
            <family val="2"/>
          </rPr>
          <t xml:space="preserve">
From detailed B/S (FRS-F506) or Trial Balance Acc 253 + 254</t>
        </r>
      </text>
    </comment>
    <comment ref="Y95" authorId="1" shapeId="0">
      <text>
        <r>
          <rPr>
            <b/>
            <sz val="10"/>
            <color indexed="81"/>
            <rFont val="Tahoma"/>
            <family val="2"/>
          </rPr>
          <t>Amnerys Valdes:</t>
        </r>
        <r>
          <rPr>
            <sz val="10"/>
            <color indexed="81"/>
            <rFont val="Tahoma"/>
            <family val="2"/>
          </rPr>
          <t xml:space="preserve">
From detailed B/S (FRS-F506) or Trial Balance Acc 253 + 254</t>
        </r>
      </text>
    </comment>
    <comment ref="Z95" authorId="1" shapeId="0">
      <text>
        <r>
          <rPr>
            <b/>
            <sz val="10"/>
            <color indexed="81"/>
            <rFont val="Tahoma"/>
            <family val="2"/>
          </rPr>
          <t>Amnerys Valdes:</t>
        </r>
        <r>
          <rPr>
            <sz val="10"/>
            <color indexed="81"/>
            <rFont val="Tahoma"/>
            <family val="2"/>
          </rPr>
          <t xml:space="preserve">
From detailed B/S (FRS-F506) or Trial Balance Acc 253 + 254</t>
        </r>
      </text>
    </comment>
    <comment ref="AA95" authorId="1" shapeId="0">
      <text>
        <r>
          <rPr>
            <b/>
            <sz val="10"/>
            <color indexed="81"/>
            <rFont val="Tahoma"/>
            <family val="2"/>
          </rPr>
          <t>Amnerys Valdes:</t>
        </r>
        <r>
          <rPr>
            <sz val="10"/>
            <color indexed="81"/>
            <rFont val="Tahoma"/>
            <family val="2"/>
          </rPr>
          <t xml:space="preserve">
From detailed B/S (FRS-F506) or Trial Balance Acc 253 + 254</t>
        </r>
      </text>
    </comment>
    <comment ref="AB95" authorId="1" shapeId="0">
      <text>
        <r>
          <rPr>
            <b/>
            <sz val="10"/>
            <color indexed="81"/>
            <rFont val="Tahoma"/>
            <family val="2"/>
          </rPr>
          <t>Amnerys Valdes:</t>
        </r>
        <r>
          <rPr>
            <sz val="10"/>
            <color indexed="81"/>
            <rFont val="Tahoma"/>
            <family val="2"/>
          </rPr>
          <t xml:space="preserve">
From detailed B/S (FRS-F506) or Trial Balance Acc 253 + 254</t>
        </r>
      </text>
    </comment>
    <comment ref="AC95" authorId="1" shapeId="0">
      <text>
        <r>
          <rPr>
            <b/>
            <sz val="10"/>
            <color indexed="81"/>
            <rFont val="Tahoma"/>
            <family val="2"/>
          </rPr>
          <t>Amnerys Valdes:</t>
        </r>
        <r>
          <rPr>
            <sz val="10"/>
            <color indexed="81"/>
            <rFont val="Tahoma"/>
            <family val="2"/>
          </rPr>
          <t xml:space="preserve">
From detailed B/S (FRS-F506) or Trial Balance Acc 253 + 254</t>
        </r>
      </text>
    </comment>
    <comment ref="AD95" authorId="1" shapeId="0">
      <text>
        <r>
          <rPr>
            <b/>
            <sz val="10"/>
            <color indexed="81"/>
            <rFont val="Tahoma"/>
            <family val="2"/>
          </rPr>
          <t>Amnerys Valdes:</t>
        </r>
        <r>
          <rPr>
            <sz val="10"/>
            <color indexed="81"/>
            <rFont val="Tahoma"/>
            <family val="2"/>
          </rPr>
          <t xml:space="preserve">
From detailed B/S (FRS-F506) or Trial Balance Acc 253 + 254</t>
        </r>
      </text>
    </comment>
    <comment ref="AE95" authorId="1" shapeId="0">
      <text>
        <r>
          <rPr>
            <b/>
            <sz val="10"/>
            <color indexed="81"/>
            <rFont val="Tahoma"/>
            <family val="2"/>
          </rPr>
          <t>Amnerys Valdes:</t>
        </r>
        <r>
          <rPr>
            <sz val="10"/>
            <color indexed="81"/>
            <rFont val="Tahoma"/>
            <family val="2"/>
          </rPr>
          <t xml:space="preserve">
From detailed B/S (FRS-F506) or Trial Balance Acc 253 + 254</t>
        </r>
      </text>
    </comment>
    <comment ref="AF95" authorId="1" shapeId="0">
      <text>
        <r>
          <rPr>
            <b/>
            <sz val="10"/>
            <color indexed="81"/>
            <rFont val="Tahoma"/>
            <family val="2"/>
          </rPr>
          <t>Amnerys Valdes:</t>
        </r>
        <r>
          <rPr>
            <sz val="10"/>
            <color indexed="81"/>
            <rFont val="Tahoma"/>
            <family val="2"/>
          </rPr>
          <t xml:space="preserve">
From detailed B/S (FRS-F506) or Trial Balance Acc 253 + 254</t>
        </r>
      </text>
    </comment>
    <comment ref="AG95" authorId="1" shapeId="0">
      <text>
        <r>
          <rPr>
            <b/>
            <sz val="10"/>
            <color indexed="81"/>
            <rFont val="Tahoma"/>
            <family val="2"/>
          </rPr>
          <t>Amnerys Valdes:</t>
        </r>
        <r>
          <rPr>
            <sz val="10"/>
            <color indexed="81"/>
            <rFont val="Tahoma"/>
            <family val="2"/>
          </rPr>
          <t xml:space="preserve">
From detailed B/S (FRS-F506) or Trial Balance Acc 253 + 254</t>
        </r>
      </text>
    </comment>
    <comment ref="AH95" authorId="1" shapeId="0">
      <text>
        <r>
          <rPr>
            <b/>
            <sz val="10"/>
            <color indexed="81"/>
            <rFont val="Tahoma"/>
            <family val="2"/>
          </rPr>
          <t>Amnerys Valdes:</t>
        </r>
        <r>
          <rPr>
            <sz val="10"/>
            <color indexed="81"/>
            <rFont val="Tahoma"/>
            <family val="2"/>
          </rPr>
          <t xml:space="preserve">
From detailed B/S (FRS-F506) or Trial Balance Acc 253 + 254</t>
        </r>
      </text>
    </comment>
    <comment ref="AI95" authorId="1" shapeId="0">
      <text>
        <r>
          <rPr>
            <b/>
            <sz val="10"/>
            <color indexed="81"/>
            <rFont val="Tahoma"/>
            <family val="2"/>
          </rPr>
          <t>Amnerys Valdes:</t>
        </r>
        <r>
          <rPr>
            <sz val="10"/>
            <color indexed="81"/>
            <rFont val="Tahoma"/>
            <family val="2"/>
          </rPr>
          <t xml:space="preserve">
From detailed B/S (FRS-F506) or Trial Balance Acc 253 + 254</t>
        </r>
      </text>
    </comment>
    <comment ref="X96" authorId="1" shapeId="0">
      <text>
        <r>
          <rPr>
            <b/>
            <sz val="10"/>
            <color indexed="81"/>
            <rFont val="Tahoma"/>
            <family val="2"/>
          </rPr>
          <t>Connie Coe:</t>
        </r>
        <r>
          <rPr>
            <sz val="10"/>
            <color indexed="81"/>
            <rFont val="Tahoma"/>
            <family val="2"/>
          </rPr>
          <t xml:space="preserve">
From detailed B/S (FRS-F506) or Trial Balance Acc 253 + 254</t>
        </r>
      </text>
    </comment>
    <comment ref="X101" authorId="1" shapeId="0">
      <text>
        <r>
          <rPr>
            <b/>
            <sz val="10"/>
            <color indexed="81"/>
            <rFont val="Tahoma"/>
            <family val="2"/>
          </rPr>
          <t>Connie Coe:</t>
        </r>
        <r>
          <rPr>
            <sz val="10"/>
            <color indexed="81"/>
            <rFont val="Tahoma"/>
            <family val="2"/>
          </rPr>
          <t xml:space="preserve">
From detailed B/S (FRS-F506) </t>
        </r>
      </text>
    </comment>
  </commentList>
</comments>
</file>

<file path=xl/comments5.xml><?xml version="1.0" encoding="utf-8"?>
<comments xmlns="http://schemas.openxmlformats.org/spreadsheetml/2006/main">
  <authors>
    <author>Ascroft, Sean M.</author>
    <author>Coe, Connie</author>
    <author>Valdes, Amnerys</author>
    <author>Dowley, Thomas J.</author>
    <author>Elliott, Matthew E.</author>
  </authors>
  <commentList>
    <comment ref="DG9" authorId="0" shapeId="0">
      <text>
        <r>
          <rPr>
            <b/>
            <sz val="9"/>
            <color indexed="81"/>
            <rFont val="Tahoma"/>
            <family val="2"/>
          </rPr>
          <t>Ascroft, Sean M.:</t>
        </r>
        <r>
          <rPr>
            <sz val="9"/>
            <color indexed="81"/>
            <rFont val="Tahoma"/>
            <family val="2"/>
          </rPr>
          <t xml:space="preserve">
Removing 6800100 because deriving to 407, but offset account 6809000 is deriving to a BS account so not netting to zero on IS like it should. Being fixed in November.</t>
        </r>
      </text>
    </comment>
    <comment ref="DH9" authorId="0" shapeId="0">
      <text>
        <r>
          <rPr>
            <b/>
            <sz val="9"/>
            <color indexed="81"/>
            <rFont val="Tahoma"/>
            <family val="2"/>
          </rPr>
          <t>Ascroft, Sean M.:</t>
        </r>
        <r>
          <rPr>
            <sz val="9"/>
            <color indexed="81"/>
            <rFont val="Tahoma"/>
            <family val="2"/>
          </rPr>
          <t xml:space="preserve">
Removing 6800100 because deriving to 407, but offset account 6809000 is deriving to a BS account so not netting to zero on IS like it should. Being fixed in November.</t>
        </r>
      </text>
    </comment>
    <comment ref="AD10" authorId="1" shapeId="0">
      <text>
        <r>
          <rPr>
            <b/>
            <sz val="9"/>
            <color indexed="81"/>
            <rFont val="Tahoma"/>
            <family val="2"/>
          </rPr>
          <t>Coe, Connie:</t>
        </r>
        <r>
          <rPr>
            <sz val="9"/>
            <color indexed="81"/>
            <rFont val="Tahoma"/>
            <family val="2"/>
          </rPr>
          <t xml:space="preserve">
Include O&amp;M in PGA Clause</t>
        </r>
      </text>
    </comment>
    <comment ref="AE10" authorId="1" shapeId="0">
      <text>
        <r>
          <rPr>
            <b/>
            <sz val="9"/>
            <color indexed="81"/>
            <rFont val="Tahoma"/>
            <family val="2"/>
          </rPr>
          <t>Coe, Connie:</t>
        </r>
        <r>
          <rPr>
            <sz val="9"/>
            <color indexed="81"/>
            <rFont val="Tahoma"/>
            <family val="2"/>
          </rPr>
          <t xml:space="preserve">
Include O&amp;M in PGA Clause</t>
        </r>
      </text>
    </comment>
    <comment ref="AF10" authorId="1" shapeId="0">
      <text>
        <r>
          <rPr>
            <b/>
            <sz val="9"/>
            <color indexed="81"/>
            <rFont val="Tahoma"/>
            <family val="2"/>
          </rPr>
          <t>Coe, Connie:</t>
        </r>
        <r>
          <rPr>
            <sz val="9"/>
            <color indexed="81"/>
            <rFont val="Tahoma"/>
            <family val="2"/>
          </rPr>
          <t xml:space="preserve">
Include O&amp;M in PGA Clause</t>
        </r>
      </text>
    </comment>
    <comment ref="AG10" authorId="1" shapeId="0">
      <text>
        <r>
          <rPr>
            <b/>
            <sz val="9"/>
            <color indexed="81"/>
            <rFont val="Tahoma"/>
            <family val="2"/>
          </rPr>
          <t>Coe, Connie:</t>
        </r>
        <r>
          <rPr>
            <sz val="9"/>
            <color indexed="81"/>
            <rFont val="Tahoma"/>
            <family val="2"/>
          </rPr>
          <t xml:space="preserve">
Include O&amp;M in PGA Clause</t>
        </r>
      </text>
    </comment>
    <comment ref="AH10" authorId="1" shapeId="0">
      <text>
        <r>
          <rPr>
            <b/>
            <sz val="9"/>
            <color indexed="81"/>
            <rFont val="Tahoma"/>
            <family val="2"/>
          </rPr>
          <t>Coe, Connie:</t>
        </r>
        <r>
          <rPr>
            <sz val="9"/>
            <color indexed="81"/>
            <rFont val="Tahoma"/>
            <family val="2"/>
          </rPr>
          <t xml:space="preserve">
Include O&amp;M in PGA Clause</t>
        </r>
      </text>
    </comment>
    <comment ref="AI10" authorId="1" shapeId="0">
      <text>
        <r>
          <rPr>
            <b/>
            <sz val="9"/>
            <color indexed="81"/>
            <rFont val="Tahoma"/>
            <family val="2"/>
          </rPr>
          <t>Coe, Connie:</t>
        </r>
        <r>
          <rPr>
            <sz val="9"/>
            <color indexed="81"/>
            <rFont val="Tahoma"/>
            <family val="2"/>
          </rPr>
          <t xml:space="preserve">
Include O&amp;M in PGA Clause</t>
        </r>
      </text>
    </comment>
    <comment ref="AJ10" authorId="1" shapeId="0">
      <text>
        <r>
          <rPr>
            <b/>
            <sz val="9"/>
            <color indexed="81"/>
            <rFont val="Tahoma"/>
            <family val="2"/>
          </rPr>
          <t>Coe, Connie:</t>
        </r>
        <r>
          <rPr>
            <sz val="9"/>
            <color indexed="81"/>
            <rFont val="Tahoma"/>
            <family val="2"/>
          </rPr>
          <t xml:space="preserve">
Include O&amp;M in PGA Clause</t>
        </r>
      </text>
    </comment>
    <comment ref="AK10" authorId="1" shapeId="0">
      <text>
        <r>
          <rPr>
            <b/>
            <sz val="9"/>
            <color indexed="81"/>
            <rFont val="Tahoma"/>
            <family val="2"/>
          </rPr>
          <t>Coe, Connie:</t>
        </r>
        <r>
          <rPr>
            <sz val="9"/>
            <color indexed="81"/>
            <rFont val="Tahoma"/>
            <family val="2"/>
          </rPr>
          <t xml:space="preserve">
Include O&amp;M in PGA Clause</t>
        </r>
      </text>
    </comment>
    <comment ref="AL10" authorId="1" shapeId="0">
      <text>
        <r>
          <rPr>
            <b/>
            <sz val="9"/>
            <color indexed="81"/>
            <rFont val="Tahoma"/>
            <family val="2"/>
          </rPr>
          <t>Coe, Connie:</t>
        </r>
        <r>
          <rPr>
            <sz val="9"/>
            <color indexed="81"/>
            <rFont val="Tahoma"/>
            <family val="2"/>
          </rPr>
          <t xml:space="preserve">
Include O&amp;M in PGA Clause</t>
        </r>
      </text>
    </comment>
    <comment ref="AM10" authorId="1" shapeId="0">
      <text>
        <r>
          <rPr>
            <b/>
            <sz val="9"/>
            <color indexed="81"/>
            <rFont val="Tahoma"/>
            <family val="2"/>
          </rPr>
          <t>Coe, Connie:</t>
        </r>
        <r>
          <rPr>
            <sz val="9"/>
            <color indexed="81"/>
            <rFont val="Tahoma"/>
            <family val="2"/>
          </rPr>
          <t xml:space="preserve">
Include O&amp;M in PGA Clause</t>
        </r>
      </text>
    </comment>
    <comment ref="AN10" authorId="1" shapeId="0">
      <text>
        <r>
          <rPr>
            <b/>
            <sz val="9"/>
            <color indexed="81"/>
            <rFont val="Tahoma"/>
            <family val="2"/>
          </rPr>
          <t>Coe, Connie:</t>
        </r>
        <r>
          <rPr>
            <sz val="9"/>
            <color indexed="81"/>
            <rFont val="Tahoma"/>
            <family val="2"/>
          </rPr>
          <t xml:space="preserve">
Include O&amp;M in PGA Clause</t>
        </r>
      </text>
    </comment>
    <comment ref="AO10" authorId="1" shapeId="0">
      <text>
        <r>
          <rPr>
            <b/>
            <sz val="9"/>
            <color indexed="81"/>
            <rFont val="Tahoma"/>
            <family val="2"/>
          </rPr>
          <t>Coe, Connie:</t>
        </r>
        <r>
          <rPr>
            <sz val="9"/>
            <color indexed="81"/>
            <rFont val="Tahoma"/>
            <family val="2"/>
          </rPr>
          <t xml:space="preserve">
Include O&amp;M in PGA Clause</t>
        </r>
      </text>
    </comment>
    <comment ref="AD13" authorId="1" shapeId="0">
      <text>
        <r>
          <rPr>
            <b/>
            <sz val="9"/>
            <color indexed="81"/>
            <rFont val="Tahoma"/>
            <family val="2"/>
          </rPr>
          <t>Coe, Connie:</t>
        </r>
        <r>
          <rPr>
            <sz val="9"/>
            <color indexed="81"/>
            <rFont val="Tahoma"/>
            <family val="2"/>
          </rPr>
          <t xml:space="preserve">
Exclude O&amp;M in PGA Clause</t>
        </r>
      </text>
    </comment>
    <comment ref="AE13" authorId="1" shapeId="0">
      <text>
        <r>
          <rPr>
            <b/>
            <sz val="9"/>
            <color indexed="81"/>
            <rFont val="Tahoma"/>
            <family val="2"/>
          </rPr>
          <t>Coe, Connie:</t>
        </r>
        <r>
          <rPr>
            <sz val="9"/>
            <color indexed="81"/>
            <rFont val="Tahoma"/>
            <family val="2"/>
          </rPr>
          <t xml:space="preserve">
Exclude O&amp;M in PGA Clause</t>
        </r>
      </text>
    </comment>
    <comment ref="AF13" authorId="1" shapeId="0">
      <text>
        <r>
          <rPr>
            <b/>
            <sz val="9"/>
            <color indexed="81"/>
            <rFont val="Tahoma"/>
            <family val="2"/>
          </rPr>
          <t>Coe, Connie:</t>
        </r>
        <r>
          <rPr>
            <sz val="9"/>
            <color indexed="81"/>
            <rFont val="Tahoma"/>
            <family val="2"/>
          </rPr>
          <t xml:space="preserve">
Exclude O&amp;M in PGA Clause</t>
        </r>
      </text>
    </comment>
    <comment ref="AG13" authorId="1" shapeId="0">
      <text>
        <r>
          <rPr>
            <b/>
            <sz val="9"/>
            <color indexed="81"/>
            <rFont val="Tahoma"/>
            <family val="2"/>
          </rPr>
          <t>Coe, Connie:</t>
        </r>
        <r>
          <rPr>
            <sz val="9"/>
            <color indexed="81"/>
            <rFont val="Tahoma"/>
            <family val="2"/>
          </rPr>
          <t xml:space="preserve">
Exclude O&amp;M in PGA Clause</t>
        </r>
      </text>
    </comment>
    <comment ref="AH13" authorId="1" shapeId="0">
      <text>
        <r>
          <rPr>
            <b/>
            <sz val="9"/>
            <color indexed="81"/>
            <rFont val="Tahoma"/>
            <family val="2"/>
          </rPr>
          <t>Coe, Connie:</t>
        </r>
        <r>
          <rPr>
            <sz val="9"/>
            <color indexed="81"/>
            <rFont val="Tahoma"/>
            <family val="2"/>
          </rPr>
          <t xml:space="preserve">
Exclude O&amp;M in PGA Clause</t>
        </r>
      </text>
    </comment>
    <comment ref="AI13" authorId="1" shapeId="0">
      <text>
        <r>
          <rPr>
            <b/>
            <sz val="9"/>
            <color indexed="81"/>
            <rFont val="Tahoma"/>
            <family val="2"/>
          </rPr>
          <t>Coe, Connie:</t>
        </r>
        <r>
          <rPr>
            <sz val="9"/>
            <color indexed="81"/>
            <rFont val="Tahoma"/>
            <family val="2"/>
          </rPr>
          <t xml:space="preserve">
Exclude O&amp;M in PGA Clause</t>
        </r>
      </text>
    </comment>
    <comment ref="AJ13" authorId="1" shapeId="0">
      <text>
        <r>
          <rPr>
            <b/>
            <sz val="9"/>
            <color indexed="81"/>
            <rFont val="Tahoma"/>
            <family val="2"/>
          </rPr>
          <t>Coe, Connie:</t>
        </r>
        <r>
          <rPr>
            <sz val="9"/>
            <color indexed="81"/>
            <rFont val="Tahoma"/>
            <family val="2"/>
          </rPr>
          <t xml:space="preserve">
Exclude O&amp;M in PGA Clause</t>
        </r>
      </text>
    </comment>
    <comment ref="AK13" authorId="1" shapeId="0">
      <text>
        <r>
          <rPr>
            <b/>
            <sz val="9"/>
            <color indexed="81"/>
            <rFont val="Tahoma"/>
            <family val="2"/>
          </rPr>
          <t>Coe, Connie:</t>
        </r>
        <r>
          <rPr>
            <sz val="9"/>
            <color indexed="81"/>
            <rFont val="Tahoma"/>
            <family val="2"/>
          </rPr>
          <t xml:space="preserve">
Exclude O&amp;M in PGA Clause</t>
        </r>
      </text>
    </comment>
    <comment ref="AL13" authorId="1" shapeId="0">
      <text>
        <r>
          <rPr>
            <b/>
            <sz val="9"/>
            <color indexed="81"/>
            <rFont val="Tahoma"/>
            <family val="2"/>
          </rPr>
          <t>Coe, Connie:</t>
        </r>
        <r>
          <rPr>
            <sz val="9"/>
            <color indexed="81"/>
            <rFont val="Tahoma"/>
            <family val="2"/>
          </rPr>
          <t xml:space="preserve">
Exclude O&amp;M in PGA Clause</t>
        </r>
      </text>
    </comment>
    <comment ref="AM13" authorId="1" shapeId="0">
      <text>
        <r>
          <rPr>
            <b/>
            <sz val="9"/>
            <color indexed="81"/>
            <rFont val="Tahoma"/>
            <family val="2"/>
          </rPr>
          <t>Coe, Connie:</t>
        </r>
        <r>
          <rPr>
            <sz val="9"/>
            <color indexed="81"/>
            <rFont val="Tahoma"/>
            <family val="2"/>
          </rPr>
          <t xml:space="preserve">
Exclude O&amp;M in PGA Clause</t>
        </r>
      </text>
    </comment>
    <comment ref="AN13" authorId="1" shapeId="0">
      <text>
        <r>
          <rPr>
            <b/>
            <sz val="9"/>
            <color indexed="81"/>
            <rFont val="Tahoma"/>
            <family val="2"/>
          </rPr>
          <t>Coe, Connie:</t>
        </r>
        <r>
          <rPr>
            <sz val="9"/>
            <color indexed="81"/>
            <rFont val="Tahoma"/>
            <family val="2"/>
          </rPr>
          <t xml:space="preserve">
Exclude O&amp;M in PGA Clause</t>
        </r>
      </text>
    </comment>
    <comment ref="AO13" authorId="1" shapeId="0">
      <text>
        <r>
          <rPr>
            <b/>
            <sz val="9"/>
            <color indexed="81"/>
            <rFont val="Tahoma"/>
            <family val="2"/>
          </rPr>
          <t>Coe, Connie:</t>
        </r>
        <r>
          <rPr>
            <sz val="9"/>
            <color indexed="81"/>
            <rFont val="Tahoma"/>
            <family val="2"/>
          </rPr>
          <t xml:space="preserve">
Exclude O&amp;M in PGA Clause</t>
        </r>
      </text>
    </comment>
    <comment ref="DE13"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13"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N13" authorId="0" shapeId="0">
      <text>
        <r>
          <rPr>
            <b/>
            <sz val="9"/>
            <color indexed="81"/>
            <rFont val="Tahoma"/>
            <family val="2"/>
          </rPr>
          <t>Ascroft, Sean M.:</t>
        </r>
        <r>
          <rPr>
            <sz val="9"/>
            <color indexed="81"/>
            <rFont val="Tahoma"/>
            <family val="2"/>
          </rPr>
          <t xml:space="preserve">
Regular int exp hitting (7500020/7500080) was journaled to the incorrect order, which derived it to FERC 930.2. It should be hitting FERC 431. Manual reclass to the IS in May and will be fixed in the system in June.</t>
        </r>
      </text>
    </comment>
    <comment ref="AP21" authorId="2" shapeId="0">
      <text>
        <r>
          <rPr>
            <b/>
            <sz val="9"/>
            <color indexed="81"/>
            <rFont val="Tahoma"/>
            <family val="2"/>
          </rPr>
          <t>Valdes, Amnerys:</t>
        </r>
        <r>
          <rPr>
            <sz val="9"/>
            <color indexed="81"/>
            <rFont val="Tahoma"/>
            <family val="2"/>
          </rPr>
          <t xml:space="preserve">
FERC 9411400</t>
        </r>
      </text>
    </comment>
    <comment ref="AQ21" authorId="2" shapeId="0">
      <text>
        <r>
          <rPr>
            <b/>
            <sz val="9"/>
            <color indexed="81"/>
            <rFont val="Tahoma"/>
            <family val="2"/>
          </rPr>
          <t>Valdes, Amnerys:</t>
        </r>
        <r>
          <rPr>
            <sz val="9"/>
            <color indexed="81"/>
            <rFont val="Tahoma"/>
            <family val="2"/>
          </rPr>
          <t xml:space="preserve">
FERC 9411400</t>
        </r>
      </text>
    </comment>
    <comment ref="AR21" authorId="2" shapeId="0">
      <text>
        <r>
          <rPr>
            <b/>
            <sz val="9"/>
            <color indexed="81"/>
            <rFont val="Tahoma"/>
            <family val="2"/>
          </rPr>
          <t>Valdes, Amnerys:</t>
        </r>
        <r>
          <rPr>
            <sz val="9"/>
            <color indexed="81"/>
            <rFont val="Tahoma"/>
            <family val="2"/>
          </rPr>
          <t xml:space="preserve">
FERC 9411400</t>
        </r>
      </text>
    </comment>
    <comment ref="AS21" authorId="2" shapeId="0">
      <text>
        <r>
          <rPr>
            <b/>
            <sz val="9"/>
            <color indexed="81"/>
            <rFont val="Tahoma"/>
            <family val="2"/>
          </rPr>
          <t>Valdes, Amnerys:</t>
        </r>
        <r>
          <rPr>
            <sz val="9"/>
            <color indexed="81"/>
            <rFont val="Tahoma"/>
            <family val="2"/>
          </rPr>
          <t xml:space="preserve">
FERC 9411400</t>
        </r>
      </text>
    </comment>
    <comment ref="AT21" authorId="2" shapeId="0">
      <text>
        <r>
          <rPr>
            <b/>
            <sz val="9"/>
            <color indexed="81"/>
            <rFont val="Tahoma"/>
            <family val="2"/>
          </rPr>
          <t>Valdes, Amnerys:</t>
        </r>
        <r>
          <rPr>
            <sz val="9"/>
            <color indexed="81"/>
            <rFont val="Tahoma"/>
            <family val="2"/>
          </rPr>
          <t xml:space="preserve">
FERC 9411400</t>
        </r>
      </text>
    </comment>
    <comment ref="AU21" authorId="2" shapeId="0">
      <text>
        <r>
          <rPr>
            <b/>
            <sz val="9"/>
            <color indexed="81"/>
            <rFont val="Tahoma"/>
            <family val="2"/>
          </rPr>
          <t>Valdes, Amnerys:</t>
        </r>
        <r>
          <rPr>
            <sz val="9"/>
            <color indexed="81"/>
            <rFont val="Tahoma"/>
            <family val="2"/>
          </rPr>
          <t xml:space="preserve">
FERC 9411400</t>
        </r>
      </text>
    </comment>
    <comment ref="AV21" authorId="2" shapeId="0">
      <text>
        <r>
          <rPr>
            <b/>
            <sz val="9"/>
            <color indexed="81"/>
            <rFont val="Tahoma"/>
            <family val="2"/>
          </rPr>
          <t>Valdes, Amnerys:</t>
        </r>
        <r>
          <rPr>
            <sz val="9"/>
            <color indexed="81"/>
            <rFont val="Tahoma"/>
            <family val="2"/>
          </rPr>
          <t xml:space="preserve">
FERC 9411400</t>
        </r>
      </text>
    </comment>
    <comment ref="AW21" authorId="2" shapeId="0">
      <text>
        <r>
          <rPr>
            <b/>
            <sz val="9"/>
            <color indexed="81"/>
            <rFont val="Tahoma"/>
            <family val="2"/>
          </rPr>
          <t>Valdes, Amnerys:</t>
        </r>
        <r>
          <rPr>
            <sz val="9"/>
            <color indexed="81"/>
            <rFont val="Tahoma"/>
            <family val="2"/>
          </rPr>
          <t xml:space="preserve">
FERC 9411400</t>
        </r>
      </text>
    </comment>
    <comment ref="AX21" authorId="2" shapeId="0">
      <text>
        <r>
          <rPr>
            <b/>
            <sz val="9"/>
            <color indexed="81"/>
            <rFont val="Tahoma"/>
            <family val="2"/>
          </rPr>
          <t>Valdes, Amnerys:</t>
        </r>
        <r>
          <rPr>
            <sz val="9"/>
            <color indexed="81"/>
            <rFont val="Tahoma"/>
            <family val="2"/>
          </rPr>
          <t xml:space="preserve">
FERC 9411400</t>
        </r>
      </text>
    </comment>
    <comment ref="AY21" authorId="2" shapeId="0">
      <text>
        <r>
          <rPr>
            <b/>
            <sz val="9"/>
            <color indexed="81"/>
            <rFont val="Tahoma"/>
            <family val="2"/>
          </rPr>
          <t>Valdes, Amnerys:</t>
        </r>
        <r>
          <rPr>
            <sz val="9"/>
            <color indexed="81"/>
            <rFont val="Tahoma"/>
            <family val="2"/>
          </rPr>
          <t xml:space="preserve">
FERC 9411400</t>
        </r>
      </text>
    </comment>
    <comment ref="AZ21" authorId="2" shapeId="0">
      <text>
        <r>
          <rPr>
            <b/>
            <sz val="9"/>
            <color indexed="81"/>
            <rFont val="Tahoma"/>
            <family val="2"/>
          </rPr>
          <t>Valdes, Amnerys:</t>
        </r>
        <r>
          <rPr>
            <sz val="9"/>
            <color indexed="81"/>
            <rFont val="Tahoma"/>
            <family val="2"/>
          </rPr>
          <t xml:space="preserve">
FERC 9411400</t>
        </r>
      </text>
    </comment>
    <comment ref="BA21" authorId="2" shapeId="0">
      <text>
        <r>
          <rPr>
            <b/>
            <sz val="9"/>
            <color indexed="81"/>
            <rFont val="Tahoma"/>
            <family val="2"/>
          </rPr>
          <t>Valdes, Amnerys:</t>
        </r>
        <r>
          <rPr>
            <sz val="9"/>
            <color indexed="81"/>
            <rFont val="Tahoma"/>
            <family val="2"/>
          </rPr>
          <t xml:space="preserve">
FERC 9411400</t>
        </r>
      </text>
    </comment>
    <comment ref="BB21" authorId="2" shapeId="0">
      <text>
        <r>
          <rPr>
            <b/>
            <sz val="9"/>
            <color indexed="81"/>
            <rFont val="Tahoma"/>
            <family val="2"/>
          </rPr>
          <t>Valdes, Amnerys:</t>
        </r>
        <r>
          <rPr>
            <sz val="9"/>
            <color indexed="81"/>
            <rFont val="Tahoma"/>
            <family val="2"/>
          </rPr>
          <t xml:space="preserve">
FERC 9411400</t>
        </r>
      </text>
    </comment>
    <comment ref="BC21" authorId="2" shapeId="0">
      <text>
        <r>
          <rPr>
            <b/>
            <sz val="9"/>
            <color indexed="81"/>
            <rFont val="Tahoma"/>
            <family val="2"/>
          </rPr>
          <t>Valdes, Amnerys:</t>
        </r>
        <r>
          <rPr>
            <sz val="9"/>
            <color indexed="81"/>
            <rFont val="Tahoma"/>
            <family val="2"/>
          </rPr>
          <t xml:space="preserve">
FERC 9411400</t>
        </r>
      </text>
    </comment>
    <comment ref="BD21" authorId="2" shapeId="0">
      <text>
        <r>
          <rPr>
            <b/>
            <sz val="9"/>
            <color indexed="81"/>
            <rFont val="Tahoma"/>
            <family val="2"/>
          </rPr>
          <t>Valdes, Amnerys:</t>
        </r>
        <r>
          <rPr>
            <sz val="9"/>
            <color indexed="81"/>
            <rFont val="Tahoma"/>
            <family val="2"/>
          </rPr>
          <t xml:space="preserve">
FERC 9411400</t>
        </r>
      </text>
    </comment>
    <comment ref="BE21" authorId="2" shapeId="0">
      <text>
        <r>
          <rPr>
            <b/>
            <sz val="9"/>
            <color indexed="81"/>
            <rFont val="Tahoma"/>
            <family val="2"/>
          </rPr>
          <t>Valdes, Amnerys:</t>
        </r>
        <r>
          <rPr>
            <sz val="9"/>
            <color indexed="81"/>
            <rFont val="Tahoma"/>
            <family val="2"/>
          </rPr>
          <t xml:space="preserve">
FERC 9411400</t>
        </r>
      </text>
    </comment>
    <comment ref="BF21" authorId="2" shapeId="0">
      <text>
        <r>
          <rPr>
            <b/>
            <sz val="9"/>
            <color indexed="81"/>
            <rFont val="Tahoma"/>
            <family val="2"/>
          </rPr>
          <t>Valdes, Amnerys:</t>
        </r>
        <r>
          <rPr>
            <sz val="9"/>
            <color indexed="81"/>
            <rFont val="Tahoma"/>
            <family val="2"/>
          </rPr>
          <t xml:space="preserve">
FERC 9411400</t>
        </r>
      </text>
    </comment>
    <comment ref="BG21" authorId="2" shapeId="0">
      <text>
        <r>
          <rPr>
            <b/>
            <sz val="9"/>
            <color indexed="81"/>
            <rFont val="Tahoma"/>
            <family val="2"/>
          </rPr>
          <t>Valdes, Amnerys:</t>
        </r>
        <r>
          <rPr>
            <sz val="9"/>
            <color indexed="81"/>
            <rFont val="Tahoma"/>
            <family val="2"/>
          </rPr>
          <t xml:space="preserve">
FERC 9411400</t>
        </r>
      </text>
    </comment>
    <comment ref="DE3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3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AP38" authorId="2" shapeId="0">
      <text>
        <r>
          <rPr>
            <b/>
            <sz val="9"/>
            <color indexed="81"/>
            <rFont val="Tahoma"/>
            <family val="2"/>
          </rPr>
          <t>Valdes, Amnerys:</t>
        </r>
        <r>
          <rPr>
            <sz val="9"/>
            <color indexed="81"/>
            <rFont val="Tahoma"/>
            <family val="2"/>
          </rPr>
          <t xml:space="preserve">
7500000
7500020
7500080
7500090</t>
        </r>
      </text>
    </comment>
    <comment ref="AQ38" authorId="2" shapeId="0">
      <text>
        <r>
          <rPr>
            <b/>
            <sz val="9"/>
            <color indexed="81"/>
            <rFont val="Tahoma"/>
            <family val="2"/>
          </rPr>
          <t>Valdes, Amnerys:</t>
        </r>
        <r>
          <rPr>
            <sz val="9"/>
            <color indexed="81"/>
            <rFont val="Tahoma"/>
            <family val="2"/>
          </rPr>
          <t xml:space="preserve">
7500000
7500020
7500080
7500090</t>
        </r>
      </text>
    </comment>
    <comment ref="AR38" authorId="2" shapeId="0">
      <text>
        <r>
          <rPr>
            <b/>
            <sz val="9"/>
            <color indexed="81"/>
            <rFont val="Tahoma"/>
            <family val="2"/>
          </rPr>
          <t>Valdes, Amnerys:</t>
        </r>
        <r>
          <rPr>
            <sz val="9"/>
            <color indexed="81"/>
            <rFont val="Tahoma"/>
            <family val="2"/>
          </rPr>
          <t xml:space="preserve">
7500000
7500020
7500080
7500090</t>
        </r>
      </text>
    </comment>
    <comment ref="AS38" authorId="2" shapeId="0">
      <text>
        <r>
          <rPr>
            <b/>
            <sz val="9"/>
            <color indexed="81"/>
            <rFont val="Tahoma"/>
            <family val="2"/>
          </rPr>
          <t>Valdes, Amnerys:</t>
        </r>
        <r>
          <rPr>
            <sz val="9"/>
            <color indexed="81"/>
            <rFont val="Tahoma"/>
            <family val="2"/>
          </rPr>
          <t xml:space="preserve">
7500000
7500020
7500080
7500090</t>
        </r>
      </text>
    </comment>
    <comment ref="AT38" authorId="2" shapeId="0">
      <text>
        <r>
          <rPr>
            <b/>
            <sz val="9"/>
            <color indexed="81"/>
            <rFont val="Tahoma"/>
            <family val="2"/>
          </rPr>
          <t>Valdes, Amnerys:</t>
        </r>
        <r>
          <rPr>
            <sz val="9"/>
            <color indexed="81"/>
            <rFont val="Tahoma"/>
            <family val="2"/>
          </rPr>
          <t xml:space="preserve">
7500000
7500020
7500080
7500090</t>
        </r>
      </text>
    </comment>
    <comment ref="AU38" authorId="2" shapeId="0">
      <text>
        <r>
          <rPr>
            <b/>
            <sz val="9"/>
            <color indexed="81"/>
            <rFont val="Tahoma"/>
            <family val="2"/>
          </rPr>
          <t>Valdes, Amnerys:</t>
        </r>
        <r>
          <rPr>
            <sz val="9"/>
            <color indexed="81"/>
            <rFont val="Tahoma"/>
            <family val="2"/>
          </rPr>
          <t xml:space="preserve">
7500000
7500020
7500080
7500090</t>
        </r>
      </text>
    </comment>
    <comment ref="AV38" authorId="2" shapeId="0">
      <text>
        <r>
          <rPr>
            <b/>
            <sz val="9"/>
            <color indexed="81"/>
            <rFont val="Tahoma"/>
            <family val="2"/>
          </rPr>
          <t>Valdes, Amnerys:</t>
        </r>
        <r>
          <rPr>
            <sz val="9"/>
            <color indexed="81"/>
            <rFont val="Tahoma"/>
            <family val="2"/>
          </rPr>
          <t xml:space="preserve">
7500000
7500020
7500080
7500090</t>
        </r>
      </text>
    </comment>
    <comment ref="AW38" authorId="2" shapeId="0">
      <text>
        <r>
          <rPr>
            <b/>
            <sz val="9"/>
            <color indexed="81"/>
            <rFont val="Tahoma"/>
            <family val="2"/>
          </rPr>
          <t>Valdes, Amnerys:</t>
        </r>
        <r>
          <rPr>
            <sz val="9"/>
            <color indexed="81"/>
            <rFont val="Tahoma"/>
            <family val="2"/>
          </rPr>
          <t xml:space="preserve">
7500000
7500020
7500080
7500090</t>
        </r>
      </text>
    </comment>
    <comment ref="AX38" authorId="2" shapeId="0">
      <text>
        <r>
          <rPr>
            <b/>
            <sz val="9"/>
            <color indexed="81"/>
            <rFont val="Tahoma"/>
            <family val="2"/>
          </rPr>
          <t>Valdes, Amnerys:</t>
        </r>
        <r>
          <rPr>
            <sz val="9"/>
            <color indexed="81"/>
            <rFont val="Tahoma"/>
            <family val="2"/>
          </rPr>
          <t xml:space="preserve">
7500000
7500020
7500080
7500090</t>
        </r>
      </text>
    </comment>
    <comment ref="AY38" authorId="2" shapeId="0">
      <text>
        <r>
          <rPr>
            <b/>
            <sz val="9"/>
            <color indexed="81"/>
            <rFont val="Tahoma"/>
            <family val="2"/>
          </rPr>
          <t>Valdes, Amnerys:</t>
        </r>
        <r>
          <rPr>
            <sz val="9"/>
            <color indexed="81"/>
            <rFont val="Tahoma"/>
            <family val="2"/>
          </rPr>
          <t xml:space="preserve">
7500000
7500020
7500080
7500090</t>
        </r>
      </text>
    </comment>
    <comment ref="AZ38" authorId="2" shapeId="0">
      <text>
        <r>
          <rPr>
            <b/>
            <sz val="9"/>
            <color indexed="81"/>
            <rFont val="Tahoma"/>
            <family val="2"/>
          </rPr>
          <t>Valdes, Amnerys:</t>
        </r>
        <r>
          <rPr>
            <sz val="9"/>
            <color indexed="81"/>
            <rFont val="Tahoma"/>
            <family val="2"/>
          </rPr>
          <t xml:space="preserve">
7500000
7500020
7500080
7500090</t>
        </r>
      </text>
    </comment>
    <comment ref="BA38" authorId="2" shapeId="0">
      <text>
        <r>
          <rPr>
            <b/>
            <sz val="9"/>
            <color indexed="81"/>
            <rFont val="Tahoma"/>
            <family val="2"/>
          </rPr>
          <t>Valdes, Amnerys:</t>
        </r>
        <r>
          <rPr>
            <sz val="9"/>
            <color indexed="81"/>
            <rFont val="Tahoma"/>
            <family val="2"/>
          </rPr>
          <t xml:space="preserve">
7500000
7500020
7500080
7500090</t>
        </r>
      </text>
    </comment>
    <comment ref="BB38" authorId="2" shapeId="0">
      <text>
        <r>
          <rPr>
            <b/>
            <sz val="9"/>
            <color indexed="81"/>
            <rFont val="Tahoma"/>
            <family val="2"/>
          </rPr>
          <t>Valdes, Amnerys:</t>
        </r>
        <r>
          <rPr>
            <sz val="9"/>
            <color indexed="81"/>
            <rFont val="Tahoma"/>
            <family val="2"/>
          </rPr>
          <t xml:space="preserve">
7500000
7500020
7500080
7500090</t>
        </r>
      </text>
    </comment>
    <comment ref="BC38" authorId="2" shapeId="0">
      <text>
        <r>
          <rPr>
            <b/>
            <sz val="9"/>
            <color indexed="81"/>
            <rFont val="Tahoma"/>
            <family val="2"/>
          </rPr>
          <t>Valdes, Amnerys:</t>
        </r>
        <r>
          <rPr>
            <sz val="9"/>
            <color indexed="81"/>
            <rFont val="Tahoma"/>
            <family val="2"/>
          </rPr>
          <t xml:space="preserve">
7500000
7500020
7500080
7500090</t>
        </r>
      </text>
    </comment>
    <comment ref="BD38" authorId="2" shapeId="0">
      <text>
        <r>
          <rPr>
            <b/>
            <sz val="9"/>
            <color indexed="81"/>
            <rFont val="Tahoma"/>
            <family val="2"/>
          </rPr>
          <t>Valdes, Amnerys:</t>
        </r>
        <r>
          <rPr>
            <sz val="9"/>
            <color indexed="81"/>
            <rFont val="Tahoma"/>
            <family val="2"/>
          </rPr>
          <t xml:space="preserve">
7500000
7500020
7500080
7500090</t>
        </r>
      </text>
    </comment>
    <comment ref="BE38" authorId="2" shapeId="0">
      <text>
        <r>
          <rPr>
            <b/>
            <sz val="9"/>
            <color indexed="81"/>
            <rFont val="Tahoma"/>
            <family val="2"/>
          </rPr>
          <t>Valdes, Amnerys:</t>
        </r>
        <r>
          <rPr>
            <sz val="9"/>
            <color indexed="81"/>
            <rFont val="Tahoma"/>
            <family val="2"/>
          </rPr>
          <t xml:space="preserve">
7500000
7500020
7500080
7500090</t>
        </r>
      </text>
    </comment>
    <comment ref="BF38" authorId="2" shapeId="0">
      <text>
        <r>
          <rPr>
            <b/>
            <sz val="9"/>
            <color indexed="81"/>
            <rFont val="Tahoma"/>
            <family val="2"/>
          </rPr>
          <t>Valdes, Amnerys:</t>
        </r>
        <r>
          <rPr>
            <sz val="9"/>
            <color indexed="81"/>
            <rFont val="Tahoma"/>
            <family val="2"/>
          </rPr>
          <t xml:space="preserve">
7500000
7500020
7500080
7500090</t>
        </r>
      </text>
    </comment>
    <comment ref="BG38" authorId="2" shapeId="0">
      <text>
        <r>
          <rPr>
            <b/>
            <sz val="9"/>
            <color indexed="81"/>
            <rFont val="Tahoma"/>
            <family val="2"/>
          </rPr>
          <t>Valdes, Amnerys:</t>
        </r>
        <r>
          <rPr>
            <sz val="9"/>
            <color indexed="81"/>
            <rFont val="Tahoma"/>
            <family val="2"/>
          </rPr>
          <t xml:space="preserve">
7500000
7500020
7500080
7500090</t>
        </r>
      </text>
    </comment>
    <comment ref="DN41" authorId="0" shapeId="0">
      <text>
        <r>
          <rPr>
            <b/>
            <sz val="9"/>
            <color indexed="81"/>
            <rFont val="Tahoma"/>
            <family val="2"/>
          </rPr>
          <t>Ascroft, Sean M.:</t>
        </r>
        <r>
          <rPr>
            <sz val="9"/>
            <color indexed="81"/>
            <rFont val="Tahoma"/>
            <family val="2"/>
          </rPr>
          <t xml:space="preserve">
Regular int exp hitting (7500020/7500080) was journaled to the incorrect order, which derived it to FERC 930.2. It should be hitting FERC 431. Manual reclass to the IS in May and will be fixed in the system in June.</t>
        </r>
      </text>
    </comment>
    <comment ref="DE4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4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AV46" authorId="2" shapeId="0">
      <text>
        <r>
          <rPr>
            <b/>
            <sz val="9"/>
            <color indexed="81"/>
            <rFont val="Tahoma"/>
            <family val="2"/>
          </rPr>
          <t>Valdes, Amnerys:</t>
        </r>
        <r>
          <rPr>
            <sz val="9"/>
            <color indexed="81"/>
            <rFont val="Tahoma"/>
            <family val="2"/>
          </rPr>
          <t xml:space="preserve">
Ferc 587000 reclassed in Aug 14.  should have never occurred.</t>
        </r>
      </text>
    </comment>
    <comment ref="AW46" authorId="2" shapeId="0">
      <text>
        <r>
          <rPr>
            <b/>
            <sz val="9"/>
            <color indexed="81"/>
            <rFont val="Tahoma"/>
            <family val="2"/>
          </rPr>
          <t>Valdes, Amnerys:</t>
        </r>
        <r>
          <rPr>
            <sz val="9"/>
            <color indexed="81"/>
            <rFont val="Tahoma"/>
            <family val="2"/>
          </rPr>
          <t xml:space="preserve">
Ferc 587000 reclassed in Aug 14.  should have never occurred.</t>
        </r>
      </text>
    </comment>
    <comment ref="BG51" authorId="0" shapeId="0">
      <text>
        <r>
          <rPr>
            <b/>
            <sz val="9"/>
            <color indexed="81"/>
            <rFont val="Tahoma"/>
            <family val="2"/>
          </rPr>
          <t>Ascroft, Sean M.:</t>
        </r>
        <r>
          <rPr>
            <sz val="9"/>
            <color indexed="81"/>
            <rFont val="Tahoma"/>
            <family val="2"/>
          </rPr>
          <t xml:space="preserve">
Insert from NI Ferc SAP</t>
        </r>
      </text>
    </comment>
    <comment ref="EC51" authorId="3" shapeId="0">
      <text>
        <r>
          <rPr>
            <b/>
            <sz val="9"/>
            <color indexed="81"/>
            <rFont val="Tahoma"/>
            <family val="2"/>
          </rPr>
          <t>Dowley, Thomas J.:</t>
        </r>
        <r>
          <rPr>
            <sz val="9"/>
            <color indexed="81"/>
            <rFont val="Tahoma"/>
            <family val="2"/>
          </rPr>
          <t xml:space="preserve">
Dividends were paid in aug 2021 so had to net 8999998 and 8999999 in FERD</t>
        </r>
      </text>
    </comment>
    <comment ref="EF51" authorId="4" shapeId="0">
      <text>
        <r>
          <rPr>
            <b/>
            <sz val="9"/>
            <color indexed="81"/>
            <rFont val="Tahoma"/>
            <family val="2"/>
          </rPr>
          <t>Elliott, Matthew E.:</t>
        </r>
        <r>
          <rPr>
            <sz val="9"/>
            <color indexed="81"/>
            <rFont val="Tahoma"/>
            <family val="2"/>
          </rPr>
          <t xml:space="preserve">
Due to payment of Dividends, so had to net 8999998 and 8999999 in FERD</t>
        </r>
      </text>
    </comment>
  </commentList>
</comments>
</file>

<file path=xl/comments6.xml><?xml version="1.0" encoding="utf-8"?>
<comments xmlns="http://schemas.openxmlformats.org/spreadsheetml/2006/main">
  <authors>
    <author>Paul Higgins</author>
  </authors>
  <commentList>
    <comment ref="E25" authorId="0" shapeId="0">
      <text>
        <r>
          <rPr>
            <b/>
            <sz val="8"/>
            <color indexed="81"/>
            <rFont val="Tahoma"/>
            <family val="2"/>
          </rPr>
          <t>Paul Higgins:</t>
        </r>
        <r>
          <rPr>
            <sz val="8"/>
            <color indexed="81"/>
            <rFont val="Tahoma"/>
            <family val="2"/>
          </rPr>
          <t xml:space="preserve">
Tied to income statement input section</t>
        </r>
      </text>
    </comment>
    <comment ref="E58" authorId="0" shapeId="0">
      <text>
        <r>
          <rPr>
            <b/>
            <sz val="8"/>
            <color indexed="81"/>
            <rFont val="Tahoma"/>
            <family val="2"/>
          </rPr>
          <t>Paul Higgins:</t>
        </r>
        <r>
          <rPr>
            <sz val="8"/>
            <color indexed="81"/>
            <rFont val="Tahoma"/>
            <family val="2"/>
          </rPr>
          <t xml:space="preserve">
Tied to income statement input section</t>
        </r>
      </text>
    </comment>
  </commentList>
</comments>
</file>

<file path=xl/comments7.xml><?xml version="1.0" encoding="utf-8"?>
<comments xmlns="http://schemas.openxmlformats.org/spreadsheetml/2006/main">
  <authors>
    <author>A satisfied Microsoft Office User</author>
    <author>Hoyos, Nichole</author>
    <author>Paul Higgins</author>
    <author>Ascroft, Sean M.</author>
    <author>Dowley, Thomas J.</author>
  </authors>
  <commentList>
    <comment ref="D72" authorId="0" shapeId="0">
      <text>
        <r>
          <rPr>
            <sz val="8"/>
            <color indexed="81"/>
            <rFont val="Tahoma"/>
            <family val="2"/>
          </rPr>
          <t xml:space="preserve">Change reference each month to one row lower; 
</t>
        </r>
      </text>
    </comment>
    <comment ref="F72" authorId="0" shapeId="0">
      <text>
        <r>
          <rPr>
            <sz val="8"/>
            <color indexed="81"/>
            <rFont val="Tahoma"/>
            <family val="2"/>
          </rPr>
          <t xml:space="preserve">Change reference each month to one row lower; 
</t>
        </r>
      </text>
    </comment>
    <comment ref="A74" authorId="1" shapeId="0">
      <text>
        <r>
          <rPr>
            <b/>
            <sz val="9"/>
            <color indexed="81"/>
            <rFont val="Tahoma"/>
            <family val="2"/>
          </rPr>
          <t xml:space="preserve">Hoyos, Nichole:
</t>
        </r>
        <r>
          <rPr>
            <sz val="9"/>
            <color indexed="81"/>
            <rFont val="Tahoma"/>
            <family val="2"/>
          </rPr>
          <t xml:space="preserve">Pulling from CM CIBSR Over-Under Calculation File in the Files from Other Folder. </t>
        </r>
      </text>
    </comment>
    <comment ref="F114" authorId="2" shapeId="0">
      <text>
        <r>
          <rPr>
            <b/>
            <sz val="8"/>
            <color indexed="81"/>
            <rFont val="Tahoma"/>
            <family val="2"/>
          </rPr>
          <t>Amnerys Valdes:</t>
        </r>
        <r>
          <rPr>
            <sz val="8"/>
            <color indexed="81"/>
            <rFont val="Tahoma"/>
            <family val="2"/>
          </rPr>
          <t xml:space="preserve">
Per Rate Order (2002), item no. S; Acc 930.05 x 5% disallowance per FAC 25-7.042
</t>
        </r>
        <r>
          <rPr>
            <b/>
            <sz val="8"/>
            <color indexed="10"/>
            <rFont val="Tahoma"/>
            <family val="2"/>
          </rPr>
          <t>Amnerys Valdes:</t>
        </r>
        <r>
          <rPr>
            <sz val="8"/>
            <color indexed="10"/>
            <rFont val="Tahoma"/>
            <family val="2"/>
          </rPr>
          <t xml:space="preserve">
UPDATED FOR DEC 2013</t>
        </r>
      </text>
    </comment>
    <comment ref="F115" authorId="2" shapeId="0">
      <text>
        <r>
          <rPr>
            <b/>
            <sz val="8"/>
            <color indexed="81"/>
            <rFont val="Tahoma"/>
            <family val="2"/>
          </rPr>
          <t>Amnerys Valdes:</t>
        </r>
        <r>
          <rPr>
            <sz val="8"/>
            <color indexed="81"/>
            <rFont val="Tahoma"/>
            <family val="2"/>
          </rPr>
          <t xml:space="preserve">
Based on Rate Case Order (item no. V.R); 
Amount comes from Maria Quiñones  Acc 926.01 Analysis report
</t>
        </r>
        <r>
          <rPr>
            <b/>
            <sz val="8"/>
            <color indexed="10"/>
            <rFont val="Tahoma"/>
            <family val="2"/>
          </rPr>
          <t xml:space="preserve">Connie Coe:
</t>
        </r>
        <r>
          <rPr>
            <sz val="8"/>
            <color indexed="10"/>
            <rFont val="Tahoma"/>
            <family val="2"/>
          </rPr>
          <t xml:space="preserve">Updated for DEC 2013
</t>
        </r>
      </text>
    </comment>
    <comment ref="F117" authorId="2" shapeId="0">
      <text>
        <r>
          <rPr>
            <b/>
            <sz val="8"/>
            <color indexed="81"/>
            <rFont val="Tahoma"/>
            <family val="2"/>
          </rPr>
          <t>Amnerys Valdes:</t>
        </r>
        <r>
          <rPr>
            <sz val="8"/>
            <color indexed="81"/>
            <rFont val="Tahoma"/>
            <family val="2"/>
          </rPr>
          <t xml:space="preserve">
Per Rate Order, item no. V.K; updated for 2011 with 2011 Actuals  (acct 932 x 13.28%).  Sue used 13.28% in 2009 &amp; 2010. 
</t>
        </r>
        <r>
          <rPr>
            <b/>
            <sz val="8"/>
            <color indexed="10"/>
            <rFont val="Tahoma"/>
            <family val="2"/>
          </rPr>
          <t>Updated DEC 2013</t>
        </r>
      </text>
    </comment>
    <comment ref="F118" authorId="2" shapeId="0">
      <text>
        <r>
          <rPr>
            <b/>
            <sz val="8"/>
            <color indexed="81"/>
            <rFont val="Tahoma"/>
            <family val="2"/>
          </rPr>
          <t>Sue Richards:</t>
        </r>
        <r>
          <rPr>
            <sz val="8"/>
            <color indexed="81"/>
            <rFont val="Tahoma"/>
            <family val="2"/>
          </rPr>
          <t xml:space="preserve">
Per Rate Order, item no. V.K; updated for 2010 with 2010 actuals (acct 886) updated 01/05/11
Use 3.1% of 886 per last rate case</t>
        </r>
      </text>
    </comment>
    <comment ref="H119" authorId="0" shapeId="0">
      <text>
        <r>
          <rPr>
            <sz val="8"/>
            <color indexed="81"/>
            <rFont val="Tahoma"/>
            <family val="2"/>
          </rPr>
          <t>This is related to the WFNG non-regulated asset adjustment and needs to stay in. Amount Stays</t>
        </r>
      </text>
    </comment>
    <comment ref="B121" authorId="3" shapeId="0">
      <text>
        <r>
          <rPr>
            <b/>
            <sz val="9"/>
            <color indexed="81"/>
            <rFont val="Tahoma"/>
            <family val="2"/>
          </rPr>
          <t>Ascroft, Sean M.:</t>
        </r>
        <r>
          <rPr>
            <sz val="9"/>
            <color indexed="81"/>
            <rFont val="Tahoma"/>
            <family val="2"/>
          </rPr>
          <t xml:space="preserve">
Lease payment typically received annually in May</t>
        </r>
      </text>
    </comment>
    <comment ref="J171" authorId="4" shapeId="0">
      <text>
        <r>
          <rPr>
            <b/>
            <sz val="9"/>
            <color indexed="81"/>
            <rFont val="Tahoma"/>
            <family val="2"/>
          </rPr>
          <t>Dowley, Thomas J.:</t>
        </r>
        <r>
          <rPr>
            <sz val="9"/>
            <color indexed="81"/>
            <rFont val="Tahoma"/>
            <family val="2"/>
          </rPr>
          <t xml:space="preserve">
If not 100% after update, add or subtract 0.001 on cell J162 (short term debt) to make it 100.00%
</t>
        </r>
      </text>
    </comment>
  </commentList>
</comments>
</file>

<file path=xl/comments8.xml><?xml version="1.0" encoding="utf-8"?>
<comments xmlns="http://schemas.openxmlformats.org/spreadsheetml/2006/main">
  <authors>
    <author>Valdes, Amnerys</author>
  </authors>
  <commentList>
    <comment ref="K32" authorId="0" shapeId="0">
      <text>
        <r>
          <rPr>
            <b/>
            <sz val="9"/>
            <color indexed="81"/>
            <rFont val="Tahoma"/>
            <family val="2"/>
          </rPr>
          <t>Valdes, Amnerys:</t>
        </r>
        <r>
          <rPr>
            <sz val="9"/>
            <color indexed="81"/>
            <rFont val="Tahoma"/>
            <family val="2"/>
          </rPr>
          <t xml:space="preserve">
No need to make reclass going forward per Jeff.
01/20/15</t>
        </r>
      </text>
    </comment>
  </commentList>
</comments>
</file>

<file path=xl/comments9.xml><?xml version="1.0" encoding="utf-8"?>
<comments xmlns="http://schemas.openxmlformats.org/spreadsheetml/2006/main">
  <authors>
    <author>A satisfied Microsoft Office User</author>
    <author>Paul Higgins</author>
    <author>Ascroft, Sean M.</author>
  </authors>
  <commentList>
    <comment ref="D72" authorId="0" shapeId="0">
      <text>
        <r>
          <rPr>
            <sz val="8"/>
            <color indexed="81"/>
            <rFont val="Tahoma"/>
            <family val="2"/>
          </rPr>
          <t xml:space="preserve">Change reference each month to one row lower; 
</t>
        </r>
      </text>
    </comment>
    <comment ref="F72" authorId="0" shapeId="0">
      <text>
        <r>
          <rPr>
            <sz val="8"/>
            <color indexed="81"/>
            <rFont val="Tahoma"/>
            <family val="2"/>
          </rPr>
          <t xml:space="preserve">Change reference each month to one row lower; 
</t>
        </r>
      </text>
    </comment>
    <comment ref="F114" authorId="1" shapeId="0">
      <text>
        <r>
          <rPr>
            <b/>
            <sz val="8"/>
            <color indexed="81"/>
            <rFont val="Tahoma"/>
            <family val="2"/>
          </rPr>
          <t>Amnerys Valdes:</t>
        </r>
        <r>
          <rPr>
            <sz val="8"/>
            <color indexed="81"/>
            <rFont val="Tahoma"/>
            <family val="2"/>
          </rPr>
          <t xml:space="preserve">
Per Rate Order (2002), item no. S; Acc 930.05 x 5% disallowance per FAC 25-7.042
</t>
        </r>
        <r>
          <rPr>
            <b/>
            <sz val="8"/>
            <color indexed="10"/>
            <rFont val="Tahoma"/>
            <family val="2"/>
          </rPr>
          <t>Amnerys Valdes:</t>
        </r>
        <r>
          <rPr>
            <sz val="8"/>
            <color indexed="10"/>
            <rFont val="Tahoma"/>
            <family val="2"/>
          </rPr>
          <t xml:space="preserve">
UPDATED FOR DEC 2013</t>
        </r>
      </text>
    </comment>
    <comment ref="F115" authorId="1" shapeId="0">
      <text>
        <r>
          <rPr>
            <b/>
            <sz val="8"/>
            <color indexed="81"/>
            <rFont val="Tahoma"/>
            <family val="2"/>
          </rPr>
          <t>Amnerys Valdes:</t>
        </r>
        <r>
          <rPr>
            <sz val="8"/>
            <color indexed="81"/>
            <rFont val="Tahoma"/>
            <family val="2"/>
          </rPr>
          <t xml:space="preserve">
Based on Rate Case Order (item no. V.R); 
Amount comes from Maria Quiñones  Acc 926.01 Analysis report
</t>
        </r>
        <r>
          <rPr>
            <b/>
            <sz val="8"/>
            <color indexed="10"/>
            <rFont val="Tahoma"/>
            <family val="2"/>
          </rPr>
          <t xml:space="preserve">Connie Coe:
</t>
        </r>
        <r>
          <rPr>
            <sz val="8"/>
            <color indexed="10"/>
            <rFont val="Tahoma"/>
            <family val="2"/>
          </rPr>
          <t xml:space="preserve">Updated for DEC 2013
</t>
        </r>
      </text>
    </comment>
    <comment ref="F117" authorId="1" shapeId="0">
      <text>
        <r>
          <rPr>
            <b/>
            <sz val="8"/>
            <color indexed="81"/>
            <rFont val="Tahoma"/>
            <family val="2"/>
          </rPr>
          <t>Amnerys Valdes:</t>
        </r>
        <r>
          <rPr>
            <sz val="8"/>
            <color indexed="81"/>
            <rFont val="Tahoma"/>
            <family val="2"/>
          </rPr>
          <t xml:space="preserve">
Per Rate Order, item no. V.K; updated for 2011 with 2011 Actuals  (acct 932 x 13.28%).  Sue used 13.28% in 2009 &amp; 2010. 
</t>
        </r>
        <r>
          <rPr>
            <b/>
            <sz val="8"/>
            <color indexed="10"/>
            <rFont val="Tahoma"/>
            <family val="2"/>
          </rPr>
          <t>Updated DEC 2013</t>
        </r>
      </text>
    </comment>
    <comment ref="F118" authorId="1" shapeId="0">
      <text>
        <r>
          <rPr>
            <b/>
            <sz val="8"/>
            <color indexed="81"/>
            <rFont val="Tahoma"/>
            <family val="2"/>
          </rPr>
          <t>Sue Richards:</t>
        </r>
        <r>
          <rPr>
            <sz val="8"/>
            <color indexed="81"/>
            <rFont val="Tahoma"/>
            <family val="2"/>
          </rPr>
          <t xml:space="preserve">
Per Rate Order, item no. V.K; updated for 2010 with 2010 actuals (acct 886) updated 01/05/11
Use 3.1% of 886 per last rate case</t>
        </r>
      </text>
    </comment>
    <comment ref="H119" authorId="0" shapeId="0">
      <text>
        <r>
          <rPr>
            <sz val="8"/>
            <color indexed="81"/>
            <rFont val="Tahoma"/>
            <family val="2"/>
          </rPr>
          <t>This is related to the WFNG non-regulated asset adjustment and needs to stay in. Amount Stays</t>
        </r>
      </text>
    </comment>
    <comment ref="B121" authorId="2" shapeId="0">
      <text>
        <r>
          <rPr>
            <b/>
            <sz val="9"/>
            <color indexed="81"/>
            <rFont val="Tahoma"/>
            <family val="2"/>
          </rPr>
          <t>Ascroft, Sean M.:</t>
        </r>
        <r>
          <rPr>
            <sz val="9"/>
            <color indexed="81"/>
            <rFont val="Tahoma"/>
            <family val="2"/>
          </rPr>
          <t xml:space="preserve">
Lease payment typically received annually in May</t>
        </r>
      </text>
    </comment>
  </commentList>
</comments>
</file>

<file path=xl/sharedStrings.xml><?xml version="1.0" encoding="utf-8"?>
<sst xmlns="http://schemas.openxmlformats.org/spreadsheetml/2006/main" count="4581" uniqueCount="2817">
  <si>
    <t>NET OPERATING INCOME</t>
  </si>
  <si>
    <t>TOTAL</t>
  </si>
  <si>
    <t>FLEX RATE REVENUES</t>
  </si>
  <si>
    <t>AVERAGE</t>
  </si>
  <si>
    <t>CWIP</t>
  </si>
  <si>
    <t>SINKING FUNDS</t>
  </si>
  <si>
    <t>NOTES RECEIVABLE</t>
  </si>
  <si>
    <t xml:space="preserve"> </t>
  </si>
  <si>
    <t xml:space="preserve">  LONG TERM DEBT</t>
  </si>
  <si>
    <t>ACCOUNTS PAY. ASSOC. CO.</t>
  </si>
  <si>
    <t>TAXES ACCRUED-GENERAL</t>
  </si>
  <si>
    <t>TAXES ACCRUED-INCOME</t>
  </si>
  <si>
    <t>INTEREST ACCRUED</t>
  </si>
  <si>
    <t>DIVIDENDS DECLARED</t>
  </si>
  <si>
    <t>TAX COLLECTIONS PAYABLE</t>
  </si>
  <si>
    <t>CONSERVATION COST TRUE-UP</t>
  </si>
  <si>
    <t>MISC. CURRENT LIABILITIES</t>
  </si>
  <si>
    <t>CUSTOMER DEPOSITS</t>
  </si>
  <si>
    <t>OTHER DEFERRED CREDITS</t>
  </si>
  <si>
    <t>WORKING CAPITAL WORKSHEET</t>
  </si>
  <si>
    <t xml:space="preserve">       FOR THE MONTH OF:</t>
  </si>
  <si>
    <t>YEAR END</t>
  </si>
  <si>
    <t>DESCRIPTION</t>
  </si>
  <si>
    <t>ASSETS</t>
  </si>
  <si>
    <t>LIABILITIES</t>
  </si>
  <si>
    <t xml:space="preserve">   SINKING FUNDS</t>
  </si>
  <si>
    <t xml:space="preserve">   OTHER INVESTMENTS</t>
  </si>
  <si>
    <t xml:space="preserve">   CASH</t>
  </si>
  <si>
    <t xml:space="preserve">   SPECIAL DEPOSITS</t>
  </si>
  <si>
    <t xml:space="preserve">   WORKING FUNDS</t>
  </si>
  <si>
    <t xml:space="preserve">   TEMP. CASH INVESTMENTS</t>
  </si>
  <si>
    <t xml:space="preserve">   NOTES RECEIVABLE</t>
  </si>
  <si>
    <t xml:space="preserve">   CUST. ACCOUNTS REC.-GAS</t>
  </si>
  <si>
    <t xml:space="preserve">   MDSE, JOBBING &amp; OTHER</t>
  </si>
  <si>
    <t xml:space="preserve">   ACCUM. PROV. UNCOLLECT. ACCTS.</t>
  </si>
  <si>
    <t xml:space="preserve">   RECEIVABLE ACCOC. COMPANIES</t>
  </si>
  <si>
    <t xml:space="preserve">   REC.- ASSOC. CO. - SERVICES</t>
  </si>
  <si>
    <t xml:space="preserve">   PLANT &amp; OPER.MATERIAL &amp; SUPPL.</t>
  </si>
  <si>
    <t xml:space="preserve">   MERCHANDISE</t>
  </si>
  <si>
    <t xml:space="preserve">   STORES EXPENSE</t>
  </si>
  <si>
    <t xml:space="preserve">   PREPAYMENTS</t>
  </si>
  <si>
    <t xml:space="preserve">   UNBILLED REVENUE &amp; MISC.</t>
  </si>
  <si>
    <t xml:space="preserve">   DERIVATIVE</t>
  </si>
  <si>
    <t xml:space="preserve">   UNAMORT DD &amp; E</t>
  </si>
  <si>
    <t xml:space="preserve">   CLEARING ACCTS.</t>
  </si>
  <si>
    <t xml:space="preserve">   OTHER WIP</t>
  </si>
  <si>
    <t xml:space="preserve">   UNBUNDLING TRANSITION CHARGES</t>
  </si>
  <si>
    <t xml:space="preserve">   UNAMORTIZED RATE CASE EXP.</t>
  </si>
  <si>
    <t xml:space="preserve">   UNRECOVERED GAS COSTS</t>
  </si>
  <si>
    <t xml:space="preserve">     AVERAGE WORKING CAPITAL</t>
  </si>
  <si>
    <t xml:space="preserve">     YEAR-END WORKING CAPITAL</t>
  </si>
  <si>
    <t>INTEREST SYNCHRONIZATION</t>
  </si>
  <si>
    <t xml:space="preserve"> WORKSHEET</t>
  </si>
  <si>
    <t>CALCULATED INTEREST BASED ON</t>
  </si>
  <si>
    <t>AVERAGE CAPITAL STRUCTURE:</t>
  </si>
  <si>
    <t xml:space="preserve">   LONG TERM DEBT</t>
  </si>
  <si>
    <t xml:space="preserve">   </t>
  </si>
  <si>
    <t xml:space="preserve">   SHORT TERM DEBT</t>
  </si>
  <si>
    <t xml:space="preserve">          TOTAL</t>
  </si>
  <si>
    <t xml:space="preserve">  *ACTUAL INTEREST</t>
  </si>
  <si>
    <t>RECONCILIATION OF RATE BASE TO CAPITAL STRUCTURE</t>
  </si>
  <si>
    <t>ADJUSTMENTS</t>
  </si>
  <si>
    <t>L.T.DEBT</t>
  </si>
  <si>
    <t>S.T.DEBT</t>
  </si>
  <si>
    <t>DEPOSITS</t>
  </si>
  <si>
    <t>EQUITY</t>
  </si>
  <si>
    <t>DEF. TAX</t>
  </si>
  <si>
    <t>TAX CREDITS</t>
  </si>
  <si>
    <t>PRORATA</t>
  </si>
  <si>
    <t>NET</t>
  </si>
  <si>
    <t>RECONCILING ITEMS:</t>
  </si>
  <si>
    <t>INVESTMENT IN SUBSIDIARIES</t>
  </si>
  <si>
    <t>NON-UTILITY PROPERTY</t>
  </si>
  <si>
    <t>TEMPORARY CASH INVESTMENTS</t>
  </si>
  <si>
    <t>OTHER ACCTS. REC.</t>
  </si>
  <si>
    <t>PROV. FOR UNCOLLECT. ACCTS. - MDSE.</t>
  </si>
  <si>
    <t>ACCTS REC. - ASSOCIATED COMPANY</t>
  </si>
  <si>
    <t>REMOVE ENVIRONMENTAL WIP</t>
  </si>
  <si>
    <t>UNAMORTIZED D.D.&amp;E.</t>
  </si>
  <si>
    <t>UNAMORTIZED RATE CASE EXPENSE</t>
  </si>
  <si>
    <t>UNRECOVERED GAS COSTS</t>
  </si>
  <si>
    <t>COMPETITIVE RATE ADJUSTMENT</t>
  </si>
  <si>
    <t>ACCTS. PAY - ASSOCIATED COMPANY</t>
  </si>
  <si>
    <t>CONSERVATION TRUE-UP</t>
  </si>
  <si>
    <t>PROPERTY HELD FOR FUTURE USE</t>
  </si>
  <si>
    <t xml:space="preserve">PLUGGED </t>
  </si>
  <si>
    <t>NON-UTILITY ADJUSTMENTS TO RATE BASE</t>
  </si>
  <si>
    <t xml:space="preserve">DEFERRED </t>
  </si>
  <si>
    <t>CREDITS</t>
  </si>
  <si>
    <t>JOB DEVELOPMENT CREDITS</t>
  </si>
  <si>
    <t>TOTAL RECONCILING ITEMS</t>
  </si>
  <si>
    <t>AVERAGE RATE BASE (ADJUSTED)</t>
  </si>
  <si>
    <t>SCHEDULE 1</t>
  </si>
  <si>
    <t>EARNINGS SURVEILLANCE REPORT SUMMARY</t>
  </si>
  <si>
    <t>(1)</t>
  </si>
  <si>
    <t>(2)</t>
  </si>
  <si>
    <t>(3)</t>
  </si>
  <si>
    <t>(4)</t>
  </si>
  <si>
    <t>(5)</t>
  </si>
  <si>
    <t>FPSC</t>
  </si>
  <si>
    <t>PRO FORMA</t>
  </si>
  <si>
    <t>PER BOOKS</t>
  </si>
  <si>
    <t>ADJUSTED</t>
  </si>
  <si>
    <t>I. AVERAGE RATE OF RETURN</t>
  </si>
  <si>
    <t xml:space="preserve">      (JURISDICTIONAL)</t>
  </si>
  <si>
    <t>$</t>
  </si>
  <si>
    <t xml:space="preserve">AVERAGE RATE BASE </t>
  </si>
  <si>
    <t>AVERAGE RATE OF RETURN</t>
  </si>
  <si>
    <t>%</t>
  </si>
  <si>
    <t xml:space="preserve">     AVERAGE CAPITAL STRUCTURE</t>
  </si>
  <si>
    <t xml:space="preserve">       (FPSC ADJUSTED BASIS)</t>
  </si>
  <si>
    <t xml:space="preserve">  LOW</t>
  </si>
  <si>
    <t xml:space="preserve">     A. INCLUDING</t>
  </si>
  <si>
    <t xml:space="preserve">  MIDPOINT</t>
  </si>
  <si>
    <t xml:space="preserve">          FLEX RATE REVENUES</t>
  </si>
  <si>
    <t xml:space="preserve">  HIGH</t>
  </si>
  <si>
    <t xml:space="preserve">     B. EXCLUDING</t>
  </si>
  <si>
    <t xml:space="preserve">                         I am aware that Section 837.06, Florida Statutes, provides:</t>
  </si>
  <si>
    <t xml:space="preserve">    Whoever knowingly makes a false statement in writing with </t>
  </si>
  <si>
    <t>official duty shall be guilty of a misdemeanor of the second degree</t>
  </si>
  <si>
    <t xml:space="preserve">            (Signature)</t>
  </si>
  <si>
    <t>(Date)</t>
  </si>
  <si>
    <t>PSC/AFA13</t>
  </si>
  <si>
    <t>SCHEDULE 2</t>
  </si>
  <si>
    <t>(7)</t>
  </si>
  <si>
    <t>(8)</t>
  </si>
  <si>
    <t>(9)</t>
  </si>
  <si>
    <t>(10)</t>
  </si>
  <si>
    <t>(11)</t>
  </si>
  <si>
    <t>FPSC ADJUSTMENTS:</t>
  </si>
  <si>
    <t xml:space="preserve"> Property for Future Use</t>
  </si>
  <si>
    <t xml:space="preserve"> Temporary Cash Investment</t>
  </si>
  <si>
    <t xml:space="preserve"> Notes Receivable</t>
  </si>
  <si>
    <t xml:space="preserve"> Non-Utility Allocation</t>
  </si>
  <si>
    <t xml:space="preserve"> Remove Unrecovered Gas Cost</t>
  </si>
  <si>
    <t xml:space="preserve"> Remove Dividends Declared</t>
  </si>
  <si>
    <t xml:space="preserve"> Remove Unrec. Conservation Costs</t>
  </si>
  <si>
    <t xml:space="preserve"> Remove Competitve Rate Adjustment</t>
  </si>
  <si>
    <t xml:space="preserve"> Remove Acquis. Adjustment (WFNG)</t>
  </si>
  <si>
    <t xml:space="preserve"> Remove Derivative (FAS 133)</t>
  </si>
  <si>
    <t>TOTAL FPSC ADJUSTMENTS</t>
  </si>
  <si>
    <t>FPSC ADJUSTED</t>
  </si>
  <si>
    <t>ADJUSTED FOR</t>
  </si>
  <si>
    <t>PRO FORMA REVENUE INCREASE AND</t>
  </si>
  <si>
    <t xml:space="preserve">  ANNUALIZATION ADJUSTMENTS:</t>
  </si>
  <si>
    <t>TOTAL PRO FORMA ADJUSTMENTS</t>
  </si>
  <si>
    <t>PRO FORMA ADJUSTED</t>
  </si>
  <si>
    <t>(6)</t>
  </si>
  <si>
    <t/>
  </si>
  <si>
    <t>O &amp; M</t>
  </si>
  <si>
    <t xml:space="preserve">  Remove Conservation Charges</t>
  </si>
  <si>
    <t xml:space="preserve">  Non-Utility Allocation</t>
  </si>
  <si>
    <t xml:space="preserve">  Interest Synchronization</t>
  </si>
  <si>
    <t xml:space="preserve">  Remove Fuel Revenues</t>
  </si>
  <si>
    <t xml:space="preserve">  Employee Activities</t>
  </si>
  <si>
    <t xml:space="preserve">  Maintenance of General Plant</t>
  </si>
  <si>
    <t xml:space="preserve">  Maint. of Structures and Improvements</t>
  </si>
  <si>
    <t xml:space="preserve">  Remove  ITC Amortization</t>
  </si>
  <si>
    <t>CURRENT MONTH AMOUNT</t>
  </si>
  <si>
    <t>SCHEDULE 3</t>
  </si>
  <si>
    <t>SCHEDULE 4</t>
  </si>
  <si>
    <t>CAPITAL STRUCTURE</t>
  </si>
  <si>
    <t>FPSC ADJUSTED BASIS</t>
  </si>
  <si>
    <t>LOW POINT</t>
  </si>
  <si>
    <t>MIDPOINT</t>
  </si>
  <si>
    <t>HIGH POINT</t>
  </si>
  <si>
    <t>COST</t>
  </si>
  <si>
    <t>WEIGHTED</t>
  </si>
  <si>
    <t>RATIO</t>
  </si>
  <si>
    <t>RATE</t>
  </si>
  <si>
    <t>SPECIFIC</t>
  </si>
  <si>
    <t>PRO RATA</t>
  </si>
  <si>
    <t xml:space="preserve">ADJUSTED </t>
  </si>
  <si>
    <t>(%)</t>
  </si>
  <si>
    <t>LONG TERM DEBT</t>
  </si>
  <si>
    <t>SHORT TERM DEBT</t>
  </si>
  <si>
    <t>COMMON EQUITY</t>
  </si>
  <si>
    <t>DEFERRED INCOME TAX</t>
  </si>
  <si>
    <t>TAX CREDITS - ZERO COST</t>
  </si>
  <si>
    <t xml:space="preserve">  SCHEDULE 5</t>
  </si>
  <si>
    <t>EARNED RETURN ON COMMON EQUITY</t>
  </si>
  <si>
    <t>A. FPSC ADJUSTED AVERAGE JURISDICTIONAL RETURN ON COMMON EQUITY</t>
  </si>
  <si>
    <t xml:space="preserve">     INCLUDING FLEX RATE REVENUES</t>
  </si>
  <si>
    <t>FPSC ADJUSTED AVERAGE EARNED RATE OF RETURN</t>
  </si>
  <si>
    <t xml:space="preserve">  (Schedule 1)</t>
  </si>
  <si>
    <t>LESS: RECONCILED AVERAGE JURISDICTIONAL</t>
  </si>
  <si>
    <t xml:space="preserve">           WEIGHTED COST RATES FOR:</t>
  </si>
  <si>
    <t>PREFERRED STOCK</t>
  </si>
  <si>
    <t>TAX CREDITS-WEIGHTED COST(MIDPOINT)</t>
  </si>
  <si>
    <t xml:space="preserve">    SUBTOTAL</t>
  </si>
  <si>
    <t>DIVIDED BY RECONCILED COMMON EQUITY RATIO</t>
  </si>
  <si>
    <t>JURISDICTIONAL RETURN ON COMMON EQUITY</t>
  </si>
  <si>
    <t>B. FPSC ADJUSTED AVERAGE JURISDICTIONAL RETURN ON COMMON EQUITY</t>
  </si>
  <si>
    <t xml:space="preserve">     EXCLUDING FLEX RATE REVENUES</t>
  </si>
  <si>
    <t>NET OPERATING REVENUE EXCLUDING FLEX RATE REVENUES</t>
  </si>
  <si>
    <t>(Schedule 2, p. 2 of 2)</t>
  </si>
  <si>
    <t xml:space="preserve">RATE BASE EXCLUDING FLEX RATE REVENUES </t>
  </si>
  <si>
    <t>(Schedule 2, p. 1 of 2)</t>
  </si>
  <si>
    <t>SCHEDULE 5-2</t>
  </si>
  <si>
    <t>PRO FORMA ADJUSTED BASIS</t>
  </si>
  <si>
    <t>A. PRO FORMA ADJUSTED AVERAGE JURISDICTIONAL RETURN ON COMMON EQUITY</t>
  </si>
  <si>
    <t>PRO FORMA ADJUSTED AVERAGE EARNED RATE OF RETURN</t>
  </si>
  <si>
    <t>B. PRO FORMA AVERAGE JURISDICTIONAL RETURN ON COMMON EQUITY</t>
  </si>
  <si>
    <t>Adjusted</t>
  </si>
  <si>
    <t>PEOPLES GAS SYSTEM</t>
  </si>
  <si>
    <t>MONTH OF:</t>
  </si>
  <si>
    <t>Adjustments</t>
  </si>
  <si>
    <t>FOR THE MONTH OF:</t>
  </si>
  <si>
    <t xml:space="preserve">                                PEOPLES GAS SYSTEM</t>
  </si>
  <si>
    <t>ACCOUNTS PAYABLE</t>
  </si>
  <si>
    <t>ACCTS PAY ASSOC CO- SVCS</t>
  </si>
  <si>
    <t>NON-UTILITY CURR. LIABILITY</t>
  </si>
  <si>
    <t>OPERATING RESERVES</t>
  </si>
  <si>
    <t>13 Month</t>
  </si>
  <si>
    <t>Actual</t>
  </si>
  <si>
    <t>Average</t>
  </si>
  <si>
    <t>Assets</t>
  </si>
  <si>
    <t>Utility Plant</t>
  </si>
  <si>
    <t>Gas Plant in Service</t>
  </si>
  <si>
    <t>Plant Held for Future Use</t>
  </si>
  <si>
    <t>Gas Plant Acquisition Adjustment</t>
  </si>
  <si>
    <t>Gross Utility Plant</t>
  </si>
  <si>
    <t>Accum. Depreciation</t>
  </si>
  <si>
    <t>Net Plant</t>
  </si>
  <si>
    <t>Other Investments</t>
  </si>
  <si>
    <t>Sinking Funds</t>
  </si>
  <si>
    <t>Non Utility Property</t>
  </si>
  <si>
    <t>Total Property &amp; Investments</t>
  </si>
  <si>
    <t>Current and Accrued Assets</t>
  </si>
  <si>
    <t>Cash</t>
  </si>
  <si>
    <t>Special Deposits</t>
  </si>
  <si>
    <t>Working Funds</t>
  </si>
  <si>
    <t>Temp. Cash Investments</t>
  </si>
  <si>
    <t>Notes Receivable</t>
  </si>
  <si>
    <t>Customer Accounts Receivable</t>
  </si>
  <si>
    <t>Other Accounts Receivable</t>
  </si>
  <si>
    <t>Accum. Provision Uncoll. Accounts</t>
  </si>
  <si>
    <t>Receivable Assoc. Companies</t>
  </si>
  <si>
    <t>Receivable Assoc. Co. Services</t>
  </si>
  <si>
    <t>Plant &amp; Other Material and Supplies</t>
  </si>
  <si>
    <t>Merchandise</t>
  </si>
  <si>
    <t>Stores Expense</t>
  </si>
  <si>
    <t>Prepayments</t>
  </si>
  <si>
    <t>Accounts Rec. - Unbilled Revenues</t>
  </si>
  <si>
    <t>Derivatives</t>
  </si>
  <si>
    <t>Total Current &amp; Accrued Assets</t>
  </si>
  <si>
    <t>Deferred Charges</t>
  </si>
  <si>
    <t>Unamortized DD&amp;E</t>
  </si>
  <si>
    <t>Deferred Tax Assets</t>
  </si>
  <si>
    <t>Clearing Accounts</t>
  </si>
  <si>
    <t>Other WIP</t>
  </si>
  <si>
    <t>Non-Utility WIP/Unbundling Transition</t>
  </si>
  <si>
    <t>Unamortized Rate Case</t>
  </si>
  <si>
    <t>Unrecovered Gas Costs</t>
  </si>
  <si>
    <t>Total Deferred Charges</t>
  </si>
  <si>
    <t>Total Assets</t>
  </si>
  <si>
    <t>Capitalization &amp; Liabilities</t>
  </si>
  <si>
    <t>Stockholders Equity</t>
  </si>
  <si>
    <t>Common Stock</t>
  </si>
  <si>
    <t>Additional Capital</t>
  </si>
  <si>
    <t>Unappropriated Retained Earnings</t>
  </si>
  <si>
    <t>Other</t>
  </si>
  <si>
    <t>Total Stockholders Equity</t>
  </si>
  <si>
    <t>FM Bonds</t>
  </si>
  <si>
    <t>Long Term Notes</t>
  </si>
  <si>
    <t>Other Long Term Debt</t>
  </si>
  <si>
    <t>Total Long Term Debt</t>
  </si>
  <si>
    <t>Total Capitalization</t>
  </si>
  <si>
    <t>Current &amp; Accrued Liabilities</t>
  </si>
  <si>
    <t>Notes Payable</t>
  </si>
  <si>
    <t>Accounts Payable</t>
  </si>
  <si>
    <t>Accounts Payable Assoc. Companies</t>
  </si>
  <si>
    <t>Accts. Payable Assoc. Co. Services</t>
  </si>
  <si>
    <t>Customer Deposits - Current</t>
  </si>
  <si>
    <t>Taxes Accrued - General</t>
  </si>
  <si>
    <t>Taxes Accrued - Income</t>
  </si>
  <si>
    <t>Interest Accrued</t>
  </si>
  <si>
    <t>Dividends Declared</t>
  </si>
  <si>
    <t>Tax Collections Payable</t>
  </si>
  <si>
    <t>Inactive Deposits</t>
  </si>
  <si>
    <t>Conservation Cost True Up</t>
  </si>
  <si>
    <t>Non-Utility Accrued Liability</t>
  </si>
  <si>
    <t>Misc. Current Liabilities</t>
  </si>
  <si>
    <t>Total Current &amp; Accrued Liabilities</t>
  </si>
  <si>
    <t>Deferred Credits</t>
  </si>
  <si>
    <t>Accumulated Deferred Income Tax</t>
  </si>
  <si>
    <t>Def. Inv. Tax Credit</t>
  </si>
  <si>
    <t>Customer Advances for Constr.</t>
  </si>
  <si>
    <t>Customer Deposits</t>
  </si>
  <si>
    <t>Other Deferred Credits</t>
  </si>
  <si>
    <t>Total Deferred Credits</t>
  </si>
  <si>
    <t>Operating Reserves</t>
  </si>
  <si>
    <t>Pensions &amp; Benefits Reserve</t>
  </si>
  <si>
    <t>Other Reserves</t>
  </si>
  <si>
    <t>Total Operating Reserves</t>
  </si>
  <si>
    <t>Total Capital &amp; Liabilities</t>
  </si>
  <si>
    <t>MAY</t>
  </si>
  <si>
    <t>Dec 2001</t>
  </si>
  <si>
    <t>ACQ.</t>
  </si>
  <si>
    <t>13 MO.</t>
  </si>
  <si>
    <t>NON-REG</t>
  </si>
  <si>
    <t>ADJ</t>
  </si>
  <si>
    <t>AVG.</t>
  </si>
  <si>
    <t>ACC DEP</t>
  </si>
  <si>
    <t>($6,637.10 AMORT. PER MO.)</t>
  </si>
  <si>
    <t>Account</t>
  </si>
  <si>
    <t>Amount</t>
  </si>
  <si>
    <t>Cost Rate</t>
  </si>
  <si>
    <t>Calculated</t>
  </si>
  <si>
    <t>Interest</t>
  </si>
  <si>
    <t xml:space="preserve">    DIFFERENCE</t>
  </si>
  <si>
    <t xml:space="preserve">    TAX EFFECT ON DIFFERENCE</t>
  </si>
  <si>
    <t>Jan 2002</t>
  </si>
  <si>
    <t>Feb 2002</t>
  </si>
  <si>
    <t>Mar 2002</t>
  </si>
  <si>
    <t>Apr 2002</t>
  </si>
  <si>
    <t>May 2002</t>
  </si>
  <si>
    <t>Jun 2002</t>
  </si>
  <si>
    <t>Jul 2002</t>
  </si>
  <si>
    <t>Aug 2002</t>
  </si>
  <si>
    <t>Sep 2002</t>
  </si>
  <si>
    <t>Oct 2002</t>
  </si>
  <si>
    <t>Nov 2002</t>
  </si>
  <si>
    <t>Dec 2002</t>
  </si>
  <si>
    <t>check amt from "Report" tab</t>
  </si>
  <si>
    <t>difference</t>
  </si>
  <si>
    <t>Per Books</t>
  </si>
  <si>
    <t>Pro Forma</t>
  </si>
  <si>
    <t>Accumulated</t>
  </si>
  <si>
    <t>Depreciation &amp;</t>
  </si>
  <si>
    <t>Amortization</t>
  </si>
  <si>
    <t>Plant in</t>
  </si>
  <si>
    <t>Service</t>
  </si>
  <si>
    <t>Plant</t>
  </si>
  <si>
    <t>Acquisition</t>
  </si>
  <si>
    <t>Adjustment</t>
  </si>
  <si>
    <t>Advances for</t>
  </si>
  <si>
    <t>Construction</t>
  </si>
  <si>
    <t>Customer</t>
  </si>
  <si>
    <t>Net</t>
  </si>
  <si>
    <t xml:space="preserve"> Service</t>
  </si>
  <si>
    <t>Property Held</t>
  </si>
  <si>
    <t>for Future Use</t>
  </si>
  <si>
    <t>Work in</t>
  </si>
  <si>
    <t>Progress</t>
  </si>
  <si>
    <t>Working</t>
  </si>
  <si>
    <t>Capital</t>
  </si>
  <si>
    <t>Total</t>
  </si>
  <si>
    <t>Rate Base</t>
  </si>
  <si>
    <t>Operating</t>
  </si>
  <si>
    <t>Revenues</t>
  </si>
  <si>
    <t>Gas Expense</t>
  </si>
  <si>
    <t>Taxes Other</t>
  </si>
  <si>
    <t>Than Income</t>
  </si>
  <si>
    <t>Income Taxes</t>
  </si>
  <si>
    <t>Current</t>
  </si>
  <si>
    <t>Deferred</t>
  </si>
  <si>
    <t>(Net)</t>
  </si>
  <si>
    <t>Tax Credit</t>
  </si>
  <si>
    <t>Investment</t>
  </si>
  <si>
    <t>Gain/Loss</t>
  </si>
  <si>
    <t>on Disposition</t>
  </si>
  <si>
    <t>Expenses</t>
  </si>
  <si>
    <t>Income</t>
  </si>
  <si>
    <t>Jan 2003</t>
  </si>
  <si>
    <t>Feb 2003</t>
  </si>
  <si>
    <t>Mar 2003</t>
  </si>
  <si>
    <t>Apr 2003</t>
  </si>
  <si>
    <t>May 2003</t>
  </si>
  <si>
    <t>Jun 2003</t>
  </si>
  <si>
    <t>Jul 2003</t>
  </si>
  <si>
    <t>Aug 2003</t>
  </si>
  <si>
    <t>Sep 2003</t>
  </si>
  <si>
    <t>Oct 2003</t>
  </si>
  <si>
    <t>Nov 2003</t>
  </si>
  <si>
    <t>Dec 2003</t>
  </si>
  <si>
    <t>Peoples Gas System</t>
  </si>
  <si>
    <t>Cost of Gas</t>
  </si>
  <si>
    <t>Net Revenue</t>
  </si>
  <si>
    <t>Operations &amp; Maintenance Expense</t>
  </si>
  <si>
    <t>Depreciation Expense</t>
  </si>
  <si>
    <t>Amort. - Leasehold Improvements</t>
  </si>
  <si>
    <t>Amort. - Acq. Adjustments</t>
  </si>
  <si>
    <t>Amort. - Other</t>
  </si>
  <si>
    <t>Taxes Other than Income</t>
  </si>
  <si>
    <t>Total Other Oper. Income Deductions</t>
  </si>
  <si>
    <t>Other Income &amp; Deductions</t>
  </si>
  <si>
    <t>Mdse &amp; Jobbing Income (Expense)</t>
  </si>
  <si>
    <t>Interest &amp; Dividend Income</t>
  </si>
  <si>
    <t>Misc. Non-operating Income</t>
  </si>
  <si>
    <t>Misc. Income Deductions</t>
  </si>
  <si>
    <t>Total Other Income &amp; Deductions</t>
  </si>
  <si>
    <t>Interest Expense</t>
  </si>
  <si>
    <t>Interest - L. T. Debt</t>
  </si>
  <si>
    <t>Interest - S. T. Debt</t>
  </si>
  <si>
    <t>Int. - Amort. - Disc. &amp; Expense</t>
  </si>
  <si>
    <t>Interest - Intercompany</t>
  </si>
  <si>
    <t>Interest - Deposits &amp; Other</t>
  </si>
  <si>
    <t>Total Interest Expense</t>
  </si>
  <si>
    <t>Net Income</t>
  </si>
  <si>
    <t>Fuel Stock</t>
  </si>
  <si>
    <t>FM Bonds &amp; Long Term Notes</t>
  </si>
  <si>
    <t>Revolving Credit</t>
  </si>
  <si>
    <t xml:space="preserve"> Accounts Rec./Pay. - Assoc Companies</t>
  </si>
  <si>
    <t xml:space="preserve"> Other Accounts Receivable</t>
  </si>
  <si>
    <t xml:space="preserve"> Remove Unamort. Debt Expense</t>
  </si>
  <si>
    <t xml:space="preserve"> Remove Unamortized Rate Case Expense</t>
  </si>
  <si>
    <t xml:space="preserve"> Gain on Sale of Property</t>
  </si>
  <si>
    <t>REMOVE ACQUISITION ADJUSTMENT</t>
  </si>
  <si>
    <t xml:space="preserve">  Intercompany Adjustment</t>
  </si>
  <si>
    <t xml:space="preserve">  Economic Development Adjustment</t>
  </si>
  <si>
    <t xml:space="preserve">  Remove Acquisition Adj. Amortiz. (WFNG)</t>
  </si>
  <si>
    <t xml:space="preserve">  Gain on Sale of Property</t>
  </si>
  <si>
    <t>Investment Tax Credits</t>
  </si>
  <si>
    <t>Net Utility Operating Income</t>
  </si>
  <si>
    <t>Last 12</t>
  </si>
  <si>
    <t>Months Ended</t>
  </si>
  <si>
    <t>Month</t>
  </si>
  <si>
    <t>Accumulated Provision for Depr.</t>
  </si>
  <si>
    <t>Dollars in Thousands</t>
  </si>
  <si>
    <t>Check Totals</t>
  </si>
  <si>
    <t>Averages</t>
  </si>
  <si>
    <t>check</t>
  </si>
  <si>
    <t>plug to "misc. current liab"</t>
  </si>
  <si>
    <t xml:space="preserve">     (Name and Title)</t>
  </si>
  <si>
    <t>II. REQUIRED RATES OF RETURN</t>
  </si>
  <si>
    <t xml:space="preserve">III. EARNED RETURN ON EQUITY </t>
  </si>
  <si>
    <t>the intent to mislead a public servant in the performance of his or her</t>
  </si>
  <si>
    <t>punishable as provided in s. 775.082 or s. 775.083.</t>
  </si>
  <si>
    <t>AVERAGE RATE BASE</t>
  </si>
  <si>
    <t>(Schedule 3)</t>
  </si>
  <si>
    <t>(Schedule 2)</t>
  </si>
  <si>
    <t>Jan 2004</t>
  </si>
  <si>
    <t>Feb 2004</t>
  </si>
  <si>
    <t>Mar 2004</t>
  </si>
  <si>
    <t>Apr 2004</t>
  </si>
  <si>
    <t>May 2004</t>
  </si>
  <si>
    <t>Jun 2004</t>
  </si>
  <si>
    <t>Jul 2004</t>
  </si>
  <si>
    <t>Aug 2004</t>
  </si>
  <si>
    <t>Sep 2004</t>
  </si>
  <si>
    <t>Oct 2004</t>
  </si>
  <si>
    <t>Nov 2004</t>
  </si>
  <si>
    <t>Dec 2004</t>
  </si>
  <si>
    <t>Jan 2005</t>
  </si>
  <si>
    <t>Feb 2005</t>
  </si>
  <si>
    <t>Mar 2005</t>
  </si>
  <si>
    <t>Apr 2005</t>
  </si>
  <si>
    <t>May 2005</t>
  </si>
  <si>
    <t>Jun 2005</t>
  </si>
  <si>
    <t>Jul 2005</t>
  </si>
  <si>
    <t>Aug 2005</t>
  </si>
  <si>
    <t>Sep 2005</t>
  </si>
  <si>
    <t>Oct 2005</t>
  </si>
  <si>
    <t>Nov 2005</t>
  </si>
  <si>
    <t>Dec 2005</t>
  </si>
  <si>
    <t>Jan 2006</t>
  </si>
  <si>
    <t>Feb 2006</t>
  </si>
  <si>
    <t>Mar 2006</t>
  </si>
  <si>
    <t>Apr 2006</t>
  </si>
  <si>
    <t>May 2006</t>
  </si>
  <si>
    <t>Jun 2006</t>
  </si>
  <si>
    <t>Jul 2006</t>
  </si>
  <si>
    <t>Aug 2006</t>
  </si>
  <si>
    <t>Sep 2006</t>
  </si>
  <si>
    <t>Oct 2006</t>
  </si>
  <si>
    <t>Nov 2006</t>
  </si>
  <si>
    <t>Dec 2006</t>
  </si>
  <si>
    <t>.</t>
  </si>
  <si>
    <t xml:space="preserve">   INVESTMENT IN SUBSIDIARIES</t>
  </si>
  <si>
    <t xml:space="preserve"> Remove Investment in Subsidiaries</t>
  </si>
  <si>
    <t>Equity Earnings - Subsidiary</t>
  </si>
  <si>
    <t>REMOVE PLANT FOR MSEA</t>
  </si>
  <si>
    <t>Derivative Liability</t>
  </si>
  <si>
    <t>GAIN ON SALE OF PROPERTY</t>
  </si>
  <si>
    <t>DERIVATIVE LIABILITY</t>
  </si>
  <si>
    <t>May</t>
  </si>
  <si>
    <t>Regulatory Derivative</t>
  </si>
  <si>
    <t xml:space="preserve">   REGULATORY DERIVATIVE</t>
  </si>
  <si>
    <t>OTHER COMP INCOME - Settled Hedges</t>
  </si>
  <si>
    <t>OTHER COMP INCOME - Unsettled hedges</t>
  </si>
  <si>
    <t xml:space="preserve">  Parent Debt Adjustment</t>
  </si>
  <si>
    <t xml:space="preserve">Deferred Tax True-up </t>
  </si>
  <si>
    <t>Equity Ratio</t>
  </si>
  <si>
    <t>Gain on Sale of Property</t>
  </si>
  <si>
    <t>Parent Debt Adjustment</t>
  </si>
  <si>
    <t>Interest Synchronization</t>
  </si>
  <si>
    <t>Effect On</t>
  </si>
  <si>
    <t>Actuals</t>
  </si>
  <si>
    <t>Difference</t>
  </si>
  <si>
    <t>ROE</t>
  </si>
  <si>
    <t>PHFFU</t>
  </si>
  <si>
    <t>Working Capital</t>
  </si>
  <si>
    <t>Check</t>
  </si>
  <si>
    <t>Variance</t>
  </si>
  <si>
    <t>Achieved NOI</t>
  </si>
  <si>
    <t>Earned ROR</t>
  </si>
  <si>
    <t>Wtd Return on Equity</t>
  </si>
  <si>
    <t>Earned Return on Equity</t>
  </si>
  <si>
    <t>Operating Income</t>
  </si>
  <si>
    <t>Income Tax</t>
  </si>
  <si>
    <t>Non-Utility Taxes</t>
  </si>
  <si>
    <t>Total Deductions</t>
  </si>
  <si>
    <t>Pre Adj Expected Change in NOI</t>
  </si>
  <si>
    <t>Pro Forma Adjustments</t>
  </si>
  <si>
    <t>Adjustment Changes</t>
  </si>
  <si>
    <t>Check Figure</t>
  </si>
  <si>
    <t>Schedule 3</t>
  </si>
  <si>
    <t>Total Adjustments</t>
  </si>
  <si>
    <t>Budget</t>
  </si>
  <si>
    <t xml:space="preserve">  OSS Adjustment</t>
  </si>
  <si>
    <t>12 Months Ended</t>
  </si>
  <si>
    <t>Per Sue's file</t>
  </si>
  <si>
    <t>b/s</t>
  </si>
  <si>
    <t>sue</t>
  </si>
  <si>
    <t>????</t>
  </si>
  <si>
    <t>Wellness</t>
  </si>
  <si>
    <t>Employee Awards</t>
  </si>
  <si>
    <t>CALCULATION OF WEST FLORIDA NON-REGULATORY ASSETS (WFNG)</t>
  </si>
  <si>
    <r>
      <t xml:space="preserve">Derivative Liability </t>
    </r>
    <r>
      <rPr>
        <sz val="10"/>
        <color indexed="10"/>
        <rFont val="Arial"/>
        <family val="2"/>
      </rPr>
      <t>245****</t>
    </r>
  </si>
  <si>
    <r>
      <t xml:space="preserve">Derivatives Assets </t>
    </r>
    <r>
      <rPr>
        <sz val="10"/>
        <color indexed="10"/>
        <rFont val="Arial"/>
        <family val="2"/>
      </rPr>
      <t>176****</t>
    </r>
  </si>
  <si>
    <t>Unrecovered Gas Costs 191****</t>
  </si>
  <si>
    <t>ck links for assets</t>
  </si>
  <si>
    <t>2190040 + 2190041</t>
  </si>
  <si>
    <t xml:space="preserve">Regulatory Derivative (Curr &amp; LT) </t>
  </si>
  <si>
    <r>
      <t xml:space="preserve">Prepayments  </t>
    </r>
    <r>
      <rPr>
        <sz val="10"/>
        <color indexed="10"/>
        <rFont val="Arial"/>
        <family val="2"/>
      </rPr>
      <t>165</t>
    </r>
  </si>
  <si>
    <r>
      <t xml:space="preserve">Accts. Pay. Assoc. Co. Services </t>
    </r>
    <r>
      <rPr>
        <sz val="10"/>
        <color indexed="10"/>
        <rFont val="Arial"/>
        <family val="2"/>
      </rPr>
      <t>234</t>
    </r>
  </si>
  <si>
    <r>
      <t xml:space="preserve">Customer Deposits - Current </t>
    </r>
    <r>
      <rPr>
        <sz val="10"/>
        <color indexed="10"/>
        <rFont val="Arial"/>
        <family val="2"/>
      </rPr>
      <t>2350110</t>
    </r>
  </si>
  <si>
    <r>
      <t>Customer Deposits</t>
    </r>
    <r>
      <rPr>
        <sz val="10"/>
        <color indexed="10"/>
        <rFont val="Arial"/>
        <family val="2"/>
      </rPr>
      <t xml:space="preserve"> 2350100</t>
    </r>
  </si>
  <si>
    <r>
      <t xml:space="preserve">Accts. Pay. Assoc. Comp </t>
    </r>
    <r>
      <rPr>
        <sz val="10"/>
        <color indexed="10"/>
        <rFont val="Arial"/>
        <family val="2"/>
      </rPr>
      <t>2330711</t>
    </r>
  </si>
  <si>
    <r>
      <t xml:space="preserve">Tax Collections Payable </t>
    </r>
    <r>
      <rPr>
        <sz val="10"/>
        <color indexed="10"/>
        <rFont val="Arial"/>
        <family val="2"/>
      </rPr>
      <t>241 + 2360606</t>
    </r>
  </si>
  <si>
    <r>
      <t xml:space="preserve">Inactive Deposits </t>
    </r>
    <r>
      <rPr>
        <sz val="10"/>
        <color indexed="10"/>
        <rFont val="Arial"/>
        <family val="2"/>
      </rPr>
      <t>2420320</t>
    </r>
  </si>
  <si>
    <t>Cast Iron/Bare Steel Rider (CIBSR)</t>
  </si>
  <si>
    <t>Cast Iron/Bare Steel Rider (CIBSR) - ROI</t>
  </si>
  <si>
    <t xml:space="preserve"> Cast Iron/Bare Steel Rider (CIBSR)</t>
  </si>
  <si>
    <t>Must equal zero</t>
  </si>
  <si>
    <t>Lease of PHFFU</t>
  </si>
  <si>
    <t>Remove Conservation Charges</t>
  </si>
  <si>
    <t>Non-Utility Allocation</t>
  </si>
  <si>
    <t>Remove Fuel Revenues</t>
  </si>
  <si>
    <t>Economic Development Adjustment</t>
  </si>
  <si>
    <t>Employee Activities</t>
  </si>
  <si>
    <t>Maintenance of General Plant</t>
  </si>
  <si>
    <t>Maint. of Structures and Improvements</t>
  </si>
  <si>
    <t>Remove Acquisition Adj. Amortiz. (WFNG)</t>
  </si>
  <si>
    <t>Remove  ITC Amortization</t>
  </si>
  <si>
    <t>OSS Adjustment</t>
  </si>
  <si>
    <t>AVERAGE DEBT INTEREST RATES</t>
  </si>
  <si>
    <t>LONG TERM DEBT COST RATE CALCULATION</t>
  </si>
  <si>
    <t>A_7500110</t>
  </si>
  <si>
    <t>A_7500120</t>
  </si>
  <si>
    <t>A_7500130</t>
  </si>
  <si>
    <t>Interest Exp - Amortiz of Fees on L/T Debt</t>
  </si>
  <si>
    <t>Amortization of discount L/T Debt</t>
  </si>
  <si>
    <t>Interest Expense- L/T Debt</t>
  </si>
  <si>
    <t>A_2190040</t>
  </si>
  <si>
    <t>OCI - Cash Flow Hedges Pretax</t>
  </si>
  <si>
    <t>LTD Interest - 12-month ended</t>
  </si>
  <si>
    <t>LTD Interest</t>
  </si>
  <si>
    <t>LTD Balance</t>
  </si>
  <si>
    <t>SHORT TERM DEBT COST RATE CALCULATION</t>
  </si>
  <si>
    <t>LTD Interest Balance</t>
  </si>
  <si>
    <t>Short-Term Debt Interest Rate</t>
  </si>
  <si>
    <t>From Vickie M.</t>
  </si>
  <si>
    <t>LTD COST RATE Year End</t>
  </si>
  <si>
    <t>LTD COST RATE Average</t>
  </si>
  <si>
    <t>LTD Balance - 13-month Average</t>
  </si>
  <si>
    <t>181 &amp; 189</t>
  </si>
  <si>
    <t>Balance Sheet</t>
  </si>
  <si>
    <t xml:space="preserve">Income Statement </t>
  </si>
  <si>
    <t xml:space="preserve">Changed for 2003 surv. report as a result of Rate Order </t>
  </si>
  <si>
    <t xml:space="preserve"> (pro rata only over equity, LTD and STD)</t>
  </si>
  <si>
    <t>Key Figures</t>
  </si>
  <si>
    <t>FERC 3 Digit</t>
  </si>
  <si>
    <t>G/L Account</t>
  </si>
  <si>
    <t>Text</t>
  </si>
  <si>
    <t>DEC 2013  Cumulative  Balance</t>
  </si>
  <si>
    <t>JAN 2014  Cumulative  Balance</t>
  </si>
  <si>
    <t>FEB 2014  Cumulative  Balance</t>
  </si>
  <si>
    <t>MAR 2014  Cumulative  Balance</t>
  </si>
  <si>
    <t>APR 2014  Cumulative  Balance</t>
  </si>
  <si>
    <t>JUN 2014  Cumulative  Balance</t>
  </si>
  <si>
    <t>MAY 2014  Cumulative  Balance</t>
  </si>
  <si>
    <t>JUL 2014  Cumulative  Balance</t>
  </si>
  <si>
    <t>AUG 2014  Cumulative  Balance</t>
  </si>
  <si>
    <t>SEP 2014  Cumulative  Balance</t>
  </si>
  <si>
    <t>OCT 2014  Cumulative  Balance</t>
  </si>
  <si>
    <t>NOV 2014  Cumulative  Balance</t>
  </si>
  <si>
    <t>DEC 2014  Cumulative  Balance</t>
  </si>
  <si>
    <t>Utility Plant in Svc</t>
  </si>
  <si>
    <t>Plnt Held Future Use</t>
  </si>
  <si>
    <t>Comp Cnstr not Clsfd</t>
  </si>
  <si>
    <t>Accum Depreciation</t>
  </si>
  <si>
    <t>RWIP</t>
  </si>
  <si>
    <t>ARsv Cst Rmv C</t>
  </si>
  <si>
    <t>ARsv Cst Rmv Cntra C</t>
  </si>
  <si>
    <t>ARsv Cst Rmv NC</t>
  </si>
  <si>
    <t>ARsv Cst Rmv CntraNC</t>
  </si>
  <si>
    <t>Plant Acquisitn Adj</t>
  </si>
  <si>
    <t>Amort Plnt Acq Adj</t>
  </si>
  <si>
    <t>Inv Subsidiaries</t>
  </si>
  <si>
    <t>JPM 3428 Concentratn</t>
  </si>
  <si>
    <t>JPM 3428 ZBA</t>
  </si>
  <si>
    <t>JPM 3444 Operations</t>
  </si>
  <si>
    <t>JPM 3444 ACH Out</t>
  </si>
  <si>
    <t>JPM 3444 ACH In</t>
  </si>
  <si>
    <t>JPM 3444 Wire Out</t>
  </si>
  <si>
    <t>JPM 1238 Payroll</t>
  </si>
  <si>
    <t>JPM 1238 ACH Out</t>
  </si>
  <si>
    <t>JPM 1238 ACH In</t>
  </si>
  <si>
    <t>JPM 1238 Check Out</t>
  </si>
  <si>
    <t>JPM 3436 Deposits</t>
  </si>
  <si>
    <t>JPM 0180 CDA</t>
  </si>
  <si>
    <t>JPM 0180 Check Out</t>
  </si>
  <si>
    <t>JPM 0180 ZBA</t>
  </si>
  <si>
    <t>JPM 3460 Conservatin</t>
  </si>
  <si>
    <t>JPM 3452 TEC-R Concn</t>
  </si>
  <si>
    <t>JPM 3452 ACH Out</t>
  </si>
  <si>
    <t>JPM 3452 ACH In</t>
  </si>
  <si>
    <t>JPM 3452 Wire In</t>
  </si>
  <si>
    <t>JPM 3452 ZBA</t>
  </si>
  <si>
    <t>SUN 2376 Meter Dep</t>
  </si>
  <si>
    <t>SUN 4743 TEC-R Dep</t>
  </si>
  <si>
    <t>Seacoast Natl Bank</t>
  </si>
  <si>
    <t>Cash Misc Adj</t>
  </si>
  <si>
    <t>Oth Spec Dep LT</t>
  </si>
  <si>
    <t>Petty Cash USD</t>
  </si>
  <si>
    <t>AR CIS - TEC-R</t>
  </si>
  <si>
    <t>AR CIS Increm Billng</t>
  </si>
  <si>
    <t>AR CIS Unappl Cash</t>
  </si>
  <si>
    <t>AR CIS Unappl Refund</t>
  </si>
  <si>
    <t>AR CIS Leveliz Bill</t>
  </si>
  <si>
    <t>AR OSS RECON</t>
  </si>
  <si>
    <t>AR OSS Posting</t>
  </si>
  <si>
    <t>AR Cust Oth RECON</t>
  </si>
  <si>
    <t>AR Cust Oth Posting</t>
  </si>
  <si>
    <t>AR Oth RECON</t>
  </si>
  <si>
    <t>AR Oth Posting</t>
  </si>
  <si>
    <t>AR Employee Advance</t>
  </si>
  <si>
    <t>AR Inc Tax Rec Fed</t>
  </si>
  <si>
    <t>AR Inc Tax Rec State</t>
  </si>
  <si>
    <t>AR CIS Incre Non-Gas</t>
  </si>
  <si>
    <t>AR CIS Jobbing Recl</t>
  </si>
  <si>
    <t>AR Misc Unappl Cash</t>
  </si>
  <si>
    <t>AlwUncoll-Regular</t>
  </si>
  <si>
    <t>AlwUncoll-Misc Bill</t>
  </si>
  <si>
    <t>NR IC Current</t>
  </si>
  <si>
    <t>AR Interco Recon</t>
  </si>
  <si>
    <t>AR Interco Posting</t>
  </si>
  <si>
    <t>AR Interco NMGC</t>
  </si>
  <si>
    <t>Int Rec IC Recon</t>
  </si>
  <si>
    <t>Divid Rec IC Recon</t>
  </si>
  <si>
    <t>Fuel Stock - Natural</t>
  </si>
  <si>
    <t>Plant M&amp;S RECON</t>
  </si>
  <si>
    <t>Plant M&amp;S Posting</t>
  </si>
  <si>
    <t>Gas Stored-Current</t>
  </si>
  <si>
    <t>Prepaid Permits</t>
  </si>
  <si>
    <t>Prepaid LOC Fees</t>
  </si>
  <si>
    <t>PrePaid Ins Auto</t>
  </si>
  <si>
    <t>PrePaid Ins Brokerag</t>
  </si>
  <si>
    <t>PrePaid Ins CrimeFid</t>
  </si>
  <si>
    <t>PrePaid Ins Err&amp;Omis</t>
  </si>
  <si>
    <t>PrePaid Ins Exc Auto</t>
  </si>
  <si>
    <t>PrePaid Ins Exc GL</t>
  </si>
  <si>
    <t>PrePaid Ins Practice</t>
  </si>
  <si>
    <t>PrePaid Ins Property</t>
  </si>
  <si>
    <t>PrePaid Ins Punitive</t>
  </si>
  <si>
    <t>PrePaid Ins SpecRisk</t>
  </si>
  <si>
    <t>PrePaid Ins Surety</t>
  </si>
  <si>
    <t>PrePaid Ins Travel</t>
  </si>
  <si>
    <t>PrePaid Ins WC Exces</t>
  </si>
  <si>
    <t>PrePaid Ins WC State</t>
  </si>
  <si>
    <t>PrePaid Insur</t>
  </si>
  <si>
    <t>Prepaid Misc-Other</t>
  </si>
  <si>
    <t>Accr Util Rev C</t>
  </si>
  <si>
    <t>Curr Deriv Asset</t>
  </si>
  <si>
    <t>LT Deriv Asset</t>
  </si>
  <si>
    <t>UA Debt Exp Recourse</t>
  </si>
  <si>
    <t>Reg Ast Conserv Cls</t>
  </si>
  <si>
    <t>Reg Ast CRA Clause</t>
  </si>
  <si>
    <t>Reg Ast FAS158 C</t>
  </si>
  <si>
    <t>Reg Ast Rate Case C</t>
  </si>
  <si>
    <t>Curr Derv-Regulatory</t>
  </si>
  <si>
    <t>Reg Ast FAS158 NC</t>
  </si>
  <si>
    <t>LT Deriv-Regulatory</t>
  </si>
  <si>
    <t>RegAst EnvRem Cst NC</t>
  </si>
  <si>
    <t>RegAst Env Rem</t>
  </si>
  <si>
    <t>RegAst Env Rem Csts</t>
  </si>
  <si>
    <t>CIS Intrfc Suspense</t>
  </si>
  <si>
    <t>PP Intrfc Suspense</t>
  </si>
  <si>
    <t>Intrfc Doc Balancing</t>
  </si>
  <si>
    <t>HR Doc Balancing</t>
  </si>
  <si>
    <t>DefDr Other</t>
  </si>
  <si>
    <t>U/A Loss ReaqDebt LT</t>
  </si>
  <si>
    <t>DTA Federal</t>
  </si>
  <si>
    <t>Defd FIT FAS133</t>
  </si>
  <si>
    <t>Defd FIT FAS133 Int</t>
  </si>
  <si>
    <t>Defd FIT FAS158</t>
  </si>
  <si>
    <t>Defd FIT FAS158 MedD</t>
  </si>
  <si>
    <t>Defd Tax FIT Credits</t>
  </si>
  <si>
    <t>DTA State</t>
  </si>
  <si>
    <t>Defd SIT FAS133</t>
  </si>
  <si>
    <t>Defd SIT FAS133 Int</t>
  </si>
  <si>
    <t>Defd SIT FAS158</t>
  </si>
  <si>
    <t>Defd SIT FAS158 MedD</t>
  </si>
  <si>
    <t>Unrcv PurcGas Cst C</t>
  </si>
  <si>
    <t>PurchGas Drv Stld C</t>
  </si>
  <si>
    <t>PurGasAdj Contra C</t>
  </si>
  <si>
    <t>PurGasAdj Reclass C</t>
  </si>
  <si>
    <t>GL Data Takeover</t>
  </si>
  <si>
    <t>Inventory Takeover</t>
  </si>
  <si>
    <t>Prem Capital Stock</t>
  </si>
  <si>
    <t>Misc Paidin Capital</t>
  </si>
  <si>
    <t>Retained Earnings</t>
  </si>
  <si>
    <t>Unappr Subs Earn</t>
  </si>
  <si>
    <t>OCI Other Pretax</t>
  </si>
  <si>
    <t>OCI Other Taxes</t>
  </si>
  <si>
    <t>OCI Pension Pretax</t>
  </si>
  <si>
    <t>OCI Pension Taxes</t>
  </si>
  <si>
    <t>OCI SERP Pretax</t>
  </si>
  <si>
    <t>OCI FAS106 Pretax</t>
  </si>
  <si>
    <t>OCI FAS106 Taxes</t>
  </si>
  <si>
    <t>OCI CF Hedge Pretax</t>
  </si>
  <si>
    <t>OCI CF Hedge Taxes</t>
  </si>
  <si>
    <t>LTD Recourse NC</t>
  </si>
  <si>
    <t>UA Disc LTD Recourse</t>
  </si>
  <si>
    <t>Storm Reserv-Distrib</t>
  </si>
  <si>
    <t>I&amp;D Gen Liab Resrv</t>
  </si>
  <si>
    <t>I&amp;D Recoveries GL C</t>
  </si>
  <si>
    <t>Pension Liab NC</t>
  </si>
  <si>
    <t>Pension FAS158 NC</t>
  </si>
  <si>
    <t>SERP Liab NC</t>
  </si>
  <si>
    <t>SERP FAS158 NC</t>
  </si>
  <si>
    <t>FAS106 FAS158 NC</t>
  </si>
  <si>
    <t>FAS106 Retired NC</t>
  </si>
  <si>
    <t>FAS112 LTDisab NC</t>
  </si>
  <si>
    <t>Oth Litigation Resrv</t>
  </si>
  <si>
    <t>Contractor Dmg Resrv</t>
  </si>
  <si>
    <t>Notes Pay &lt;1yr Dur</t>
  </si>
  <si>
    <t>AP Vouchers (RECON)</t>
  </si>
  <si>
    <t>AP Manual Accruals</t>
  </si>
  <si>
    <t>AP GR/IR Clearing</t>
  </si>
  <si>
    <t>AP P-Card Clearing</t>
  </si>
  <si>
    <t>AP Employee Expenses</t>
  </si>
  <si>
    <t>AP Enrgy ConsrvAllow</t>
  </si>
  <si>
    <t>AP Payroll</t>
  </si>
  <si>
    <t>AP 401K Fixed Match</t>
  </si>
  <si>
    <t>AP 401K Perf Match</t>
  </si>
  <si>
    <t>AP 401K Emp Contrib</t>
  </si>
  <si>
    <t>AP DRIP</t>
  </si>
  <si>
    <t>AP PSP / Incentive</t>
  </si>
  <si>
    <t>AP Garnishments</t>
  </si>
  <si>
    <t>AP Group Life Insur</t>
  </si>
  <si>
    <t>AP LT Care Insurance</t>
  </si>
  <si>
    <t>AP United Fund</t>
  </si>
  <si>
    <t>AP TEPAC</t>
  </si>
  <si>
    <t>AP Fitness Center</t>
  </si>
  <si>
    <t>AP HSA Emplyee Cntrb</t>
  </si>
  <si>
    <t>AP HSA Emplyer Cntrb</t>
  </si>
  <si>
    <t>AP Med Ins Reserve</t>
  </si>
  <si>
    <t>AP IBEW Union Dues</t>
  </si>
  <si>
    <t>AP OPEIU Union Dues</t>
  </si>
  <si>
    <t>AP IAM/AU Union Dues</t>
  </si>
  <si>
    <t>AP UFCW Union Dues</t>
  </si>
  <si>
    <t>AP FSA Medical</t>
  </si>
  <si>
    <t>AP FSA Dep Care</t>
  </si>
  <si>
    <t>AP FSA Parking</t>
  </si>
  <si>
    <t>AP Amer GasIndx Fund</t>
  </si>
  <si>
    <t>AP Fuel Accrual</t>
  </si>
  <si>
    <t>AP Interchange</t>
  </si>
  <si>
    <t>AP Share Program</t>
  </si>
  <si>
    <t>AP Vision Ben Plan</t>
  </si>
  <si>
    <t>AP PY Dividend Clrg</t>
  </si>
  <si>
    <t>AP Legacy M&amp;S RNB</t>
  </si>
  <si>
    <t>NP IC Current Postng</t>
  </si>
  <si>
    <t>AP Interco Recon</t>
  </si>
  <si>
    <t>AP Interco Posting</t>
  </si>
  <si>
    <t>CIS Cust Deposit ST</t>
  </si>
  <si>
    <t>Non-CIS Cust Dep ST</t>
  </si>
  <si>
    <t>FIT Pay Current Year</t>
  </si>
  <si>
    <t>FIT Pay Prior Year</t>
  </si>
  <si>
    <t>SIT Pay Curent Year</t>
  </si>
  <si>
    <t>SIT Pay Prior Year</t>
  </si>
  <si>
    <t>TaxPay Unemploy Fed</t>
  </si>
  <si>
    <t>TaxPay Unemploy Stat</t>
  </si>
  <si>
    <t>Tax Pay Reg Ases Fee</t>
  </si>
  <si>
    <t>Tax Pay GRT</t>
  </si>
  <si>
    <t>Tax Pay Property</t>
  </si>
  <si>
    <t>Tax Pay Franchise</t>
  </si>
  <si>
    <t>Tax Pay Excise Tax</t>
  </si>
  <si>
    <t>Tax Pay FICA Employr</t>
  </si>
  <si>
    <t>Tax Pay Other</t>
  </si>
  <si>
    <t>Int Acc Cust Deposit</t>
  </si>
  <si>
    <t>Int Accr LTD</t>
  </si>
  <si>
    <t>Divid Pay IC Recon</t>
  </si>
  <si>
    <t>Sales Use Pay AP</t>
  </si>
  <si>
    <t>Sales Surtax Pay AP</t>
  </si>
  <si>
    <t>Utility Tax Pay</t>
  </si>
  <si>
    <t>FICA Tax Pay Emplyee</t>
  </si>
  <si>
    <t>FIT Withholding Pay</t>
  </si>
  <si>
    <t>SERP FAS158 C</t>
  </si>
  <si>
    <t>FAS106 FAS158 C</t>
  </si>
  <si>
    <t>Vacation Liab</t>
  </si>
  <si>
    <t>Cashier Over/Short</t>
  </si>
  <si>
    <t>Unclaimed Funds</t>
  </si>
  <si>
    <t>PGS MGP Enviro Liab</t>
  </si>
  <si>
    <t>Accru Liab - Misc</t>
  </si>
  <si>
    <t>Curr Deriv Liab</t>
  </si>
  <si>
    <t>LT Deriv Liab</t>
  </si>
  <si>
    <t>Cust Adv Constructin</t>
  </si>
  <si>
    <t>Contract Reten RECON</t>
  </si>
  <si>
    <t>DefCr Miscellaneous</t>
  </si>
  <si>
    <t>Reg Liab-ConservCls</t>
  </si>
  <si>
    <t>Reg Liab-CI/BSR Ridr</t>
  </si>
  <si>
    <t>Reg Liab-PrpSal D NC</t>
  </si>
  <si>
    <t>Reg Liab-Gas Reserch</t>
  </si>
  <si>
    <t>Reg Liab-MGP Remed</t>
  </si>
  <si>
    <t>AcDfd Invest Tax Cr</t>
  </si>
  <si>
    <t>DIT Oth Prop Fed</t>
  </si>
  <si>
    <t>DIT Oth Prop State</t>
  </si>
  <si>
    <t>DIT Liab-Federal</t>
  </si>
  <si>
    <t>DIT FAS158 Fed</t>
  </si>
  <si>
    <t>DIT FAS158 MedD Fed</t>
  </si>
  <si>
    <t>DIT FAS133 Fed</t>
  </si>
  <si>
    <t>DIT Liab-State</t>
  </si>
  <si>
    <t>DIT FAS158 State</t>
  </si>
  <si>
    <t>DIT FAS158 MedD St</t>
  </si>
  <si>
    <t>DIT FAS133 State</t>
  </si>
  <si>
    <t>101</t>
  </si>
  <si>
    <t>105</t>
  </si>
  <si>
    <t>106</t>
  </si>
  <si>
    <t>107</t>
  </si>
  <si>
    <t>108</t>
  </si>
  <si>
    <t>114</t>
  </si>
  <si>
    <t>115</t>
  </si>
  <si>
    <t>121</t>
  </si>
  <si>
    <t>123</t>
  </si>
  <si>
    <t>131</t>
  </si>
  <si>
    <t>134</t>
  </si>
  <si>
    <t>135</t>
  </si>
  <si>
    <t>136</t>
  </si>
  <si>
    <t>142</t>
  </si>
  <si>
    <t>143</t>
  </si>
  <si>
    <t>144</t>
  </si>
  <si>
    <t>145</t>
  </si>
  <si>
    <t>146</t>
  </si>
  <si>
    <t>154</t>
  </si>
  <si>
    <t>164</t>
  </si>
  <si>
    <t>165</t>
  </si>
  <si>
    <t>173</t>
  </si>
  <si>
    <t>176</t>
  </si>
  <si>
    <t>181</t>
  </si>
  <si>
    <t>182</t>
  </si>
  <si>
    <t>184</t>
  </si>
  <si>
    <t>186</t>
  </si>
  <si>
    <t>189</t>
  </si>
  <si>
    <t>190</t>
  </si>
  <si>
    <t>191</t>
  </si>
  <si>
    <t>207</t>
  </si>
  <si>
    <t>211</t>
  </si>
  <si>
    <t>216</t>
  </si>
  <si>
    <t>219</t>
  </si>
  <si>
    <t>224</t>
  </si>
  <si>
    <t>226</t>
  </si>
  <si>
    <t>228</t>
  </si>
  <si>
    <t>231</t>
  </si>
  <si>
    <t>232</t>
  </si>
  <si>
    <t>233</t>
  </si>
  <si>
    <t>234</t>
  </si>
  <si>
    <t>235</t>
  </si>
  <si>
    <t>236</t>
  </si>
  <si>
    <t>237</t>
  </si>
  <si>
    <t>238</t>
  </si>
  <si>
    <t>241</t>
  </si>
  <si>
    <t>242</t>
  </si>
  <si>
    <t>245</t>
  </si>
  <si>
    <t>252</t>
  </si>
  <si>
    <t>253</t>
  </si>
  <si>
    <t>254</t>
  </si>
  <si>
    <t>282</t>
  </si>
  <si>
    <t>283</t>
  </si>
  <si>
    <t>155</t>
  </si>
  <si>
    <t>163</t>
  </si>
  <si>
    <t>1823070</t>
  </si>
  <si>
    <t>1823105</t>
  </si>
  <si>
    <t>1823205</t>
  </si>
  <si>
    <t>1823102</t>
  </si>
  <si>
    <t>2330711</t>
  </si>
  <si>
    <t>2350110</t>
  </si>
  <si>
    <t>2420320</t>
  </si>
  <si>
    <t>2370300</t>
  </si>
  <si>
    <t>2370400</t>
  </si>
  <si>
    <t>Int Acc Credit Facility</t>
  </si>
  <si>
    <t>2370350</t>
  </si>
  <si>
    <t>2370900</t>
  </si>
  <si>
    <t>Interest Acc-std (Is acct) calculation</t>
  </si>
  <si>
    <t>2360320</t>
  </si>
  <si>
    <t>2360310</t>
  </si>
  <si>
    <t>2360410</t>
  </si>
  <si>
    <t>2360420</t>
  </si>
  <si>
    <t>2540040</t>
  </si>
  <si>
    <t>2360605</t>
  </si>
  <si>
    <t>2450100</t>
  </si>
  <si>
    <t>2450200</t>
  </si>
  <si>
    <t>2540281</t>
  </si>
  <si>
    <t>2540330</t>
  </si>
  <si>
    <t>2540340</t>
  </si>
  <si>
    <t>2281081</t>
  </si>
  <si>
    <t>2283201</t>
  </si>
  <si>
    <t>2283211</t>
  </si>
  <si>
    <t>2283231</t>
  </si>
  <si>
    <t>2283240</t>
  </si>
  <si>
    <t>2283210</t>
  </si>
  <si>
    <t>2320022</t>
  </si>
  <si>
    <t>2420111</t>
  </si>
  <si>
    <t>2420131</t>
  </si>
  <si>
    <t>2420300</t>
  </si>
  <si>
    <t>2320008</t>
  </si>
  <si>
    <t>2320015</t>
  </si>
  <si>
    <t>2320020</t>
  </si>
  <si>
    <t>2360600</t>
  </si>
  <si>
    <t>2360601</t>
  </si>
  <si>
    <t>2360602</t>
  </si>
  <si>
    <t>2360603</t>
  </si>
  <si>
    <t>2360604</t>
  </si>
  <si>
    <t>2360606</t>
  </si>
  <si>
    <t>2360620</t>
  </si>
  <si>
    <t>2420310</t>
  </si>
  <si>
    <t>2420800</t>
  </si>
  <si>
    <t>2540105</t>
  </si>
  <si>
    <t>2540205</t>
  </si>
  <si>
    <t>2283200</t>
  </si>
  <si>
    <t>2283230</t>
  </si>
  <si>
    <t>FAS106 Liability-Active - Non-Current</t>
  </si>
  <si>
    <t>2283232</t>
  </si>
  <si>
    <t>2284020</t>
  </si>
  <si>
    <t>2284030</t>
  </si>
  <si>
    <t>2282010</t>
  </si>
  <si>
    <t>2540071</t>
  </si>
  <si>
    <t>2420321</t>
  </si>
  <si>
    <t>2282110</t>
  </si>
  <si>
    <t>JAN 2014  Activity</t>
  </si>
  <si>
    <t>FEB 2014  Activity</t>
  </si>
  <si>
    <t>MAR 2014  Activity</t>
  </si>
  <si>
    <t>APR 2014  Activity</t>
  </si>
  <si>
    <t>MAY 2014  Activity</t>
  </si>
  <si>
    <t>JUN 2014  Activity</t>
  </si>
  <si>
    <t>JUL 2014  Activity</t>
  </si>
  <si>
    <t>AUG 2014  Activity</t>
  </si>
  <si>
    <t>SEP 2014  Activity</t>
  </si>
  <si>
    <t>OCT 2014  Activity</t>
  </si>
  <si>
    <t>NOV 2014  Activity</t>
  </si>
  <si>
    <t>DEC 2014  Activity</t>
  </si>
  <si>
    <t>REG DR Def PGA</t>
  </si>
  <si>
    <t>REG DR CI/BSR Rider</t>
  </si>
  <si>
    <t>REG DR Def Cons Gas</t>
  </si>
  <si>
    <t>REG CR Def PGA Amtz</t>
  </si>
  <si>
    <t>REG CR CI/BSR Rider</t>
  </si>
  <si>
    <t>REG CR Def Cons Gas</t>
  </si>
  <si>
    <t>Residential - 1</t>
  </si>
  <si>
    <t>Residential - 1 FUEL</t>
  </si>
  <si>
    <t>Residential - 2</t>
  </si>
  <si>
    <t>Residential - 2 FUEL</t>
  </si>
  <si>
    <t>Residential - 3</t>
  </si>
  <si>
    <t>Residential - 3 FUEL</t>
  </si>
  <si>
    <t>Resid StndByGen</t>
  </si>
  <si>
    <t>Resid StndByGen Fuel</t>
  </si>
  <si>
    <t>Resid GenSvc 1</t>
  </si>
  <si>
    <t>Resid GenSvc 1 Fuel</t>
  </si>
  <si>
    <t>Resid GenSvc 2</t>
  </si>
  <si>
    <t>Resid GenSvc 2 Fuel</t>
  </si>
  <si>
    <t>Resid GenSvc 3</t>
  </si>
  <si>
    <t>Resid GenSvc 3 Fuel</t>
  </si>
  <si>
    <t>Nat Gas Vehicle</t>
  </si>
  <si>
    <t>Nat Gas Vehicle Fuel</t>
  </si>
  <si>
    <t>Comm Street Lighting</t>
  </si>
  <si>
    <t>Comm St Light Fuel</t>
  </si>
  <si>
    <t>GenSvc Small</t>
  </si>
  <si>
    <t>GenSvc Small Fuel</t>
  </si>
  <si>
    <t>Comm Standby Gen</t>
  </si>
  <si>
    <t>Comm Standby GenFuel</t>
  </si>
  <si>
    <t>GenSvc Lg Vol 1</t>
  </si>
  <si>
    <t>GenSvc Lg Vol 1 Fuel</t>
  </si>
  <si>
    <t>GenSvc Lg Vol 2</t>
  </si>
  <si>
    <t>GenSvc Lg Vol 2 Fuel</t>
  </si>
  <si>
    <t>GenSvc Lg Vol 3</t>
  </si>
  <si>
    <t>GenSvc Lg Vol 3 Fuel</t>
  </si>
  <si>
    <t>GenSvc Lg Vol 4</t>
  </si>
  <si>
    <t>GenSvc Lg Vol 4 Fuel</t>
  </si>
  <si>
    <t>GenSvc Lg Vol 5</t>
  </si>
  <si>
    <t>GenSvc Lg Vol 5 Fuel</t>
  </si>
  <si>
    <t>Intrpt Small</t>
  </si>
  <si>
    <t>Intrpt Small Fuel</t>
  </si>
  <si>
    <t>Intrpt Lg Vol 1</t>
  </si>
  <si>
    <t>Intrpt Lg Vol 1 Fuel</t>
  </si>
  <si>
    <t>Intrpt Lg Vol 2</t>
  </si>
  <si>
    <t>Intrpt Lg Vol 2 Fuel</t>
  </si>
  <si>
    <t>Mut Ben NonRP Reslr</t>
  </si>
  <si>
    <t>OSS PGA NonRP Reslr</t>
  </si>
  <si>
    <t>OSS PGA NonRP EndUsr</t>
  </si>
  <si>
    <t>OSS PGS Receipt Pnt</t>
  </si>
  <si>
    <t>OSS Marg NonRP Reslr</t>
  </si>
  <si>
    <t>OSS Margin Non RP EU</t>
  </si>
  <si>
    <t>OSS Margin RP</t>
  </si>
  <si>
    <t>Wholesale for Resale</t>
  </si>
  <si>
    <t>Whsl for Resale Fuel</t>
  </si>
  <si>
    <t>Whsl for Resale Trnp</t>
  </si>
  <si>
    <t>Forfeited Discounts</t>
  </si>
  <si>
    <t>Res ConnectReconnect</t>
  </si>
  <si>
    <t>Com ConnectReconnect</t>
  </si>
  <si>
    <t>MiscSv-Change Out</t>
  </si>
  <si>
    <t>MiscSv-Trip Charge</t>
  </si>
  <si>
    <t>MiscSv-NSF Fee</t>
  </si>
  <si>
    <t>MiscSv-FailedTripChg</t>
  </si>
  <si>
    <t>MiscSv-TempDisconect</t>
  </si>
  <si>
    <t>MiscSv-ITSFee</t>
  </si>
  <si>
    <t>Misc Svc Rev Other</t>
  </si>
  <si>
    <t>NatGas Vehicle Trnsp</t>
  </si>
  <si>
    <t>NGas Veh Trnsp Swing</t>
  </si>
  <si>
    <t>Comm StLgt Transp</t>
  </si>
  <si>
    <t>Comm StLgt Trn Swing</t>
  </si>
  <si>
    <t>GenSvc Sm Transp</t>
  </si>
  <si>
    <t>GS Sm Transp Swing</t>
  </si>
  <si>
    <t>Comm TrnspStandbyGen</t>
  </si>
  <si>
    <t>Com TrpStByGen Swing</t>
  </si>
  <si>
    <t>Resid Trsp GenSvc 1</t>
  </si>
  <si>
    <t>Resid Trsp GS1 Swing</t>
  </si>
  <si>
    <t>Resid Trsp GenSvc 2</t>
  </si>
  <si>
    <t>Resid Trsp GS2 Swing</t>
  </si>
  <si>
    <t>Resid Trsp GenSvc 3</t>
  </si>
  <si>
    <t>Resid Trsp GS3 Swing</t>
  </si>
  <si>
    <t>GenSvc Lg Vol1 Trnsp</t>
  </si>
  <si>
    <t>GS Lg V1 Trnsp Swing</t>
  </si>
  <si>
    <t>GenSvc Lg Vol2 Trnsp</t>
  </si>
  <si>
    <t>GS Lg V2 Trnsp Swing</t>
  </si>
  <si>
    <t>GenSvc Lg Vol3 Trnsp</t>
  </si>
  <si>
    <t>GS Lg V3 Trnsp Swing</t>
  </si>
  <si>
    <t>GenSvc Lg Vol4 Trnsp</t>
  </si>
  <si>
    <t>GS Lg V4 Trnsp Swing</t>
  </si>
  <si>
    <t>GenSvc Lg Vol5 Trnsp</t>
  </si>
  <si>
    <t>GS Lg V5 Trnsp Swing</t>
  </si>
  <si>
    <t>Intrpt Small Transp</t>
  </si>
  <si>
    <t>Intrpt Lg Vol1 Trnsp</t>
  </si>
  <si>
    <t>Intrpt Lg Vol2 Trnsp</t>
  </si>
  <si>
    <t>Rent Revenue</t>
  </si>
  <si>
    <t>IC Rent Revenue</t>
  </si>
  <si>
    <t>OthRev-EnergyConserv</t>
  </si>
  <si>
    <t>OthRev-Franchise Fee</t>
  </si>
  <si>
    <t>OthRev-Gross Receipt</t>
  </si>
  <si>
    <t>OthRev-Comm SalesTax</t>
  </si>
  <si>
    <t>OthRev-PoolMgrHist</t>
  </si>
  <si>
    <t>OthRev-PoolMgrAdmin</t>
  </si>
  <si>
    <t>OthRev-Termination</t>
  </si>
  <si>
    <t>OthRev-FLGasUtility</t>
  </si>
  <si>
    <t>OthRev-Supplier FTA</t>
  </si>
  <si>
    <t>CI/BSR Rider Revenue</t>
  </si>
  <si>
    <t>Other Rev Misc</t>
  </si>
  <si>
    <t>Labor Exempt ST</t>
  </si>
  <si>
    <t>Labor Exempt NonProd</t>
  </si>
  <si>
    <t>Labor NonExm ST</t>
  </si>
  <si>
    <t>Labor NonExm OT</t>
  </si>
  <si>
    <t>Labor NonExm NonProd</t>
  </si>
  <si>
    <t>Labor Union ST</t>
  </si>
  <si>
    <t>Labor Union OT</t>
  </si>
  <si>
    <t>Labor Union NonProd</t>
  </si>
  <si>
    <t>Labor OffCycle Bonus</t>
  </si>
  <si>
    <t>Labor Exp Reclass</t>
  </si>
  <si>
    <t>Labor to BalSheet</t>
  </si>
  <si>
    <t>ST LbrBen to BalSht</t>
  </si>
  <si>
    <t>OT LbrBen to BalSht</t>
  </si>
  <si>
    <t>Ben Plan Admin Fee</t>
  </si>
  <si>
    <t>Tuition Reimbursemnt</t>
  </si>
  <si>
    <t>Life Insurance</t>
  </si>
  <si>
    <t>LT Care Insurance</t>
  </si>
  <si>
    <t>Medical Insur-Active</t>
  </si>
  <si>
    <t>Pensions</t>
  </si>
  <si>
    <t>PostRtFAS106-Active</t>
  </si>
  <si>
    <t>Restricted Stock Exp</t>
  </si>
  <si>
    <t>Employee Wellness</t>
  </si>
  <si>
    <t>Emplr 401KFixed Mtch</t>
  </si>
  <si>
    <t>Emplr 401KPerf Match</t>
  </si>
  <si>
    <t>Supp ExecRetire Plan</t>
  </si>
  <si>
    <t>LTDisability FAS112</t>
  </si>
  <si>
    <t>LTDisability Premium</t>
  </si>
  <si>
    <t>Vacations (accrual)</t>
  </si>
  <si>
    <t>Employee Incentive</t>
  </si>
  <si>
    <t>Emp Service Awards</t>
  </si>
  <si>
    <t>EE ProfDue Subs Fees</t>
  </si>
  <si>
    <t>EE SocialCivic Dues</t>
  </si>
  <si>
    <t>EE Meals 100% Deduct</t>
  </si>
  <si>
    <t>EE Meals 50% Deduct</t>
  </si>
  <si>
    <t>EE Mileage</t>
  </si>
  <si>
    <t>EE Shoes Uniforms</t>
  </si>
  <si>
    <t>EE Training</t>
  </si>
  <si>
    <t>EE Travel Lodging</t>
  </si>
  <si>
    <t>EE Miscellaneous</t>
  </si>
  <si>
    <t>Employee Exp Reclass</t>
  </si>
  <si>
    <t>Emp Exp to BalSheet</t>
  </si>
  <si>
    <t>Advertising</t>
  </si>
  <si>
    <t>Analytical(PreMaint)</t>
  </si>
  <si>
    <t>Consultants-Audit</t>
  </si>
  <si>
    <t>Consultants-Engineer</t>
  </si>
  <si>
    <t>Consultants-Environ</t>
  </si>
  <si>
    <t>Consultants-Legal</t>
  </si>
  <si>
    <t>Consultants-Mgmt</t>
  </si>
  <si>
    <t>Consultants-Other</t>
  </si>
  <si>
    <t>Consultants-Taxes</t>
  </si>
  <si>
    <t>Contractor Services</t>
  </si>
  <si>
    <t>Tool Service/Repair</t>
  </si>
  <si>
    <t>Printing</t>
  </si>
  <si>
    <t>Security Services</t>
  </si>
  <si>
    <t>Hardware Maint/Svcs</t>
  </si>
  <si>
    <t>Site Testing Service</t>
  </si>
  <si>
    <t>Software Maintenance</t>
  </si>
  <si>
    <t>Trust Fee</t>
  </si>
  <si>
    <t>OutSvc Exp Reclass</t>
  </si>
  <si>
    <t>OutSvc to BalSheet</t>
  </si>
  <si>
    <t>Cost of Natural Gas</t>
  </si>
  <si>
    <t>M&amp;S FurnOffEquip</t>
  </si>
  <si>
    <t>M&amp;S Gen Office</t>
  </si>
  <si>
    <t>M&amp;S Chemicals</t>
  </si>
  <si>
    <t>M&amp;S Lubricants</t>
  </si>
  <si>
    <t>M&amp;S Ops Consum</t>
  </si>
  <si>
    <t>M&amp;S Safety</t>
  </si>
  <si>
    <t>M&amp;S Vehicle Fuel</t>
  </si>
  <si>
    <t>M&amp;S OS Purchases</t>
  </si>
  <si>
    <t>M&amp;S Parts</t>
  </si>
  <si>
    <t>M&amp;S Small Tools</t>
  </si>
  <si>
    <t>M&amp;S Defect Inv Scrap</t>
  </si>
  <si>
    <t>M&amp;S Inven Other</t>
  </si>
  <si>
    <t>M&amp;S Inven Issue</t>
  </si>
  <si>
    <t>Phy Inven Difference</t>
  </si>
  <si>
    <t>Matls Price Diff</t>
  </si>
  <si>
    <t>Re-Stock Salvage</t>
  </si>
  <si>
    <t>M&amp;S Exp Reclass</t>
  </si>
  <si>
    <t>M&amp;S to BalSheet</t>
  </si>
  <si>
    <t>Transport-Vehicle</t>
  </si>
  <si>
    <t>Transport-Veh Gas</t>
  </si>
  <si>
    <t>Transport-Trailers</t>
  </si>
  <si>
    <t>Transp Veh Depr Oth</t>
  </si>
  <si>
    <t>Transprt Exp Reclass</t>
  </si>
  <si>
    <t>Transport to BalSht</t>
  </si>
  <si>
    <t>Ins-FPSC Storm Rsv</t>
  </si>
  <si>
    <t>Ins-Automobile</t>
  </si>
  <si>
    <t>Ins-Brokerage Fees</t>
  </si>
  <si>
    <t>Ins-Crime &amp; Fidelity</t>
  </si>
  <si>
    <t>Ins-Errors&amp;Omissions</t>
  </si>
  <si>
    <t>Ins-Excess Auto</t>
  </si>
  <si>
    <t>Ins-Excess Gen Liab</t>
  </si>
  <si>
    <t>Ins-I&amp;D Reserves</t>
  </si>
  <si>
    <t>Ins-Practices Liab</t>
  </si>
  <si>
    <t>Ins-Property</t>
  </si>
  <si>
    <t>Ins-Punitive Damages</t>
  </si>
  <si>
    <t>Ins-Special Risk</t>
  </si>
  <si>
    <t>Ins-Surety Bonds</t>
  </si>
  <si>
    <t>Ins-Travel Accident</t>
  </si>
  <si>
    <t>Ins-WC Excess</t>
  </si>
  <si>
    <t>Ins-WC States</t>
  </si>
  <si>
    <t>Ins-Other</t>
  </si>
  <si>
    <t>Rent-Right of Way</t>
  </si>
  <si>
    <t>Rent-Intercompany</t>
  </si>
  <si>
    <t>Rent-Other</t>
  </si>
  <si>
    <t>Rent to BalSheet</t>
  </si>
  <si>
    <t>Lease-Building</t>
  </si>
  <si>
    <t>Lease-NonOfficeEquip</t>
  </si>
  <si>
    <t>Lease-Office Equip</t>
  </si>
  <si>
    <t>Lease-Vehicle</t>
  </si>
  <si>
    <t>Lease-Other</t>
  </si>
  <si>
    <t>Lease to BalSheet</t>
  </si>
  <si>
    <t>Utilities-Electricty</t>
  </si>
  <si>
    <t>Utilities-Gas</t>
  </si>
  <si>
    <t>Utilities-Telecom</t>
  </si>
  <si>
    <t>Utilities-WasteTrash</t>
  </si>
  <si>
    <t>Utilities-Water</t>
  </si>
  <si>
    <t>Utilities-Other</t>
  </si>
  <si>
    <t>Utilities to BalSht</t>
  </si>
  <si>
    <t>Misc Bill Ex MtlSale</t>
  </si>
  <si>
    <t>Dmgd Faclty Billing</t>
  </si>
  <si>
    <t>Misc Bill Ex General</t>
  </si>
  <si>
    <t>Misc Bill Bal Sheet</t>
  </si>
  <si>
    <t>Bad Debt Exp CIS</t>
  </si>
  <si>
    <t>Bad Debt Exp ARM</t>
  </si>
  <si>
    <t>Director RestrStk Ex</t>
  </si>
  <si>
    <t>Economic Development</t>
  </si>
  <si>
    <t>Industry Dues</t>
  </si>
  <si>
    <t>Donations (501c)</t>
  </si>
  <si>
    <t>Donations NonDed</t>
  </si>
  <si>
    <t>Donations Other</t>
  </si>
  <si>
    <t>Fees-Bank</t>
  </si>
  <si>
    <t>Fees-Report Filing</t>
  </si>
  <si>
    <t>Fees-Registration</t>
  </si>
  <si>
    <t>Fees-Miscellaneous</t>
  </si>
  <si>
    <t>Permitting</t>
  </si>
  <si>
    <t>Political Contrib</t>
  </si>
  <si>
    <t>Postage Ship Courier</t>
  </si>
  <si>
    <t>Ene Conserv Allow</t>
  </si>
  <si>
    <t>Selling Mktg Exp</t>
  </si>
  <si>
    <t>Settlement/Claim Exp</t>
  </si>
  <si>
    <t>Stadium-Other</t>
  </si>
  <si>
    <t>Cash Discounts Taken</t>
  </si>
  <si>
    <t>A&amp;G Allocation</t>
  </si>
  <si>
    <t>A&amp;G Alloc to Capital</t>
  </si>
  <si>
    <t>I&amp;D Alloc to Capital</t>
  </si>
  <si>
    <t>Intercompany Charges</t>
  </si>
  <si>
    <t>IC Fee</t>
  </si>
  <si>
    <t>IC Print Shop</t>
  </si>
  <si>
    <t>IC Reten Mail Svc</t>
  </si>
  <si>
    <t>IC Direct fr Svc Co</t>
  </si>
  <si>
    <t>IC Indirect fr SvcCo</t>
  </si>
  <si>
    <t>Other Oper-Misc</t>
  </si>
  <si>
    <t>Oth Oper Exp Reclass</t>
  </si>
  <si>
    <t>Other Oper to BalSht</t>
  </si>
  <si>
    <t>Fleet Chgs BalSht</t>
  </si>
  <si>
    <t>Stores Clrg BalSht</t>
  </si>
  <si>
    <t>SupMgmt Chgs BalSht</t>
  </si>
  <si>
    <t>Amtz-Utility Plant</t>
  </si>
  <si>
    <t>Amtz-Acqu Adj ATL</t>
  </si>
  <si>
    <t>Amtz-Environ Remedia</t>
  </si>
  <si>
    <t>Depr-Utility Plant</t>
  </si>
  <si>
    <t>Depr-CI/BSR Rider</t>
  </si>
  <si>
    <t>TOTI-Franchise Fees</t>
  </si>
  <si>
    <t>TOTI-Gross Receipts</t>
  </si>
  <si>
    <t>TOTI-Payroll Tax</t>
  </si>
  <si>
    <t>TOTI-Prop Tax ATL</t>
  </si>
  <si>
    <t>TOTI-Reg Assess Fee</t>
  </si>
  <si>
    <t>TOTI-Fed Excise Tax</t>
  </si>
  <si>
    <t>TOTI-CntyCityBusiLic</t>
  </si>
  <si>
    <t>TOTI-Other</t>
  </si>
  <si>
    <t>IntInc-Dfd Conserv</t>
  </si>
  <si>
    <t>IntInc-Dfd PGA</t>
  </si>
  <si>
    <t>IntInc-Dfd CRA</t>
  </si>
  <si>
    <t>IntInc-Intercompany</t>
  </si>
  <si>
    <t>IntInc-Miscellaneous</t>
  </si>
  <si>
    <t>Basic Order Agreemnt</t>
  </si>
  <si>
    <t>Oth Inc/Exp-Misc</t>
  </si>
  <si>
    <t>Jobbing Revenue</t>
  </si>
  <si>
    <t>CIAC</t>
  </si>
  <si>
    <t>MSEA/MEP Credits</t>
  </si>
  <si>
    <t>Oth Inc to BalSheet</t>
  </si>
  <si>
    <t>Jobbing Expense</t>
  </si>
  <si>
    <t>Eq Ern Consol Affil</t>
  </si>
  <si>
    <t>AR Securitization</t>
  </si>
  <si>
    <t>Int Exp Customer Dep</t>
  </si>
  <si>
    <t>Int Exp Cr Facility</t>
  </si>
  <si>
    <t>Int Exp LT Debt</t>
  </si>
  <si>
    <t>Int Exp Amz Disc LTD</t>
  </si>
  <si>
    <t>Int Exp Amz Fees LTD</t>
  </si>
  <si>
    <t>Int Ex Dfd Conserv</t>
  </si>
  <si>
    <t>Int Ex Dfd PGA</t>
  </si>
  <si>
    <t>Int Ex CI/BSR Rider</t>
  </si>
  <si>
    <t>Int Exp Intercompany</t>
  </si>
  <si>
    <t>Int Exp Misc</t>
  </si>
  <si>
    <t>FIT Expense</t>
  </si>
  <si>
    <t>FIT Expense ATL</t>
  </si>
  <si>
    <t>SIT Expense</t>
  </si>
  <si>
    <t>SIT Expense ATL</t>
  </si>
  <si>
    <t>DIT Federal</t>
  </si>
  <si>
    <t>DIT State</t>
  </si>
  <si>
    <t>InvTaxCrAmtz-Util</t>
  </si>
  <si>
    <t>FICO Recon O&amp;M Exp</t>
  </si>
  <si>
    <t>FICO Recon TOTI</t>
  </si>
  <si>
    <t>FICO Recon Oth IncEx</t>
  </si>
  <si>
    <t>FICO Rec IT Alloc</t>
  </si>
  <si>
    <t>FICO Rec Telec Alloc</t>
  </si>
  <si>
    <t>FICO Rec Facilities</t>
  </si>
  <si>
    <t>Div sent to RE</t>
  </si>
  <si>
    <t>Inc Summary Offset</t>
  </si>
  <si>
    <t>Nat</t>
  </si>
  <si>
    <t>Grand Total</t>
  </si>
  <si>
    <t>4074140</t>
  </si>
  <si>
    <t>4074141</t>
  </si>
  <si>
    <t>4074071</t>
  </si>
  <si>
    <t>4073060</t>
  </si>
  <si>
    <t>4074061</t>
  </si>
  <si>
    <t>4073061</t>
  </si>
  <si>
    <t>6800050</t>
  </si>
  <si>
    <t>agrees to FERC I/S</t>
  </si>
  <si>
    <t>4030</t>
  </si>
  <si>
    <t>4043</t>
  </si>
  <si>
    <t>4060</t>
  </si>
  <si>
    <t>4073</t>
  </si>
  <si>
    <t>4074</t>
  </si>
  <si>
    <t>4081</t>
  </si>
  <si>
    <t>4091</t>
  </si>
  <si>
    <t>4092</t>
  </si>
  <si>
    <t>4101</t>
  </si>
  <si>
    <t>4150</t>
  </si>
  <si>
    <t>4160</t>
  </si>
  <si>
    <t>4181</t>
  </si>
  <si>
    <t>4190</t>
  </si>
  <si>
    <t>4210</t>
  </si>
  <si>
    <t>4261</t>
  </si>
  <si>
    <t>4264</t>
  </si>
  <si>
    <t>4270</t>
  </si>
  <si>
    <t>4280</t>
  </si>
  <si>
    <t>4310</t>
  </si>
  <si>
    <t>4330</t>
  </si>
  <si>
    <t>4380</t>
  </si>
  <si>
    <t>4800</t>
  </si>
  <si>
    <t>4810</t>
  </si>
  <si>
    <t>4830</t>
  </si>
  <si>
    <t>4870</t>
  </si>
  <si>
    <t>4880</t>
  </si>
  <si>
    <t>4893</t>
  </si>
  <si>
    <t>4930</t>
  </si>
  <si>
    <t>4950</t>
  </si>
  <si>
    <t>5870</t>
  </si>
  <si>
    <t>8010</t>
  </si>
  <si>
    <t>8040</t>
  </si>
  <si>
    <t>8051</t>
  </si>
  <si>
    <t>8081</t>
  </si>
  <si>
    <t>8082</t>
  </si>
  <si>
    <t>8120</t>
  </si>
  <si>
    <t>8700</t>
  </si>
  <si>
    <t>8710</t>
  </si>
  <si>
    <t>8720</t>
  </si>
  <si>
    <t>8730</t>
  </si>
  <si>
    <t>8740</t>
  </si>
  <si>
    <t>8750</t>
  </si>
  <si>
    <t>8760</t>
  </si>
  <si>
    <t>8770</t>
  </si>
  <si>
    <t>8780</t>
  </si>
  <si>
    <t>8790</t>
  </si>
  <si>
    <t>8800</t>
  </si>
  <si>
    <t>8810</t>
  </si>
  <si>
    <t>8850</t>
  </si>
  <si>
    <t>8860</t>
  </si>
  <si>
    <t>8870</t>
  </si>
  <si>
    <t>8880</t>
  </si>
  <si>
    <t>8890</t>
  </si>
  <si>
    <t>8900</t>
  </si>
  <si>
    <t>8910</t>
  </si>
  <si>
    <t>8920</t>
  </si>
  <si>
    <t>8930</t>
  </si>
  <si>
    <t>8940</t>
  </si>
  <si>
    <t>9020</t>
  </si>
  <si>
    <t>9030</t>
  </si>
  <si>
    <t>9040</t>
  </si>
  <si>
    <t>9080</t>
  </si>
  <si>
    <t>9090</t>
  </si>
  <si>
    <t>9120</t>
  </si>
  <si>
    <t>9130</t>
  </si>
  <si>
    <t>9160</t>
  </si>
  <si>
    <t>9200</t>
  </si>
  <si>
    <t>9210</t>
  </si>
  <si>
    <t>9220</t>
  </si>
  <si>
    <t>9230</t>
  </si>
  <si>
    <t>9240</t>
  </si>
  <si>
    <t>9250</t>
  </si>
  <si>
    <t>9260</t>
  </si>
  <si>
    <t>9302</t>
  </si>
  <si>
    <t>9310</t>
  </si>
  <si>
    <t>9320</t>
  </si>
  <si>
    <t>9999</t>
  </si>
  <si>
    <t>Income taxes ATL - Federal &amp; State</t>
  </si>
  <si>
    <t>Income taxes BTL - Federal &amp; State</t>
  </si>
  <si>
    <t>Def. Taxes - Federal  &amp; State</t>
  </si>
  <si>
    <t>7500700</t>
  </si>
  <si>
    <t>7500020</t>
  </si>
  <si>
    <t>7500080</t>
  </si>
  <si>
    <t>4560</t>
  </si>
  <si>
    <t>4073071</t>
  </si>
  <si>
    <t>4073140</t>
  </si>
  <si>
    <t>4810600</t>
  </si>
  <si>
    <t>4810601</t>
  </si>
  <si>
    <t>4810602</t>
  </si>
  <si>
    <t>4810610</t>
  </si>
  <si>
    <t>4810611</t>
  </si>
  <si>
    <t>4810612</t>
  </si>
  <si>
    <t>6790055</t>
  </si>
  <si>
    <t>2190040</t>
  </si>
  <si>
    <t>2190041</t>
  </si>
  <si>
    <t>7500120</t>
  </si>
  <si>
    <t>7500130</t>
  </si>
  <si>
    <t>JAN 2015  Cumulative  Balance</t>
  </si>
  <si>
    <t>FEB 2015  Cumulative  Balance</t>
  </si>
  <si>
    <t>MAR 2015  Cumulative  Balance</t>
  </si>
  <si>
    <t>JAN 2015  Activity</t>
  </si>
  <si>
    <t>FEB 2015  Activity</t>
  </si>
  <si>
    <t>MAR 2015  Activity</t>
  </si>
  <si>
    <t>9301</t>
  </si>
  <si>
    <t>4074060</t>
  </si>
  <si>
    <t>Per FERC F/S</t>
  </si>
  <si>
    <t>APR 2015  Cumulative  Balance</t>
  </si>
  <si>
    <t>MAY 2015  Cumulative  Balance</t>
  </si>
  <si>
    <t>APR 2015  Activity</t>
  </si>
  <si>
    <t>MAY 2015  Activity</t>
  </si>
  <si>
    <t>JUN 2015  Activity</t>
  </si>
  <si>
    <t>JUN 2015  Cumulative  Balance</t>
  </si>
  <si>
    <t>O&amp;M Expense</t>
  </si>
  <si>
    <t>REG CR Def PGA</t>
  </si>
  <si>
    <t>REG CR Cnsv Amtz Gas</t>
  </si>
  <si>
    <t>Labor Exempt OT</t>
  </si>
  <si>
    <t>Benefits-Other</t>
  </si>
  <si>
    <t>TSI Cap to BalSht</t>
  </si>
  <si>
    <t>FICO Rec HR Alloc</t>
  </si>
  <si>
    <t>FICORec TSISvc Alloc</t>
  </si>
  <si>
    <t>FICO Rec Proc Alloc</t>
  </si>
  <si>
    <t>FICO Rec TSI Capital</t>
  </si>
  <si>
    <t>FICO Rec Enrg Alloc</t>
  </si>
  <si>
    <t>JUL 2015  Activity</t>
  </si>
  <si>
    <t>AUG 2015  Activity</t>
  </si>
  <si>
    <t>SEP 2015  Activity</t>
  </si>
  <si>
    <t>JUL 2015  Cumulative  Balance</t>
  </si>
  <si>
    <t>AUG 2015  Cumulative  Balance</t>
  </si>
  <si>
    <t>SEP 2015  Cumulative  Balance</t>
  </si>
  <si>
    <t>4073052</t>
  </si>
  <si>
    <t xml:space="preserve"> REG DR Defd Environmental Tax Credit </t>
  </si>
  <si>
    <t>YTD Sep 15</t>
  </si>
  <si>
    <t>OCT 2015  Activity</t>
  </si>
  <si>
    <t>NOV 2015  Activity</t>
  </si>
  <si>
    <t>DEC 2015  Activity</t>
  </si>
  <si>
    <t>OCT 2015  Cumulative  Balance</t>
  </si>
  <si>
    <t>NOV 2015  Cumulative  Balance</t>
  </si>
  <si>
    <t>DEC 2015  Cumulative  Balance</t>
  </si>
  <si>
    <t>USE FERD Natural ACCTS</t>
  </si>
  <si>
    <t>2360800</t>
  </si>
  <si>
    <t>Total Adjusted</t>
  </si>
  <si>
    <t>Reg. Financial Equity Ratio</t>
  </si>
  <si>
    <t>Percentage</t>
  </si>
  <si>
    <t>JAN 2016  Cumulative  Balance</t>
  </si>
  <si>
    <t>FEB 2016  Cumulative  Balance</t>
  </si>
  <si>
    <t>MAR 2016  Cumulative  Balance</t>
  </si>
  <si>
    <t>Penalties</t>
  </si>
  <si>
    <t>4263</t>
  </si>
  <si>
    <t>I&amp;D Wrk Comp Resrv</t>
  </si>
  <si>
    <t>2282020</t>
  </si>
  <si>
    <t>JAN 2016  Activity</t>
  </si>
  <si>
    <t>FEB 2016  Activity</t>
  </si>
  <si>
    <t>MAR 2016  Activity</t>
  </si>
  <si>
    <t>APR 2016  Activity</t>
  </si>
  <si>
    <t>MAY 2016  Activity</t>
  </si>
  <si>
    <t>JUN 2016  Activity</t>
  </si>
  <si>
    <t>4120</t>
  </si>
  <si>
    <t>4130</t>
  </si>
  <si>
    <t>MiscSv-NGVS-2 Facil</t>
  </si>
  <si>
    <t>OthRev-Hardee Maint</t>
  </si>
  <si>
    <t>Benefits to BalSheet</t>
  </si>
  <si>
    <t>M&amp;S Part Repairs</t>
  </si>
  <si>
    <t>Rent-Vehicle</t>
  </si>
  <si>
    <t>TSI FICO Recon O&amp;M E</t>
  </si>
  <si>
    <t>Rev Gas Plant leased</t>
  </si>
  <si>
    <t>Rev Plant leasedGAAP</t>
  </si>
  <si>
    <t>Rev Plant leased Int</t>
  </si>
  <si>
    <t>Restoration Plan Exp</t>
  </si>
  <si>
    <t>Ins to BalSheet</t>
  </si>
  <si>
    <t>Fees-Trsm Line-Spot</t>
  </si>
  <si>
    <t>IC Asset Usage Fee</t>
  </si>
  <si>
    <t>Other Oper-GAAP Adj</t>
  </si>
  <si>
    <t>Deprec Other-GAAP</t>
  </si>
  <si>
    <t>TOTI-PropTx ATL GAAP</t>
  </si>
  <si>
    <t>TOTI to BalSheet</t>
  </si>
  <si>
    <t>IntInc-CI/BSR Rider</t>
  </si>
  <si>
    <t>Loss Sale Util Prop</t>
  </si>
  <si>
    <t>APR 2016  Cumulative  Balance</t>
  </si>
  <si>
    <t>MAY 2016  Cumulative  Balance</t>
  </si>
  <si>
    <t>JUN 2016  Cumulative  Balance</t>
  </si>
  <si>
    <t>Plant Lease to Other</t>
  </si>
  <si>
    <t>Plant Lease-GAAP</t>
  </si>
  <si>
    <t>Accum Deprec-GAAP</t>
  </si>
  <si>
    <t>JPM 3428 ACH Out</t>
  </si>
  <si>
    <t>JPM 3444 Wire In</t>
  </si>
  <si>
    <t>JPM 0180 ACH In</t>
  </si>
  <si>
    <t>JPM 3452 Wire Out</t>
  </si>
  <si>
    <t>Lease Rec C-GAAP</t>
  </si>
  <si>
    <t>Lease Rec NC-GAAP</t>
  </si>
  <si>
    <t>Unearn Int LeaseGAAP</t>
  </si>
  <si>
    <t>Reg Ast CI/BSR Rider</t>
  </si>
  <si>
    <t>DefDr SERP Trust</t>
  </si>
  <si>
    <t>Defd SIT Credits</t>
  </si>
  <si>
    <t>Defd Tax ValAllw</t>
  </si>
  <si>
    <t>OCI Restor Pretax</t>
  </si>
  <si>
    <t>Restoration Liab NC</t>
  </si>
  <si>
    <t>SIT Withholding Pay</t>
  </si>
  <si>
    <t>DefCr Def Int Rev</t>
  </si>
  <si>
    <t>Reg Liab-PrpSal NC</t>
  </si>
  <si>
    <t>Restor FAS158 NC</t>
  </si>
  <si>
    <t>104</t>
  </si>
  <si>
    <t>1720201/1720202</t>
  </si>
  <si>
    <t>2283220</t>
  </si>
  <si>
    <t>2283221</t>
  </si>
  <si>
    <t>1040000</t>
  </si>
  <si>
    <t>1050000</t>
  </si>
  <si>
    <t>1060000</t>
  </si>
  <si>
    <t>1070000</t>
  </si>
  <si>
    <t>1080000</t>
  </si>
  <si>
    <t>1080200</t>
  </si>
  <si>
    <t>1340200</t>
  </si>
  <si>
    <t>1350000</t>
  </si>
  <si>
    <t>1420500</t>
  </si>
  <si>
    <t>1420520</t>
  </si>
  <si>
    <t>1420530</t>
  </si>
  <si>
    <t>1420540</t>
  </si>
  <si>
    <t>1420600</t>
  </si>
  <si>
    <t>1420800</t>
  </si>
  <si>
    <t>1430000</t>
  </si>
  <si>
    <t>1430030</t>
  </si>
  <si>
    <t>1430300</t>
  </si>
  <si>
    <t>1430400</t>
  </si>
  <si>
    <t>1430500</t>
  </si>
  <si>
    <t>1430520</t>
  </si>
  <si>
    <t>1440020</t>
  </si>
  <si>
    <t>1460700</t>
  </si>
  <si>
    <t>1460705</t>
  </si>
  <si>
    <t>1460720</t>
  </si>
  <si>
    <t>1540000</t>
  </si>
  <si>
    <t>1650040</t>
  </si>
  <si>
    <t>1650050</t>
  </si>
  <si>
    <t>1650500</t>
  </si>
  <si>
    <t>1650502</t>
  </si>
  <si>
    <t>1650503</t>
  </si>
  <si>
    <t>1650505</t>
  </si>
  <si>
    <t>1650506</t>
  </si>
  <si>
    <t>1650507</t>
  </si>
  <si>
    <t>1650520</t>
  </si>
  <si>
    <t>1650599</t>
  </si>
  <si>
    <t>1650800</t>
  </si>
  <si>
    <t>1720202</t>
  </si>
  <si>
    <t>1760200</t>
  </si>
  <si>
    <t>1823040</t>
  </si>
  <si>
    <t>1823200</t>
  </si>
  <si>
    <t>1823245</t>
  </si>
  <si>
    <t>1823340</t>
  </si>
  <si>
    <t>1823345</t>
  </si>
  <si>
    <t>1840500</t>
  </si>
  <si>
    <t>1840590</t>
  </si>
  <si>
    <t>1860020</t>
  </si>
  <si>
    <t>1860800</t>
  </si>
  <si>
    <t>1890200</t>
  </si>
  <si>
    <t>1900300</t>
  </si>
  <si>
    <t>1900306</t>
  </si>
  <si>
    <t>1900307</t>
  </si>
  <si>
    <t>1900308</t>
  </si>
  <si>
    <t>1900309</t>
  </si>
  <si>
    <t>1900400</t>
  </si>
  <si>
    <t>1900406</t>
  </si>
  <si>
    <t>1900407</t>
  </si>
  <si>
    <t>1900408</t>
  </si>
  <si>
    <t>1900409</t>
  </si>
  <si>
    <t>1900600</t>
  </si>
  <si>
    <t>1990900</t>
  </si>
  <si>
    <t>1010000</t>
  </si>
  <si>
    <t>1040001</t>
  </si>
  <si>
    <t>1080001</t>
  </si>
  <si>
    <t>1080100</t>
  </si>
  <si>
    <t>1080110</t>
  </si>
  <si>
    <t>1080210</t>
  </si>
  <si>
    <t>1080901</t>
  </si>
  <si>
    <t>1140000</t>
  </si>
  <si>
    <t>1150000</t>
  </si>
  <si>
    <t>1231000</t>
  </si>
  <si>
    <t>1310180</t>
  </si>
  <si>
    <t>1310181</t>
  </si>
  <si>
    <t>1310187</t>
  </si>
  <si>
    <t>1310190</t>
  </si>
  <si>
    <t>1310191</t>
  </si>
  <si>
    <t>1310192</t>
  </si>
  <si>
    <t>1310193</t>
  </si>
  <si>
    <t>1310194</t>
  </si>
  <si>
    <t>1310200</t>
  </si>
  <si>
    <t>1310201</t>
  </si>
  <si>
    <t>1310202</t>
  </si>
  <si>
    <t>1310205</t>
  </si>
  <si>
    <t>1310210</t>
  </si>
  <si>
    <t>1310220</t>
  </si>
  <si>
    <t>1310222</t>
  </si>
  <si>
    <t>1310225</t>
  </si>
  <si>
    <t>1310227</t>
  </si>
  <si>
    <t>1310230</t>
  </si>
  <si>
    <t>1310240</t>
  </si>
  <si>
    <t>1310241</t>
  </si>
  <si>
    <t>1310242</t>
  </si>
  <si>
    <t>1310243</t>
  </si>
  <si>
    <t>1310247</t>
  </si>
  <si>
    <t>1310244</t>
  </si>
  <si>
    <t>1310250</t>
  </si>
  <si>
    <t>1310260</t>
  </si>
  <si>
    <t>1310630</t>
  </si>
  <si>
    <t>1310990</t>
  </si>
  <si>
    <t>1420510</t>
  </si>
  <si>
    <t>1420601</t>
  </si>
  <si>
    <t>1420801</t>
  </si>
  <si>
    <t>1430001</t>
  </si>
  <si>
    <t>1430510</t>
  </si>
  <si>
    <t>1440010</t>
  </si>
  <si>
    <t>1450711</t>
  </si>
  <si>
    <t>1460701</t>
  </si>
  <si>
    <t>1460710</t>
  </si>
  <si>
    <t>1510050</t>
  </si>
  <si>
    <t>1540001</t>
  </si>
  <si>
    <t>1641000</t>
  </si>
  <si>
    <t>1650513</t>
  </si>
  <si>
    <t>1650514</t>
  </si>
  <si>
    <t>1650515</t>
  </si>
  <si>
    <t>1650516</t>
  </si>
  <si>
    <t>1650517</t>
  </si>
  <si>
    <t>1650518</t>
  </si>
  <si>
    <t>1650519</t>
  </si>
  <si>
    <t>1720101</t>
  </si>
  <si>
    <t>1720201</t>
  </si>
  <si>
    <t>1730100</t>
  </si>
  <si>
    <t>1760100</t>
  </si>
  <si>
    <t>1810200</t>
  </si>
  <si>
    <t>1823071</t>
  </si>
  <si>
    <t>1823100</t>
  </si>
  <si>
    <t>1840510</t>
  </si>
  <si>
    <t>1840591</t>
  </si>
  <si>
    <t>1900310</t>
  </si>
  <si>
    <t>1900410</t>
  </si>
  <si>
    <t>1910100</t>
  </si>
  <si>
    <t>1910110</t>
  </si>
  <si>
    <t>1910160</t>
  </si>
  <si>
    <t>1910165</t>
  </si>
  <si>
    <t>1990910</t>
  </si>
  <si>
    <t>2070000</t>
  </si>
  <si>
    <t>2110000</t>
  </si>
  <si>
    <t>2160000</t>
  </si>
  <si>
    <t>2161000</t>
  </si>
  <si>
    <t>2190000</t>
  </si>
  <si>
    <t>2190001</t>
  </si>
  <si>
    <t>2190010</t>
  </si>
  <si>
    <t>2190011</t>
  </si>
  <si>
    <t>2190020</t>
  </si>
  <si>
    <t>2190030</t>
  </si>
  <si>
    <t>2190031</t>
  </si>
  <si>
    <t>2190050</t>
  </si>
  <si>
    <t>2240200</t>
  </si>
  <si>
    <t>2260200</t>
  </si>
  <si>
    <t>2310000</t>
  </si>
  <si>
    <t>2320000</t>
  </si>
  <si>
    <t>2320001</t>
  </si>
  <si>
    <t>2320002</t>
  </si>
  <si>
    <t>2320003</t>
  </si>
  <si>
    <t>2320005</t>
  </si>
  <si>
    <t>2320006</t>
  </si>
  <si>
    <t>2320007</t>
  </si>
  <si>
    <t>2320009</t>
  </si>
  <si>
    <t>2320010</t>
  </si>
  <si>
    <t>2320011</t>
  </si>
  <si>
    <t>2320012</t>
  </si>
  <si>
    <t>2320013</t>
  </si>
  <si>
    <t>2320016</t>
  </si>
  <si>
    <t>2320017</t>
  </si>
  <si>
    <t>2320018</t>
  </si>
  <si>
    <t>2320019</t>
  </si>
  <si>
    <t>2320021</t>
  </si>
  <si>
    <t>2320023</t>
  </si>
  <si>
    <t>2320024</t>
  </si>
  <si>
    <t>2320025</t>
  </si>
  <si>
    <t>2320026</t>
  </si>
  <si>
    <t>2320027</t>
  </si>
  <si>
    <t>2320028</t>
  </si>
  <si>
    <t>2320029</t>
  </si>
  <si>
    <t>2320030</t>
  </si>
  <si>
    <t>2320031</t>
  </si>
  <si>
    <t>2320035</t>
  </si>
  <si>
    <t>2320036</t>
  </si>
  <si>
    <t>2320037</t>
  </si>
  <si>
    <t>2320047</t>
  </si>
  <si>
    <t>2320999</t>
  </si>
  <si>
    <t>2340700</t>
  </si>
  <si>
    <t>2340701</t>
  </si>
  <si>
    <t>2350100</t>
  </si>
  <si>
    <t>2380720</t>
  </si>
  <si>
    <t>2410300</t>
  </si>
  <si>
    <t>2410305</t>
  </si>
  <si>
    <t>2410310</t>
  </si>
  <si>
    <t>2410320</t>
  </si>
  <si>
    <t>2410330</t>
  </si>
  <si>
    <t>2410430</t>
  </si>
  <si>
    <t>2520000</t>
  </si>
  <si>
    <t>2530299</t>
  </si>
  <si>
    <t>2530360</t>
  </si>
  <si>
    <t>2530800</t>
  </si>
  <si>
    <t>2540280</t>
  </si>
  <si>
    <t>2550000</t>
  </si>
  <si>
    <t>2820300</t>
  </si>
  <si>
    <t>2820400</t>
  </si>
  <si>
    <t>2830300</t>
  </si>
  <si>
    <t>2830330</t>
  </si>
  <si>
    <t>2830331</t>
  </si>
  <si>
    <t>2830340</t>
  </si>
  <si>
    <t>2830400</t>
  </si>
  <si>
    <t>2830430</t>
  </si>
  <si>
    <t>2830431</t>
  </si>
  <si>
    <t>2830440</t>
  </si>
  <si>
    <t>GAAP Not in FERC 172</t>
  </si>
  <si>
    <t>GAAP Not in FERC 108</t>
  </si>
  <si>
    <t>GAAP Not in FERC 104</t>
  </si>
  <si>
    <t>JUL 2016  Activity</t>
  </si>
  <si>
    <t>AUG 2016  Activity</t>
  </si>
  <si>
    <t>SEP 2016  Activity</t>
  </si>
  <si>
    <t>JUL 2016  Cumulative  Balance</t>
  </si>
  <si>
    <t>AUG 2016  Cumulative  Balance</t>
  </si>
  <si>
    <t>SEP 2016  Cumulative  Balance</t>
  </si>
  <si>
    <t>Restoration FAS158 C</t>
  </si>
  <si>
    <t>Check to BS Accts</t>
  </si>
  <si>
    <t>M&amp;S Lab</t>
  </si>
  <si>
    <t>Deprec Leased Assets</t>
  </si>
  <si>
    <t>Gain Sale Util Prop</t>
  </si>
  <si>
    <t>IntInc to BalSheet</t>
  </si>
  <si>
    <t>4211</t>
  </si>
  <si>
    <t>CIBSR Cost True Up</t>
  </si>
  <si>
    <t>CIBSR Cost True Up (New line added Jan '15)</t>
  </si>
  <si>
    <t>CIBSR TRUE-UP</t>
  </si>
  <si>
    <t>CIBSR COST TRUE-UP</t>
  </si>
  <si>
    <t>GAAP Not in FERC 253</t>
  </si>
  <si>
    <t>All accounts went to 186 and zeroed out</t>
  </si>
  <si>
    <t>OCT 2016  Cumulative  Balance</t>
  </si>
  <si>
    <t>NOV 2016  Cumulative  Balance</t>
  </si>
  <si>
    <t>DEC 2016  Cumulative  Balance</t>
  </si>
  <si>
    <t>OCT 2016  Activity</t>
  </si>
  <si>
    <t>NOV2016  Activity</t>
  </si>
  <si>
    <t>DEC 2016  Activity</t>
  </si>
  <si>
    <t>13-Month</t>
  </si>
  <si>
    <t>NON-UTILITY</t>
  </si>
  <si>
    <t>13 MONTH AVG</t>
  </si>
  <si>
    <t>Plant Balances for SR</t>
  </si>
  <si>
    <t>Dec</t>
  </si>
  <si>
    <t>Jan</t>
  </si>
  <si>
    <t>Feb</t>
  </si>
  <si>
    <t>Mar</t>
  </si>
  <si>
    <t>Apr</t>
  </si>
  <si>
    <t>Jun</t>
  </si>
  <si>
    <t>Jul</t>
  </si>
  <si>
    <t>Aug</t>
  </si>
  <si>
    <t>Sep</t>
  </si>
  <si>
    <t>Oct</t>
  </si>
  <si>
    <t>Nov</t>
  </si>
  <si>
    <t xml:space="preserve">Sep </t>
  </si>
  <si>
    <t>Accumulated Depreciation for SR</t>
  </si>
  <si>
    <t xml:space="preserve">12 MONTH </t>
  </si>
  <si>
    <t>Depreciation Expense for SR</t>
  </si>
  <si>
    <t>ACTUAL</t>
  </si>
  <si>
    <t>M&amp;S Obsolete Inven</t>
  </si>
  <si>
    <t>CurrAdj Unreal Gain</t>
  </si>
  <si>
    <t>DIT Fed NonUtility</t>
  </si>
  <si>
    <t>DIT State NonUtil</t>
  </si>
  <si>
    <t>4102</t>
  </si>
  <si>
    <t>4265</t>
  </si>
  <si>
    <t>1310690</t>
  </si>
  <si>
    <t>SUN 2103 Misc Dep</t>
  </si>
  <si>
    <t>Allow Uncollectibles</t>
  </si>
  <si>
    <t>1440000</t>
  </si>
  <si>
    <t>DTA Sep Co Fed</t>
  </si>
  <si>
    <t>1900303</t>
  </si>
  <si>
    <t>1900305</t>
  </si>
  <si>
    <t>DTA Fed NonUtility</t>
  </si>
  <si>
    <t>1900403</t>
  </si>
  <si>
    <t>DTA Sep Co State</t>
  </si>
  <si>
    <t>DTA State NonUtility</t>
  </si>
  <si>
    <t>1900405</t>
  </si>
  <si>
    <t>2340711</t>
  </si>
  <si>
    <t>AP Emera IC Posting</t>
  </si>
  <si>
    <t>2420121</t>
  </si>
  <si>
    <t>YEAR-END RATE BASE</t>
  </si>
  <si>
    <t>YEAR-END</t>
  </si>
  <si>
    <t>JAN 2017  Activity</t>
  </si>
  <si>
    <t>FEB 2017  Activity</t>
  </si>
  <si>
    <t>MAR 2017  Activity</t>
  </si>
  <si>
    <t>JAN 2017  Cumulative  Balance</t>
  </si>
  <si>
    <t>FEB 2017  Cumulative  Balance</t>
  </si>
  <si>
    <t>MAR 2017  Cumulative  Balance</t>
  </si>
  <si>
    <t>12 MONTH ENDING</t>
  </si>
  <si>
    <t>REG DR Cnsv Amtz Gas</t>
  </si>
  <si>
    <t>4073141</t>
  </si>
  <si>
    <t>Intrpt Con Svc Fuel</t>
  </si>
  <si>
    <t>MiscSv-CRM LegacyAdj</t>
  </si>
  <si>
    <t>Intrpt Con Svc Trnsp</t>
  </si>
  <si>
    <t>OthRev-PoolMgrChg</t>
  </si>
  <si>
    <t>Fleet Allocation</t>
  </si>
  <si>
    <t>Stores Allocation</t>
  </si>
  <si>
    <t>E&amp;S Allocation</t>
  </si>
  <si>
    <t>AR CRM RECON</t>
  </si>
  <si>
    <t>AR CRM Posting</t>
  </si>
  <si>
    <t>1420400</t>
  </si>
  <si>
    <t>1420401</t>
  </si>
  <si>
    <t>AR Oth CRM RECON</t>
  </si>
  <si>
    <t>1430040</t>
  </si>
  <si>
    <t>4810091</t>
  </si>
  <si>
    <t>4880108</t>
  </si>
  <si>
    <t>4893090</t>
  </si>
  <si>
    <t>4950210</t>
  </si>
  <si>
    <t>6790320</t>
  </si>
  <si>
    <t>6790321</t>
  </si>
  <si>
    <t>6790324</t>
  </si>
  <si>
    <t>Allow Uncoll-CRM FF</t>
  </si>
  <si>
    <t>Allow Uncoll-CRM GRT</t>
  </si>
  <si>
    <t>1440001</t>
  </si>
  <si>
    <t>1440002</t>
  </si>
  <si>
    <t>AR IC CRM-OneBill</t>
  </si>
  <si>
    <t>AR IC CRM-TEC</t>
  </si>
  <si>
    <t>AR IC CRM-TPI</t>
  </si>
  <si>
    <t>1460740</t>
  </si>
  <si>
    <t>1460741</t>
  </si>
  <si>
    <t>1460743</t>
  </si>
  <si>
    <t>CRM Takeover</t>
  </si>
  <si>
    <t>1990920</t>
  </si>
  <si>
    <t>AP Emera IC Recon</t>
  </si>
  <si>
    <t>2340710</t>
  </si>
  <si>
    <t>AP IC CRM-OneBill</t>
  </si>
  <si>
    <t>AP IC CRM-TEC</t>
  </si>
  <si>
    <t>AP IC CRM-TPI</t>
  </si>
  <si>
    <t>2340740</t>
  </si>
  <si>
    <t>2340741</t>
  </si>
  <si>
    <t>2340743</t>
  </si>
  <si>
    <t>Sales Use Pay CIS</t>
  </si>
  <si>
    <t>Sales Surtax Pay CIS</t>
  </si>
  <si>
    <t>2410000</t>
  </si>
  <si>
    <t>2410005</t>
  </si>
  <si>
    <t>DefCr LT Incentive</t>
  </si>
  <si>
    <t>2530340</t>
  </si>
  <si>
    <t>APR 2017  Cumulative  Balance</t>
  </si>
  <si>
    <t>MAY 2017  Cumulative  Balance</t>
  </si>
  <si>
    <t>JUN 2017  Cumulative  Balance</t>
  </si>
  <si>
    <t>APR 2017  Activity</t>
  </si>
  <si>
    <t>MAY 2017  Activity</t>
  </si>
  <si>
    <t>JUN 2017  Activity</t>
  </si>
  <si>
    <t>DefCr Unclaim Items</t>
  </si>
  <si>
    <t>2530310</t>
  </si>
  <si>
    <t>2240100</t>
  </si>
  <si>
    <t>LTD Recourse C</t>
  </si>
  <si>
    <t xml:space="preserve"> Remove Unrec. CIBSR Costs</t>
  </si>
  <si>
    <r>
      <t>AVERAGE</t>
    </r>
    <r>
      <rPr>
        <sz val="10"/>
        <rFont val="Arial"/>
        <family val="2"/>
      </rPr>
      <t xml:space="preserve"> CAPITAL STRUCTURE (PER BOOKS)</t>
    </r>
  </si>
  <si>
    <t>JUL 2017  Activity</t>
  </si>
  <si>
    <t>AUG 2017  Activity</t>
  </si>
  <si>
    <t>SEP 2017  Activity</t>
  </si>
  <si>
    <t>JUL 2017  Cumulative  Balance</t>
  </si>
  <si>
    <t>AUG 2017  Cumulative  Balance</t>
  </si>
  <si>
    <t>SEP 2017  Cumulative  Balance</t>
  </si>
  <si>
    <t>12-Month</t>
  </si>
  <si>
    <t>Conservation Cost True Up (1823040)</t>
  </si>
  <si>
    <t>CIBSR Cost True Up (1823071)</t>
  </si>
  <si>
    <t>OCT 2017  Activity</t>
  </si>
  <si>
    <t>NOV 2017  Activity</t>
  </si>
  <si>
    <t>DEC 2017  Activity</t>
  </si>
  <si>
    <t>OCT 2017  Cumulative  Balance</t>
  </si>
  <si>
    <t>NOV 2017  Cumulative  Balance</t>
  </si>
  <si>
    <t>DEC 2017  Cumulative  Balance</t>
  </si>
  <si>
    <t>Interruptible Contract Service</t>
  </si>
  <si>
    <t>Employer Match on Common Stock Purchase Program</t>
  </si>
  <si>
    <t>Stadium-Food</t>
  </si>
  <si>
    <t>CurrAdj Real Loss</t>
  </si>
  <si>
    <t>AR IC Emera Posting</t>
  </si>
  <si>
    <t>2830610</t>
  </si>
  <si>
    <t>2820610</t>
  </si>
  <si>
    <t>2540610</t>
  </si>
  <si>
    <t>1460791</t>
  </si>
  <si>
    <t>Reg Liab-FAS 106 Tax</t>
  </si>
  <si>
    <t>DIT Oth Prop FAS109</t>
  </si>
  <si>
    <t>DIT FAS109 Other</t>
  </si>
  <si>
    <t>Regulatory Liabilities  - Tax Related</t>
  </si>
  <si>
    <t>Regulated Liability - Tax Related</t>
  </si>
  <si>
    <t xml:space="preserve">   CONSERVATION COST TRUE-UP</t>
  </si>
  <si>
    <t xml:space="preserve">   CIBSR COST TRUE-UP</t>
  </si>
  <si>
    <t xml:space="preserve">   DEFERRED TAX ASSET</t>
  </si>
  <si>
    <t>RETURN ON EQUITY</t>
  </si>
  <si>
    <t>COMPARISONS</t>
  </si>
  <si>
    <t>(In $ Thousands)</t>
  </si>
  <si>
    <t>Wtd Cost of Other Capital</t>
  </si>
  <si>
    <t>JAN 2018  Activity</t>
  </si>
  <si>
    <t>FEB 2018  Activity</t>
  </si>
  <si>
    <t>MAR 2018  Activity</t>
  </si>
  <si>
    <t>JAN 2018  Cumulative  Balance</t>
  </si>
  <si>
    <t>FEB 2018  Cumulative  Balance</t>
  </si>
  <si>
    <t>MAR 2018  Cumulative  Balance</t>
  </si>
  <si>
    <t>4120000</t>
  </si>
  <si>
    <t>4120001</t>
  </si>
  <si>
    <t>4120002</t>
  </si>
  <si>
    <t>4800010</t>
  </si>
  <si>
    <t>4800011</t>
  </si>
  <si>
    <t>4800020</t>
  </si>
  <si>
    <t>4800021</t>
  </si>
  <si>
    <t>4800030</t>
  </si>
  <si>
    <t>4800031</t>
  </si>
  <si>
    <t>4800035</t>
  </si>
  <si>
    <t>4800036</t>
  </si>
  <si>
    <t>4800040</t>
  </si>
  <si>
    <t>4800041</t>
  </si>
  <si>
    <t>4800042</t>
  </si>
  <si>
    <t>4800043</t>
  </si>
  <si>
    <t>4800044</t>
  </si>
  <si>
    <t>4800045</t>
  </si>
  <si>
    <t>4810001</t>
  </si>
  <si>
    <t>4810002</t>
  </si>
  <si>
    <t>4810004</t>
  </si>
  <si>
    <t>4810005</t>
  </si>
  <si>
    <t>4810008</t>
  </si>
  <si>
    <t>4810009</t>
  </si>
  <si>
    <t>4810035</t>
  </si>
  <si>
    <t>4810036</t>
  </si>
  <si>
    <t>4810050</t>
  </si>
  <si>
    <t>4810051</t>
  </si>
  <si>
    <t>4810052</t>
  </si>
  <si>
    <t>4810053</t>
  </si>
  <si>
    <t>4810054</t>
  </si>
  <si>
    <t>4810055</t>
  </si>
  <si>
    <t>4810056</t>
  </si>
  <si>
    <t>4810057</t>
  </si>
  <si>
    <t>4810058</t>
  </si>
  <si>
    <t>4810059</t>
  </si>
  <si>
    <t>4810060</t>
  </si>
  <si>
    <t>4810061</t>
  </si>
  <si>
    <t>4810070</t>
  </si>
  <si>
    <t>4810071</t>
  </si>
  <si>
    <t>4810080</t>
  </si>
  <si>
    <t>4810081</t>
  </si>
  <si>
    <t>4810090</t>
  </si>
  <si>
    <t>4810500</t>
  </si>
  <si>
    <t>4830091</t>
  </si>
  <si>
    <t>4830092</t>
  </si>
  <si>
    <t>4833091</t>
  </si>
  <si>
    <t>4870000</t>
  </si>
  <si>
    <t>4880101</t>
  </si>
  <si>
    <t>4880102</t>
  </si>
  <si>
    <t>4880103</t>
  </si>
  <si>
    <t>4880104</t>
  </si>
  <si>
    <t>4880105</t>
  </si>
  <si>
    <t>4880106</t>
  </si>
  <si>
    <t>4880107</t>
  </si>
  <si>
    <t>4880111</t>
  </si>
  <si>
    <t>4880800</t>
  </si>
  <si>
    <t>4880850</t>
  </si>
  <si>
    <t>4893001</t>
  </si>
  <si>
    <t>4893002</t>
  </si>
  <si>
    <t>4893004</t>
  </si>
  <si>
    <t>4893005</t>
  </si>
  <si>
    <t>4893008</t>
  </si>
  <si>
    <t>4893009</t>
  </si>
  <si>
    <t>4893035</t>
  </si>
  <si>
    <t>4893036</t>
  </si>
  <si>
    <t>4893040</t>
  </si>
  <si>
    <t>4893042</t>
  </si>
  <si>
    <t>4893041</t>
  </si>
  <si>
    <t>4893043</t>
  </si>
  <si>
    <t>4893044</t>
  </si>
  <si>
    <t>4893045</t>
  </si>
  <si>
    <t>4893050</t>
  </si>
  <si>
    <t>4893051</t>
  </si>
  <si>
    <t>4893052</t>
  </si>
  <si>
    <t>4893053</t>
  </si>
  <si>
    <t>4893054</t>
  </si>
  <si>
    <t>4893055</t>
  </si>
  <si>
    <t>4893057</t>
  </si>
  <si>
    <t>4893056</t>
  </si>
  <si>
    <t>4893058</t>
  </si>
  <si>
    <t>4893059</t>
  </si>
  <si>
    <t>4893060</t>
  </si>
  <si>
    <t>4893070</t>
  </si>
  <si>
    <t>4893080</t>
  </si>
  <si>
    <t>4930700</t>
  </si>
  <si>
    <t>4930000</t>
  </si>
  <si>
    <t>4950203</t>
  </si>
  <si>
    <t>4950205</t>
  </si>
  <si>
    <t>4950206</t>
  </si>
  <si>
    <t>4950207</t>
  </si>
  <si>
    <t>4950208</t>
  </si>
  <si>
    <t>4950209</t>
  </si>
  <si>
    <t>4950211</t>
  </si>
  <si>
    <t>4950212</t>
  </si>
  <si>
    <t>4950214</t>
  </si>
  <si>
    <t>4950213</t>
  </si>
  <si>
    <t>4950271</t>
  </si>
  <si>
    <t>4950800</t>
  </si>
  <si>
    <t>6010110</t>
  </si>
  <si>
    <t>6010120</t>
  </si>
  <si>
    <t>6010210</t>
  </si>
  <si>
    <t>6010130</t>
  </si>
  <si>
    <t>6010220</t>
  </si>
  <si>
    <t>6010230</t>
  </si>
  <si>
    <t>6010310</t>
  </si>
  <si>
    <t>6010320</t>
  </si>
  <si>
    <t>6010330</t>
  </si>
  <si>
    <t>6010910</t>
  </si>
  <si>
    <t>6018999</t>
  </si>
  <si>
    <t>6019000</t>
  </si>
  <si>
    <t>6019900</t>
  </si>
  <si>
    <t>6019910</t>
  </si>
  <si>
    <t>6020010</t>
  </si>
  <si>
    <t>6020020</t>
  </si>
  <si>
    <t>6020030</t>
  </si>
  <si>
    <t>6020040</t>
  </si>
  <si>
    <t>6020050</t>
  </si>
  <si>
    <t>6020060</t>
  </si>
  <si>
    <t>6020080</t>
  </si>
  <si>
    <t>6020100</t>
  </si>
  <si>
    <t>6020110</t>
  </si>
  <si>
    <t>6020130</t>
  </si>
  <si>
    <t>6020140</t>
  </si>
  <si>
    <t>6020150</t>
  </si>
  <si>
    <t>6020170</t>
  </si>
  <si>
    <t>6020180</t>
  </si>
  <si>
    <t>6020220</t>
  </si>
  <si>
    <t>6020230</t>
  </si>
  <si>
    <t>6020240</t>
  </si>
  <si>
    <t>6020900</t>
  </si>
  <si>
    <t>6020800</t>
  </si>
  <si>
    <t>6020920</t>
  </si>
  <si>
    <t>6029000</t>
  </si>
  <si>
    <t>6030010</t>
  </si>
  <si>
    <t>6030020</t>
  </si>
  <si>
    <t>6030030</t>
  </si>
  <si>
    <t>6030050</t>
  </si>
  <si>
    <t>6030040</t>
  </si>
  <si>
    <t>6030060</t>
  </si>
  <si>
    <t>6030070</t>
  </si>
  <si>
    <t>6030080</t>
  </si>
  <si>
    <t>6030800</t>
  </si>
  <si>
    <t>6038999</t>
  </si>
  <si>
    <t>6039000</t>
  </si>
  <si>
    <t>6100010</t>
  </si>
  <si>
    <t>6100020</t>
  </si>
  <si>
    <t>6100040</t>
  </si>
  <si>
    <t>6100030</t>
  </si>
  <si>
    <t>6100050</t>
  </si>
  <si>
    <t>6100060</t>
  </si>
  <si>
    <t>6100070</t>
  </si>
  <si>
    <t>6100090</t>
  </si>
  <si>
    <t>6100080</t>
  </si>
  <si>
    <t>6100100</t>
  </si>
  <si>
    <t>6100120</t>
  </si>
  <si>
    <t>6100150</t>
  </si>
  <si>
    <t>6100160</t>
  </si>
  <si>
    <t>6100170</t>
  </si>
  <si>
    <t>6100180</t>
  </si>
  <si>
    <t>6100190</t>
  </si>
  <si>
    <t>6100200</t>
  </si>
  <si>
    <t>6108999</t>
  </si>
  <si>
    <t>6109000</t>
  </si>
  <si>
    <t>6300100</t>
  </si>
  <si>
    <t>6400010</t>
  </si>
  <si>
    <t>6400020</t>
  </si>
  <si>
    <t>6400030</t>
  </si>
  <si>
    <t>6400040</t>
  </si>
  <si>
    <t>6400050</t>
  </si>
  <si>
    <t>6400060</t>
  </si>
  <si>
    <t>6400070</t>
  </si>
  <si>
    <t>6400080</t>
  </si>
  <si>
    <t>6400100</t>
  </si>
  <si>
    <t>6400500</t>
  </si>
  <si>
    <t>6400510</t>
  </si>
  <si>
    <t>6400505</t>
  </si>
  <si>
    <t>6400520</t>
  </si>
  <si>
    <t>6400530</t>
  </si>
  <si>
    <t>6401000</t>
  </si>
  <si>
    <t>6400521</t>
  </si>
  <si>
    <t>6401100</t>
  </si>
  <si>
    <t>6401200</t>
  </si>
  <si>
    <t>6408999</t>
  </si>
  <si>
    <t>6401300</t>
  </si>
  <si>
    <t>6409000</t>
  </si>
  <si>
    <t>6500010</t>
  </si>
  <si>
    <t>6500015</t>
  </si>
  <si>
    <t>6500020</t>
  </si>
  <si>
    <t>6500810</t>
  </si>
  <si>
    <t>6508999</t>
  </si>
  <si>
    <t>6509000</t>
  </si>
  <si>
    <t>6700400</t>
  </si>
  <si>
    <t>6700500</t>
  </si>
  <si>
    <t>6700502</t>
  </si>
  <si>
    <t>6700503</t>
  </si>
  <si>
    <t>6700506</t>
  </si>
  <si>
    <t>6700505</t>
  </si>
  <si>
    <t>6700507</t>
  </si>
  <si>
    <t>6700509</t>
  </si>
  <si>
    <t>6700513</t>
  </si>
  <si>
    <t>6700514</t>
  </si>
  <si>
    <t>6700515</t>
  </si>
  <si>
    <t>6700516</t>
  </si>
  <si>
    <t>6700517</t>
  </si>
  <si>
    <t>6700519</t>
  </si>
  <si>
    <t>6700518</t>
  </si>
  <si>
    <t>6700520</t>
  </si>
  <si>
    <t>6709000</t>
  </si>
  <si>
    <t>6700599</t>
  </si>
  <si>
    <t>6710050</t>
  </si>
  <si>
    <t>6710700</t>
  </si>
  <si>
    <t>6710060</t>
  </si>
  <si>
    <t>6710800</t>
  </si>
  <si>
    <t>6719000</t>
  </si>
  <si>
    <t>6720010</t>
  </si>
  <si>
    <t>6720020</t>
  </si>
  <si>
    <t>6720030</t>
  </si>
  <si>
    <t>6720050</t>
  </si>
  <si>
    <t>6720800</t>
  </si>
  <si>
    <t>6729000</t>
  </si>
  <si>
    <t>6730010</t>
  </si>
  <si>
    <t>6730020</t>
  </si>
  <si>
    <t>6730030</t>
  </si>
  <si>
    <t>6730050</t>
  </si>
  <si>
    <t>6730060</t>
  </si>
  <si>
    <t>6730800</t>
  </si>
  <si>
    <t>6739000</t>
  </si>
  <si>
    <t>6780020</t>
  </si>
  <si>
    <t>6780040</t>
  </si>
  <si>
    <t>6780800</t>
  </si>
  <si>
    <t>6789000</t>
  </si>
  <si>
    <t>6790010</t>
  </si>
  <si>
    <t>6790040</t>
  </si>
  <si>
    <t>6790020</t>
  </si>
  <si>
    <t>6790060</t>
  </si>
  <si>
    <t>6790090</t>
  </si>
  <si>
    <t>6790091</t>
  </si>
  <si>
    <t>6790092</t>
  </si>
  <si>
    <t>6790101</t>
  </si>
  <si>
    <t>6790102</t>
  </si>
  <si>
    <t>6790103</t>
  </si>
  <si>
    <t>6790105</t>
  </si>
  <si>
    <t>6790199</t>
  </si>
  <si>
    <t>6790200</t>
  </si>
  <si>
    <t>6790220</t>
  </si>
  <si>
    <t>6790230</t>
  </si>
  <si>
    <t>6790250</t>
  </si>
  <si>
    <t>6790255</t>
  </si>
  <si>
    <t>6790260</t>
  </si>
  <si>
    <t>6790280</t>
  </si>
  <si>
    <t>6790281</t>
  </si>
  <si>
    <t>6790300</t>
  </si>
  <si>
    <t>6790305</t>
  </si>
  <si>
    <t>6790310</t>
  </si>
  <si>
    <t>6790315</t>
  </si>
  <si>
    <t>6790700</t>
  </si>
  <si>
    <t>6790705</t>
  </si>
  <si>
    <t>6790702</t>
  </si>
  <si>
    <t>6790706</t>
  </si>
  <si>
    <t>6790707</t>
  </si>
  <si>
    <t>6790708</t>
  </si>
  <si>
    <t>6790709</t>
  </si>
  <si>
    <t>6790800</t>
  </si>
  <si>
    <t>6790801</t>
  </si>
  <si>
    <t>6798999</t>
  </si>
  <si>
    <t>6799000</t>
  </si>
  <si>
    <t>6799105</t>
  </si>
  <si>
    <t>6799107</t>
  </si>
  <si>
    <t>6799200</t>
  </si>
  <si>
    <t>6799109</t>
  </si>
  <si>
    <t>6800010</t>
  </si>
  <si>
    <t>6800040</t>
  </si>
  <si>
    <t>6810010</t>
  </si>
  <si>
    <t>6810071</t>
  </si>
  <si>
    <t>6810801</t>
  </si>
  <si>
    <t>6810802</t>
  </si>
  <si>
    <t>6900010</t>
  </si>
  <si>
    <t>6900030</t>
  </si>
  <si>
    <t>6900040</t>
  </si>
  <si>
    <t>6900060</t>
  </si>
  <si>
    <t>6900061</t>
  </si>
  <si>
    <t>6900070</t>
  </si>
  <si>
    <t>6900110</t>
  </si>
  <si>
    <t>6900120</t>
  </si>
  <si>
    <t>6900800</t>
  </si>
  <si>
    <t>6909000</t>
  </si>
  <si>
    <t>7000240</t>
  </si>
  <si>
    <t>7000270</t>
  </si>
  <si>
    <t>7000260</t>
  </si>
  <si>
    <t>7000271</t>
  </si>
  <si>
    <t>7000800</t>
  </si>
  <si>
    <t>7000700</t>
  </si>
  <si>
    <t>7009000</t>
  </si>
  <si>
    <t>7100020</t>
  </si>
  <si>
    <t>7100800</t>
  </si>
  <si>
    <t>7101000</t>
  </si>
  <si>
    <t>7102100</t>
  </si>
  <si>
    <t>7103020</t>
  </si>
  <si>
    <t>7103060</t>
  </si>
  <si>
    <t>7103070</t>
  </si>
  <si>
    <t>7109000</t>
  </si>
  <si>
    <t>7201000</t>
  </si>
  <si>
    <t>7203020</t>
  </si>
  <si>
    <t>7301000</t>
  </si>
  <si>
    <t>7500030</t>
  </si>
  <si>
    <t>7500110</t>
  </si>
  <si>
    <t>7500240</t>
  </si>
  <si>
    <t>7500260</t>
  </si>
  <si>
    <t>7500271</t>
  </si>
  <si>
    <t>7500800</t>
  </si>
  <si>
    <t>8000300</t>
  </si>
  <si>
    <t>8000310</t>
  </si>
  <si>
    <t>8000400</t>
  </si>
  <si>
    <t>8000410</t>
  </si>
  <si>
    <t>8010300</t>
  </si>
  <si>
    <t>8010305</t>
  </si>
  <si>
    <t>8010400</t>
  </si>
  <si>
    <t>8010600</t>
  </si>
  <si>
    <t>8010405</t>
  </si>
  <si>
    <t>8900140</t>
  </si>
  <si>
    <t>8900141</t>
  </si>
  <si>
    <t>8900170</t>
  </si>
  <si>
    <t>8900180</t>
  </si>
  <si>
    <t>8903001</t>
  </si>
  <si>
    <t>8903002</t>
  </si>
  <si>
    <t>8903004</t>
  </si>
  <si>
    <t>8903003</t>
  </si>
  <si>
    <t>8903005</t>
  </si>
  <si>
    <t>8903006</t>
  </si>
  <si>
    <t>8903007</t>
  </si>
  <si>
    <t>8903100</t>
  </si>
  <si>
    <t>8999998</t>
  </si>
  <si>
    <t>8999999</t>
  </si>
  <si>
    <t>6790210</t>
  </si>
  <si>
    <t>Curr Dv-Regulatory</t>
  </si>
  <si>
    <t>LT Dv-Regulatory</t>
  </si>
  <si>
    <t>12 M AVG TAX RATE</t>
  </si>
  <si>
    <t xml:space="preserve">OLD </t>
  </si>
  <si>
    <t>12ME</t>
  </si>
  <si>
    <t xml:space="preserve">TAX </t>
  </si>
  <si>
    <t>FORECAST</t>
  </si>
  <si>
    <t>TAX RATE</t>
  </si>
  <si>
    <t>REG DR Def PGA Amtz</t>
  </si>
  <si>
    <t>4073072</t>
  </si>
  <si>
    <t>REG DR Def CIBSR Amt</t>
  </si>
  <si>
    <t>REG DR Tax Reform</t>
  </si>
  <si>
    <t>IC Corp Services</t>
  </si>
  <si>
    <t>CurrAdj Real Gain</t>
  </si>
  <si>
    <t>CurrAdj Unreal Loss</t>
  </si>
  <si>
    <t>7202000</t>
  </si>
  <si>
    <t>7202100</t>
  </si>
  <si>
    <t>7102000</t>
  </si>
  <si>
    <t>Int Exp Oth ST Borrw</t>
  </si>
  <si>
    <t>7500090</t>
  </si>
  <si>
    <t>6790704</t>
  </si>
  <si>
    <t>4073212</t>
  </si>
  <si>
    <t>Reg Liab-TaxReform C</t>
  </si>
  <si>
    <t>2540612</t>
  </si>
  <si>
    <t>UA Debt Exp ST Loan</t>
  </si>
  <si>
    <t>1810100</t>
  </si>
  <si>
    <t xml:space="preserve">Mar </t>
  </si>
  <si>
    <t>APR 2018  Activity</t>
  </si>
  <si>
    <t>MAY 2018  Activity</t>
  </si>
  <si>
    <t>JUN 2018  Activity</t>
  </si>
  <si>
    <t>6100110</t>
  </si>
  <si>
    <t>Instrument SvcRepair</t>
  </si>
  <si>
    <t>APR 2018  Cumulative  Balance</t>
  </si>
  <si>
    <t>MAY 2018  Cumulative  Balance</t>
  </si>
  <si>
    <t>JUN 2018  Cumulative  Balance</t>
  </si>
  <si>
    <t>2530110</t>
  </si>
  <si>
    <t>DfCr PenaltyFIN48 C</t>
  </si>
  <si>
    <t>JUL 2018  Activity</t>
  </si>
  <si>
    <t>AUG 2018  Activity</t>
  </si>
  <si>
    <t>SEP 2018  Activity</t>
  </si>
  <si>
    <t>JUL 2018  Cumulative  Balance</t>
  </si>
  <si>
    <t>AUG 2018  Cumulative  Balance</t>
  </si>
  <si>
    <t>SEP 2018  Cumulative  Balance</t>
  </si>
  <si>
    <t>1460780</t>
  </si>
  <si>
    <t>AR IC EmeraSAP Recon</t>
  </si>
  <si>
    <t>6010400</t>
  </si>
  <si>
    <t>Labor Severance</t>
  </si>
  <si>
    <t>OCT 2018  Activity</t>
  </si>
  <si>
    <t>NOV 2018  Activity</t>
  </si>
  <si>
    <t>DEC 2018  Activity</t>
  </si>
  <si>
    <t>OCT 2018  Cumulative  Balance</t>
  </si>
  <si>
    <t>NOV 2018  Cumulative  Balance</t>
  </si>
  <si>
    <t>DEC 2018  Cumulative  Balance</t>
  </si>
  <si>
    <t>2420199</t>
  </si>
  <si>
    <t>Cur Misc Liab</t>
  </si>
  <si>
    <t>2281100</t>
  </si>
  <si>
    <t>Prov Prop Ins Db C</t>
  </si>
  <si>
    <t>Ties to row 24 in IS</t>
  </si>
  <si>
    <t>JAN 2019  Activity</t>
  </si>
  <si>
    <t>FEB 2019  Activity</t>
  </si>
  <si>
    <t>MAR 2019  Activity</t>
  </si>
  <si>
    <t>JAN 2019  Cumulative  Balance</t>
  </si>
  <si>
    <t>FEB 2019  Cumulative  Balance</t>
  </si>
  <si>
    <t>MAR 2019  Cumulative  Balance</t>
  </si>
  <si>
    <t>7500100</t>
  </si>
  <si>
    <t>Int Exp Taxes</t>
  </si>
  <si>
    <t>6100130</t>
  </si>
  <si>
    <t>EHS Monitoring</t>
  </si>
  <si>
    <t>4074072</t>
  </si>
  <si>
    <t>REG CR Def CIBSR Amt</t>
  </si>
  <si>
    <t>APR 2019  Activity</t>
  </si>
  <si>
    <t>MAY 2019  Activity</t>
  </si>
  <si>
    <t>JUN 2019  Activity</t>
  </si>
  <si>
    <t>APR 2019  Cumulative  Balance</t>
  </si>
  <si>
    <t>MAY 2019  Cumulative  Balance</t>
  </si>
  <si>
    <t>JUN 2019  Cumulative  Balance</t>
  </si>
  <si>
    <t>1460706</t>
  </si>
  <si>
    <t>AR IC Emera Inc</t>
  </si>
  <si>
    <t>Pulling from BS</t>
  </si>
  <si>
    <t>Pulling from IS</t>
  </si>
  <si>
    <t>13 month average (BS)/12 month total (IS)</t>
  </si>
  <si>
    <t>Calculation</t>
  </si>
  <si>
    <t>Pulling from Financials</t>
  </si>
  <si>
    <t>Allowance for Other Funds</t>
  </si>
  <si>
    <t>Allowance for Borrowed Funds</t>
  </si>
  <si>
    <t>JUL 2019  Activity</t>
  </si>
  <si>
    <t>AUG 2019  Activity</t>
  </si>
  <si>
    <t>SEP 2019  Activity</t>
  </si>
  <si>
    <t>JUL 2019  Cumulative  Balance</t>
  </si>
  <si>
    <t>AUG 2019  Cumulative  Balance</t>
  </si>
  <si>
    <t>SEP 2019  Cumulative  Balance</t>
  </si>
  <si>
    <t>AP IC EmeraSAP Recon</t>
  </si>
  <si>
    <t>AP TEEBA</t>
  </si>
  <si>
    <t>I&amp;D Gen Liab Resrv C</t>
  </si>
  <si>
    <t>Reg Ast FAS109 ITax</t>
  </si>
  <si>
    <t>Allow Brw AFUDC Dbt</t>
  </si>
  <si>
    <t>Allow Oth Fund AFUDC</t>
  </si>
  <si>
    <t>Director's Expenses</t>
  </si>
  <si>
    <t>OthRev-HardeeBuySell</t>
  </si>
  <si>
    <t>4950215</t>
  </si>
  <si>
    <t>6790030</t>
  </si>
  <si>
    <t>7100010</t>
  </si>
  <si>
    <t>7500010</t>
  </si>
  <si>
    <t>1823610</t>
  </si>
  <si>
    <t>2282001</t>
  </si>
  <si>
    <t>2320014</t>
  </si>
  <si>
    <t>2340720</t>
  </si>
  <si>
    <t xml:space="preserve">ANALYSIS OF AFUDC BASIS </t>
  </si>
  <si>
    <t>DEC</t>
  </si>
  <si>
    <t>JAN</t>
  </si>
  <si>
    <t>FEB</t>
  </si>
  <si>
    <t>MAR</t>
  </si>
  <si>
    <t>APR</t>
  </si>
  <si>
    <t>JUN</t>
  </si>
  <si>
    <t>JUL</t>
  </si>
  <si>
    <t>AUG</t>
  </si>
  <si>
    <t>SEP</t>
  </si>
  <si>
    <t>EOP (107)</t>
  </si>
  <si>
    <t>CIBS RIDER CWIP</t>
  </si>
  <si>
    <t>ELIGIBLE FOR AFUDC</t>
  </si>
  <si>
    <t>Jacksonville Expansion</t>
  </si>
  <si>
    <t>Southwest Florida Expansion</t>
  </si>
  <si>
    <t>Panama City Express Expansion</t>
  </si>
  <si>
    <t>Work Management System</t>
  </si>
  <si>
    <t>Arcadia</t>
  </si>
  <si>
    <t xml:space="preserve">GMS Update to Quorom </t>
  </si>
  <si>
    <t>TOTAL ELIGIBLE FOR AFUDC</t>
  </si>
  <si>
    <t>CWIP included in Rate Base</t>
  </si>
  <si>
    <t>OCT</t>
  </si>
  <si>
    <t>NOV</t>
  </si>
  <si>
    <t>13 MONTH</t>
  </si>
  <si>
    <t>AFUDC CWIP</t>
  </si>
  <si>
    <t>Use SALR2284 TE03 FERC View</t>
  </si>
  <si>
    <t>Per FERC F/S NOI</t>
  </si>
  <si>
    <t>Per FERC F/S NI</t>
  </si>
  <si>
    <t>Per FERC F/S BS</t>
  </si>
  <si>
    <t>4191</t>
  </si>
  <si>
    <t>4320</t>
  </si>
  <si>
    <t>All</t>
  </si>
  <si>
    <t>Investor</t>
  </si>
  <si>
    <t xml:space="preserve"> AFUDC - Eligible CWIP</t>
  </si>
  <si>
    <t>AFUDC - Eligible CWIP</t>
  </si>
  <si>
    <t>OCT 2019  Activity</t>
  </si>
  <si>
    <t>NOV 2019  Activity</t>
  </si>
  <si>
    <t>DEC 2019  Activity</t>
  </si>
  <si>
    <t>OCT 2019  Cumulative  Balance</t>
  </si>
  <si>
    <t>NOV 2019  Cumulative  Balance</t>
  </si>
  <si>
    <t>DEC 2019  Cumulative  Balance</t>
  </si>
  <si>
    <t>CUSTOMER DEPOSITS COST RATE CALCULATION</t>
  </si>
  <si>
    <t>Deposits Balance</t>
  </si>
  <si>
    <t>A_2350100</t>
  </si>
  <si>
    <t>CIS Customer Deposits Short-term</t>
  </si>
  <si>
    <t>A_2350110</t>
  </si>
  <si>
    <t>Non-CIS Customer Deposits Short-term</t>
  </si>
  <si>
    <t>A_2420320</t>
  </si>
  <si>
    <t>Misc Accru Liab-Unclaimed Funds</t>
  </si>
  <si>
    <t>Deposits Balance - 13-month Average</t>
  </si>
  <si>
    <t>Deposits Interest</t>
  </si>
  <si>
    <t>A_7500030</t>
  </si>
  <si>
    <t>Interest Exp - Customer Deposits</t>
  </si>
  <si>
    <t>Deposits Interest Balance</t>
  </si>
  <si>
    <t>Deposits Interest - 12-month ended</t>
  </si>
  <si>
    <t>Deposits COST RATE Average</t>
  </si>
  <si>
    <t>Deposits COST RATE Year End</t>
  </si>
  <si>
    <t xml:space="preserve">   CUSTOMER DEPOSITS</t>
  </si>
  <si>
    <t>A_7500020</t>
  </si>
  <si>
    <t>A_7500080</t>
  </si>
  <si>
    <t>A_7500090</t>
  </si>
  <si>
    <t>A_7500700</t>
  </si>
  <si>
    <t>STD Interest Balance</t>
  </si>
  <si>
    <t>STD Interest - 12-month ended</t>
  </si>
  <si>
    <t>STD Interest</t>
  </si>
  <si>
    <t>A_2310000</t>
  </si>
  <si>
    <t>A_2330711</t>
  </si>
  <si>
    <t>STD Balance</t>
  </si>
  <si>
    <t>STD Balance - 13-month Average</t>
  </si>
  <si>
    <t>Amortizatoin of Fees in 930.2</t>
  </si>
  <si>
    <t>Input</t>
  </si>
  <si>
    <t>4810033</t>
  </si>
  <si>
    <t>Comm Gas Heat Pump</t>
  </si>
  <si>
    <t>4810034</t>
  </si>
  <si>
    <t>Comm GasHeatPmp Fuel</t>
  </si>
  <si>
    <t>7100015</t>
  </si>
  <si>
    <t>Captlz AFUDC Equity</t>
  </si>
  <si>
    <t>7500015</t>
  </si>
  <si>
    <t>Captlz AFUDC Debt</t>
  </si>
  <si>
    <t>7509000</t>
  </si>
  <si>
    <t>Int Exp to BalSheet</t>
  </si>
  <si>
    <t>2320040</t>
  </si>
  <si>
    <t>AP Misc Donations</t>
  </si>
  <si>
    <t>LT Incentive C</t>
  </si>
  <si>
    <t>6800100</t>
  </si>
  <si>
    <t>Amtz-Regulatory CRs</t>
  </si>
  <si>
    <t>6809000</t>
  </si>
  <si>
    <t>Amtz to BalSheet</t>
  </si>
  <si>
    <t>2420191</t>
  </si>
  <si>
    <t>Balance Sheet Liability/Equity</t>
  </si>
  <si>
    <t>FERC Liabilities/Equity</t>
  </si>
  <si>
    <t>PEOPLES GAS COMPANY</t>
  </si>
  <si>
    <t>SCHEDULE A</t>
  </si>
  <si>
    <t xml:space="preserve">AVERAGE </t>
  </si>
  <si>
    <t>CAPITAL</t>
  </si>
  <si>
    <t>COST OF</t>
  </si>
  <si>
    <t>CAPITAL COMPONENTS</t>
  </si>
  <si>
    <t>BALANCE</t>
  </si>
  <si>
    <t>INVESTMENT TAX CREDITS</t>
  </si>
  <si>
    <t>SCHEDULE B</t>
  </si>
  <si>
    <t>COMMISSION</t>
  </si>
  <si>
    <t>ADJUSTMENTS*</t>
  </si>
  <si>
    <t>Annual Rate (R) = .0597</t>
  </si>
  <si>
    <t>Monthly Rate = ((1 + R)^(1/12)) - 1 = .0048438</t>
  </si>
  <si>
    <t>annual rate</t>
  </si>
  <si>
    <t>equity rate</t>
  </si>
  <si>
    <t>equity %</t>
  </si>
  <si>
    <t>debt rate</t>
  </si>
  <si>
    <t>debt %</t>
  </si>
  <si>
    <t>METHODOLOGY FOR MONTHLY COMPOUNDING</t>
  </si>
  <si>
    <t xml:space="preserve"> OF THE AFUDC RATE</t>
  </si>
  <si>
    <t>SCHEDULE C</t>
  </si>
  <si>
    <t>AFUDC</t>
  </si>
  <si>
    <t>MONTHLY</t>
  </si>
  <si>
    <t>CUMULATIVE</t>
  </si>
  <si>
    <t>MONTHS</t>
  </si>
  <si>
    <t>BASE</t>
  </si>
  <si>
    <t>STD COST RATE Average (Use Daily Rate Instead)</t>
  </si>
  <si>
    <t>STD COST RATE Year End (Use Daily Rate Instead)</t>
  </si>
  <si>
    <t>12-month average interest rate (Daily)</t>
  </si>
  <si>
    <t>Month end interest rate (Daily)</t>
  </si>
  <si>
    <t>CAPITAL STRUCTURE USED FOR AFUDC CALCULATION</t>
  </si>
  <si>
    <t>* FOR ADJUSTMENT DETAILS, SEE SCHEDULE 2.</t>
  </si>
  <si>
    <t>*</t>
  </si>
  <si>
    <t>* 13-MONTH AVERAGE</t>
  </si>
  <si>
    <t>TOTI-Franchise Fees (6900010)</t>
  </si>
  <si>
    <t>TOTI-Gross Receipts (6900030)</t>
  </si>
  <si>
    <t>Total Franchise Fees/Gross Receipts Exp</t>
  </si>
  <si>
    <t>OthRev-Franchise Fee (4950205)</t>
  </si>
  <si>
    <t>OthRev-Gross Receipt (4950206)</t>
  </si>
  <si>
    <t>Total Franchise Fees/Gross Receipts Rev</t>
  </si>
  <si>
    <t>Franchise/Gross Receipts Taxes</t>
  </si>
  <si>
    <t xml:space="preserve">Net Franchise/Gross Receipts </t>
  </si>
  <si>
    <t>JAN 2020  Activity</t>
  </si>
  <si>
    <t>FEB 2020  Activity</t>
  </si>
  <si>
    <t>MAR 2020  Activity</t>
  </si>
  <si>
    <t>JAN 2020  Cumulative  Balance</t>
  </si>
  <si>
    <t>FEB 2020  Cumulative  Balance</t>
  </si>
  <si>
    <t>MAR 2020  Cumulative  Balance</t>
  </si>
  <si>
    <t>2020</t>
  </si>
  <si>
    <t>4212</t>
  </si>
  <si>
    <t>8903008</t>
  </si>
  <si>
    <t>FICO Reconciliation - HR Empl Relations Allocation</t>
  </si>
  <si>
    <t>8903009</t>
  </si>
  <si>
    <t>8903010</t>
  </si>
  <si>
    <t>8903011</t>
  </si>
  <si>
    <t>8903012</t>
  </si>
  <si>
    <t>FICO Reconciliation - Emergency Mgmt Allocation</t>
  </si>
  <si>
    <t>FICO Reconciliation - Corp Comm Allocation</t>
  </si>
  <si>
    <t>FICO Reconciliation - Accounts Payable Allocation</t>
  </si>
  <si>
    <t>FICO Reconciliation - Claims Allocation</t>
  </si>
  <si>
    <t>7000090</t>
  </si>
  <si>
    <t>Interest Inc - Deferred Cost Recovery</t>
  </si>
  <si>
    <t>6790198</t>
  </si>
  <si>
    <t>Fees - Miscellaneous - Above the line</t>
  </si>
  <si>
    <t>6720060</t>
  </si>
  <si>
    <t>Long-term Lease - Variable Lease Expense</t>
  </si>
  <si>
    <t>6700508</t>
  </si>
  <si>
    <t>6700504</t>
  </si>
  <si>
    <t>Insurance - Fiduciary</t>
  </si>
  <si>
    <t>Insurance - Directors &amp; Officers</t>
  </si>
  <si>
    <t>6020101</t>
  </si>
  <si>
    <t>Employee Deferred Compensation Expense</t>
  </si>
  <si>
    <t>6010900</t>
  </si>
  <si>
    <t>Labor Commissions</t>
  </si>
  <si>
    <t>1823208</t>
  </si>
  <si>
    <t>Oth Reg Asset-Deft Loss Prop Sales Non-Current</t>
  </si>
  <si>
    <t>2340799</t>
  </si>
  <si>
    <t>Trade Payable-Emera Interco Accruals/Reversals</t>
  </si>
  <si>
    <t>2420192</t>
  </si>
  <si>
    <t>Deferred Compensation - Current</t>
  </si>
  <si>
    <t>Check Revenue to Report Tab</t>
  </si>
  <si>
    <t>Check O&amp;M to Report Tab</t>
  </si>
  <si>
    <t>Check Depreciation to Report Tab</t>
  </si>
  <si>
    <t>Check TOTI to Report Tab</t>
  </si>
  <si>
    <t>APR 2020  Activity</t>
  </si>
  <si>
    <t>APR 2020  Cumulative  Balance</t>
  </si>
  <si>
    <t>4950220</t>
  </si>
  <si>
    <t>OthRev-DailyOvrUsage</t>
  </si>
  <si>
    <t>MAY 2020  Activity</t>
  </si>
  <si>
    <t>MAY 2020  Cumulative  Balance</t>
  </si>
  <si>
    <t>FGT to Big Bend</t>
  </si>
  <si>
    <t>4800037</t>
  </si>
  <si>
    <t>4800038</t>
  </si>
  <si>
    <t>Resid Gas Heat Pump</t>
  </si>
  <si>
    <t>Resid GasHeatPp Fuel</t>
  </si>
  <si>
    <t>6710030</t>
  </si>
  <si>
    <t>ST Rent-Office Equip</t>
  </si>
  <si>
    <t>Regular Int Exp</t>
  </si>
  <si>
    <t>Amort of Fees</t>
  </si>
  <si>
    <t>Total Int Exp</t>
  </si>
  <si>
    <t>Regular int exp hitting (7500020/7500080) was journaled to the incorrect order, which derived it to FERC 930.2. It should be hitting FERC 431. Manual reclass to the IS in May and will be fixed in the system in June</t>
  </si>
  <si>
    <t>Tax Rate</t>
  </si>
  <si>
    <t>1 less Tax Rate</t>
  </si>
  <si>
    <t>INTANGIBLE SOFTWARE (303)</t>
  </si>
  <si>
    <t>LAND AND LAND RIGHTS (374)</t>
  </si>
  <si>
    <t>STRUCTURES AND IMPROVEMENTS (375)</t>
  </si>
  <si>
    <t>STRUCTURES AND IMPROVEMENTS (390)</t>
  </si>
  <si>
    <t>COMPUTER EQUIPMENT (391)</t>
  </si>
  <si>
    <t xml:space="preserve">Operating Revenue </t>
  </si>
  <si>
    <t>JUN 2020  Activity</t>
  </si>
  <si>
    <t>JUN 2020  Cumulative  Balance</t>
  </si>
  <si>
    <t>Jun 20</t>
  </si>
  <si>
    <t>6791000</t>
  </si>
  <si>
    <t>Rate Case Expense</t>
  </si>
  <si>
    <t>9280</t>
  </si>
  <si>
    <t xml:space="preserve">AFUDC over all Sources </t>
  </si>
  <si>
    <r>
      <t>YE</t>
    </r>
    <r>
      <rPr>
        <sz val="10"/>
        <rFont val="SWISS"/>
      </rPr>
      <t xml:space="preserve"> CAPITAL STRUCTURE (PER BOOKS)</t>
    </r>
  </si>
  <si>
    <t>13-month</t>
  </si>
  <si>
    <t>Month ended</t>
  </si>
  <si>
    <t xml:space="preserve">Education/Tuition Reimbursement </t>
  </si>
  <si>
    <t>JUL 2020  Activity</t>
  </si>
  <si>
    <t>AUG 2020  Activity</t>
  </si>
  <si>
    <t>SEP 2020  Activity</t>
  </si>
  <si>
    <t>JUL 2020  Cumulative  Balance</t>
  </si>
  <si>
    <t>AUG 2020  Cumulative  Balance</t>
  </si>
  <si>
    <t>SEP 2020  Cumulative  Balance</t>
  </si>
  <si>
    <t>Jul 20</t>
  </si>
  <si>
    <t>Aug 20</t>
  </si>
  <si>
    <t>Sep 20</t>
  </si>
  <si>
    <t>1823325</t>
  </si>
  <si>
    <t>Oth Reg Asset-Emergency Conditions - COVID-19</t>
  </si>
  <si>
    <t>4893037</t>
  </si>
  <si>
    <t>4893038</t>
  </si>
  <si>
    <t>Residential Transportation Gas Heat Pump</t>
  </si>
  <si>
    <t>Residential Transportation Gas Heat Pump-Swing</t>
  </si>
  <si>
    <t>6030090</t>
  </si>
  <si>
    <t>6030091</t>
  </si>
  <si>
    <t>Empl Exp - Relocation Expenses</t>
  </si>
  <si>
    <t>Empl Exp - Employee Appreciation and Gift Cards</t>
  </si>
  <si>
    <t>OCT 2020  Activity</t>
  </si>
  <si>
    <t>NOV 2020  Activity</t>
  </si>
  <si>
    <t>DEC 2020  Activity</t>
  </si>
  <si>
    <t>OCT 2020  Cumulative  Balance</t>
  </si>
  <si>
    <t>NOV 2020  Cumulative  Balance</t>
  </si>
  <si>
    <t>DEC 2020  Cumulative  Balance</t>
  </si>
  <si>
    <t>AR - Employee Personal Reimbursement Pcard Charge</t>
  </si>
  <si>
    <t>Trade Receivable-Emera Intercompany (RECON)</t>
  </si>
  <si>
    <t>Oth Reg Asset-Rate Case Expense Non-Current</t>
  </si>
  <si>
    <t>Oth Reg Asset-Non-Capital SW Project Costs NC</t>
  </si>
  <si>
    <t>Oct 20</t>
  </si>
  <si>
    <t>Nov 20</t>
  </si>
  <si>
    <t>Dec 20</t>
  </si>
  <si>
    <t>Sumertville Dade City</t>
  </si>
  <si>
    <t>RNG Pipe Alliance</t>
  </si>
  <si>
    <t>check amt from "Report YE" tab</t>
  </si>
  <si>
    <t xml:space="preserve">Year-end </t>
  </si>
  <si>
    <t>YEAR END CAPITAL STRUCTURE:</t>
  </si>
  <si>
    <t xml:space="preserve">Adjustments to Capital Structure for 54.70% Equity Ratio </t>
  </si>
  <si>
    <t>Long-Term Debt ($)</t>
  </si>
  <si>
    <t>Short-term Debt ($)</t>
  </si>
  <si>
    <t>Long-Term Debt (%)</t>
  </si>
  <si>
    <t>Short-term Debt (%)</t>
  </si>
  <si>
    <t>Unadj. Common Equity with LT &amp; ST</t>
  </si>
  <si>
    <t>Targeted Equity Ratio</t>
  </si>
  <si>
    <t>Check to Target Ratio</t>
  </si>
  <si>
    <t>Adjustment to Capital Structure</t>
  </si>
  <si>
    <t>Original</t>
  </si>
  <si>
    <t>Final</t>
  </si>
  <si>
    <t>2021 Final Bud</t>
  </si>
  <si>
    <t>2021 Original Bud</t>
  </si>
  <si>
    <t>2020 Actuals</t>
  </si>
  <si>
    <t>JAN 2021  Cumulative  Balance</t>
  </si>
  <si>
    <t>FEB 2021  Cumulative  Balance</t>
  </si>
  <si>
    <t>MAR 2021  Cumulative  Balance</t>
  </si>
  <si>
    <t>JAN 2021  Activity</t>
  </si>
  <si>
    <t>FEB 2021  Activity</t>
  </si>
  <si>
    <t>MAR 2021  Activity</t>
  </si>
  <si>
    <t>Jan 21</t>
  </si>
  <si>
    <t>Feb 21</t>
  </si>
  <si>
    <t>Mar 21</t>
  </si>
  <si>
    <t>Barcoding GPS Handheld Readers</t>
  </si>
  <si>
    <t>Main-Replace Ortega River Crossing</t>
  </si>
  <si>
    <t>Gate-Peters Road</t>
  </si>
  <si>
    <t>PC Dupont Bridge Pipe Lowering Rplc</t>
  </si>
  <si>
    <t>Southwest Lakeland Loop</t>
  </si>
  <si>
    <t>Gerdau Steel/Yellow Water Rd</t>
  </si>
  <si>
    <t>SOFTWARE  PGS SCADA Replacement Pro</t>
  </si>
  <si>
    <t>Main-Universal Orlando Project P304</t>
  </si>
  <si>
    <t>Main-Villages Buildout</t>
  </si>
  <si>
    <t>Main-Silverleaf Village Developer</t>
  </si>
  <si>
    <t>Rosen Laundry/Destination Pkwy</t>
  </si>
  <si>
    <t>Commercial Gas Heat Pump Transportation</t>
  </si>
  <si>
    <t>Employer 401K – IBEW Plan Match</t>
  </si>
  <si>
    <t>Oth Reg Asset-TIMP Accrual - Current</t>
  </si>
  <si>
    <t xml:space="preserve">WFNG </t>
  </si>
  <si>
    <t>WFNG Left as of Mar 2021</t>
  </si>
  <si>
    <t>Balance at end</t>
  </si>
  <si>
    <t>WFNG Left as of Dec 2020</t>
  </si>
  <si>
    <t>12 Month Rolling Amort</t>
  </si>
  <si>
    <t>1823202</t>
  </si>
  <si>
    <t>Unamortized Rate Case (1823102 &amp; 1823202)</t>
  </si>
  <si>
    <t>Name:</t>
  </si>
  <si>
    <t>Purpose:</t>
  </si>
  <si>
    <t>Model Index:</t>
  </si>
  <si>
    <t>Drivers Tabs</t>
  </si>
  <si>
    <t>Model Tabs</t>
  </si>
  <si>
    <t>Output Tabs</t>
  </si>
  <si>
    <t>Summary of Reports (Schedules 1-5-2, AFUDC Schedules) produced by the model.</t>
  </si>
  <si>
    <t>Comparison Report Tabs</t>
  </si>
  <si>
    <t>Reports to be compared to prior periods.</t>
  </si>
  <si>
    <t>Financial Model Color Formatting:</t>
  </si>
  <si>
    <t>Blue</t>
  </si>
  <si>
    <t>Inputs, or any hardcoded data, such as historical values, assumptions, and drivers.</t>
  </si>
  <si>
    <t>Black</t>
  </si>
  <si>
    <t>Calculations and references to the same sheet.</t>
  </si>
  <si>
    <t xml:space="preserve">Green </t>
  </si>
  <si>
    <t>Calculations and references to other sheets.</t>
  </si>
  <si>
    <t>Red</t>
  </si>
  <si>
    <t>References to separate files or external links.</t>
  </si>
  <si>
    <t>Earnings Surveillance Report</t>
  </si>
  <si>
    <t xml:space="preserve">To report YTD financial information for the FPSC. </t>
  </si>
  <si>
    <r>
      <t xml:space="preserve">Inputs or assumptions; either linking or hard coded inputs from external files and BO or SAP Reports that can be found in the </t>
    </r>
    <r>
      <rPr>
        <b/>
        <u/>
        <sz val="10"/>
        <rFont val="Arial"/>
        <family val="2"/>
      </rPr>
      <t>Support or FERC Folder.</t>
    </r>
  </si>
  <si>
    <t>Calculations produced within the file for Financial Statements and other.</t>
  </si>
  <si>
    <t xml:space="preserve">Month: </t>
  </si>
  <si>
    <t xml:space="preserve">12-month rolling: </t>
  </si>
  <si>
    <t>Short Date:</t>
  </si>
  <si>
    <t xml:space="preserve">Calculation </t>
  </si>
  <si>
    <t>Internal Links - Balance Sheet and Income Statement</t>
  </si>
  <si>
    <t>External Inputs from Outside Source</t>
  </si>
  <si>
    <r>
      <t>SAP Reports</t>
    </r>
    <r>
      <rPr>
        <sz val="10"/>
        <rFont val="Arial"/>
        <family val="2"/>
      </rPr>
      <t>:</t>
    </r>
  </si>
  <si>
    <t>ECCR Deferred Exp Monthly (4073140) (4073141)</t>
  </si>
  <si>
    <t>ECCR Deferred &amp; SAP Exp 12-month Ended</t>
  </si>
  <si>
    <t>ECCR Deferred Rev Monthly (4074140) (4074141)</t>
  </si>
  <si>
    <t>ECCR Deferred &amp; SAP Rev 12-month Ended</t>
  </si>
  <si>
    <t>ECCR Exp &amp; Rev Variance</t>
  </si>
  <si>
    <t>Accum Compet Price Adj (1823070)</t>
  </si>
  <si>
    <t>Econom Develop (Acct 912) (6790055)</t>
  </si>
  <si>
    <t>Econom Develop (Acc 912) (6790055) 12-month Ended</t>
  </si>
  <si>
    <t>Econom Develop 5% disallowance per FAC (25-7.042)</t>
  </si>
  <si>
    <t>Franchise Fees/Gross Receipts Exp 12-month Ended</t>
  </si>
  <si>
    <t>Franchise Fees/Gross Receipts Rev 12-month Ended</t>
  </si>
  <si>
    <t>Net Franchise/Gross Receipts 12-month Ended</t>
  </si>
  <si>
    <t xml:space="preserve">CIBS Deferred Rev (4074071) (4074072) </t>
  </si>
  <si>
    <t>CIBS Deferred Exp (4073071) (4073072)</t>
  </si>
  <si>
    <t>CIBS Rider Revenue (4950271)</t>
  </si>
  <si>
    <t>CIBS Rider Depreciation (6810071)</t>
  </si>
  <si>
    <t>CIBS Checks</t>
  </si>
  <si>
    <t>Other-OCI-INT RATE SWAP (219)</t>
  </si>
  <si>
    <t>Other-OCI-INT RATE SWAP (219) 13-month Average</t>
  </si>
  <si>
    <t>Accum Compet Price Adj (1823070) 13-month Average</t>
  </si>
  <si>
    <t>Adjust Other-OCI-INT RATE SWAP (219) for Tax Average</t>
  </si>
  <si>
    <t>Regulatory Assessment Fee Fuel</t>
  </si>
  <si>
    <t>Regulatory Assessment Fee Fuel 12-month Ended</t>
  </si>
  <si>
    <r>
      <t>BL021 Competitive Rate File</t>
    </r>
    <r>
      <rPr>
        <sz val="10"/>
        <rFont val="Arial"/>
        <family val="2"/>
      </rPr>
      <t xml:space="preserve">: </t>
    </r>
  </si>
  <si>
    <r>
      <t>ACCT 926-01 File</t>
    </r>
    <r>
      <rPr>
        <sz val="10"/>
        <rFont val="Arial"/>
        <family val="2"/>
      </rPr>
      <t>:</t>
    </r>
  </si>
  <si>
    <t>Adjustment Total</t>
  </si>
  <si>
    <t>Flex Revenues Monthly</t>
  </si>
  <si>
    <t>Flex Revenues 12-month Ended</t>
  </si>
  <si>
    <t>ECCR Exp Monthly (9908000-9909000)</t>
  </si>
  <si>
    <t>ECCR Rev Monthly  (4950203)</t>
  </si>
  <si>
    <t>CIBS Deferred Rev (4074071) (4074072) 12-month Ended</t>
  </si>
  <si>
    <t>CIBS Rider Revenue (4950271) 12-month Ended</t>
  </si>
  <si>
    <t xml:space="preserve">Total </t>
  </si>
  <si>
    <t>CIBS Deferred Exp (4073071) (4073072) 12-month Ended</t>
  </si>
  <si>
    <t>CIBS Rider Depreciation (6810071) 12-month Ended</t>
  </si>
  <si>
    <t xml:space="preserve">CIBS Reg Assessment Fee Statistical </t>
  </si>
  <si>
    <t xml:space="preserve">CIBS Property Tax Statisitcal </t>
  </si>
  <si>
    <t>CIBS Reg Assessment Fee Statistical 12-month Ended</t>
  </si>
  <si>
    <t>CIBS Property Tax Statisitcal 12-month Ended</t>
  </si>
  <si>
    <t>TOTI Adjustment</t>
  </si>
  <si>
    <t>Source: SOP</t>
  </si>
  <si>
    <t>Light yellow indicates cell is being pulled into Report Tab.</t>
  </si>
  <si>
    <t>2021 Tax Rate</t>
  </si>
  <si>
    <t>GAAP ACCT CK</t>
  </si>
  <si>
    <t>Apr 21</t>
  </si>
  <si>
    <t>May 21</t>
  </si>
  <si>
    <t>Jun 21</t>
  </si>
  <si>
    <t>LNG - Blue Marlin</t>
  </si>
  <si>
    <t>RNG New River</t>
  </si>
  <si>
    <t>RNG Brightmark</t>
  </si>
  <si>
    <t>Skysail Development</t>
  </si>
  <si>
    <t>Alliance RNG Equipment</t>
  </si>
  <si>
    <t>APR 2021  Activity</t>
  </si>
  <si>
    <t>MAY 2021  Activity</t>
  </si>
  <si>
    <t>JUN 2021  Activity</t>
  </si>
  <si>
    <t>APR 2021  Cumulative  Balance</t>
  </si>
  <si>
    <t>MAY 2021  Cumulative  Balance</t>
  </si>
  <si>
    <t>JUN 2021  Cumulative  Balance</t>
  </si>
  <si>
    <t>Commercial Gas Heat Pump Transportation-Swing</t>
  </si>
  <si>
    <t>6010990</t>
  </si>
  <si>
    <t>Labor Seconded Employees</t>
  </si>
  <si>
    <t>/s/ Rachel B. Parsons, VP of Finance and Planning</t>
  </si>
  <si>
    <t>Due to errors, CIBS external inputs will be placed directly in "Report" Tab</t>
  </si>
  <si>
    <t xml:space="preserve">CIBSR Over-Under Calculation File: </t>
  </si>
  <si>
    <t>Capital Structure Per Books and Specific</t>
  </si>
  <si>
    <t>(Pro rate only over equity, LTD and STD)</t>
  </si>
  <si>
    <t xml:space="preserve">TOTAL </t>
  </si>
  <si>
    <t>PERCENTAGE</t>
  </si>
  <si>
    <t>(AFUDC over all Sources)</t>
  </si>
  <si>
    <t xml:space="preserve">Capital Structure Total Adjusted Reg. Financial Equity Ratio </t>
  </si>
  <si>
    <t>2021 5+7F</t>
  </si>
  <si>
    <t>External Links from Outside Source</t>
  </si>
  <si>
    <t>PHFFU CEMEX Annual Lease (ACCT 493) FAGLB03</t>
  </si>
  <si>
    <t>`</t>
  </si>
  <si>
    <t>* be sure to update cells G40 and H40 to pull the current month of the report. Ie: sept for september filing</t>
  </si>
  <si>
    <t>DECEMBER 2021</t>
  </si>
  <si>
    <t>Aug 21</t>
  </si>
  <si>
    <t>Jul 21</t>
  </si>
  <si>
    <t>Sept 21</t>
  </si>
  <si>
    <t>Sept</t>
  </si>
  <si>
    <t>JUL 2021  Activity</t>
  </si>
  <si>
    <t>AUG 2021  Activity</t>
  </si>
  <si>
    <t>SEPT 2021  Activity</t>
  </si>
  <si>
    <t>JUL 2021  Cumulative  Balance</t>
  </si>
  <si>
    <t>AUG 2021  Cumulative  Balance</t>
  </si>
  <si>
    <t>SEPT 2021  Cumulative  Balance</t>
  </si>
  <si>
    <t>due to rounding because taking from recon which is in thousands vs. CIBSR SR tab which is in dollars</t>
  </si>
  <si>
    <t>June</t>
  </si>
  <si>
    <t>July</t>
  </si>
  <si>
    <t>JUNE</t>
  </si>
  <si>
    <t>JULY</t>
  </si>
  <si>
    <t>AUGUST</t>
  </si>
  <si>
    <t>SEPTEMBER</t>
  </si>
  <si>
    <t>Q3 Forecast</t>
  </si>
  <si>
    <t>2021 Q3</t>
  </si>
  <si>
    <t>2021 Q3F</t>
  </si>
  <si>
    <t>December 2021</t>
  </si>
  <si>
    <t>12/31/2021</t>
  </si>
  <si>
    <t>Oct 21</t>
  </si>
  <si>
    <t>Nov 21</t>
  </si>
  <si>
    <t>Dec 21</t>
  </si>
  <si>
    <t>OCTOBER</t>
  </si>
  <si>
    <t>NOVEMBER</t>
  </si>
  <si>
    <t>DECEMBER</t>
  </si>
  <si>
    <t>PEOPLES GAS</t>
  </si>
  <si>
    <t>MARKET TO REGULATORY ROE RECONCILIATION</t>
  </si>
  <si>
    <t>PGS Rate Base Per Books</t>
  </si>
  <si>
    <t>PGS Rate of Return</t>
  </si>
  <si>
    <t>Weighted Cost of Debt</t>
  </si>
  <si>
    <t>Weighted Cost of Equity</t>
  </si>
  <si>
    <t>Simple Average</t>
  </si>
  <si>
    <t>13-Month Average</t>
  </si>
  <si>
    <t>MARKET ROE</t>
  </si>
  <si>
    <t>Equity</t>
  </si>
  <si>
    <t>NET INCOME</t>
  </si>
  <si>
    <t>AVG COMMON EQUITY</t>
  </si>
  <si>
    <t xml:space="preserve">Effect on </t>
  </si>
  <si>
    <t>AFUDC/CWIP</t>
  </si>
  <si>
    <t>AFUDC Equity IS</t>
  </si>
  <si>
    <t>RB</t>
  </si>
  <si>
    <t>CIBSR</t>
  </si>
  <si>
    <t>NOI</t>
  </si>
  <si>
    <t>TPI Earnings (RE dividended to TE)</t>
  </si>
  <si>
    <t>AFUDC Earnings (After Tax)</t>
  </si>
  <si>
    <t>Common Equity (Simple Avg vs 13 month Avg)</t>
  </si>
  <si>
    <t>RATE BASE ITEMS</t>
  </si>
  <si>
    <t xml:space="preserve"> Remove Unrecovered Gas Cost PGA</t>
  </si>
  <si>
    <t>NOI ITEMS - After Tax</t>
  </si>
  <si>
    <t>Acquisition Adj. Amortiz. (WFNG)</t>
  </si>
  <si>
    <t>OTHER</t>
  </si>
  <si>
    <t>TOTAL DIFFERENCE</t>
  </si>
  <si>
    <t>REGULATORY ROE</t>
  </si>
  <si>
    <t>BOOK FINANCIAL</t>
  </si>
  <si>
    <t>SURVEILLANCE REPORT FINANCIAL</t>
  </si>
  <si>
    <t>SURVEILLANCE REPORT REGULATORY</t>
  </si>
  <si>
    <t>OCT 2021  Activity</t>
  </si>
  <si>
    <t>NOV 2021  Activity</t>
  </si>
  <si>
    <t>DEC 2021  Activity</t>
  </si>
  <si>
    <t>OCT 2021  Cumulative  Balance</t>
  </si>
  <si>
    <t>NOV 2021  Cumulative  Balance</t>
  </si>
  <si>
    <t>DEC 2021  Cumulative  Balance</t>
  </si>
  <si>
    <t>updated through Dec '21</t>
  </si>
  <si>
    <t>Greater Orlando Avaiation Authority</t>
  </si>
  <si>
    <t>Cedar Hills Replace - Phase B</t>
  </si>
  <si>
    <t>(JAN 2021 - DEC 2021)</t>
  </si>
  <si>
    <t>I&amp;D Recoveries GL NC</t>
  </si>
  <si>
    <t>2282210</t>
  </si>
  <si>
    <t>DECEMBER 2019</t>
  </si>
  <si>
    <t>DECEMBER 2020</t>
  </si>
  <si>
    <t>FINAL BUDGET</t>
  </si>
  <si>
    <t>DEC 2021</t>
  </si>
  <si>
    <t>VARIANCE</t>
  </si>
  <si>
    <t>WORKING CAPITAL</t>
  </si>
  <si>
    <t xml:space="preserve">     AVERAGE WORKING CAPITAL (ACTUAL)</t>
  </si>
  <si>
    <t xml:space="preserve">     AVERAGE WORKING CAPITAL (FINAL BUDGET)</t>
  </si>
  <si>
    <t>ACTUAL VS. FINAL BUDGET</t>
  </si>
  <si>
    <t>Note: The current AFUDC rate of 6.00% was authorized in Order No. PSC-2021-0170-PPA-GU Docket No. 20210040-GU, effective January 1, 2021.</t>
  </si>
  <si>
    <t xml:space="preserve">Debt Ratio </t>
  </si>
  <si>
    <t>Equity  Ratio</t>
  </si>
  <si>
    <t>Per Order No. PSC-2021-0170-PPA-GU, a 54.7% equity ratio (investor sources with any difference to actual equity ratio spread ratably over long-term and short term debt) shall be used for all purposes including the calculation of the Company’s AFUDC rate.</t>
  </si>
  <si>
    <t>Annual Rate (R) = .0577</t>
  </si>
  <si>
    <t>Monthly Rate = ((1 + R)^(1/12)) - 1 = 0.0046857</t>
  </si>
  <si>
    <t>Equity Ratio 78.68%</t>
  </si>
  <si>
    <t>Debt Ratio 21.32%</t>
  </si>
  <si>
    <t>DECEMBER ACTUAL 2021</t>
  </si>
  <si>
    <t>SR Review</t>
  </si>
  <si>
    <t>Activity</t>
  </si>
  <si>
    <t>Status</t>
  </si>
  <si>
    <t>Check Debt &amp; Cust Dep tab (items coming through correctly)</t>
  </si>
  <si>
    <t>Check Input Plant tab (items coming through correctly)</t>
  </si>
  <si>
    <t>Check Input Seg of CWIP tab (items coming through correctly and averages working)</t>
  </si>
  <si>
    <t>Check Input Tax Rate tab (tax rate updated)</t>
  </si>
  <si>
    <t>Check comparison tabs</t>
  </si>
  <si>
    <t>Check prior period formulas value pasted</t>
  </si>
  <si>
    <t>Check input tab (items coming through correctly and check figures are zero)</t>
  </si>
  <si>
    <t>Check Input IS ACCTS tab (items coming through correctly and check figures are zero)</t>
  </si>
  <si>
    <t>Check Input BS ACCTS tab (items coming through correctly and check figures are zero)</t>
  </si>
  <si>
    <t>Check Bal Sheet tab (items coming through correctly and check figures are zero)</t>
  </si>
  <si>
    <t>Check IncomeStmt tab (items coming through correctly and check figures are zero)</t>
  </si>
  <si>
    <t>Check ROE quarterly view</t>
  </si>
  <si>
    <t>Check Cap Str 54.7% tab (items coming through correctly and check figures are zero)</t>
  </si>
  <si>
    <t>Check Int Synch tab (items coming through correctly)</t>
  </si>
  <si>
    <t>Check in Report tab that Cap Str ratio equals 100% and check figures are zero</t>
  </si>
  <si>
    <t>Check Market to Reg ROE tab</t>
  </si>
  <si>
    <t>Check in Report tab that all adjustments are coming over correctly and check figures are zero</t>
  </si>
  <si>
    <t>Check Reconcil tab working properly - check figures are zero and correct months pulling in</t>
  </si>
  <si>
    <t>Check Reconcil tab (items coming through correctly)</t>
  </si>
  <si>
    <t>Check Working Cap Comparison tab</t>
  </si>
  <si>
    <t>2020 Q3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</si>
</sst>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
    <numFmt numFmtId="165" formatCode="0.000%"/>
    <numFmt numFmtId="166" formatCode="dd\-mmm\-yy_)"/>
    <numFmt numFmtId="167" formatCode="_(* #,##0_);_(* \(#,##0\);_(* &quot;-&quot;??_);_(@_)"/>
    <numFmt numFmtId="168" formatCode="_(* #,##0.0_);_(* \(#,##0.0\);_(* &quot;-&quot;??_);_(@_)"/>
    <numFmt numFmtId="169" formatCode="mmmm\-yy"/>
    <numFmt numFmtId="170" formatCode="#,##0;\(#,##0\)"/>
    <numFmt numFmtId="171" formatCode="#,##0,;\(#,##0,\)"/>
    <numFmt numFmtId="172" formatCode="[$-409]mmm\-yy;@"/>
    <numFmt numFmtId="173" formatCode="&quot;$&quot;#,##0"/>
    <numFmt numFmtId="174" formatCode="mmm\-yyyy"/>
    <numFmt numFmtId="175" formatCode="0.0"/>
    <numFmt numFmtId="176" formatCode="0.000000"/>
    <numFmt numFmtId="177" formatCode="mmm\ yyyy"/>
    <numFmt numFmtId="178" formatCode="_(&quot;$&quot;* #,##0_);_(&quot;$&quot;* \(#,##0\);_(&quot;$&quot;* &quot;-&quot;??_);_(@_)"/>
    <numFmt numFmtId="179" formatCode="_(* #,##0.000000000_);_(* \(#,##0.000000000\);_(* &quot;-&quot;??_);_(@_)"/>
    <numFmt numFmtId="180" formatCode="0.0%"/>
    <numFmt numFmtId="181" formatCode="_(* #,##0.000_);_(* \(#,##0.000\);_(* &quot;-&quot;??_);_(@_)"/>
    <numFmt numFmtId="182" formatCode="#,##0.0_);\(#,##0.0\)"/>
    <numFmt numFmtId="183" formatCode="#,##0.0000_);\(#,##0.0000\)"/>
    <numFmt numFmtId="184" formatCode="#,###,##0.00;\(#,###,##0.00\)"/>
    <numFmt numFmtId="185" formatCode="_(* #,##0.00000_);_(* \(#,##0.00000\);_(* &quot;-&quot;??_);_(@_)"/>
    <numFmt numFmtId="186" formatCode="&quot;$ &quot;#,##0.00;&quot;$ -&quot;#,##0.00"/>
    <numFmt numFmtId="187" formatCode="mmmm\ yyyy"/>
    <numFmt numFmtId="189" formatCode="#,##0.0000000_);\(#,##0.0000000\)"/>
    <numFmt numFmtId="190" formatCode="#,##0.00000000_);\(#,##0.00000000\)"/>
    <numFmt numFmtId="191" formatCode="0.0000%"/>
    <numFmt numFmtId="197" formatCode="_(* #,##0.0000_);_(* \(#,##0.0000\);_(* &quot;-&quot;??_);_(@_)"/>
    <numFmt numFmtId="200" formatCode="[$-409]mmmm"/>
    <numFmt numFmtId="201" formatCode="0.0000"/>
  </numFmts>
  <fonts count="226">
    <font>
      <sz val="10"/>
      <name val="Arial"/>
    </font>
    <font>
      <sz val="10"/>
      <name val="Arial"/>
    </font>
    <font>
      <sz val="8"/>
      <name val="SWISS"/>
    </font>
    <font>
      <sz val="8"/>
      <color indexed="12"/>
      <name val="SWISS"/>
    </font>
    <font>
      <u/>
      <sz val="8"/>
      <name val="SWISS"/>
    </font>
    <font>
      <sz val="8"/>
      <color indexed="81"/>
      <name val="Tahoma"/>
      <family val="2"/>
    </font>
    <font>
      <sz val="10"/>
      <name val="SWISS"/>
    </font>
    <font>
      <b/>
      <sz val="10"/>
      <name val="SWISS"/>
    </font>
    <font>
      <b/>
      <sz val="10"/>
      <color indexed="12"/>
      <name val="SWISS"/>
    </font>
    <font>
      <u/>
      <sz val="10"/>
      <name val="SWISS"/>
    </font>
    <font>
      <b/>
      <sz val="12"/>
      <name val="SWISS"/>
    </font>
    <font>
      <sz val="12"/>
      <name val="SWISS"/>
    </font>
    <font>
      <sz val="9"/>
      <name val="SWISS"/>
    </font>
    <font>
      <sz val="7"/>
      <name val="SWISS"/>
    </font>
    <font>
      <u/>
      <sz val="10"/>
      <name val="Arial"/>
      <family val="2"/>
    </font>
    <font>
      <b/>
      <u/>
      <sz val="9"/>
      <name val="SWISS"/>
    </font>
    <font>
      <b/>
      <sz val="12"/>
      <name val="Arial MT"/>
    </font>
    <font>
      <sz val="12"/>
      <name val="Arial MT"/>
    </font>
    <font>
      <b/>
      <sz val="10"/>
      <name val="Arial"/>
      <family val="2"/>
    </font>
    <font>
      <sz val="12"/>
      <color indexed="12"/>
      <name val="Arial MT"/>
    </font>
    <font>
      <u/>
      <sz val="12"/>
      <name val="Arial MT"/>
    </font>
    <font>
      <sz val="10"/>
      <name val="Arial"/>
      <family val="2"/>
    </font>
    <font>
      <sz val="10"/>
      <color indexed="12"/>
      <name val="Arial"/>
      <family val="2"/>
    </font>
    <font>
      <sz val="10"/>
      <name val="Arial"/>
      <family val="2"/>
    </font>
    <font>
      <b/>
      <sz val="12"/>
      <color indexed="12"/>
      <name val="Arial"/>
      <family val="2"/>
    </font>
    <font>
      <b/>
      <sz val="10"/>
      <color indexed="10"/>
      <name val="Arial"/>
      <family val="2"/>
    </font>
    <font>
      <b/>
      <sz val="8"/>
      <color indexed="81"/>
      <name val="Tahoma"/>
      <family val="2"/>
    </font>
    <font>
      <b/>
      <i/>
      <sz val="10"/>
      <color indexed="10"/>
      <name val="Arial"/>
      <family val="2"/>
    </font>
    <font>
      <b/>
      <sz val="12"/>
      <name val="Arial"/>
      <family val="2"/>
    </font>
    <font>
      <b/>
      <i/>
      <sz val="10"/>
      <name val="Arial"/>
      <family val="2"/>
    </font>
    <font>
      <b/>
      <sz val="8"/>
      <color indexed="12"/>
      <name val="SWISS"/>
    </font>
    <font>
      <sz val="12"/>
      <color indexed="12"/>
      <name val="Arial"/>
      <family val="2"/>
    </font>
    <font>
      <b/>
      <sz val="12"/>
      <color indexed="10"/>
      <name val="Arial"/>
      <family val="2"/>
    </font>
    <font>
      <sz val="10"/>
      <color indexed="8"/>
      <name val="Arial"/>
      <family val="2"/>
    </font>
    <font>
      <sz val="10"/>
      <color indexed="10"/>
      <name val="Arial"/>
      <family val="2"/>
    </font>
    <font>
      <b/>
      <sz val="10"/>
      <color indexed="12"/>
      <name val="Arial"/>
      <family val="2"/>
    </font>
    <font>
      <u/>
      <sz val="10"/>
      <color indexed="10"/>
      <name val="Arial"/>
      <family val="2"/>
    </font>
    <font>
      <u/>
      <sz val="10"/>
      <color indexed="12"/>
      <name val="Arial"/>
      <family val="2"/>
    </font>
    <font>
      <sz val="10"/>
      <color indexed="8"/>
      <name val="Arial"/>
      <family val="2"/>
    </font>
    <font>
      <sz val="10"/>
      <color indexed="12"/>
      <name val="Arial"/>
      <family val="2"/>
    </font>
    <font>
      <i/>
      <sz val="10"/>
      <color indexed="10"/>
      <name val="Arial"/>
      <family val="2"/>
    </font>
    <font>
      <sz val="10"/>
      <color indexed="10"/>
      <name val="Arial"/>
      <family val="2"/>
    </font>
    <font>
      <u/>
      <sz val="10"/>
      <name val="Arial"/>
      <family val="2"/>
    </font>
    <font>
      <sz val="12"/>
      <name val="Arial"/>
      <family val="2"/>
    </font>
    <font>
      <sz val="8"/>
      <color indexed="10"/>
      <name val="Tahoma"/>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color indexed="8"/>
      <name val="Times New Roman"/>
      <family val="1"/>
    </font>
    <font>
      <b/>
      <sz val="12"/>
      <color indexed="8"/>
      <name val="Tahoma"/>
      <family val="2"/>
    </font>
    <font>
      <b/>
      <sz val="10"/>
      <color indexed="8"/>
      <name val="Times New Roman"/>
      <family val="1"/>
    </font>
    <font>
      <b/>
      <sz val="18"/>
      <color indexed="62"/>
      <name val="Cambria"/>
      <family val="2"/>
    </font>
    <font>
      <b/>
      <sz val="11"/>
      <color indexed="8"/>
      <name val="Calibri"/>
      <family val="2"/>
    </font>
    <font>
      <sz val="8"/>
      <name val="Arial"/>
      <family val="2"/>
    </font>
    <font>
      <b/>
      <sz val="14"/>
      <name val="Arial"/>
      <family val="2"/>
    </font>
    <font>
      <sz val="12"/>
      <name val="Arial"/>
      <family val="2"/>
    </font>
    <font>
      <sz val="11"/>
      <name val="Arial"/>
      <family val="2"/>
    </font>
    <font>
      <b/>
      <sz val="11"/>
      <name val="Arial"/>
      <family val="2"/>
    </font>
    <font>
      <b/>
      <sz val="12"/>
      <color indexed="8"/>
      <name val="Arial"/>
      <family val="2"/>
    </font>
    <font>
      <b/>
      <sz val="8"/>
      <color indexed="10"/>
      <name val="Arial"/>
      <family val="2"/>
    </font>
    <font>
      <b/>
      <sz val="12"/>
      <color indexed="81"/>
      <name val="Tahoma"/>
      <family val="2"/>
    </font>
    <font>
      <sz val="12"/>
      <color indexed="81"/>
      <name val="Tahoma"/>
      <family val="2"/>
    </font>
    <font>
      <b/>
      <u/>
      <sz val="12"/>
      <color indexed="81"/>
      <name val="Tahoma"/>
      <family val="2"/>
    </font>
    <font>
      <sz val="8"/>
      <color indexed="81"/>
      <name val="Tahoma"/>
      <family val="2"/>
    </font>
    <font>
      <sz val="10"/>
      <color indexed="81"/>
      <name val="Tahoma"/>
      <family val="2"/>
    </font>
    <font>
      <b/>
      <sz val="10"/>
      <color indexed="81"/>
      <name val="Tahoma"/>
      <family val="2"/>
    </font>
    <font>
      <sz val="9"/>
      <color indexed="81"/>
      <name val="Tahoma"/>
      <family val="2"/>
    </font>
    <font>
      <b/>
      <sz val="9"/>
      <color indexed="81"/>
      <name val="Tahoma"/>
      <family val="2"/>
    </font>
    <font>
      <sz val="9"/>
      <color indexed="81"/>
      <name val="Tahoma"/>
      <family val="2"/>
    </font>
    <font>
      <b/>
      <sz val="9"/>
      <color indexed="81"/>
      <name val="Tahoma"/>
      <family val="2"/>
    </font>
    <font>
      <sz val="10"/>
      <name val="Arial"/>
      <family val="2"/>
    </font>
    <font>
      <sz val="10"/>
      <name val="Arial"/>
      <family val="2"/>
    </font>
    <font>
      <sz val="9"/>
      <color indexed="81"/>
      <name val="Tahoma"/>
      <family val="2"/>
    </font>
    <font>
      <b/>
      <sz val="9"/>
      <color indexed="81"/>
      <name val="Tahoma"/>
      <family val="2"/>
    </font>
    <font>
      <sz val="9"/>
      <color indexed="81"/>
      <name val="Tahoma"/>
      <family val="2"/>
    </font>
    <font>
      <b/>
      <sz val="9"/>
      <color indexed="81"/>
      <name val="Tahoma"/>
      <family val="2"/>
    </font>
    <font>
      <b/>
      <sz val="8"/>
      <color indexed="10"/>
      <name val="Tahoma"/>
      <family val="2"/>
    </font>
    <font>
      <sz val="12"/>
      <name val="Times New Roman"/>
      <family val="1"/>
    </font>
    <font>
      <sz val="9"/>
      <color indexed="81"/>
      <name val="Tahoma"/>
      <family val="2"/>
    </font>
    <font>
      <b/>
      <sz val="9"/>
      <color indexed="81"/>
      <name val="Tahoma"/>
      <family val="2"/>
    </font>
    <font>
      <sz val="10"/>
      <name val="Arial"/>
      <family val="2"/>
    </font>
    <font>
      <b/>
      <sz val="9"/>
      <color indexed="10"/>
      <name val="Tahoma"/>
      <family val="2"/>
    </font>
    <font>
      <sz val="9"/>
      <color indexed="81"/>
      <name val="Tahoma"/>
      <family val="2"/>
    </font>
    <font>
      <b/>
      <sz val="9"/>
      <color indexed="81"/>
      <name val="Tahoma"/>
      <family val="2"/>
    </font>
    <font>
      <sz val="10"/>
      <color indexed="10"/>
      <name val="Arial"/>
      <family val="2"/>
    </font>
    <font>
      <sz val="10"/>
      <name val="Arial"/>
      <family val="2"/>
    </font>
    <font>
      <sz val="10"/>
      <color indexed="0"/>
      <name val="Times New Roman"/>
      <family val="1"/>
    </font>
    <font>
      <sz val="10"/>
      <name val="Arial Narrow"/>
      <family val="2"/>
    </font>
    <font>
      <sz val="10"/>
      <color indexed="10"/>
      <name val="Arial"/>
      <family val="2"/>
    </font>
    <font>
      <sz val="9"/>
      <color indexed="81"/>
      <name val="Tahoma"/>
      <family val="2"/>
    </font>
    <font>
      <b/>
      <sz val="9"/>
      <color indexed="81"/>
      <name val="Tahoma"/>
      <family val="2"/>
    </font>
    <font>
      <sz val="10"/>
      <name val="Arial"/>
      <family val="2"/>
    </font>
    <font>
      <sz val="10"/>
      <name val="Arial"/>
      <family val="2"/>
    </font>
    <font>
      <sz val="9"/>
      <color indexed="81"/>
      <name val="Tahoma"/>
      <family val="2"/>
    </font>
    <font>
      <b/>
      <sz val="9"/>
      <color indexed="81"/>
      <name val="Tahoma"/>
      <family val="2"/>
    </font>
    <font>
      <b/>
      <sz val="11"/>
      <name val="Calibri"/>
      <family val="2"/>
    </font>
    <font>
      <sz val="10"/>
      <name val="Arial"/>
      <family val="2"/>
    </font>
    <font>
      <sz val="10"/>
      <name val="Arial"/>
      <family val="2"/>
    </font>
    <font>
      <sz val="9"/>
      <color indexed="81"/>
      <name val="Tahoma"/>
      <family val="2"/>
    </font>
    <font>
      <b/>
      <sz val="9"/>
      <color indexed="81"/>
      <name val="Tahoma"/>
      <family val="2"/>
    </font>
    <font>
      <sz val="9"/>
      <color indexed="81"/>
      <name val="Tahoma"/>
      <family val="2"/>
    </font>
    <font>
      <b/>
      <sz val="9"/>
      <color indexed="81"/>
      <name val="Tahoma"/>
      <family val="2"/>
    </font>
    <font>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SWISS"/>
    </font>
    <font>
      <sz val="8"/>
      <name val="SWISS"/>
    </font>
    <font>
      <b/>
      <sz val="12"/>
      <name val="SWISS"/>
    </font>
    <font>
      <u/>
      <sz val="8"/>
      <name val="SWISS"/>
    </font>
    <font>
      <b/>
      <sz val="10"/>
      <name val="SWISS"/>
    </font>
    <font>
      <u/>
      <sz val="10"/>
      <name val="Arial"/>
      <family val="2"/>
    </font>
    <font>
      <sz val="8"/>
      <color indexed="12"/>
      <name val="SWISS"/>
    </font>
    <font>
      <b/>
      <sz val="8"/>
      <color indexed="12"/>
      <name val="SWISS"/>
    </font>
    <font>
      <sz val="8"/>
      <color indexed="61"/>
      <name val="SWISS"/>
    </font>
    <font>
      <b/>
      <sz val="8"/>
      <color indexed="10"/>
      <name val="SWISS"/>
    </font>
    <font>
      <b/>
      <sz val="10"/>
      <name val="Arial"/>
      <family val="2"/>
    </font>
    <font>
      <b/>
      <u/>
      <sz val="10"/>
      <name val="Arial"/>
      <family val="2"/>
    </font>
    <font>
      <sz val="12"/>
      <name val="Arial MT"/>
    </font>
    <font>
      <b/>
      <u/>
      <sz val="12"/>
      <name val="Arial MT"/>
    </font>
    <font>
      <sz val="12"/>
      <color indexed="10"/>
      <name val="Arial MT"/>
    </font>
    <font>
      <sz val="12"/>
      <name val="SWISS"/>
    </font>
    <font>
      <b/>
      <sz val="12"/>
      <color indexed="12"/>
      <name val="SWISS"/>
    </font>
    <font>
      <sz val="12"/>
      <name val="Arial MT"/>
    </font>
    <font>
      <sz val="10"/>
      <name val="Arial"/>
      <family val="2"/>
    </font>
    <font>
      <u/>
      <sz val="10"/>
      <name val="Arial"/>
      <family val="2"/>
    </font>
    <font>
      <b/>
      <sz val="11"/>
      <color indexed="10"/>
      <name val="Arial"/>
      <family val="2"/>
    </font>
    <font>
      <b/>
      <sz val="10"/>
      <name val="SWISS"/>
    </font>
    <font>
      <sz val="10"/>
      <name val="SWISS"/>
    </font>
    <font>
      <sz val="8"/>
      <name val="SWISS"/>
    </font>
    <font>
      <sz val="10"/>
      <name val="Arial"/>
      <family val="2"/>
    </font>
    <font>
      <i/>
      <sz val="10"/>
      <color indexed="10"/>
      <name val="Arial"/>
      <family val="2"/>
    </font>
    <font>
      <b/>
      <i/>
      <sz val="10"/>
      <color indexed="10"/>
      <name val="Arial"/>
      <family val="2"/>
    </font>
    <font>
      <u/>
      <sz val="10"/>
      <name val="SWISS"/>
    </font>
    <font>
      <b/>
      <sz val="9"/>
      <name val="SWISS"/>
    </font>
    <font>
      <u/>
      <sz val="8"/>
      <name val="SWISS"/>
    </font>
    <font>
      <sz val="8"/>
      <color indexed="12"/>
      <name val="SWISS"/>
    </font>
    <font>
      <sz val="8"/>
      <color indexed="16"/>
      <name val="SWISS"/>
    </font>
    <font>
      <b/>
      <sz val="12"/>
      <name val="SWISS"/>
    </font>
    <font>
      <sz val="12"/>
      <name val="SWISS"/>
    </font>
    <font>
      <sz val="9"/>
      <name val="SWISS"/>
    </font>
    <font>
      <b/>
      <u/>
      <sz val="9"/>
      <name val="SWISS"/>
    </font>
    <font>
      <b/>
      <sz val="9"/>
      <color indexed="12"/>
      <name val="SWISS"/>
    </font>
    <font>
      <sz val="9"/>
      <color indexed="12"/>
      <name val="SWISS"/>
    </font>
    <font>
      <sz val="10"/>
      <color indexed="12"/>
      <name val="SWISS"/>
    </font>
    <font>
      <sz val="7"/>
      <name val="SWISS"/>
    </font>
    <font>
      <sz val="10"/>
      <name val="Arial"/>
      <family val="2"/>
    </font>
    <font>
      <sz val="10"/>
      <name val="Arial"/>
      <family val="2"/>
    </font>
    <font>
      <sz val="8"/>
      <name val="Arial"/>
      <family val="2"/>
    </font>
    <font>
      <u/>
      <sz val="12"/>
      <name val="Arial"/>
      <family val="2"/>
    </font>
    <font>
      <sz val="8"/>
      <name val="Arial"/>
      <family val="2"/>
    </font>
    <font>
      <sz val="9"/>
      <color indexed="81"/>
      <name val="Tahoma"/>
      <family val="2"/>
    </font>
    <font>
      <b/>
      <sz val="9"/>
      <color indexed="81"/>
      <name val="Tahoma"/>
      <family val="2"/>
    </font>
    <font>
      <sz val="10"/>
      <name val="Arial"/>
      <family val="2"/>
    </font>
    <font>
      <sz val="10"/>
      <name val="Arial"/>
      <family val="2"/>
    </font>
    <font>
      <sz val="9"/>
      <color indexed="81"/>
      <name val="Tahoma"/>
      <family val="2"/>
    </font>
    <font>
      <b/>
      <sz val="9"/>
      <color indexed="81"/>
      <name val="Tahoma"/>
      <family val="2"/>
    </font>
    <font>
      <b/>
      <u/>
      <sz val="12"/>
      <name val="Arial"/>
      <family val="2"/>
    </font>
    <font>
      <b/>
      <u/>
      <sz val="11"/>
      <name val="Arial"/>
      <family val="2"/>
    </font>
    <font>
      <sz val="9"/>
      <color indexed="81"/>
      <name val="Tahoma"/>
      <family val="2"/>
    </font>
    <font>
      <b/>
      <sz val="9"/>
      <color indexed="81"/>
      <name val="Tahoma"/>
      <family val="2"/>
    </font>
    <font>
      <sz val="11"/>
      <color theme="1"/>
      <name val="Calibri"/>
      <family val="2"/>
      <scheme val="minor"/>
    </font>
    <font>
      <sz val="10"/>
      <color theme="1"/>
      <name val="Arial"/>
      <family val="2"/>
    </font>
    <font>
      <sz val="10"/>
      <color rgb="FFFF0000"/>
      <name val="Arial"/>
      <family val="2"/>
    </font>
    <font>
      <sz val="10"/>
      <color rgb="FF0000FF"/>
      <name val="Arial"/>
      <family val="2"/>
    </font>
    <font>
      <sz val="11"/>
      <color rgb="FFFF0000"/>
      <name val="Calibri"/>
      <family val="2"/>
      <scheme val="minor"/>
    </font>
    <font>
      <sz val="10"/>
      <color rgb="FF7030A0"/>
      <name val="Arial"/>
      <family val="2"/>
    </font>
    <font>
      <b/>
      <sz val="12"/>
      <color rgb="FF0000FF"/>
      <name val="Arial"/>
      <family val="2"/>
    </font>
    <font>
      <b/>
      <sz val="11"/>
      <name val="Calibri"/>
      <family val="2"/>
      <scheme val="minor"/>
    </font>
    <font>
      <b/>
      <sz val="12"/>
      <color rgb="FFFF0000"/>
      <name val="Arial"/>
      <family val="2"/>
    </font>
    <font>
      <sz val="11"/>
      <color rgb="FF0000FF"/>
      <name val="Calibri"/>
      <family val="2"/>
      <scheme val="minor"/>
    </font>
    <font>
      <sz val="12"/>
      <color rgb="FFFF0000"/>
      <name val="Arial"/>
      <family val="2"/>
    </font>
    <font>
      <b/>
      <sz val="10"/>
      <color rgb="FFFF0000"/>
      <name val="Arial"/>
      <family val="2"/>
    </font>
    <font>
      <b/>
      <sz val="11"/>
      <color theme="1"/>
      <name val="Calibri"/>
      <family val="2"/>
      <scheme val="minor"/>
    </font>
    <font>
      <b/>
      <sz val="11"/>
      <color rgb="FFFF0000"/>
      <name val="Arial"/>
      <family val="2"/>
    </font>
    <font>
      <sz val="8"/>
      <color rgb="FF7030A0"/>
      <name val="SWISS"/>
    </font>
    <font>
      <sz val="12"/>
      <color rgb="FF0000FF"/>
      <name val="Arial MT"/>
    </font>
    <font>
      <b/>
      <u/>
      <sz val="12"/>
      <color rgb="FFFF0000"/>
      <name val="Arial MT"/>
    </font>
    <font>
      <u/>
      <sz val="12"/>
      <color rgb="FFFF0000"/>
      <name val="Arial MT"/>
    </font>
    <font>
      <b/>
      <u/>
      <sz val="10"/>
      <color rgb="FF0000FF"/>
      <name val="Arial"/>
      <family val="2"/>
    </font>
    <font>
      <b/>
      <sz val="10"/>
      <color rgb="FF0000FF"/>
      <name val="Arial"/>
      <family val="2"/>
    </font>
    <font>
      <sz val="12"/>
      <color rgb="FFFF0000"/>
      <name val="Arial MT"/>
    </font>
    <font>
      <b/>
      <sz val="11"/>
      <color rgb="FF0000FF"/>
      <name val="Arial"/>
      <family val="2"/>
    </font>
    <font>
      <sz val="8"/>
      <color rgb="FF0000FF"/>
      <name val="SWISS"/>
    </font>
    <font>
      <sz val="9"/>
      <color rgb="FF0000FF"/>
      <name val="SWISS"/>
    </font>
    <font>
      <sz val="9"/>
      <color rgb="FFFF0000"/>
      <name val="SWISS"/>
    </font>
    <font>
      <sz val="8"/>
      <color rgb="FFFF0000"/>
      <name val="SWISS"/>
    </font>
    <font>
      <b/>
      <sz val="12"/>
      <color theme="1"/>
      <name val="Calibri"/>
      <family val="2"/>
      <scheme val="minor"/>
    </font>
    <font>
      <sz val="12"/>
      <color theme="1"/>
      <name val="Calibri"/>
      <family val="2"/>
      <scheme val="minor"/>
    </font>
    <font>
      <b/>
      <sz val="14"/>
      <color rgb="FFFF0000"/>
      <name val="Calibri"/>
      <family val="2"/>
      <scheme val="minor"/>
    </font>
    <font>
      <b/>
      <sz val="11"/>
      <color rgb="FFFF0000"/>
      <name val="Calibri"/>
      <family val="2"/>
      <scheme val="minor"/>
    </font>
    <font>
      <b/>
      <sz val="10"/>
      <color indexed="10"/>
      <name val="Calibri"/>
      <family val="2"/>
      <scheme val="minor"/>
    </font>
    <font>
      <b/>
      <sz val="10"/>
      <color rgb="FFFF0000"/>
      <name val="Calibri"/>
      <family val="2"/>
      <scheme val="minor"/>
    </font>
    <font>
      <b/>
      <sz val="10"/>
      <color indexed="8"/>
      <name val="Calibri"/>
      <family val="2"/>
      <scheme val="minor"/>
    </font>
    <font>
      <sz val="12"/>
      <color rgb="FF0000FF"/>
      <name val="Arial"/>
      <family val="2"/>
    </font>
    <font>
      <sz val="12"/>
      <color theme="7" tint="-0.249977111117893"/>
      <name val="Arial"/>
      <family val="2"/>
    </font>
    <font>
      <sz val="9"/>
      <color rgb="FF00B050"/>
      <name val="SWISS"/>
    </font>
    <font>
      <b/>
      <sz val="10"/>
      <color rgb="FF00B050"/>
      <name val="Arial"/>
      <family val="2"/>
    </font>
    <font>
      <sz val="10"/>
      <color theme="0"/>
      <name val="Arial"/>
      <family val="2"/>
    </font>
    <font>
      <sz val="10"/>
      <color rgb="FF00B050"/>
      <name val="Arial"/>
      <family val="2"/>
    </font>
    <font>
      <b/>
      <sz val="10"/>
      <color theme="0"/>
      <name val="Arial"/>
      <family val="2"/>
    </font>
    <font>
      <b/>
      <sz val="11"/>
      <color theme="0"/>
      <name val="Calibri"/>
      <family val="2"/>
    </font>
    <font>
      <sz val="8"/>
      <color rgb="FF00B050"/>
      <name val="SWISS"/>
    </font>
    <font>
      <b/>
      <sz val="12"/>
      <color theme="0"/>
      <name val="Arial"/>
      <family val="2"/>
    </font>
    <font>
      <b/>
      <u/>
      <sz val="10"/>
      <color theme="3"/>
      <name val="Arial"/>
      <family val="2"/>
    </font>
    <font>
      <b/>
      <u/>
      <sz val="11"/>
      <color rgb="FFFF0000"/>
      <name val="Arial"/>
      <family val="2"/>
    </font>
    <font>
      <sz val="10"/>
      <color theme="1"/>
      <name val="SWISS"/>
    </font>
    <font>
      <sz val="12"/>
      <color rgb="FF00206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FF33"/>
        <bgColor indexed="64"/>
      </patternFill>
    </fill>
    <fill>
      <patternFill patternType="solid">
        <fgColor rgb="FFFFFF99"/>
        <bgColor indexed="64"/>
      </patternFill>
    </fill>
    <fill>
      <patternFill patternType="solid">
        <fgColor rgb="FF99FF99"/>
        <bgColor indexed="64"/>
      </patternFill>
    </fill>
    <fill>
      <patternFill patternType="solid">
        <fgColor rgb="FFFFC0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FFCC"/>
        <bgColor indexed="64"/>
      </patternFill>
    </fill>
    <fill>
      <patternFill patternType="solid">
        <fgColor rgb="FFECECEC"/>
      </patternFill>
    </fill>
    <fill>
      <patternFill patternType="solid">
        <fgColor theme="4" tint="0.79998168889431442"/>
        <bgColor theme="4" tint="0.79998168889431442"/>
      </patternFill>
    </fill>
    <fill>
      <patternFill patternType="solid">
        <fgColor rgb="FF00FF00"/>
        <bgColor indexed="64"/>
      </patternFill>
    </fill>
    <fill>
      <patternFill patternType="solid">
        <fgColor rgb="FFCCFFFF"/>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66FFFF"/>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rgb="FF0070C0"/>
        <bgColor indexed="64"/>
      </patternFill>
    </fill>
    <fill>
      <patternFill patternType="solid">
        <fgColor rgb="FF00FFFF"/>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right/>
      <top/>
      <bottom style="thin">
        <color indexed="64"/>
      </bottom>
      <diagonal/>
    </border>
    <border>
      <left/>
      <right/>
      <top/>
      <bottom style="double">
        <color indexed="64"/>
      </bottom>
      <diagonal/>
    </border>
    <border>
      <left style="thin">
        <color indexed="8"/>
      </left>
      <right/>
      <top/>
      <bottom/>
      <diagonal/>
    </border>
    <border>
      <left/>
      <right style="medium">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rgb="FFECECEC"/>
      </left>
      <right style="medium">
        <color rgb="FFECECEC"/>
      </right>
      <top/>
      <bottom/>
      <diagonal/>
    </border>
    <border>
      <left style="medium">
        <color rgb="FFECECEC"/>
      </left>
      <right/>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top style="thin">
        <color theme="4" tint="0.39997558519241921"/>
      </top>
      <bottom/>
      <diagonal/>
    </border>
    <border>
      <left/>
      <right/>
      <top style="medium">
        <color rgb="FFECECEC"/>
      </top>
      <bottom/>
      <diagonal/>
    </border>
  </borders>
  <cellStyleXfs count="245">
    <xf numFmtId="0" fontId="0" fillId="0" borderId="0"/>
    <xf numFmtId="176" fontId="21" fillId="0" borderId="0">
      <alignment horizontal="left" wrapText="1"/>
    </xf>
    <xf numFmtId="176" fontId="21" fillId="0" borderId="0">
      <alignment horizontal="left" wrapText="1"/>
    </xf>
    <xf numFmtId="176" fontId="21" fillId="0" borderId="0">
      <alignment horizontal="left" wrapText="1"/>
    </xf>
    <xf numFmtId="175" fontId="1" fillId="0" borderId="0">
      <alignment horizontal="left" wrapText="1"/>
    </xf>
    <xf numFmtId="175" fontId="97" fillId="0" borderId="0">
      <alignment horizontal="left" wrapText="1"/>
    </xf>
    <xf numFmtId="175" fontId="21" fillId="0" borderId="0">
      <alignment horizontal="left" wrapText="1"/>
    </xf>
    <xf numFmtId="175" fontId="21" fillId="0" borderId="0">
      <alignment horizontal="left" wrapText="1"/>
    </xf>
    <xf numFmtId="175" fontId="21" fillId="0" borderId="0">
      <alignment horizontal="left" wrapText="1"/>
    </xf>
    <xf numFmtId="175" fontId="103" fillId="0" borderId="0">
      <alignment horizontal="left" wrapText="1"/>
    </xf>
    <xf numFmtId="175" fontId="103" fillId="0" borderId="0">
      <alignment horizontal="left" wrapText="1"/>
    </xf>
    <xf numFmtId="176" fontId="21" fillId="0" borderId="0">
      <alignment horizontal="left" wrapText="1"/>
    </xf>
    <xf numFmtId="175" fontId="21" fillId="0" borderId="0">
      <alignment horizontal="left" wrapText="1"/>
    </xf>
    <xf numFmtId="175" fontId="1" fillId="0" borderId="0">
      <alignment horizontal="left" wrapText="1"/>
    </xf>
    <xf numFmtId="175" fontId="97" fillId="0" borderId="0">
      <alignment horizontal="left" wrapText="1"/>
    </xf>
    <xf numFmtId="175" fontId="21" fillId="0" borderId="0">
      <alignment horizontal="left" wrapText="1"/>
    </xf>
    <xf numFmtId="175" fontId="21" fillId="0" borderId="0">
      <alignment horizontal="left" wrapText="1"/>
    </xf>
    <xf numFmtId="175" fontId="21" fillId="0" borderId="0">
      <alignment horizontal="left" wrapText="1"/>
    </xf>
    <xf numFmtId="175" fontId="103" fillId="0" borderId="0">
      <alignment horizontal="left" wrapText="1"/>
    </xf>
    <xf numFmtId="175" fontId="103" fillId="0" borderId="0">
      <alignment horizontal="left" wrapText="1"/>
    </xf>
    <xf numFmtId="175" fontId="1" fillId="0" borderId="0">
      <alignment horizontal="left" wrapText="1"/>
    </xf>
    <xf numFmtId="175" fontId="97" fillId="0" borderId="0">
      <alignment horizontal="left" wrapText="1"/>
    </xf>
    <xf numFmtId="175" fontId="21" fillId="0" borderId="0">
      <alignment horizontal="left" wrapText="1"/>
    </xf>
    <xf numFmtId="175" fontId="21" fillId="0" borderId="0">
      <alignment horizontal="left" wrapText="1"/>
    </xf>
    <xf numFmtId="175" fontId="21" fillId="0" borderId="0">
      <alignment horizontal="left" wrapText="1"/>
    </xf>
    <xf numFmtId="175" fontId="103" fillId="0" borderId="0">
      <alignment horizontal="left" wrapText="1"/>
    </xf>
    <xf numFmtId="175" fontId="103" fillId="0" borderId="0">
      <alignment horizontal="left" wrapText="1"/>
    </xf>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4"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6" borderId="0" applyNumberFormat="0" applyBorder="0" applyAlignment="0" applyProtection="0"/>
    <xf numFmtId="0" fontId="46" fillId="4"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8" borderId="0" applyNumberFormat="0" applyBorder="0" applyAlignment="0" applyProtection="0"/>
    <xf numFmtId="0" fontId="47" fillId="6" borderId="0" applyNumberFormat="0" applyBorder="0" applyAlignment="0" applyProtection="0"/>
    <xf numFmtId="0" fontId="47" fillId="3" borderId="0" applyNumberFormat="0" applyBorder="0" applyAlignment="0" applyProtection="0"/>
    <xf numFmtId="0" fontId="47" fillId="11"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15" borderId="0" applyNumberFormat="0" applyBorder="0" applyAlignment="0" applyProtection="0"/>
    <xf numFmtId="0" fontId="49" fillId="16" borderId="1" applyNumberFormat="0" applyAlignment="0" applyProtection="0"/>
    <xf numFmtId="0" fontId="50" fillId="17" borderId="2" applyNumberFormat="0" applyAlignment="0" applyProtection="0"/>
    <xf numFmtId="43" fontId="1" fillId="0" borderId="0" applyFont="0" applyFill="0" applyBorder="0" applyAlignment="0" applyProtection="0"/>
    <xf numFmtId="43" fontId="10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9" fillId="0" borderId="0" applyFont="0" applyFill="0" applyBorder="0" applyAlignment="0" applyProtection="0"/>
    <xf numFmtId="43" fontId="9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9" fillId="0" borderId="0" applyFont="0" applyFill="0" applyBorder="0" applyAlignment="0" applyProtection="0"/>
    <xf numFmtId="43" fontId="89" fillId="0" borderId="0" applyFont="0" applyFill="0" applyBorder="0" applyAlignment="0" applyProtection="0"/>
    <xf numFmtId="43" fontId="179" fillId="0" borderId="0" applyFont="0" applyFill="0" applyBorder="0" applyAlignment="0" applyProtection="0"/>
    <xf numFmtId="43" fontId="46" fillId="0" borderId="0" applyFont="0" applyFill="0" applyBorder="0" applyAlignment="0" applyProtection="0"/>
    <xf numFmtId="43" fontId="97" fillId="0" borderId="0" applyFont="0" applyFill="0" applyBorder="0" applyAlignment="0" applyProtection="0"/>
    <xf numFmtId="43" fontId="17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03" fillId="0" borderId="0" applyFont="0" applyFill="0" applyBorder="0" applyAlignment="0" applyProtection="0"/>
    <xf numFmtId="3"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7" fillId="0" borderId="0" applyFont="0" applyFill="0" applyBorder="0" applyAlignment="0" applyProtection="0"/>
    <xf numFmtId="44" fontId="21"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89" fillId="0" borderId="0" applyFont="0" applyFill="0" applyBorder="0" applyAlignment="0" applyProtection="0"/>
    <xf numFmtId="44" fontId="179" fillId="0" borderId="0" applyFont="0" applyFill="0" applyBorder="0" applyAlignment="0" applyProtection="0"/>
    <xf numFmtId="44" fontId="21" fillId="0" borderId="0" applyFont="0" applyFill="0" applyBorder="0" applyAlignment="0" applyProtection="0"/>
    <xf numFmtId="44" fontId="97" fillId="0" borderId="0" applyFont="0" applyFill="0" applyBorder="0" applyAlignment="0" applyProtection="0"/>
    <xf numFmtId="44" fontId="21"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2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71" fillId="0" borderId="0" applyFont="0" applyFill="0" applyBorder="0" applyAlignment="0" applyProtection="0"/>
    <xf numFmtId="5" fontId="21" fillId="0" borderId="0" applyFont="0" applyFill="0" applyBorder="0" applyAlignment="0" applyProtection="0"/>
    <xf numFmtId="0" fontId="1" fillId="0" borderId="0" applyFont="0" applyFill="0" applyBorder="0" applyAlignment="0" applyProtection="0"/>
    <xf numFmtId="0" fontId="97" fillId="0" borderId="0" applyFont="0" applyFill="0" applyBorder="0" applyAlignment="0" applyProtection="0"/>
    <xf numFmtId="0" fontId="21" fillId="0" borderId="0" applyFont="0" applyFill="0" applyBorder="0" applyAlignment="0" applyProtection="0"/>
    <xf numFmtId="14" fontId="21" fillId="0" borderId="0" applyFont="0" applyFill="0" applyBorder="0" applyAlignment="0" applyProtection="0"/>
    <xf numFmtId="14"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103" fillId="0" borderId="0" applyFont="0" applyFill="0" applyBorder="0" applyAlignment="0" applyProtection="0"/>
    <xf numFmtId="0" fontId="103" fillId="0" borderId="0" applyFont="0" applyFill="0" applyBorder="0" applyAlignment="0" applyProtection="0"/>
    <xf numFmtId="0" fontId="51" fillId="0" borderId="0" applyNumberFormat="0" applyFill="0" applyBorder="0" applyAlignment="0" applyProtection="0"/>
    <xf numFmtId="2" fontId="21" fillId="0" borderId="0" applyFont="0" applyFill="0" applyBorder="0" applyAlignment="0" applyProtection="0"/>
    <xf numFmtId="184" fontId="98" fillId="0" borderId="0"/>
    <xf numFmtId="0" fontId="52" fillId="6" borderId="0" applyNumberFormat="0" applyBorder="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37" fillId="0" borderId="0" applyNumberFormat="0" applyFill="0" applyBorder="0" applyAlignment="0" applyProtection="0">
      <alignment vertical="top"/>
      <protection locked="0"/>
    </xf>
    <xf numFmtId="0" fontId="56" fillId="7" borderId="1" applyNumberFormat="0" applyAlignment="0" applyProtection="0"/>
    <xf numFmtId="0" fontId="57" fillId="0" borderId="6" applyNumberFormat="0" applyFill="0" applyAlignment="0" applyProtection="0"/>
    <xf numFmtId="0" fontId="58" fillId="7" borderId="0" applyNumberFormat="0" applyBorder="0" applyAlignment="0" applyProtection="0"/>
    <xf numFmtId="0" fontId="179" fillId="0" borderId="0"/>
    <xf numFmtId="0" fontId="179" fillId="0" borderId="0"/>
    <xf numFmtId="0" fontId="179" fillId="0" borderId="0"/>
    <xf numFmtId="0" fontId="21" fillId="0" borderId="0"/>
    <xf numFmtId="0" fontId="179" fillId="0" borderId="0"/>
    <xf numFmtId="0" fontId="43" fillId="0" borderId="0"/>
    <xf numFmtId="0" fontId="43" fillId="0" borderId="0"/>
    <xf numFmtId="0" fontId="179" fillId="0" borderId="0"/>
    <xf numFmtId="0" fontId="179" fillId="0" borderId="0"/>
    <xf numFmtId="0" fontId="43" fillId="0" borderId="0"/>
    <xf numFmtId="0" fontId="179" fillId="0" borderId="0"/>
    <xf numFmtId="0" fontId="43" fillId="0" borderId="0"/>
    <xf numFmtId="0" fontId="179" fillId="0" borderId="0"/>
    <xf numFmtId="0" fontId="43" fillId="0" borderId="0"/>
    <xf numFmtId="0" fontId="179" fillId="0" borderId="0"/>
    <xf numFmtId="0" fontId="179" fillId="0" borderId="0"/>
    <xf numFmtId="0" fontId="4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89" fillId="0" borderId="0"/>
    <xf numFmtId="0" fontId="21" fillId="0" borderId="0"/>
    <xf numFmtId="0" fontId="21" fillId="0" borderId="0"/>
    <xf numFmtId="0" fontId="179" fillId="0" borderId="0"/>
    <xf numFmtId="0" fontId="179" fillId="0" borderId="0"/>
    <xf numFmtId="0" fontId="179" fillId="0" borderId="0"/>
    <xf numFmtId="0" fontId="21" fillId="0" borderId="0"/>
    <xf numFmtId="0" fontId="179" fillId="0" borderId="0"/>
    <xf numFmtId="0" fontId="179" fillId="0" borderId="0"/>
    <xf numFmtId="0" fontId="179" fillId="0" borderId="0"/>
    <xf numFmtId="0" fontId="179" fillId="0" borderId="0"/>
    <xf numFmtId="0" fontId="179" fillId="0" borderId="0"/>
    <xf numFmtId="0" fontId="21" fillId="0" borderId="0"/>
    <xf numFmtId="0" fontId="179" fillId="0" borderId="0"/>
    <xf numFmtId="0" fontId="21" fillId="0" borderId="0"/>
    <xf numFmtId="0" fontId="179" fillId="0" borderId="0"/>
    <xf numFmtId="0" fontId="89" fillId="0" borderId="0"/>
    <xf numFmtId="0" fontId="21" fillId="0" borderId="0"/>
    <xf numFmtId="0" fontId="43" fillId="0" borderId="0"/>
    <xf numFmtId="0" fontId="43" fillId="16" borderId="0"/>
    <xf numFmtId="0" fontId="179" fillId="0" borderId="0"/>
    <xf numFmtId="0" fontId="179" fillId="0" borderId="0"/>
    <xf numFmtId="0" fontId="179" fillId="0" borderId="0"/>
    <xf numFmtId="0" fontId="43" fillId="0" borderId="0"/>
    <xf numFmtId="0" fontId="99" fillId="0" borderId="0"/>
    <xf numFmtId="0" fontId="21" fillId="0" borderId="0"/>
    <xf numFmtId="0" fontId="180" fillId="0" borderId="0"/>
    <xf numFmtId="0" fontId="21" fillId="0" borderId="0"/>
    <xf numFmtId="0" fontId="179" fillId="0" borderId="0"/>
    <xf numFmtId="0" fontId="21" fillId="0" borderId="0"/>
    <xf numFmtId="0" fontId="179" fillId="0" borderId="0"/>
    <xf numFmtId="0" fontId="43" fillId="0" borderId="0"/>
    <xf numFmtId="0" fontId="17" fillId="16" borderId="0"/>
    <xf numFmtId="0" fontId="43" fillId="0" borderId="0"/>
    <xf numFmtId="0" fontId="43" fillId="0" borderId="0"/>
    <xf numFmtId="0" fontId="179" fillId="0" borderId="0"/>
    <xf numFmtId="0" fontId="33" fillId="0" borderId="0">
      <alignment vertical="top"/>
    </xf>
    <xf numFmtId="0" fontId="43" fillId="0" borderId="0"/>
    <xf numFmtId="0" fontId="179" fillId="0" borderId="0"/>
    <xf numFmtId="0" fontId="21" fillId="0" borderId="0"/>
    <xf numFmtId="0" fontId="43" fillId="0" borderId="0"/>
    <xf numFmtId="0" fontId="43" fillId="0" borderId="0"/>
    <xf numFmtId="0" fontId="21" fillId="0" borderId="0"/>
    <xf numFmtId="0" fontId="179" fillId="0" borderId="0"/>
    <xf numFmtId="0" fontId="21" fillId="0" borderId="0"/>
    <xf numFmtId="0" fontId="21" fillId="0" borderId="0"/>
    <xf numFmtId="0" fontId="179" fillId="0" borderId="0"/>
    <xf numFmtId="0" fontId="179" fillId="0" borderId="0"/>
    <xf numFmtId="0" fontId="179" fillId="0" borderId="0"/>
    <xf numFmtId="0" fontId="179" fillId="0" borderId="0"/>
    <xf numFmtId="0" fontId="43" fillId="0" borderId="0"/>
    <xf numFmtId="0" fontId="43" fillId="0" borderId="0"/>
    <xf numFmtId="0" fontId="179" fillId="0" borderId="0"/>
    <xf numFmtId="0" fontId="179" fillId="0" borderId="0"/>
    <xf numFmtId="0" fontId="43" fillId="0" borderId="0"/>
    <xf numFmtId="0" fontId="179" fillId="0" borderId="0"/>
    <xf numFmtId="0" fontId="43" fillId="0" borderId="0"/>
    <xf numFmtId="0" fontId="179" fillId="0" borderId="0"/>
    <xf numFmtId="0" fontId="21" fillId="4" borderId="7" applyNumberFormat="0" applyFont="0" applyAlignment="0" applyProtection="0"/>
    <xf numFmtId="0" fontId="59" fillId="16"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9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97" fillId="0" borderId="0" applyFont="0" applyFill="0" applyBorder="0" applyAlignment="0" applyProtection="0"/>
    <xf numFmtId="9" fontId="2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71" fillId="0" borderId="0" applyFont="0" applyFill="0" applyBorder="0" applyAlignment="0" applyProtection="0"/>
    <xf numFmtId="176" fontId="1" fillId="0" borderId="0">
      <alignment horizontal="left" wrapText="1"/>
    </xf>
    <xf numFmtId="176" fontId="97" fillId="0" borderId="0">
      <alignment horizontal="left" wrapText="1"/>
    </xf>
    <xf numFmtId="176" fontId="21" fillId="0" borderId="0">
      <alignment horizontal="left" wrapText="1"/>
    </xf>
    <xf numFmtId="176" fontId="21" fillId="0" borderId="0">
      <alignment horizontal="left" wrapText="1"/>
    </xf>
    <xf numFmtId="176" fontId="21" fillId="0" borderId="0">
      <alignment horizontal="left" wrapText="1"/>
    </xf>
    <xf numFmtId="176" fontId="21" fillId="0" borderId="0">
      <alignment horizontal="left" wrapText="1"/>
    </xf>
    <xf numFmtId="176" fontId="103" fillId="0" borderId="0">
      <alignment horizontal="left" wrapText="1"/>
    </xf>
    <xf numFmtId="176" fontId="103" fillId="0" borderId="0">
      <alignment horizontal="left" wrapText="1"/>
    </xf>
    <xf numFmtId="175" fontId="21" fillId="0" borderId="0">
      <alignment horizontal="left" wrapText="1"/>
    </xf>
    <xf numFmtId="0" fontId="60" fillId="0" borderId="0" applyNumberFormat="0" applyBorder="0" applyAlignment="0"/>
    <xf numFmtId="0" fontId="61" fillId="0" borderId="0" applyNumberFormat="0" applyBorder="0" applyAlignment="0"/>
    <xf numFmtId="0" fontId="62" fillId="0" borderId="0" applyNumberFormat="0" applyBorder="0" applyAlignment="0"/>
    <xf numFmtId="0" fontId="62" fillId="0" borderId="0" applyNumberFormat="0" applyBorder="0" applyAlignment="0"/>
    <xf numFmtId="0" fontId="63" fillId="0" borderId="0" applyNumberFormat="0" applyFill="0" applyBorder="0" applyAlignment="0" applyProtection="0"/>
    <xf numFmtId="0" fontId="64" fillId="0" borderId="9" applyNumberFormat="0" applyFill="0" applyAlignment="0" applyProtection="0"/>
    <xf numFmtId="0" fontId="57" fillId="0" borderId="0" applyNumberFormat="0" applyFill="0" applyBorder="0" applyAlignment="0" applyProtection="0"/>
  </cellStyleXfs>
  <cellXfs count="1373">
    <xf numFmtId="0" fontId="0" fillId="0" borderId="0" xfId="0"/>
    <xf numFmtId="0" fontId="2" fillId="0" borderId="0" xfId="0" applyFont="1" applyProtection="1"/>
    <xf numFmtId="37" fontId="2" fillId="0" borderId="0" xfId="0" applyNumberFormat="1" applyFont="1" applyProtection="1"/>
    <xf numFmtId="37" fontId="0" fillId="0" borderId="0" xfId="0" applyNumberFormat="1"/>
    <xf numFmtId="0" fontId="14" fillId="0" borderId="0" xfId="0" applyFont="1"/>
    <xf numFmtId="0" fontId="0" fillId="0" borderId="0" xfId="0" applyAlignment="1">
      <alignment horizontal="centerContinuous"/>
    </xf>
    <xf numFmtId="0" fontId="17" fillId="0" borderId="0" xfId="0" applyFont="1" applyAlignment="1" applyProtection="1">
      <alignment horizontal="centerContinuous"/>
    </xf>
    <xf numFmtId="166" fontId="17" fillId="0" borderId="0" xfId="0" applyNumberFormat="1" applyFont="1" applyProtection="1"/>
    <xf numFmtId="0" fontId="17" fillId="0" borderId="0" xfId="0" applyFont="1" applyProtection="1"/>
    <xf numFmtId="0" fontId="17" fillId="0" borderId="0" xfId="0" applyFont="1" applyAlignment="1" applyProtection="1">
      <alignment horizontal="center"/>
    </xf>
    <xf numFmtId="37" fontId="17" fillId="0" borderId="0" xfId="0" applyNumberFormat="1" applyFont="1" applyProtection="1"/>
    <xf numFmtId="39" fontId="17" fillId="0" borderId="0" xfId="0" applyNumberFormat="1" applyFont="1" applyProtection="1"/>
    <xf numFmtId="0" fontId="16" fillId="0" borderId="0" xfId="0" applyFont="1" applyProtection="1"/>
    <xf numFmtId="0" fontId="20" fillId="0" borderId="0" xfId="0" applyFont="1" applyAlignment="1" applyProtection="1">
      <alignment horizontal="center"/>
    </xf>
    <xf numFmtId="39" fontId="19" fillId="0" borderId="0" xfId="0" applyNumberFormat="1" applyFont="1" applyProtection="1">
      <protection locked="0"/>
    </xf>
    <xf numFmtId="37" fontId="19" fillId="0" borderId="0" xfId="0" applyNumberFormat="1" applyFont="1" applyProtection="1">
      <protection locked="0"/>
    </xf>
    <xf numFmtId="0" fontId="17" fillId="0" borderId="0" xfId="0" applyFont="1" applyAlignment="1" applyProtection="1">
      <alignment horizontal="right"/>
    </xf>
    <xf numFmtId="0" fontId="21" fillId="0" borderId="0" xfId="0" applyFont="1"/>
    <xf numFmtId="37" fontId="21" fillId="0" borderId="10" xfId="0" applyNumberFormat="1" applyFont="1" applyBorder="1" applyAlignment="1" applyProtection="1">
      <alignment horizontal="right"/>
    </xf>
    <xf numFmtId="0" fontId="25" fillId="0" borderId="0" xfId="0" applyFont="1"/>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center"/>
    </xf>
    <xf numFmtId="0" fontId="29" fillId="0" borderId="0" xfId="0" applyFont="1"/>
    <xf numFmtId="0" fontId="28" fillId="0" borderId="0" xfId="0" applyFont="1" applyAlignment="1">
      <alignment horizontal="left"/>
    </xf>
    <xf numFmtId="0" fontId="11" fillId="0" borderId="0" xfId="0" applyFont="1" applyProtection="1"/>
    <xf numFmtId="0" fontId="32" fillId="0" borderId="0" xfId="0" applyFont="1" applyAlignment="1">
      <alignment horizontal="left"/>
    </xf>
    <xf numFmtId="0" fontId="22" fillId="0" borderId="0" xfId="0" quotePrefix="1" applyFont="1"/>
    <xf numFmtId="0" fontId="34" fillId="0" borderId="0" xfId="0" applyFont="1"/>
    <xf numFmtId="0" fontId="33" fillId="0" borderId="0" xfId="0" quotePrefix="1" applyFont="1"/>
    <xf numFmtId="0" fontId="34" fillId="0" borderId="0" xfId="0" quotePrefix="1" applyFont="1"/>
    <xf numFmtId="0" fontId="18" fillId="0" borderId="0" xfId="0" applyFont="1"/>
    <xf numFmtId="0" fontId="28" fillId="0" borderId="0" xfId="0" applyFont="1" applyAlignment="1">
      <alignment horizontal="centerContinuous"/>
    </xf>
    <xf numFmtId="0" fontId="24" fillId="0" borderId="0" xfId="0" applyFont="1" applyAlignment="1">
      <alignment horizontal="centerContinuous"/>
    </xf>
    <xf numFmtId="0" fontId="36" fillId="0" borderId="0" xfId="0" applyFont="1"/>
    <xf numFmtId="167" fontId="0" fillId="0" borderId="0" xfId="54" applyNumberFormat="1" applyFont="1"/>
    <xf numFmtId="169" fontId="0" fillId="0" borderId="0" xfId="0" applyNumberFormat="1"/>
    <xf numFmtId="37" fontId="19" fillId="0" borderId="0" xfId="0" applyNumberFormat="1" applyFont="1" applyFill="1" applyProtection="1">
      <protection locked="0"/>
    </xf>
    <xf numFmtId="49" fontId="17" fillId="0" borderId="0" xfId="0" applyNumberFormat="1" applyFont="1" applyBorder="1" applyAlignment="1" applyProtection="1">
      <alignment horizontal="center"/>
    </xf>
    <xf numFmtId="49" fontId="17" fillId="0" borderId="0" xfId="0" applyNumberFormat="1" applyFont="1" applyBorder="1" applyAlignment="1" applyProtection="1">
      <alignment horizontal="left"/>
    </xf>
    <xf numFmtId="37" fontId="33" fillId="0" borderId="0" xfId="54" applyNumberFormat="1" applyFont="1" applyFill="1"/>
    <xf numFmtId="37" fontId="22" fillId="0" borderId="0" xfId="54" applyNumberFormat="1" applyFont="1" applyFill="1"/>
    <xf numFmtId="0" fontId="40" fillId="0" borderId="0" xfId="0" applyFont="1"/>
    <xf numFmtId="0" fontId="1" fillId="0" borderId="0" xfId="0" applyFont="1" applyFill="1"/>
    <xf numFmtId="0" fontId="18" fillId="0" borderId="0" xfId="0" applyFont="1" applyFill="1" applyAlignment="1">
      <alignment horizontal="center"/>
    </xf>
    <xf numFmtId="0" fontId="38" fillId="0" borderId="0" xfId="0" quotePrefix="1" applyFont="1"/>
    <xf numFmtId="0" fontId="41" fillId="0" borderId="0" xfId="0" applyFont="1"/>
    <xf numFmtId="37" fontId="2" fillId="0" borderId="0" xfId="0" applyNumberFormat="1" applyFont="1" applyFill="1" applyProtection="1"/>
    <xf numFmtId="0" fontId="2" fillId="0" borderId="0" xfId="0" applyFont="1" applyFill="1" applyProtection="1"/>
    <xf numFmtId="17" fontId="42" fillId="0" borderId="0" xfId="0" applyNumberFormat="1" applyFont="1" applyAlignment="1">
      <alignment horizontal="center"/>
    </xf>
    <xf numFmtId="174" fontId="17" fillId="0" borderId="0" xfId="0" applyNumberFormat="1" applyFont="1" applyBorder="1" applyAlignment="1" applyProtection="1">
      <alignment horizontal="left"/>
    </xf>
    <xf numFmtId="170" fontId="1" fillId="0" borderId="0" xfId="0" applyNumberFormat="1" applyFont="1" applyFill="1"/>
    <xf numFmtId="43" fontId="0" fillId="0" borderId="0" xfId="54" applyFont="1"/>
    <xf numFmtId="167" fontId="39" fillId="0" borderId="0" xfId="54" applyNumberFormat="1" applyFont="1" applyFill="1"/>
    <xf numFmtId="173" fontId="38" fillId="0" borderId="0" xfId="0" applyNumberFormat="1" applyFont="1" applyFill="1" applyBorder="1"/>
    <xf numFmtId="167" fontId="38" fillId="0" borderId="0" xfId="54" applyNumberFormat="1" applyFont="1" applyFill="1"/>
    <xf numFmtId="0" fontId="0" fillId="0" borderId="0" xfId="0" applyFill="1"/>
    <xf numFmtId="167" fontId="0" fillId="0" borderId="0" xfId="54" applyNumberFormat="1" applyFont="1" applyFill="1"/>
    <xf numFmtId="0" fontId="45" fillId="0" borderId="0" xfId="0" applyFont="1"/>
    <xf numFmtId="0" fontId="67" fillId="0" borderId="0" xfId="0" applyFont="1" applyFill="1"/>
    <xf numFmtId="0" fontId="18" fillId="0" borderId="0" xfId="0" applyFont="1" applyFill="1"/>
    <xf numFmtId="0" fontId="28" fillId="0" borderId="0" xfId="0" applyFont="1" applyFill="1" applyAlignment="1">
      <alignment horizontal="center"/>
    </xf>
    <xf numFmtId="1" fontId="67" fillId="0" borderId="0" xfId="0" applyNumberFormat="1" applyFont="1" applyFill="1" applyAlignment="1">
      <alignment horizontal="center"/>
    </xf>
    <xf numFmtId="10" fontId="67" fillId="0" borderId="0" xfId="222" applyNumberFormat="1" applyFont="1" applyFill="1"/>
    <xf numFmtId="0" fontId="21" fillId="0" borderId="0" xfId="0" applyFont="1" applyFill="1"/>
    <xf numFmtId="3" fontId="28" fillId="0" borderId="0" xfId="0" applyNumberFormat="1" applyFont="1" applyFill="1"/>
    <xf numFmtId="6" fontId="28" fillId="0" borderId="0" xfId="0" quotePrefix="1" applyNumberFormat="1" applyFont="1" applyFill="1" applyAlignment="1">
      <alignment horizontal="left"/>
    </xf>
    <xf numFmtId="177" fontId="24" fillId="0" borderId="0" xfId="0" applyNumberFormat="1" applyFont="1" applyFill="1" applyBorder="1" applyAlignment="1">
      <alignment horizontal="center"/>
    </xf>
    <xf numFmtId="0" fontId="28" fillId="0" borderId="0" xfId="0" applyFont="1" applyFill="1"/>
    <xf numFmtId="1" fontId="28" fillId="0" borderId="0" xfId="0" applyNumberFormat="1" applyFont="1" applyFill="1" applyAlignment="1">
      <alignment horizontal="center"/>
    </xf>
    <xf numFmtId="10" fontId="28" fillId="0" borderId="0" xfId="222" applyNumberFormat="1" applyFont="1" applyFill="1"/>
    <xf numFmtId="0" fontId="28" fillId="0" borderId="0" xfId="0" quotePrefix="1" applyFont="1" applyFill="1" applyAlignment="1">
      <alignment horizontal="left"/>
    </xf>
    <xf numFmtId="0" fontId="28" fillId="0" borderId="11" xfId="0" applyFont="1" applyFill="1" applyBorder="1" applyAlignment="1">
      <alignment horizontal="center"/>
    </xf>
    <xf numFmtId="0" fontId="28" fillId="0" borderId="11" xfId="0" quotePrefix="1" applyFont="1" applyFill="1" applyBorder="1" applyAlignment="1">
      <alignment horizontal="center"/>
    </xf>
    <xf numFmtId="0" fontId="28" fillId="0" borderId="0" xfId="0" quotePrefix="1" applyFont="1" applyFill="1" applyBorder="1" applyAlignment="1">
      <alignment horizontal="left"/>
    </xf>
    <xf numFmtId="1" fontId="28" fillId="0" borderId="11" xfId="0" applyNumberFormat="1" applyFont="1" applyFill="1" applyBorder="1" applyAlignment="1">
      <alignment horizontal="center"/>
    </xf>
    <xf numFmtId="3" fontId="67" fillId="0" borderId="0" xfId="0" applyNumberFormat="1" applyFont="1" applyFill="1"/>
    <xf numFmtId="3" fontId="31" fillId="0" borderId="0" xfId="0" applyNumberFormat="1" applyFont="1" applyFill="1"/>
    <xf numFmtId="37" fontId="67" fillId="0" borderId="0" xfId="0" applyNumberFormat="1" applyFont="1" applyFill="1"/>
    <xf numFmtId="37" fontId="67" fillId="0" borderId="11" xfId="0" applyNumberFormat="1" applyFont="1" applyFill="1" applyBorder="1"/>
    <xf numFmtId="0" fontId="70" fillId="0" borderId="0" xfId="0" quotePrefix="1" applyFont="1" applyFill="1" applyAlignment="1">
      <alignment horizontal="right"/>
    </xf>
    <xf numFmtId="0" fontId="32" fillId="0" borderId="0" xfId="0" quotePrefix="1" applyFont="1" applyFill="1" applyAlignment="1">
      <alignment horizontal="right"/>
    </xf>
    <xf numFmtId="0" fontId="67" fillId="0" borderId="0" xfId="0" quotePrefix="1" applyFont="1" applyFill="1" applyAlignment="1">
      <alignment horizontal="left"/>
    </xf>
    <xf numFmtId="43" fontId="67" fillId="0" borderId="0" xfId="70" applyFont="1" applyFill="1"/>
    <xf numFmtId="1" fontId="32" fillId="0" borderId="0" xfId="0" applyNumberFormat="1" applyFont="1" applyFill="1" applyAlignment="1">
      <alignment horizontal="center"/>
    </xf>
    <xf numFmtId="10" fontId="67" fillId="0" borderId="0" xfId="0" applyNumberFormat="1" applyFont="1" applyFill="1"/>
    <xf numFmtId="10" fontId="67" fillId="0" borderId="11" xfId="0" applyNumberFormat="1" applyFont="1" applyFill="1" applyBorder="1"/>
    <xf numFmtId="1" fontId="67" fillId="0" borderId="0" xfId="0" quotePrefix="1" applyNumberFormat="1" applyFont="1" applyFill="1" applyAlignment="1">
      <alignment horizontal="fill"/>
    </xf>
    <xf numFmtId="0" fontId="28" fillId="0" borderId="0" xfId="0" applyFont="1" applyFill="1" applyBorder="1"/>
    <xf numFmtId="10" fontId="28" fillId="0" borderId="0" xfId="0" applyNumberFormat="1" applyFont="1" applyFill="1"/>
    <xf numFmtId="0" fontId="67" fillId="0" borderId="11" xfId="0" applyFont="1" applyFill="1" applyBorder="1"/>
    <xf numFmtId="0" fontId="67" fillId="0" borderId="11" xfId="0" quotePrefix="1" applyFont="1" applyFill="1" applyBorder="1" applyAlignment="1">
      <alignment horizontal="left"/>
    </xf>
    <xf numFmtId="1" fontId="67" fillId="0" borderId="11" xfId="0" applyNumberFormat="1" applyFont="1" applyFill="1" applyBorder="1" applyAlignment="1">
      <alignment horizontal="center"/>
    </xf>
    <xf numFmtId="10" fontId="67" fillId="0" borderId="11" xfId="222" applyNumberFormat="1" applyFont="1" applyFill="1" applyBorder="1"/>
    <xf numFmtId="1" fontId="67" fillId="0" borderId="0" xfId="222" applyNumberFormat="1" applyFont="1" applyFill="1" applyAlignment="1">
      <alignment horizontal="center"/>
    </xf>
    <xf numFmtId="37" fontId="67" fillId="0" borderId="0" xfId="70" applyNumberFormat="1" applyFont="1" applyFill="1"/>
    <xf numFmtId="0" fontId="67" fillId="0" borderId="0" xfId="0" applyFont="1" applyFill="1" applyBorder="1"/>
    <xf numFmtId="37" fontId="67" fillId="0" borderId="0" xfId="0" quotePrefix="1" applyNumberFormat="1" applyFont="1" applyFill="1" applyAlignment="1">
      <alignment horizontal="left"/>
    </xf>
    <xf numFmtId="37" fontId="67" fillId="0" borderId="0" xfId="0" applyNumberFormat="1" applyFont="1" applyFill="1" applyBorder="1"/>
    <xf numFmtId="42" fontId="28" fillId="0" borderId="0" xfId="0" applyNumberFormat="1" applyFont="1" applyFill="1"/>
    <xf numFmtId="1" fontId="32" fillId="0" borderId="0" xfId="222" applyNumberFormat="1" applyFont="1" applyFill="1" applyAlignment="1">
      <alignment horizontal="center"/>
    </xf>
    <xf numFmtId="37" fontId="31" fillId="0" borderId="11" xfId="0" applyNumberFormat="1" applyFont="1" applyFill="1" applyBorder="1"/>
    <xf numFmtId="0" fontId="25" fillId="0" borderId="11" xfId="0" applyFont="1" applyFill="1" applyBorder="1" applyAlignment="1">
      <alignment horizontal="left"/>
    </xf>
    <xf numFmtId="37" fontId="31" fillId="0" borderId="0" xfId="0" applyNumberFormat="1" applyFont="1" applyFill="1" applyBorder="1"/>
    <xf numFmtId="173" fontId="67" fillId="0" borderId="0" xfId="0" applyNumberFormat="1" applyFont="1" applyFill="1" applyBorder="1"/>
    <xf numFmtId="1" fontId="71" fillId="0" borderId="0" xfId="0" applyNumberFormat="1" applyFont="1" applyFill="1" applyBorder="1" applyAlignment="1">
      <alignment horizontal="center"/>
    </xf>
    <xf numFmtId="0" fontId="25" fillId="0" borderId="0" xfId="0" applyFont="1" applyFill="1" applyBorder="1" applyAlignment="1">
      <alignment horizontal="left"/>
    </xf>
    <xf numFmtId="10" fontId="67" fillId="0" borderId="0" xfId="0" applyNumberFormat="1" applyFont="1" applyFill="1" applyBorder="1"/>
    <xf numFmtId="10" fontId="67" fillId="0" borderId="0" xfId="222" applyNumberFormat="1" applyFont="1" applyFill="1" applyBorder="1"/>
    <xf numFmtId="37" fontId="67" fillId="0" borderId="0" xfId="0" quotePrefix="1" applyNumberFormat="1" applyFont="1" applyFill="1" applyBorder="1" applyAlignment="1">
      <alignment horizontal="left"/>
    </xf>
    <xf numFmtId="37" fontId="67" fillId="0" borderId="0" xfId="0" applyNumberFormat="1" applyFont="1" applyFill="1" applyBorder="1" applyAlignment="1">
      <alignment horizontal="right"/>
    </xf>
    <xf numFmtId="43" fontId="67" fillId="0" borderId="0" xfId="70" applyNumberFormat="1" applyFont="1" applyFill="1"/>
    <xf numFmtId="167" fontId="67" fillId="0" borderId="0" xfId="70" applyNumberFormat="1" applyFont="1" applyFill="1"/>
    <xf numFmtId="3" fontId="67" fillId="0" borderId="11" xfId="0" applyNumberFormat="1" applyFont="1" applyFill="1" applyBorder="1"/>
    <xf numFmtId="167" fontId="2" fillId="0" borderId="0" xfId="54" applyNumberFormat="1" applyFont="1" applyFill="1" applyProtection="1"/>
    <xf numFmtId="170" fontId="33" fillId="0" borderId="0" xfId="0" applyNumberFormat="1" applyFont="1" applyFill="1"/>
    <xf numFmtId="170" fontId="22" fillId="0" borderId="0" xfId="0" applyNumberFormat="1" applyFont="1" applyFill="1"/>
    <xf numFmtId="171" fontId="22" fillId="0" borderId="0" xfId="0" applyNumberFormat="1" applyFont="1" applyFill="1"/>
    <xf numFmtId="167" fontId="0" fillId="0" borderId="0" xfId="0" applyNumberFormat="1" applyFill="1"/>
    <xf numFmtId="0" fontId="43" fillId="0" borderId="0" xfId="0" applyFont="1" applyFill="1"/>
    <xf numFmtId="1" fontId="71" fillId="0" borderId="11" xfId="0" applyNumberFormat="1" applyFont="1" applyFill="1" applyBorder="1" applyAlignment="1">
      <alignment horizontal="center"/>
    </xf>
    <xf numFmtId="167" fontId="22" fillId="0" borderId="0" xfId="54" applyNumberFormat="1" applyFont="1" applyFill="1"/>
    <xf numFmtId="178" fontId="22" fillId="0" borderId="0" xfId="86" applyNumberFormat="1" applyFont="1" applyFill="1"/>
    <xf numFmtId="167" fontId="0" fillId="0" borderId="0" xfId="54" applyNumberFormat="1" applyFont="1" applyAlignment="1">
      <alignment horizontal="centerContinuous"/>
    </xf>
    <xf numFmtId="167" fontId="22" fillId="0" borderId="11" xfId="54" applyNumberFormat="1" applyFont="1" applyFill="1" applyBorder="1"/>
    <xf numFmtId="167" fontId="33" fillId="0" borderId="0" xfId="54" applyNumberFormat="1" applyFont="1" applyFill="1"/>
    <xf numFmtId="167" fontId="33" fillId="0" borderId="0" xfId="54" applyNumberFormat="1" applyFont="1" applyFill="1" applyBorder="1"/>
    <xf numFmtId="167" fontId="45" fillId="0" borderId="0" xfId="54" applyNumberFormat="1" applyFont="1" applyFill="1"/>
    <xf numFmtId="167" fontId="33" fillId="0" borderId="12" xfId="54" applyNumberFormat="1" applyFont="1" applyFill="1" applyBorder="1"/>
    <xf numFmtId="167" fontId="33" fillId="0" borderId="11" xfId="54" applyNumberFormat="1" applyFont="1" applyFill="1" applyBorder="1"/>
    <xf numFmtId="167" fontId="21" fillId="0" borderId="0" xfId="54" applyNumberFormat="1" applyFont="1" applyFill="1"/>
    <xf numFmtId="0" fontId="33" fillId="18" borderId="0" xfId="0" quotePrefix="1" applyFont="1" applyFill="1"/>
    <xf numFmtId="0" fontId="22" fillId="18" borderId="0" xfId="0" quotePrefix="1" applyFont="1" applyFill="1"/>
    <xf numFmtId="167" fontId="0" fillId="0" borderId="0" xfId="54" applyNumberFormat="1" applyFont="1" applyFill="1" applyAlignment="1">
      <alignment horizontal="centerContinuous"/>
    </xf>
    <xf numFmtId="17" fontId="42" fillId="0" borderId="0" xfId="0" applyNumberFormat="1" applyFont="1" applyFill="1" applyAlignment="1">
      <alignment horizontal="center"/>
    </xf>
    <xf numFmtId="170" fontId="0" fillId="0" borderId="0" xfId="0" applyNumberFormat="1"/>
    <xf numFmtId="167" fontId="33" fillId="18" borderId="0" xfId="54" applyNumberFormat="1" applyFont="1" applyFill="1" applyBorder="1"/>
    <xf numFmtId="167" fontId="22" fillId="18" borderId="11" xfId="54" applyNumberFormat="1" applyFont="1" applyFill="1" applyBorder="1"/>
    <xf numFmtId="171" fontId="33" fillId="0" borderId="0" xfId="0" applyNumberFormat="1" applyFont="1" applyFill="1"/>
    <xf numFmtId="0" fontId="33" fillId="0" borderId="0" xfId="0" quotePrefix="1" applyFont="1" applyFill="1"/>
    <xf numFmtId="0" fontId="0" fillId="0" borderId="0" xfId="0" applyFill="1" applyAlignment="1">
      <alignment horizontal="left"/>
    </xf>
    <xf numFmtId="167" fontId="82" fillId="21" borderId="0" xfId="54" applyNumberFormat="1" applyFont="1" applyFill="1" applyAlignment="1">
      <alignment horizontal="centerContinuous"/>
    </xf>
    <xf numFmtId="167" fontId="22" fillId="21" borderId="0" xfId="54" applyNumberFormat="1" applyFont="1" applyFill="1"/>
    <xf numFmtId="37" fontId="21" fillId="22" borderId="0" xfId="0" applyNumberFormat="1" applyFont="1" applyFill="1"/>
    <xf numFmtId="37" fontId="22" fillId="23" borderId="0" xfId="54" applyNumberFormat="1" applyFont="1" applyFill="1"/>
    <xf numFmtId="167" fontId="21" fillId="24" borderId="0" xfId="54" applyNumberFormat="1" applyFont="1" applyFill="1"/>
    <xf numFmtId="167" fontId="83" fillId="24" borderId="0" xfId="54" applyNumberFormat="1" applyFont="1" applyFill="1"/>
    <xf numFmtId="0" fontId="21" fillId="0" borderId="0" xfId="0" quotePrefix="1" applyFont="1" applyFill="1"/>
    <xf numFmtId="37" fontId="21" fillId="0" borderId="0" xfId="0" applyNumberFormat="1" applyFont="1"/>
    <xf numFmtId="39" fontId="17" fillId="0" borderId="0" xfId="0" applyNumberFormat="1" applyFont="1" applyFill="1" applyProtection="1"/>
    <xf numFmtId="170" fontId="21" fillId="0" borderId="0" xfId="0" applyNumberFormat="1" applyFont="1" applyFill="1"/>
    <xf numFmtId="37" fontId="22" fillId="22" borderId="0" xfId="54" applyNumberFormat="1" applyFont="1" applyFill="1"/>
    <xf numFmtId="0" fontId="33" fillId="23" borderId="0" xfId="0" quotePrefix="1" applyFont="1" applyFill="1"/>
    <xf numFmtId="37" fontId="17" fillId="0" borderId="0" xfId="0" applyNumberFormat="1" applyFont="1" applyFill="1" applyProtection="1"/>
    <xf numFmtId="167" fontId="21" fillId="0" borderId="0" xfId="60" applyNumberFormat="1" applyFont="1" applyFill="1"/>
    <xf numFmtId="0" fontId="6" fillId="0" borderId="13" xfId="0" applyFont="1" applyFill="1" applyBorder="1" applyProtection="1"/>
    <xf numFmtId="0" fontId="0" fillId="0" borderId="0" xfId="0" applyFill="1" applyAlignment="1">
      <alignment horizontal="centerContinuous"/>
    </xf>
    <xf numFmtId="0" fontId="12" fillId="0" borderId="0" xfId="0" applyFont="1" applyFill="1" applyProtection="1"/>
    <xf numFmtId="167" fontId="181" fillId="0" borderId="0" xfId="54" applyNumberFormat="1" applyFont="1" applyFill="1"/>
    <xf numFmtId="167" fontId="181" fillId="0" borderId="0" xfId="54" applyNumberFormat="1" applyFont="1" applyFill="1" applyAlignment="1">
      <alignment horizontal="center"/>
    </xf>
    <xf numFmtId="167" fontId="182" fillId="18" borderId="0" xfId="54" applyNumberFormat="1" applyFont="1" applyFill="1" applyBorder="1"/>
    <xf numFmtId="0" fontId="22" fillId="25" borderId="0" xfId="0" quotePrefix="1" applyFont="1" applyFill="1"/>
    <xf numFmtId="167" fontId="22" fillId="25" borderId="0" xfId="54" applyNumberFormat="1" applyFont="1" applyFill="1"/>
    <xf numFmtId="37" fontId="0" fillId="0" borderId="0" xfId="0" applyNumberFormat="1" applyFill="1"/>
    <xf numFmtId="0" fontId="33" fillId="0" borderId="0" xfId="0" applyFont="1"/>
    <xf numFmtId="167" fontId="0" fillId="0" borderId="0" xfId="0" applyNumberFormat="1"/>
    <xf numFmtId="9" fontId="67" fillId="0" borderId="0" xfId="215" applyFont="1" applyFill="1"/>
    <xf numFmtId="10" fontId="67" fillId="0" borderId="0" xfId="215" applyNumberFormat="1" applyFont="1" applyFill="1"/>
    <xf numFmtId="167" fontId="183" fillId="0" borderId="0" xfId="0" applyNumberFormat="1" applyFont="1"/>
    <xf numFmtId="170" fontId="38" fillId="26" borderId="0" xfId="0" quotePrefix="1" applyNumberFormat="1" applyFont="1" applyFill="1"/>
    <xf numFmtId="0" fontId="0" fillId="26" borderId="0" xfId="0" applyFill="1"/>
    <xf numFmtId="167" fontId="182" fillId="26" borderId="0" xfId="54" applyNumberFormat="1" applyFont="1" applyFill="1" applyBorder="1"/>
    <xf numFmtId="167" fontId="22" fillId="26" borderId="11" xfId="54" applyNumberFormat="1" applyFont="1" applyFill="1" applyBorder="1"/>
    <xf numFmtId="0" fontId="0" fillId="22" borderId="0" xfId="0" applyFill="1"/>
    <xf numFmtId="170" fontId="33" fillId="22" borderId="0" xfId="0" applyNumberFormat="1" applyFont="1" applyFill="1"/>
    <xf numFmtId="43" fontId="0" fillId="0" borderId="0" xfId="54" applyNumberFormat="1" applyFont="1"/>
    <xf numFmtId="43" fontId="22" fillId="0" borderId="0" xfId="54" applyFont="1" applyFill="1"/>
    <xf numFmtId="43" fontId="1" fillId="0" borderId="0" xfId="54" applyFont="1" applyFill="1"/>
    <xf numFmtId="167" fontId="21" fillId="0" borderId="0" xfId="54" applyNumberFormat="1" applyFont="1"/>
    <xf numFmtId="170" fontId="22" fillId="22" borderId="0" xfId="0" applyNumberFormat="1" applyFont="1" applyFill="1"/>
    <xf numFmtId="167" fontId="92" fillId="22" borderId="0" xfId="54" applyNumberFormat="1" applyFont="1" applyFill="1"/>
    <xf numFmtId="167" fontId="183" fillId="22" borderId="0" xfId="0" applyNumberFormat="1" applyFont="1" applyFill="1"/>
    <xf numFmtId="171" fontId="22" fillId="22" borderId="0" xfId="0" applyNumberFormat="1" applyFont="1" applyFill="1"/>
    <xf numFmtId="171" fontId="33" fillId="22" borderId="0" xfId="0" applyNumberFormat="1" applyFont="1" applyFill="1"/>
    <xf numFmtId="0" fontId="0" fillId="0" borderId="14" xfId="0" applyBorder="1"/>
    <xf numFmtId="43" fontId="0" fillId="0" borderId="0" xfId="54" applyFont="1" applyFill="1" applyAlignment="1">
      <alignment horizontal="left"/>
    </xf>
    <xf numFmtId="43" fontId="0" fillId="0" borderId="0" xfId="54" applyFont="1" applyFill="1"/>
    <xf numFmtId="43" fontId="18" fillId="0" borderId="0" xfId="54" applyFont="1" applyFill="1" applyAlignment="1">
      <alignment horizontal="center"/>
    </xf>
    <xf numFmtId="43" fontId="21" fillId="0" borderId="0" xfId="54" applyFont="1" applyFill="1" applyAlignment="1">
      <alignment horizontal="center"/>
    </xf>
    <xf numFmtId="43" fontId="0" fillId="0" borderId="0" xfId="54" applyNumberFormat="1" applyFont="1" applyFill="1"/>
    <xf numFmtId="0" fontId="22" fillId="27" borderId="0" xfId="0" quotePrefix="1" applyFont="1" applyFill="1"/>
    <xf numFmtId="167" fontId="22" fillId="27" borderId="0" xfId="54" applyNumberFormat="1" applyFont="1" applyFill="1"/>
    <xf numFmtId="167" fontId="22" fillId="27" borderId="11" xfId="54" applyNumberFormat="1" applyFont="1" applyFill="1" applyBorder="1"/>
    <xf numFmtId="0" fontId="33" fillId="28" borderId="0" xfId="0" quotePrefix="1" applyFont="1" applyFill="1"/>
    <xf numFmtId="167" fontId="33" fillId="28" borderId="0" xfId="54" applyNumberFormat="1" applyFont="1" applyFill="1"/>
    <xf numFmtId="167" fontId="181" fillId="28" borderId="0" xfId="54" applyNumberFormat="1" applyFont="1" applyFill="1"/>
    <xf numFmtId="167" fontId="22" fillId="28" borderId="0" xfId="54" applyNumberFormat="1" applyFont="1" applyFill="1"/>
    <xf numFmtId="0" fontId="22" fillId="28" borderId="0" xfId="0" quotePrefix="1" applyFont="1" applyFill="1"/>
    <xf numFmtId="167" fontId="0" fillId="20" borderId="15" xfId="54" applyNumberFormat="1" applyFont="1" applyFill="1" applyBorder="1"/>
    <xf numFmtId="170" fontId="33" fillId="20" borderId="15" xfId="0" applyNumberFormat="1" applyFont="1" applyFill="1" applyBorder="1"/>
    <xf numFmtId="170" fontId="33" fillId="20" borderId="16" xfId="0" applyNumberFormat="1" applyFont="1" applyFill="1" applyBorder="1"/>
    <xf numFmtId="167" fontId="182" fillId="0" borderId="0" xfId="54" applyNumberFormat="1" applyFont="1"/>
    <xf numFmtId="167" fontId="184" fillId="0" borderId="0" xfId="60" applyNumberFormat="1" applyFont="1" applyFill="1"/>
    <xf numFmtId="10" fontId="28" fillId="0" borderId="0" xfId="0" applyNumberFormat="1" applyFont="1" applyFill="1" applyBorder="1"/>
    <xf numFmtId="167" fontId="22" fillId="0" borderId="0" xfId="0" applyNumberFormat="1" applyFont="1" applyFill="1"/>
    <xf numFmtId="167" fontId="1" fillId="0" borderId="0" xfId="54" applyNumberFormat="1" applyFont="1" applyFill="1"/>
    <xf numFmtId="170" fontId="22" fillId="0" borderId="11" xfId="0" applyNumberFormat="1" applyFont="1" applyFill="1" applyBorder="1"/>
    <xf numFmtId="167" fontId="33" fillId="0" borderId="17" xfId="54" applyNumberFormat="1" applyFont="1" applyFill="1" applyBorder="1"/>
    <xf numFmtId="43" fontId="33" fillId="0" borderId="17" xfId="54" applyFont="1" applyFill="1" applyBorder="1"/>
    <xf numFmtId="0" fontId="1" fillId="0" borderId="0" xfId="0" applyFont="1" applyFill="1" applyBorder="1"/>
    <xf numFmtId="169" fontId="185" fillId="0" borderId="0" xfId="0" applyNumberFormat="1" applyFont="1" applyAlignment="1">
      <alignment horizontal="left"/>
    </xf>
    <xf numFmtId="167" fontId="22" fillId="0" borderId="0" xfId="54" applyNumberFormat="1" applyFont="1" applyFill="1" applyBorder="1"/>
    <xf numFmtId="167" fontId="182" fillId="28" borderId="0" xfId="54" applyNumberFormat="1" applyFont="1" applyFill="1"/>
    <xf numFmtId="167" fontId="182" fillId="0" borderId="0" xfId="54" applyNumberFormat="1" applyFont="1" applyFill="1"/>
    <xf numFmtId="167" fontId="182" fillId="27" borderId="0" xfId="54" applyNumberFormat="1" applyFont="1" applyFill="1"/>
    <xf numFmtId="167" fontId="182" fillId="27" borderId="11" xfId="54" applyNumberFormat="1" applyFont="1" applyFill="1" applyBorder="1"/>
    <xf numFmtId="167" fontId="181" fillId="0" borderId="0" xfId="60" applyNumberFormat="1" applyFont="1" applyFill="1"/>
    <xf numFmtId="167" fontId="0" fillId="0" borderId="0" xfId="54" applyNumberFormat="1" applyFont="1" applyBorder="1"/>
    <xf numFmtId="0" fontId="0" fillId="0" borderId="0" xfId="0" applyBorder="1"/>
    <xf numFmtId="167" fontId="181" fillId="27" borderId="11" xfId="54" applyNumberFormat="1" applyFont="1" applyFill="1" applyBorder="1"/>
    <xf numFmtId="0" fontId="22" fillId="0" borderId="0" xfId="0" quotePrefix="1" applyFont="1" applyBorder="1"/>
    <xf numFmtId="167" fontId="34" fillId="27" borderId="11" xfId="54" applyNumberFormat="1" applyFont="1" applyFill="1" applyBorder="1"/>
    <xf numFmtId="43" fontId="18" fillId="0" borderId="0" xfId="54" applyFont="1" applyFill="1" applyBorder="1" applyAlignment="1">
      <alignment horizontal="center"/>
    </xf>
    <xf numFmtId="17" fontId="42" fillId="0" borderId="0" xfId="0" applyNumberFormat="1" applyFont="1" applyFill="1" applyBorder="1" applyAlignment="1">
      <alignment horizontal="center"/>
    </xf>
    <xf numFmtId="167" fontId="22" fillId="27" borderId="0" xfId="54" applyNumberFormat="1" applyFont="1" applyFill="1" applyBorder="1"/>
    <xf numFmtId="0" fontId="21" fillId="0" borderId="0" xfId="0" quotePrefix="1" applyFont="1"/>
    <xf numFmtId="167" fontId="21" fillId="0" borderId="12" xfId="60" applyNumberFormat="1" applyFont="1" applyFill="1" applyBorder="1"/>
    <xf numFmtId="167" fontId="33" fillId="0" borderId="18" xfId="54" applyNumberFormat="1" applyFont="1" applyFill="1" applyBorder="1"/>
    <xf numFmtId="167" fontId="21" fillId="0" borderId="0" xfId="54" applyNumberFormat="1" applyFont="1" applyFill="1" applyAlignment="1">
      <alignment horizontal="center"/>
    </xf>
    <xf numFmtId="178" fontId="67" fillId="0" borderId="0" xfId="86" applyNumberFormat="1" applyFont="1" applyFill="1"/>
    <xf numFmtId="41" fontId="67" fillId="0" borderId="0" xfId="0" applyNumberFormat="1" applyFont="1" applyFill="1"/>
    <xf numFmtId="41" fontId="67" fillId="0" borderId="0" xfId="0" quotePrefix="1" applyNumberFormat="1" applyFont="1" applyFill="1" applyAlignment="1">
      <alignment horizontal="left"/>
    </xf>
    <xf numFmtId="41" fontId="28" fillId="0" borderId="11" xfId="0" applyNumberFormat="1" applyFont="1" applyFill="1" applyBorder="1"/>
    <xf numFmtId="178" fontId="28" fillId="0" borderId="0" xfId="86" applyNumberFormat="1" applyFont="1" applyFill="1"/>
    <xf numFmtId="167" fontId="182" fillId="0" borderId="0" xfId="54" applyNumberFormat="1" applyFont="1" applyFill="1" applyBorder="1"/>
    <xf numFmtId="167" fontId="182" fillId="0" borderId="11" xfId="54" applyNumberFormat="1" applyFont="1" applyFill="1" applyBorder="1"/>
    <xf numFmtId="170" fontId="0" fillId="0" borderId="0" xfId="0" applyNumberFormat="1" applyFill="1"/>
    <xf numFmtId="167" fontId="183" fillId="0" borderId="0" xfId="0" applyNumberFormat="1" applyFont="1" applyFill="1"/>
    <xf numFmtId="178" fontId="182" fillId="0" borderId="0" xfId="86" applyNumberFormat="1" applyFont="1" applyFill="1"/>
    <xf numFmtId="167" fontId="182" fillId="26" borderId="11" xfId="54" applyNumberFormat="1" applyFont="1" applyFill="1" applyBorder="1"/>
    <xf numFmtId="167" fontId="182" fillId="27" borderId="0" xfId="54" applyNumberFormat="1" applyFont="1" applyFill="1" applyBorder="1"/>
    <xf numFmtId="170" fontId="21" fillId="0" borderId="0" xfId="0" applyNumberFormat="1" applyFont="1" applyFill="1" applyAlignment="1">
      <alignment horizontal="center"/>
    </xf>
    <xf numFmtId="0" fontId="21" fillId="0" borderId="0" xfId="0" applyFont="1" applyFill="1" applyAlignment="1">
      <alignment horizontal="center"/>
    </xf>
    <xf numFmtId="167" fontId="184" fillId="0" borderId="0" xfId="54" applyNumberFormat="1" applyFont="1" applyFill="1"/>
    <xf numFmtId="167" fontId="184" fillId="0" borderId="11" xfId="54" applyNumberFormat="1" applyFont="1" applyFill="1" applyBorder="1"/>
    <xf numFmtId="167" fontId="184" fillId="0" borderId="11" xfId="60" applyNumberFormat="1" applyFont="1" applyFill="1" applyBorder="1"/>
    <xf numFmtId="167" fontId="184" fillId="0" borderId="0" xfId="54" applyNumberFormat="1" applyFont="1" applyFill="1" applyBorder="1"/>
    <xf numFmtId="167" fontId="186" fillId="0" borderId="0" xfId="148" applyNumberFormat="1" applyFont="1" applyFill="1" applyBorder="1"/>
    <xf numFmtId="167" fontId="186" fillId="0" borderId="0" xfId="83" applyNumberFormat="1" applyFont="1" applyFill="1" applyBorder="1"/>
    <xf numFmtId="167" fontId="33" fillId="0" borderId="0" xfId="60" applyNumberFormat="1" applyFont="1" applyFill="1"/>
    <xf numFmtId="167" fontId="22" fillId="0" borderId="0" xfId="60" applyNumberFormat="1" applyFont="1" applyFill="1" applyBorder="1"/>
    <xf numFmtId="167" fontId="182" fillId="0" borderId="0" xfId="60" applyNumberFormat="1" applyFont="1" applyFill="1"/>
    <xf numFmtId="167" fontId="33" fillId="0" borderId="0" xfId="60" applyNumberFormat="1" applyFont="1" applyFill="1" applyBorder="1"/>
    <xf numFmtId="167" fontId="184" fillId="0" borderId="0" xfId="60" applyNumberFormat="1" applyFont="1" applyFill="1" applyBorder="1"/>
    <xf numFmtId="167" fontId="45" fillId="0" borderId="0" xfId="60" applyNumberFormat="1" applyFont="1" applyFill="1" applyBorder="1"/>
    <xf numFmtId="167" fontId="181" fillId="0" borderId="0" xfId="60" applyNumberFormat="1" applyFont="1" applyFill="1" applyBorder="1"/>
    <xf numFmtId="167" fontId="181" fillId="0" borderId="0" xfId="60" applyNumberFormat="1" applyFont="1" applyFill="1" applyBorder="1" applyAlignment="1">
      <alignment horizontal="center"/>
    </xf>
    <xf numFmtId="167" fontId="21" fillId="0" borderId="0" xfId="60" applyNumberFormat="1" applyFont="1" applyFill="1" applyBorder="1"/>
    <xf numFmtId="167" fontId="0" fillId="0" borderId="0" xfId="54" applyNumberFormat="1" applyFont="1" applyFill="1" applyBorder="1"/>
    <xf numFmtId="0" fontId="0" fillId="0" borderId="0" xfId="0" applyFill="1" applyBorder="1"/>
    <xf numFmtId="14" fontId="69" fillId="0" borderId="0" xfId="0" applyNumberFormat="1" applyFont="1" applyFill="1" applyAlignment="1">
      <alignment horizontal="center"/>
    </xf>
    <xf numFmtId="49" fontId="8" fillId="0" borderId="0" xfId="0" quotePrefix="1" applyNumberFormat="1" applyFont="1" applyFill="1" applyAlignment="1" applyProtection="1">
      <alignment horizontal="centerContinuous"/>
      <protection locked="0"/>
    </xf>
    <xf numFmtId="49" fontId="25" fillId="0" borderId="0" xfId="0" applyNumberFormat="1" applyFont="1" applyFill="1" applyAlignment="1">
      <alignment horizontal="left"/>
    </xf>
    <xf numFmtId="0" fontId="22" fillId="0" borderId="0" xfId="0" quotePrefix="1" applyFont="1" applyFill="1" applyAlignment="1">
      <alignment horizontal="left"/>
    </xf>
    <xf numFmtId="170" fontId="22" fillId="24" borderId="0" xfId="0" applyNumberFormat="1" applyFont="1" applyFill="1"/>
    <xf numFmtId="167" fontId="22" fillId="24" borderId="0" xfId="54" applyNumberFormat="1" applyFont="1" applyFill="1"/>
    <xf numFmtId="170" fontId="22" fillId="24" borderId="11" xfId="0" applyNumberFormat="1" applyFont="1" applyFill="1" applyBorder="1"/>
    <xf numFmtId="167" fontId="22" fillId="24" borderId="11" xfId="54" applyNumberFormat="1" applyFont="1" applyFill="1" applyBorder="1"/>
    <xf numFmtId="167" fontId="33" fillId="24" borderId="0" xfId="54" applyNumberFormat="1" applyFont="1" applyFill="1"/>
    <xf numFmtId="0" fontId="1" fillId="24" borderId="0" xfId="0" applyFont="1" applyFill="1" applyBorder="1"/>
    <xf numFmtId="0" fontId="1" fillId="24" borderId="0" xfId="0" applyFont="1" applyFill="1"/>
    <xf numFmtId="167" fontId="1" fillId="24" borderId="0" xfId="54" applyNumberFormat="1" applyFont="1" applyFill="1"/>
    <xf numFmtId="167" fontId="33" fillId="24" borderId="17" xfId="54" applyNumberFormat="1" applyFont="1" applyFill="1" applyBorder="1"/>
    <xf numFmtId="170" fontId="1" fillId="24" borderId="0" xfId="0" applyNumberFormat="1" applyFont="1" applyFill="1"/>
    <xf numFmtId="167" fontId="22" fillId="24" borderId="0" xfId="0" applyNumberFormat="1" applyFont="1" applyFill="1"/>
    <xf numFmtId="43" fontId="22" fillId="24" borderId="0" xfId="54" applyFont="1" applyFill="1"/>
    <xf numFmtId="43" fontId="33" fillId="24" borderId="17" xfId="54" applyFont="1" applyFill="1" applyBorder="1"/>
    <xf numFmtId="43" fontId="1" fillId="24" borderId="0" xfId="54" applyFont="1" applyFill="1"/>
    <xf numFmtId="167" fontId="33" fillId="24" borderId="18" xfId="54" applyNumberFormat="1" applyFont="1" applyFill="1" applyBorder="1"/>
    <xf numFmtId="167" fontId="22" fillId="24" borderId="0" xfId="54" applyNumberFormat="1" applyFont="1" applyFill="1" applyBorder="1"/>
    <xf numFmtId="167" fontId="182" fillId="24" borderId="0" xfId="54" applyNumberFormat="1" applyFont="1" applyFill="1" applyBorder="1"/>
    <xf numFmtId="167" fontId="182" fillId="24" borderId="0" xfId="54" applyNumberFormat="1" applyFont="1" applyFill="1"/>
    <xf numFmtId="43" fontId="33" fillId="24" borderId="18" xfId="54" applyNumberFormat="1" applyFont="1" applyFill="1" applyBorder="1"/>
    <xf numFmtId="167" fontId="182" fillId="0" borderId="11" xfId="60" applyNumberFormat="1" applyFont="1" applyFill="1" applyBorder="1"/>
    <xf numFmtId="43" fontId="33" fillId="0" borderId="0" xfId="54" applyNumberFormat="1" applyFont="1" applyFill="1"/>
    <xf numFmtId="167" fontId="182" fillId="0" borderId="0" xfId="60" applyNumberFormat="1" applyFont="1" applyFill="1" applyBorder="1"/>
    <xf numFmtId="0" fontId="18" fillId="0" borderId="0" xfId="0" applyFont="1" applyFill="1" applyBorder="1" applyAlignment="1">
      <alignment horizontal="center"/>
    </xf>
    <xf numFmtId="10" fontId="187" fillId="0" borderId="0" xfId="0" applyNumberFormat="1" applyFont="1" applyFill="1" applyBorder="1"/>
    <xf numFmtId="178" fontId="184" fillId="0" borderId="0" xfId="89" applyNumberFormat="1" applyFont="1" applyFill="1"/>
    <xf numFmtId="167" fontId="188" fillId="0" borderId="0" xfId="0" applyNumberFormat="1" applyFont="1" applyFill="1"/>
    <xf numFmtId="167" fontId="182" fillId="26" borderId="0" xfId="60" applyNumberFormat="1" applyFont="1" applyFill="1"/>
    <xf numFmtId="167" fontId="182" fillId="29" borderId="0" xfId="54" applyNumberFormat="1" applyFont="1" applyFill="1" applyBorder="1"/>
    <xf numFmtId="167" fontId="182" fillId="26" borderId="11" xfId="60" applyNumberFormat="1" applyFont="1" applyFill="1" applyBorder="1"/>
    <xf numFmtId="167" fontId="182" fillId="29" borderId="11" xfId="54" applyNumberFormat="1" applyFont="1" applyFill="1" applyBorder="1"/>
    <xf numFmtId="170" fontId="182" fillId="24" borderId="0" xfId="0" applyNumberFormat="1" applyFont="1" applyFill="1"/>
    <xf numFmtId="170" fontId="182" fillId="24" borderId="11" xfId="0" applyNumberFormat="1" applyFont="1" applyFill="1" applyBorder="1"/>
    <xf numFmtId="167" fontId="182" fillId="24" borderId="0" xfId="60" applyNumberFormat="1" applyFont="1" applyFill="1"/>
    <xf numFmtId="167" fontId="182" fillId="24" borderId="11" xfId="54" applyNumberFormat="1" applyFont="1" applyFill="1" applyBorder="1"/>
    <xf numFmtId="178" fontId="182" fillId="0" borderId="0" xfId="89" applyNumberFormat="1" applyFont="1" applyFill="1"/>
    <xf numFmtId="43" fontId="182" fillId="0" borderId="0" xfId="60" applyNumberFormat="1" applyFont="1" applyFill="1"/>
    <xf numFmtId="43" fontId="182" fillId="0" borderId="11" xfId="60" applyNumberFormat="1" applyFont="1" applyFill="1" applyBorder="1"/>
    <xf numFmtId="43" fontId="182" fillId="0" borderId="0" xfId="89" applyNumberFormat="1" applyFont="1" applyFill="1"/>
    <xf numFmtId="43" fontId="182" fillId="0" borderId="11" xfId="89" applyNumberFormat="1" applyFont="1" applyFill="1" applyBorder="1"/>
    <xf numFmtId="170" fontId="18" fillId="0" borderId="0" xfId="0" applyNumberFormat="1" applyFont="1" applyFill="1" applyAlignment="1">
      <alignment horizontal="center"/>
    </xf>
    <xf numFmtId="0" fontId="2" fillId="0" borderId="0" xfId="0" applyFont="1" applyFill="1" applyAlignment="1" applyProtection="1">
      <alignment horizontal="left" indent="1"/>
    </xf>
    <xf numFmtId="170" fontId="181" fillId="24" borderId="11" xfId="0" applyNumberFormat="1" applyFont="1" applyFill="1" applyBorder="1"/>
    <xf numFmtId="43" fontId="21" fillId="0" borderId="0" xfId="54" applyNumberFormat="1" applyFont="1" applyFill="1"/>
    <xf numFmtId="167" fontId="181" fillId="0" borderId="11" xfId="60" applyNumberFormat="1" applyFont="1" applyFill="1" applyBorder="1"/>
    <xf numFmtId="167" fontId="184" fillId="24" borderId="0" xfId="54" applyNumberFormat="1" applyFont="1" applyFill="1"/>
    <xf numFmtId="170" fontId="33" fillId="24" borderId="0" xfId="0" applyNumberFormat="1" applyFont="1" applyFill="1"/>
    <xf numFmtId="37" fontId="22" fillId="24" borderId="0" xfId="54" applyNumberFormat="1" applyFont="1" applyFill="1"/>
    <xf numFmtId="37" fontId="21" fillId="24" borderId="0" xfId="0" applyNumberFormat="1" applyFont="1" applyFill="1"/>
    <xf numFmtId="0" fontId="0" fillId="24" borderId="0" xfId="0" applyFill="1"/>
    <xf numFmtId="167" fontId="92" fillId="24" borderId="0" xfId="54" applyNumberFormat="1" applyFont="1" applyFill="1"/>
    <xf numFmtId="167" fontId="183" fillId="24" borderId="0" xfId="0" applyNumberFormat="1" applyFont="1" applyFill="1"/>
    <xf numFmtId="171" fontId="22" fillId="24" borderId="0" xfId="0" applyNumberFormat="1" applyFont="1" applyFill="1"/>
    <xf numFmtId="171" fontId="33" fillId="24" borderId="0" xfId="0" applyNumberFormat="1" applyFont="1" applyFill="1"/>
    <xf numFmtId="0" fontId="18" fillId="29" borderId="0" xfId="0" applyFont="1" applyFill="1" applyAlignment="1">
      <alignment horizontal="center"/>
    </xf>
    <xf numFmtId="167" fontId="181" fillId="24" borderId="11" xfId="54" applyNumberFormat="1" applyFont="1" applyFill="1" applyBorder="1"/>
    <xf numFmtId="167" fontId="181" fillId="24" borderId="0" xfId="54" applyNumberFormat="1" applyFont="1" applyFill="1"/>
    <xf numFmtId="170" fontId="181" fillId="24" borderId="0" xfId="0" applyNumberFormat="1" applyFont="1" applyFill="1"/>
    <xf numFmtId="181" fontId="21" fillId="0" borderId="0" xfId="54" applyNumberFormat="1" applyFont="1" applyFill="1" applyAlignment="1">
      <alignment horizontal="center"/>
    </xf>
    <xf numFmtId="0" fontId="0" fillId="0" borderId="0" xfId="0" applyFill="1" applyBorder="1" applyAlignment="1">
      <alignment horizontal="left"/>
    </xf>
    <xf numFmtId="170" fontId="184" fillId="0" borderId="0" xfId="0" applyNumberFormat="1" applyFont="1" applyFill="1"/>
    <xf numFmtId="170" fontId="181" fillId="0" borderId="11" xfId="0" applyNumberFormat="1" applyFont="1" applyFill="1" applyBorder="1"/>
    <xf numFmtId="167" fontId="21" fillId="24" borderId="0" xfId="60" applyNumberFormat="1" applyFont="1" applyFill="1"/>
    <xf numFmtId="174" fontId="17" fillId="0" borderId="0" xfId="0" applyNumberFormat="1" applyFont="1" applyFill="1" applyBorder="1" applyAlignment="1" applyProtection="1">
      <alignment horizontal="left"/>
    </xf>
    <xf numFmtId="170" fontId="182" fillId="0" borderId="11" xfId="0" applyNumberFormat="1" applyFont="1" applyFill="1" applyBorder="1"/>
    <xf numFmtId="170" fontId="181" fillId="0" borderId="0" xfId="0" applyNumberFormat="1" applyFont="1" applyFill="1"/>
    <xf numFmtId="167" fontId="104" fillId="0" borderId="0" xfId="54" applyNumberFormat="1" applyFont="1" applyFill="1"/>
    <xf numFmtId="170" fontId="184" fillId="0" borderId="11" xfId="0" applyNumberFormat="1" applyFont="1" applyFill="1" applyBorder="1"/>
    <xf numFmtId="0" fontId="0" fillId="0" borderId="19" xfId="0" applyBorder="1"/>
    <xf numFmtId="0" fontId="2" fillId="0" borderId="0" xfId="0" applyFont="1" applyBorder="1" applyProtection="1"/>
    <xf numFmtId="0" fontId="21" fillId="0" borderId="0" xfId="0" applyFont="1" applyBorder="1" applyProtection="1"/>
    <xf numFmtId="0" fontId="21" fillId="0" borderId="19" xfId="0" applyFont="1" applyBorder="1"/>
    <xf numFmtId="0" fontId="21" fillId="0" borderId="0" xfId="0" applyFont="1" applyBorder="1"/>
    <xf numFmtId="0" fontId="21" fillId="0" borderId="14" xfId="0" applyFont="1" applyBorder="1"/>
    <xf numFmtId="0" fontId="21" fillId="0" borderId="19" xfId="0" applyFont="1" applyBorder="1" applyProtection="1"/>
    <xf numFmtId="0" fontId="21" fillId="0" borderId="14" xfId="0" applyFont="1" applyBorder="1" applyAlignment="1" applyProtection="1">
      <alignment horizontal="center"/>
    </xf>
    <xf numFmtId="0" fontId="14" fillId="0" borderId="19" xfId="0" applyFont="1" applyBorder="1" applyAlignment="1" applyProtection="1">
      <alignment horizontal="center"/>
    </xf>
    <xf numFmtId="0" fontId="14" fillId="0" borderId="0" xfId="0" applyFont="1" applyBorder="1" applyAlignment="1" applyProtection="1">
      <alignment horizontal="center"/>
    </xf>
    <xf numFmtId="0" fontId="14" fillId="0" borderId="14" xfId="0" applyFont="1" applyBorder="1" applyAlignment="1" applyProtection="1">
      <alignment horizontal="center"/>
    </xf>
    <xf numFmtId="0" fontId="21" fillId="0" borderId="19" xfId="0" applyFont="1" applyBorder="1" applyAlignment="1" applyProtection="1">
      <alignment horizontal="center"/>
    </xf>
    <xf numFmtId="0" fontId="21" fillId="0" borderId="0" xfId="0" applyFont="1" applyBorder="1" applyAlignment="1" applyProtection="1">
      <alignment horizontal="center"/>
    </xf>
    <xf numFmtId="37" fontId="21" fillId="0" borderId="0" xfId="0" applyNumberFormat="1" applyFont="1" applyBorder="1" applyProtection="1"/>
    <xf numFmtId="10" fontId="21" fillId="0" borderId="0" xfId="0" applyNumberFormat="1" applyFont="1" applyBorder="1" applyProtection="1"/>
    <xf numFmtId="37" fontId="21" fillId="0" borderId="14" xfId="0" applyNumberFormat="1" applyFont="1" applyBorder="1" applyProtection="1"/>
    <xf numFmtId="37" fontId="21" fillId="0" borderId="0" xfId="0" applyNumberFormat="1" applyFont="1" applyBorder="1" applyProtection="1">
      <protection locked="0"/>
    </xf>
    <xf numFmtId="37" fontId="22" fillId="0" borderId="0" xfId="0" applyNumberFormat="1" applyFont="1" applyBorder="1" applyProtection="1">
      <protection locked="0"/>
    </xf>
    <xf numFmtId="10" fontId="22" fillId="0" borderId="0" xfId="0" applyNumberFormat="1" applyFont="1" applyBorder="1" applyProtection="1">
      <protection locked="0"/>
    </xf>
    <xf numFmtId="37" fontId="21" fillId="0" borderId="20" xfId="0" applyNumberFormat="1" applyFont="1" applyBorder="1" applyAlignment="1" applyProtection="1">
      <alignment horizontal="right"/>
    </xf>
    <xf numFmtId="37" fontId="21" fillId="0" borderId="14" xfId="0" applyNumberFormat="1" applyFont="1" applyBorder="1" applyAlignment="1" applyProtection="1">
      <alignment horizontal="fill"/>
    </xf>
    <xf numFmtId="37" fontId="21" fillId="0" borderId="14" xfId="0" applyNumberFormat="1" applyFont="1" applyFill="1" applyBorder="1" applyProtection="1">
      <protection locked="0"/>
    </xf>
    <xf numFmtId="37" fontId="21" fillId="0" borderId="21" xfId="0" applyNumberFormat="1" applyFont="1" applyBorder="1" applyProtection="1"/>
    <xf numFmtId="0" fontId="21" fillId="0" borderId="14" xfId="0" applyFont="1" applyBorder="1" applyAlignment="1">
      <alignment horizontal="fill"/>
    </xf>
    <xf numFmtId="0" fontId="0" fillId="0" borderId="22" xfId="0" applyBorder="1"/>
    <xf numFmtId="0" fontId="0" fillId="0" borderId="23" xfId="0" applyBorder="1"/>
    <xf numFmtId="0" fontId="0" fillId="0" borderId="24" xfId="0" applyBorder="1"/>
    <xf numFmtId="0" fontId="18" fillId="24" borderId="25" xfId="0" applyFont="1" applyFill="1" applyBorder="1" applyAlignment="1">
      <alignment horizontal="center"/>
    </xf>
    <xf numFmtId="0" fontId="18" fillId="24" borderId="26" xfId="0" applyFont="1" applyFill="1" applyBorder="1" applyAlignment="1">
      <alignment horizontal="center"/>
    </xf>
    <xf numFmtId="0" fontId="0" fillId="24" borderId="0" xfId="0" applyFill="1" applyBorder="1"/>
    <xf numFmtId="0" fontId="21" fillId="29" borderId="0" xfId="0" applyFont="1" applyFill="1" applyAlignment="1" applyProtection="1">
      <alignment horizontal="center"/>
    </xf>
    <xf numFmtId="0" fontId="21" fillId="29" borderId="27" xfId="0" applyFont="1" applyFill="1" applyBorder="1" applyAlignment="1" applyProtection="1">
      <alignment horizontal="center"/>
    </xf>
    <xf numFmtId="0" fontId="11" fillId="29" borderId="0" xfId="0" applyFont="1" applyFill="1" applyProtection="1"/>
    <xf numFmtId="37" fontId="22" fillId="29" borderId="0" xfId="0" applyNumberFormat="1" applyFont="1" applyFill="1" applyProtection="1">
      <protection locked="0"/>
    </xf>
    <xf numFmtId="37" fontId="21" fillId="29" borderId="0" xfId="0" applyNumberFormat="1" applyFont="1" applyFill="1" applyProtection="1">
      <protection locked="0"/>
    </xf>
    <xf numFmtId="37" fontId="21" fillId="29" borderId="0" xfId="0" applyNumberFormat="1" applyFont="1" applyFill="1" applyProtection="1"/>
    <xf numFmtId="37" fontId="21" fillId="29" borderId="0" xfId="0" applyNumberFormat="1" applyFont="1" applyFill="1" applyBorder="1" applyProtection="1"/>
    <xf numFmtId="37" fontId="21" fillId="29" borderId="17" xfId="0" applyNumberFormat="1" applyFont="1" applyFill="1" applyBorder="1" applyProtection="1"/>
    <xf numFmtId="0" fontId="21" fillId="29" borderId="0" xfId="0" applyFont="1" applyFill="1" applyProtection="1"/>
    <xf numFmtId="37" fontId="21" fillId="29" borderId="17" xfId="0" applyNumberFormat="1" applyFont="1" applyFill="1" applyBorder="1"/>
    <xf numFmtId="37" fontId="21" fillId="29" borderId="0" xfId="0" applyNumberFormat="1" applyFont="1" applyFill="1"/>
    <xf numFmtId="37" fontId="21" fillId="29" borderId="11" xfId="0" applyNumberFormat="1" applyFont="1" applyFill="1" applyBorder="1"/>
    <xf numFmtId="5" fontId="21" fillId="29" borderId="18" xfId="0" applyNumberFormat="1" applyFont="1" applyFill="1" applyBorder="1"/>
    <xf numFmtId="170" fontId="182" fillId="0" borderId="0" xfId="0" applyNumberFormat="1" applyFont="1" applyFill="1"/>
    <xf numFmtId="170" fontId="22" fillId="0" borderId="0" xfId="0" applyNumberFormat="1" applyFont="1" applyFill="1" applyBorder="1"/>
    <xf numFmtId="167" fontId="1" fillId="0" borderId="0" xfId="54" applyNumberFormat="1" applyFont="1" applyFill="1" applyBorder="1"/>
    <xf numFmtId="170" fontId="1" fillId="0" borderId="0" xfId="0" applyNumberFormat="1" applyFont="1" applyFill="1" applyBorder="1"/>
    <xf numFmtId="167" fontId="22" fillId="0" borderId="0" xfId="0" applyNumberFormat="1" applyFont="1" applyFill="1" applyBorder="1"/>
    <xf numFmtId="43" fontId="1" fillId="0" borderId="0" xfId="54" applyFont="1" applyFill="1" applyBorder="1"/>
    <xf numFmtId="0" fontId="21" fillId="29" borderId="0" xfId="0" applyFont="1" applyFill="1" applyBorder="1" applyAlignment="1" applyProtection="1">
      <alignment horizontal="center"/>
    </xf>
    <xf numFmtId="0" fontId="11" fillId="29" borderId="0" xfId="0" applyFont="1" applyFill="1" applyBorder="1" applyProtection="1"/>
    <xf numFmtId="37" fontId="22" fillId="29" borderId="0" xfId="0" applyNumberFormat="1" applyFont="1" applyFill="1" applyBorder="1" applyProtection="1">
      <protection locked="0"/>
    </xf>
    <xf numFmtId="37" fontId="21" fillId="29" borderId="0" xfId="0" applyNumberFormat="1" applyFont="1" applyFill="1" applyBorder="1" applyProtection="1">
      <protection locked="0"/>
    </xf>
    <xf numFmtId="0" fontId="18" fillId="29" borderId="0" xfId="0" applyFont="1" applyFill="1" applyBorder="1" applyAlignment="1">
      <alignment horizontal="center"/>
    </xf>
    <xf numFmtId="0" fontId="21" fillId="29" borderId="0" xfId="0" applyFont="1" applyFill="1" applyBorder="1" applyProtection="1"/>
    <xf numFmtId="37" fontId="21" fillId="29" borderId="0" xfId="0" applyNumberFormat="1" applyFont="1" applyFill="1" applyBorder="1"/>
    <xf numFmtId="167" fontId="184" fillId="22" borderId="0" xfId="54" applyNumberFormat="1" applyFont="1" applyFill="1"/>
    <xf numFmtId="41" fontId="189" fillId="0" borderId="11" xfId="0" applyNumberFormat="1" applyFont="1" applyFill="1" applyBorder="1"/>
    <xf numFmtId="3" fontId="43" fillId="0" borderId="0" xfId="0" applyNumberFormat="1" applyFont="1" applyFill="1"/>
    <xf numFmtId="1" fontId="43" fillId="0" borderId="0" xfId="0" applyNumberFormat="1" applyFont="1" applyFill="1" applyAlignment="1">
      <alignment horizontal="center"/>
    </xf>
    <xf numFmtId="0" fontId="107" fillId="0" borderId="0" xfId="0" applyFont="1" applyAlignment="1">
      <alignment horizontal="left" vertical="top"/>
    </xf>
    <xf numFmtId="0" fontId="0" fillId="0" borderId="0" xfId="0" applyAlignment="1">
      <alignment horizontal="left" vertical="top"/>
    </xf>
    <xf numFmtId="0" fontId="179" fillId="0" borderId="0" xfId="146" applyFill="1"/>
    <xf numFmtId="0" fontId="190" fillId="22" borderId="0" xfId="0" applyFont="1" applyFill="1" applyAlignment="1">
      <alignment horizontal="left" vertical="top"/>
    </xf>
    <xf numFmtId="0" fontId="0" fillId="0" borderId="51" xfId="0" applyFill="1" applyBorder="1" applyAlignment="1">
      <alignment horizontal="left" vertical="top"/>
    </xf>
    <xf numFmtId="0" fontId="0" fillId="0" borderId="52" xfId="0" applyFill="1" applyBorder="1" applyAlignment="1">
      <alignment horizontal="left" vertical="top"/>
    </xf>
    <xf numFmtId="186" fontId="0" fillId="0" borderId="51" xfId="0" applyNumberFormat="1" applyFill="1" applyBorder="1" applyAlignment="1">
      <alignment horizontal="right" vertical="top"/>
    </xf>
    <xf numFmtId="186" fontId="0" fillId="0" borderId="52" xfId="0" applyNumberFormat="1" applyFill="1" applyBorder="1" applyAlignment="1">
      <alignment horizontal="right" vertical="top"/>
    </xf>
    <xf numFmtId="186" fontId="0" fillId="0" borderId="53" xfId="0" applyNumberFormat="1" applyFill="1" applyBorder="1" applyAlignment="1">
      <alignment horizontal="right" vertical="top"/>
    </xf>
    <xf numFmtId="186" fontId="0" fillId="0" borderId="54" xfId="0" applyNumberFormat="1" applyFill="1" applyBorder="1" applyAlignment="1">
      <alignment horizontal="right" vertical="top"/>
    </xf>
    <xf numFmtId="0" fontId="190" fillId="0" borderId="0" xfId="0" applyFont="1" applyFill="1" applyAlignment="1">
      <alignment horizontal="left" vertical="top"/>
    </xf>
    <xf numFmtId="43" fontId="0" fillId="0" borderId="0" xfId="73" applyFont="1" applyFill="1"/>
    <xf numFmtId="178" fontId="184" fillId="22" borderId="0" xfId="89" applyNumberFormat="1" applyFont="1" applyFill="1"/>
    <xf numFmtId="167" fontId="184" fillId="22" borderId="11" xfId="54" applyNumberFormat="1" applyFont="1" applyFill="1" applyBorder="1"/>
    <xf numFmtId="167" fontId="184" fillId="22" borderId="0" xfId="60" applyNumberFormat="1" applyFont="1" applyFill="1"/>
    <xf numFmtId="0" fontId="21" fillId="0" borderId="0" xfId="0" quotePrefix="1" applyFont="1" applyAlignment="1">
      <alignment horizontal="left"/>
    </xf>
    <xf numFmtId="0" fontId="21" fillId="0" borderId="0" xfId="0" quotePrefix="1" applyFont="1" applyAlignment="1">
      <alignment horizontal="left" vertical="top"/>
    </xf>
    <xf numFmtId="167" fontId="181" fillId="22" borderId="0" xfId="54" applyNumberFormat="1" applyFont="1" applyFill="1"/>
    <xf numFmtId="167" fontId="182" fillId="22" borderId="0" xfId="60" applyNumberFormat="1" applyFont="1" applyFill="1"/>
    <xf numFmtId="167" fontId="181" fillId="22" borderId="11" xfId="54" applyNumberFormat="1" applyFont="1" applyFill="1" applyBorder="1"/>
    <xf numFmtId="167" fontId="181" fillId="22" borderId="0" xfId="54" applyNumberFormat="1" applyFont="1" applyFill="1" applyBorder="1"/>
    <xf numFmtId="167" fontId="181" fillId="22" borderId="0" xfId="60" applyNumberFormat="1" applyFont="1" applyFill="1"/>
    <xf numFmtId="167" fontId="182" fillId="22" borderId="11" xfId="60" applyNumberFormat="1" applyFont="1" applyFill="1" applyBorder="1"/>
    <xf numFmtId="0" fontId="0" fillId="0" borderId="0" xfId="0" quotePrefix="1" applyAlignment="1">
      <alignment horizontal="left" vertical="top"/>
    </xf>
    <xf numFmtId="43" fontId="184" fillId="0" borderId="0" xfId="60" applyNumberFormat="1" applyFont="1" applyFill="1"/>
    <xf numFmtId="167" fontId="181" fillId="22" borderId="11" xfId="60" applyNumberFormat="1" applyFont="1" applyFill="1" applyBorder="1"/>
    <xf numFmtId="167" fontId="33" fillId="22" borderId="0" xfId="54" applyNumberFormat="1" applyFont="1" applyFill="1"/>
    <xf numFmtId="167" fontId="33" fillId="22" borderId="11" xfId="54" applyNumberFormat="1" applyFont="1" applyFill="1" applyBorder="1"/>
    <xf numFmtId="167" fontId="33" fillId="22" borderId="0" xfId="54" applyNumberFormat="1" applyFont="1" applyFill="1" applyBorder="1"/>
    <xf numFmtId="167" fontId="21" fillId="22" borderId="0" xfId="54" applyNumberFormat="1" applyFont="1" applyFill="1"/>
    <xf numFmtId="167" fontId="181" fillId="22" borderId="0" xfId="54" applyNumberFormat="1" applyFont="1" applyFill="1" applyAlignment="1">
      <alignment horizontal="center"/>
    </xf>
    <xf numFmtId="167" fontId="21" fillId="22" borderId="0" xfId="60" applyNumberFormat="1" applyFont="1" applyFill="1"/>
    <xf numFmtId="167" fontId="21" fillId="22" borderId="12" xfId="60" applyNumberFormat="1" applyFont="1" applyFill="1" applyBorder="1"/>
    <xf numFmtId="0" fontId="0" fillId="0" borderId="51" xfId="0" applyBorder="1" applyAlignment="1">
      <alignment horizontal="left" vertical="top"/>
    </xf>
    <xf numFmtId="0" fontId="0" fillId="0" borderId="52" xfId="0" applyBorder="1" applyAlignment="1">
      <alignment horizontal="left" vertical="top"/>
    </xf>
    <xf numFmtId="186" fontId="0" fillId="0" borderId="51" xfId="0" applyNumberFormat="1" applyBorder="1" applyAlignment="1">
      <alignment horizontal="right" vertical="top"/>
    </xf>
    <xf numFmtId="186" fontId="0" fillId="0" borderId="52" xfId="0" applyNumberFormat="1" applyBorder="1" applyAlignment="1">
      <alignment horizontal="right" vertical="top"/>
    </xf>
    <xf numFmtId="186" fontId="0" fillId="30" borderId="51" xfId="0" applyNumberFormat="1" applyFill="1" applyBorder="1" applyAlignment="1">
      <alignment horizontal="right" vertical="top"/>
    </xf>
    <xf numFmtId="186" fontId="0" fillId="30" borderId="52" xfId="0" applyNumberFormat="1" applyFill="1" applyBorder="1" applyAlignment="1">
      <alignment horizontal="right" vertical="top"/>
    </xf>
    <xf numFmtId="43" fontId="0" fillId="0" borderId="0" xfId="0" applyNumberFormat="1"/>
    <xf numFmtId="43" fontId="191" fillId="31" borderId="55" xfId="0" applyNumberFormat="1" applyFont="1" applyFill="1" applyBorder="1"/>
    <xf numFmtId="170" fontId="184" fillId="22" borderId="0" xfId="0" applyNumberFormat="1" applyFont="1" applyFill="1"/>
    <xf numFmtId="0" fontId="191" fillId="31" borderId="55" xfId="0" applyFont="1" applyFill="1" applyBorder="1" applyAlignment="1">
      <alignment horizontal="left"/>
    </xf>
    <xf numFmtId="170" fontId="181" fillId="22" borderId="0" xfId="0" applyNumberFormat="1" applyFont="1" applyFill="1"/>
    <xf numFmtId="170" fontId="181" fillId="22" borderId="11" xfId="0" applyNumberFormat="1" applyFont="1" applyFill="1" applyBorder="1"/>
    <xf numFmtId="167" fontId="182" fillId="22" borderId="11" xfId="54" applyNumberFormat="1" applyFont="1" applyFill="1" applyBorder="1"/>
    <xf numFmtId="43" fontId="33" fillId="22" borderId="17" xfId="54" applyFont="1" applyFill="1" applyBorder="1"/>
    <xf numFmtId="170" fontId="33" fillId="0" borderId="0" xfId="0" quotePrefix="1" applyNumberFormat="1" applyFont="1" applyFill="1"/>
    <xf numFmtId="167" fontId="33" fillId="22" borderId="17" xfId="54" applyNumberFormat="1" applyFont="1" applyFill="1" applyBorder="1"/>
    <xf numFmtId="43" fontId="21" fillId="0" borderId="0" xfId="54" applyFont="1" applyFill="1"/>
    <xf numFmtId="167" fontId="181" fillId="29" borderId="0" xfId="54" applyNumberFormat="1" applyFont="1" applyFill="1"/>
    <xf numFmtId="170" fontId="33" fillId="29" borderId="0" xfId="0" applyNumberFormat="1" applyFont="1" applyFill="1"/>
    <xf numFmtId="37" fontId="22" fillId="29" borderId="0" xfId="54" applyNumberFormat="1" applyFont="1" applyFill="1"/>
    <xf numFmtId="170" fontId="181" fillId="29" borderId="0" xfId="0" applyNumberFormat="1" applyFont="1" applyFill="1"/>
    <xf numFmtId="37" fontId="0" fillId="29" borderId="0" xfId="0" applyNumberFormat="1" applyFill="1"/>
    <xf numFmtId="167" fontId="92" fillId="29" borderId="0" xfId="54" applyNumberFormat="1" applyFont="1" applyFill="1"/>
    <xf numFmtId="167" fontId="21" fillId="29" borderId="0" xfId="60" applyNumberFormat="1" applyFont="1" applyFill="1"/>
    <xf numFmtId="171" fontId="181" fillId="29" borderId="0" xfId="0" applyNumberFormat="1" applyFont="1" applyFill="1"/>
    <xf numFmtId="171" fontId="33" fillId="29" borderId="0" xfId="0" applyNumberFormat="1" applyFont="1" applyFill="1"/>
    <xf numFmtId="167" fontId="109" fillId="29" borderId="0" xfId="54" applyNumberFormat="1" applyFont="1" applyFill="1"/>
    <xf numFmtId="167" fontId="182" fillId="29" borderId="0" xfId="54" applyNumberFormat="1" applyFont="1" applyFill="1"/>
    <xf numFmtId="43" fontId="21" fillId="0" borderId="0" xfId="0" applyNumberFormat="1" applyFont="1" applyFill="1" applyAlignment="1">
      <alignment horizontal="center"/>
    </xf>
    <xf numFmtId="43" fontId="1" fillId="0" borderId="0" xfId="54" applyNumberFormat="1" applyFont="1" applyFill="1"/>
    <xf numFmtId="43" fontId="190" fillId="0" borderId="0" xfId="54" applyFont="1" applyFill="1" applyAlignment="1">
      <alignment horizontal="center"/>
    </xf>
    <xf numFmtId="14" fontId="192" fillId="0" borderId="0" xfId="0" applyNumberFormat="1" applyFont="1" applyFill="1" applyAlignment="1">
      <alignment horizontal="center"/>
    </xf>
    <xf numFmtId="167" fontId="21" fillId="32" borderId="0" xfId="54" applyNumberFormat="1" applyFont="1" applyFill="1" applyAlignment="1">
      <alignment horizontal="center"/>
    </xf>
    <xf numFmtId="43" fontId="108" fillId="33" borderId="0" xfId="54" applyFont="1" applyFill="1" applyAlignment="1">
      <alignment horizontal="left"/>
    </xf>
    <xf numFmtId="170" fontId="181" fillId="33" borderId="0" xfId="0" applyNumberFormat="1" applyFont="1" applyFill="1"/>
    <xf numFmtId="170" fontId="184" fillId="33" borderId="0" xfId="0" applyNumberFormat="1" applyFont="1" applyFill="1"/>
    <xf numFmtId="0" fontId="21" fillId="0" borderId="51" xfId="0" applyFont="1" applyBorder="1" applyAlignment="1">
      <alignment horizontal="left" vertical="top"/>
    </xf>
    <xf numFmtId="0" fontId="21" fillId="0" borderId="52" xfId="0" applyFont="1" applyBorder="1" applyAlignment="1">
      <alignment horizontal="left" vertical="top"/>
    </xf>
    <xf numFmtId="0" fontId="179" fillId="0" borderId="0" xfId="183" applyFill="1"/>
    <xf numFmtId="0" fontId="0" fillId="0" borderId="0" xfId="0" applyFill="1" applyAlignment="1">
      <alignment horizontal="left" vertical="top"/>
    </xf>
    <xf numFmtId="167" fontId="181" fillId="0" borderId="0" xfId="54" applyNumberFormat="1" applyFont="1" applyFill="1" applyBorder="1"/>
    <xf numFmtId="167" fontId="181" fillId="0" borderId="11" xfId="54" applyNumberFormat="1" applyFont="1" applyFill="1" applyBorder="1"/>
    <xf numFmtId="170" fontId="184" fillId="34" borderId="0" xfId="0" applyNumberFormat="1" applyFont="1" applyFill="1"/>
    <xf numFmtId="44" fontId="184" fillId="24" borderId="0" xfId="89" applyNumberFormat="1" applyFont="1" applyFill="1"/>
    <xf numFmtId="170" fontId="181" fillId="34" borderId="0" xfId="0" applyNumberFormat="1" applyFont="1" applyFill="1"/>
    <xf numFmtId="167" fontId="181" fillId="35" borderId="0" xfId="54" applyNumberFormat="1" applyFont="1" applyFill="1"/>
    <xf numFmtId="43" fontId="114" fillId="36" borderId="0" xfId="54" applyFont="1" applyFill="1"/>
    <xf numFmtId="167" fontId="33" fillId="22" borderId="12" xfId="54" applyNumberFormat="1" applyFont="1" applyFill="1" applyBorder="1"/>
    <xf numFmtId="43" fontId="115" fillId="22" borderId="0" xfId="73" applyFont="1" applyFill="1"/>
    <xf numFmtId="43" fontId="115" fillId="22" borderId="0" xfId="54" applyFont="1" applyFill="1"/>
    <xf numFmtId="43" fontId="0" fillId="22" borderId="0" xfId="0" applyNumberFormat="1" applyFill="1"/>
    <xf numFmtId="43" fontId="115" fillId="37" borderId="0" xfId="73" applyFont="1" applyFill="1"/>
    <xf numFmtId="43" fontId="0" fillId="37" borderId="0" xfId="0" applyNumberFormat="1" applyFill="1"/>
    <xf numFmtId="43" fontId="115" fillId="37" borderId="0" xfId="54" applyFont="1" applyFill="1"/>
    <xf numFmtId="0" fontId="0" fillId="37" borderId="0" xfId="0" applyFill="1"/>
    <xf numFmtId="0" fontId="21" fillId="22" borderId="0" xfId="0" applyFont="1" applyFill="1"/>
    <xf numFmtId="43" fontId="114" fillId="0" borderId="0" xfId="54" applyFont="1" applyFill="1"/>
    <xf numFmtId="170" fontId="181" fillId="38" borderId="0" xfId="0" applyNumberFormat="1" applyFont="1" applyFill="1"/>
    <xf numFmtId="170" fontId="184" fillId="38" borderId="0" xfId="0" applyNumberFormat="1" applyFont="1" applyFill="1"/>
    <xf numFmtId="170" fontId="181" fillId="39" borderId="0" xfId="0" applyNumberFormat="1" applyFont="1" applyFill="1"/>
    <xf numFmtId="167" fontId="182" fillId="22" borderId="0" xfId="54" applyNumberFormat="1" applyFont="1" applyFill="1"/>
    <xf numFmtId="43" fontId="118" fillId="22" borderId="0" xfId="54" applyFont="1" applyFill="1"/>
    <xf numFmtId="43" fontId="118" fillId="22" borderId="0" xfId="54" applyFont="1" applyFill="1"/>
    <xf numFmtId="43" fontId="114" fillId="22" borderId="0" xfId="54" applyFont="1" applyFill="1"/>
    <xf numFmtId="10" fontId="43" fillId="0" borderId="0" xfId="0" applyNumberFormat="1" applyFont="1" applyFill="1"/>
    <xf numFmtId="1" fontId="43" fillId="0" borderId="0" xfId="0" quotePrefix="1" applyNumberFormat="1" applyFont="1" applyFill="1" applyAlignment="1">
      <alignment horizontal="fill"/>
    </xf>
    <xf numFmtId="0" fontId="43" fillId="0" borderId="11" xfId="0" applyFont="1" applyFill="1" applyBorder="1"/>
    <xf numFmtId="1" fontId="43" fillId="0" borderId="11" xfId="0" applyNumberFormat="1" applyFont="1" applyFill="1" applyBorder="1" applyAlignment="1">
      <alignment horizontal="center"/>
    </xf>
    <xf numFmtId="10" fontId="43" fillId="0" borderId="0" xfId="223" applyNumberFormat="1" applyFont="1" applyFill="1"/>
    <xf numFmtId="1" fontId="43" fillId="0" borderId="0" xfId="223" applyNumberFormat="1" applyFont="1" applyFill="1" applyAlignment="1">
      <alignment horizontal="center"/>
    </xf>
    <xf numFmtId="1" fontId="32" fillId="0" borderId="0" xfId="223" applyNumberFormat="1" applyFont="1" applyFill="1" applyAlignment="1">
      <alignment horizontal="center"/>
    </xf>
    <xf numFmtId="37" fontId="43" fillId="0" borderId="11" xfId="0" applyNumberFormat="1" applyFont="1" applyFill="1" applyBorder="1"/>
    <xf numFmtId="10" fontId="43" fillId="0" borderId="11" xfId="0" applyNumberFormat="1" applyFont="1" applyFill="1" applyBorder="1"/>
    <xf numFmtId="37" fontId="43" fillId="0" borderId="0" xfId="0" applyNumberFormat="1" applyFont="1" applyFill="1" applyBorder="1"/>
    <xf numFmtId="173" fontId="43" fillId="0" borderId="0" xfId="0" applyNumberFormat="1" applyFont="1" applyFill="1" applyBorder="1"/>
    <xf numFmtId="10" fontId="43" fillId="0" borderId="0" xfId="0" applyNumberFormat="1" applyFont="1" applyFill="1" applyBorder="1"/>
    <xf numFmtId="0" fontId="43" fillId="0" borderId="0" xfId="0" applyFont="1" applyFill="1" applyBorder="1"/>
    <xf numFmtId="37" fontId="43" fillId="0" borderId="0" xfId="0" quotePrefix="1" applyNumberFormat="1" applyFont="1" applyFill="1" applyBorder="1" applyAlignment="1">
      <alignment horizontal="left"/>
    </xf>
    <xf numFmtId="3" fontId="43" fillId="0" borderId="11" xfId="0" applyNumberFormat="1" applyFont="1" applyFill="1" applyBorder="1"/>
    <xf numFmtId="43" fontId="21" fillId="0" borderId="0" xfId="54" applyNumberFormat="1" applyFont="1" applyFill="1" applyAlignment="1">
      <alignment horizontal="center"/>
    </xf>
    <xf numFmtId="43" fontId="119" fillId="26" borderId="0" xfId="54" applyFont="1" applyFill="1"/>
    <xf numFmtId="43" fontId="118" fillId="0" borderId="0" xfId="54" applyFont="1" applyFill="1"/>
    <xf numFmtId="0" fontId="0" fillId="0" borderId="0" xfId="0" quotePrefix="1"/>
    <xf numFmtId="178" fontId="184" fillId="37" borderId="0" xfId="89" applyNumberFormat="1" applyFont="1" applyFill="1"/>
    <xf numFmtId="167" fontId="184" fillId="37" borderId="11" xfId="54" applyNumberFormat="1" applyFont="1" applyFill="1" applyBorder="1"/>
    <xf numFmtId="167" fontId="119" fillId="37" borderId="0" xfId="54" applyNumberFormat="1" applyFont="1" applyFill="1"/>
    <xf numFmtId="0" fontId="0" fillId="37" borderId="0" xfId="0" applyFill="1" applyAlignment="1">
      <alignment horizontal="left" vertical="top"/>
    </xf>
    <xf numFmtId="43" fontId="119" fillId="37" borderId="0" xfId="54" applyFont="1" applyFill="1"/>
    <xf numFmtId="167" fontId="184" fillId="37" borderId="0" xfId="60" applyNumberFormat="1" applyFont="1" applyFill="1"/>
    <xf numFmtId="0" fontId="21" fillId="37" borderId="0" xfId="89" applyNumberFormat="1" applyFont="1" applyFill="1" applyBorder="1"/>
    <xf numFmtId="167" fontId="184" fillId="37" borderId="0" xfId="54" applyNumberFormat="1" applyFont="1" applyFill="1"/>
    <xf numFmtId="167" fontId="21" fillId="37" borderId="0" xfId="54" applyNumberFormat="1" applyFont="1" applyFill="1"/>
    <xf numFmtId="167" fontId="181" fillId="37" borderId="0" xfId="54" applyNumberFormat="1" applyFont="1" applyFill="1"/>
    <xf numFmtId="167" fontId="33" fillId="22" borderId="18" xfId="54" applyNumberFormat="1" applyFont="1" applyFill="1" applyBorder="1"/>
    <xf numFmtId="170" fontId="181" fillId="26" borderId="0" xfId="0" applyNumberFormat="1" applyFont="1" applyFill="1"/>
    <xf numFmtId="43" fontId="0" fillId="0" borderId="0" xfId="54" applyNumberFormat="1" applyFont="1" applyBorder="1"/>
    <xf numFmtId="167" fontId="21" fillId="0" borderId="0" xfId="54" applyNumberFormat="1" applyFont="1" applyFill="1" applyBorder="1" applyAlignment="1">
      <alignment horizontal="left"/>
    </xf>
    <xf numFmtId="167" fontId="21" fillId="29" borderId="0" xfId="54" applyNumberFormat="1" applyFont="1" applyFill="1"/>
    <xf numFmtId="0" fontId="0" fillId="39" borderId="0" xfId="0" applyFill="1"/>
    <xf numFmtId="167" fontId="18" fillId="37" borderId="0" xfId="54" applyNumberFormat="1" applyFont="1" applyFill="1"/>
    <xf numFmtId="0" fontId="18" fillId="37" borderId="0" xfId="0" applyFont="1" applyFill="1"/>
    <xf numFmtId="43" fontId="119" fillId="37" borderId="0" xfId="54" applyFont="1" applyFill="1"/>
    <xf numFmtId="43" fontId="122" fillId="39" borderId="0" xfId="54" applyFont="1" applyFill="1"/>
    <xf numFmtId="43" fontId="119" fillId="39" borderId="0" xfId="54" applyFont="1" applyFill="1"/>
    <xf numFmtId="42" fontId="67" fillId="22" borderId="11" xfId="0" applyNumberFormat="1" applyFont="1" applyFill="1" applyBorder="1"/>
    <xf numFmtId="0" fontId="21" fillId="0" borderId="0" xfId="157"/>
    <xf numFmtId="0" fontId="18" fillId="40" borderId="10" xfId="157" applyNumberFormat="1" applyFont="1" applyFill="1" applyBorder="1" applyAlignment="1">
      <alignment horizontal="center"/>
    </xf>
    <xf numFmtId="0" fontId="21" fillId="0" borderId="0" xfId="157" applyFont="1" applyFill="1"/>
    <xf numFmtId="40" fontId="18" fillId="40" borderId="11" xfId="157" applyNumberFormat="1" applyFont="1" applyFill="1" applyBorder="1" applyAlignment="1">
      <alignment horizontal="center"/>
    </xf>
    <xf numFmtId="0" fontId="21" fillId="0" borderId="0" xfId="157" applyFont="1" applyFill="1" applyBorder="1"/>
    <xf numFmtId="43" fontId="18" fillId="0" borderId="0" xfId="56" applyNumberFormat="1" applyFont="1" applyFill="1" applyBorder="1"/>
    <xf numFmtId="43" fontId="21" fillId="0" borderId="0" xfId="157" applyNumberFormat="1" applyFont="1" applyFill="1" applyBorder="1"/>
    <xf numFmtId="43" fontId="21" fillId="39" borderId="0" xfId="56" applyNumberFormat="1" applyFont="1" applyFill="1" applyBorder="1"/>
    <xf numFmtId="43" fontId="190" fillId="22" borderId="18" xfId="56" applyFont="1" applyFill="1" applyBorder="1" applyProtection="1"/>
    <xf numFmtId="43" fontId="21" fillId="37" borderId="0" xfId="56" applyNumberFormat="1" applyFont="1" applyFill="1" applyBorder="1"/>
    <xf numFmtId="0" fontId="18" fillId="22" borderId="0" xfId="157" applyFont="1" applyFill="1" applyAlignment="1">
      <alignment horizontal="center"/>
    </xf>
    <xf numFmtId="0" fontId="0" fillId="0" borderId="0" xfId="0" quotePrefix="1" applyFill="1" applyAlignment="1">
      <alignment horizontal="left" vertical="top"/>
    </xf>
    <xf numFmtId="0" fontId="21" fillId="0" borderId="0" xfId="0" quotePrefix="1" applyFont="1" applyFill="1" applyAlignment="1">
      <alignment horizontal="left" vertical="top"/>
    </xf>
    <xf numFmtId="0" fontId="21" fillId="0" borderId="0" xfId="0" applyFont="1" applyFill="1" applyAlignment="1">
      <alignment horizontal="left" vertical="top"/>
    </xf>
    <xf numFmtId="186" fontId="0" fillId="0" borderId="0" xfId="0" applyNumberFormat="1" applyBorder="1" applyAlignment="1">
      <alignment horizontal="right" vertical="top"/>
    </xf>
    <xf numFmtId="183" fontId="33" fillId="0" borderId="0" xfId="54" applyNumberFormat="1" applyFont="1" applyFill="1" applyBorder="1"/>
    <xf numFmtId="0" fontId="18" fillId="0" borderId="0" xfId="157" applyNumberFormat="1" applyFont="1" applyFill="1" applyBorder="1" applyAlignment="1">
      <alignment horizontal="center"/>
    </xf>
    <xf numFmtId="40" fontId="18" fillId="0" borderId="0" xfId="157" applyNumberFormat="1" applyFont="1" applyFill="1" applyBorder="1" applyAlignment="1">
      <alignment horizontal="center"/>
    </xf>
    <xf numFmtId="167" fontId="69" fillId="0" borderId="0" xfId="63" applyNumberFormat="1" applyFont="1" applyFill="1" applyBorder="1" applyProtection="1"/>
    <xf numFmtId="167" fontId="69" fillId="0" borderId="0" xfId="63" applyNumberFormat="1" applyFont="1" applyFill="1" applyBorder="1" applyProtection="1">
      <protection locked="0"/>
    </xf>
    <xf numFmtId="167" fontId="192" fillId="0" borderId="0" xfId="63" applyNumberFormat="1" applyFont="1" applyFill="1" applyBorder="1" applyProtection="1"/>
    <xf numFmtId="43" fontId="0" fillId="0" borderId="0" xfId="0" applyNumberFormat="1" applyFill="1"/>
    <xf numFmtId="0" fontId="21" fillId="35" borderId="0" xfId="157" applyFill="1"/>
    <xf numFmtId="0" fontId="18" fillId="35" borderId="0" xfId="0" applyFont="1" applyFill="1" applyAlignment="1">
      <alignment horizontal="center"/>
    </xf>
    <xf numFmtId="43" fontId="21" fillId="27" borderId="0" xfId="56" applyNumberFormat="1" applyFont="1" applyFill="1" applyBorder="1"/>
    <xf numFmtId="0" fontId="123" fillId="0" borderId="0" xfId="0" applyFont="1"/>
    <xf numFmtId="0" fontId="124" fillId="0" borderId="0" xfId="0" applyFont="1" applyProtection="1">
      <protection locked="0"/>
    </xf>
    <xf numFmtId="169" fontId="123" fillId="0" borderId="0" xfId="0" applyNumberFormat="1" applyFont="1"/>
    <xf numFmtId="0" fontId="125" fillId="0" borderId="0" xfId="0" applyFont="1" applyProtection="1"/>
    <xf numFmtId="0" fontId="126" fillId="0" borderId="28" xfId="0" applyFont="1" applyBorder="1" applyAlignment="1" applyProtection="1">
      <alignment horizontal="centerContinuous"/>
    </xf>
    <xf numFmtId="0" fontId="125" fillId="0" borderId="29" xfId="0" applyFont="1" applyBorder="1" applyAlignment="1" applyProtection="1">
      <alignment horizontal="centerContinuous"/>
    </xf>
    <xf numFmtId="0" fontId="125" fillId="0" borderId="30" xfId="0" applyFont="1" applyBorder="1" applyAlignment="1" applyProtection="1">
      <alignment horizontal="centerContinuous"/>
    </xf>
    <xf numFmtId="0" fontId="123" fillId="0" borderId="0" xfId="0" applyFont="1" applyAlignment="1">
      <alignment horizontal="fill"/>
    </xf>
    <xf numFmtId="0" fontId="127" fillId="0" borderId="0" xfId="0" applyFont="1" applyAlignment="1" applyProtection="1">
      <alignment horizontal="center"/>
    </xf>
    <xf numFmtId="0" fontId="125" fillId="0" borderId="0" xfId="0" applyFont="1" applyAlignment="1" applyProtection="1">
      <alignment horizontal="fill"/>
    </xf>
    <xf numFmtId="0" fontId="125" fillId="0" borderId="0" xfId="0" applyFont="1" applyAlignment="1" applyProtection="1">
      <alignment horizontal="center"/>
    </xf>
    <xf numFmtId="0" fontId="128" fillId="0" borderId="0" xfId="0" applyFont="1" applyProtection="1"/>
    <xf numFmtId="5" fontId="125" fillId="0" borderId="0" xfId="0" applyNumberFormat="1" applyFont="1" applyProtection="1"/>
    <xf numFmtId="0" fontId="129" fillId="0" borderId="0" xfId="0" applyFont="1"/>
    <xf numFmtId="167" fontId="125" fillId="0" borderId="0" xfId="54" applyNumberFormat="1" applyFont="1" applyProtection="1"/>
    <xf numFmtId="0" fontId="125" fillId="0" borderId="0" xfId="0" applyFont="1" applyFill="1" applyProtection="1"/>
    <xf numFmtId="167" fontId="125" fillId="0" borderId="0" xfId="54" applyNumberFormat="1" applyFont="1" applyFill="1" applyProtection="1"/>
    <xf numFmtId="167" fontId="123" fillId="0" borderId="0" xfId="54" applyNumberFormat="1" applyFont="1"/>
    <xf numFmtId="185" fontId="125" fillId="0" borderId="0" xfId="54" applyNumberFormat="1" applyFont="1" applyFill="1" applyProtection="1"/>
    <xf numFmtId="0" fontId="123" fillId="0" borderId="0" xfId="0" applyFont="1" applyFill="1"/>
    <xf numFmtId="167" fontId="130" fillId="0" borderId="0" xfId="54" applyNumberFormat="1" applyFont="1" applyFill="1" applyProtection="1">
      <protection locked="0"/>
    </xf>
    <xf numFmtId="0" fontId="193" fillId="0" borderId="0" xfId="0" applyFont="1" applyFill="1" applyAlignment="1" applyProtection="1">
      <alignment horizontal="left"/>
    </xf>
    <xf numFmtId="167" fontId="131" fillId="18" borderId="31" xfId="54" applyNumberFormat="1" applyFont="1" applyFill="1" applyBorder="1" applyProtection="1"/>
    <xf numFmtId="167" fontId="132" fillId="0" borderId="0" xfId="54" applyNumberFormat="1" applyFont="1" applyFill="1" applyProtection="1"/>
    <xf numFmtId="167" fontId="125" fillId="0" borderId="11" xfId="54" applyNumberFormat="1" applyFont="1" applyFill="1" applyBorder="1" applyAlignment="1" applyProtection="1">
      <alignment horizontal="right"/>
    </xf>
    <xf numFmtId="167" fontId="123" fillId="0" borderId="11" xfId="54" applyNumberFormat="1" applyFont="1" applyFill="1" applyBorder="1"/>
    <xf numFmtId="167" fontId="125" fillId="0" borderId="11" xfId="54" applyNumberFormat="1" applyFont="1" applyFill="1" applyBorder="1" applyProtection="1"/>
    <xf numFmtId="167" fontId="125" fillId="0" borderId="0" xfId="54" applyNumberFormat="1" applyFont="1" applyAlignment="1" applyProtection="1">
      <alignment horizontal="right"/>
    </xf>
    <xf numFmtId="167" fontId="125" fillId="0" borderId="12" xfId="54" applyNumberFormat="1" applyFont="1" applyBorder="1" applyProtection="1"/>
    <xf numFmtId="167" fontId="133" fillId="19" borderId="31" xfId="54" applyNumberFormat="1" applyFont="1" applyFill="1" applyBorder="1" applyProtection="1"/>
    <xf numFmtId="0" fontId="123" fillId="41" borderId="0" xfId="0" applyFont="1" applyFill="1"/>
    <xf numFmtId="17" fontId="134" fillId="0" borderId="0" xfId="0" applyNumberFormat="1" applyFont="1" applyFill="1" applyAlignment="1">
      <alignment horizontal="center"/>
    </xf>
    <xf numFmtId="17" fontId="135" fillId="0" borderId="0" xfId="0" applyNumberFormat="1" applyFont="1" applyFill="1" applyAlignment="1">
      <alignment horizontal="center"/>
    </xf>
    <xf numFmtId="0" fontId="136" fillId="37" borderId="0" xfId="0" applyFont="1" applyFill="1" applyAlignment="1" applyProtection="1">
      <alignment horizontal="center"/>
    </xf>
    <xf numFmtId="0" fontId="136" fillId="0" borderId="0" xfId="0" applyFont="1" applyFill="1" applyAlignment="1" applyProtection="1">
      <alignment horizontal="center"/>
    </xf>
    <xf numFmtId="0" fontId="137" fillId="0" borderId="0" xfId="0" applyFont="1" applyProtection="1"/>
    <xf numFmtId="172" fontId="138" fillId="0" borderId="0" xfId="60" applyNumberFormat="1" applyFont="1" applyFill="1" applyProtection="1"/>
    <xf numFmtId="0" fontId="136" fillId="0" borderId="0" xfId="0" applyFont="1" applyFill="1" applyProtection="1"/>
    <xf numFmtId="5" fontId="194" fillId="0" borderId="0" xfId="0" applyNumberFormat="1" applyFont="1" applyFill="1" applyProtection="1"/>
    <xf numFmtId="5" fontId="136" fillId="0" borderId="0" xfId="0" applyNumberFormat="1" applyFont="1" applyFill="1" applyProtection="1"/>
    <xf numFmtId="167" fontId="194" fillId="0" borderId="0" xfId="60" applyNumberFormat="1" applyFont="1" applyFill="1" applyProtection="1"/>
    <xf numFmtId="167" fontId="136" fillId="0" borderId="0" xfId="60" applyNumberFormat="1" applyFont="1" applyFill="1" applyProtection="1"/>
    <xf numFmtId="167" fontId="136" fillId="0" borderId="0" xfId="60" applyNumberFormat="1" applyFont="1" applyFill="1" applyBorder="1" applyProtection="1"/>
    <xf numFmtId="167" fontId="136" fillId="0" borderId="11" xfId="60" applyNumberFormat="1" applyFont="1" applyFill="1" applyBorder="1" applyAlignment="1" applyProtection="1">
      <alignment horizontal="fill"/>
    </xf>
    <xf numFmtId="0" fontId="129" fillId="0" borderId="0" xfId="0" applyFont="1" applyFill="1"/>
    <xf numFmtId="10" fontId="125" fillId="0" borderId="0" xfId="215" applyNumberFormat="1" applyFont="1" applyProtection="1"/>
    <xf numFmtId="167" fontId="130" fillId="0" borderId="0" xfId="54" applyNumberFormat="1" applyFont="1" applyProtection="1"/>
    <xf numFmtId="167" fontId="130" fillId="0" borderId="0" xfId="54" applyNumberFormat="1" applyFont="1" applyProtection="1">
      <protection locked="0"/>
    </xf>
    <xf numFmtId="167" fontId="136" fillId="0" borderId="0" xfId="60" applyNumberFormat="1" applyFont="1" applyFill="1" applyBorder="1" applyAlignment="1" applyProtection="1">
      <alignment horizontal="fill"/>
    </xf>
    <xf numFmtId="167" fontId="136" fillId="0" borderId="12" xfId="60" applyNumberFormat="1" applyFont="1" applyFill="1" applyBorder="1" applyProtection="1"/>
    <xf numFmtId="37" fontId="136" fillId="0" borderId="0" xfId="0" applyNumberFormat="1" applyFont="1" applyFill="1" applyProtection="1"/>
    <xf numFmtId="0" fontId="137" fillId="0" borderId="0" xfId="0" applyFont="1" applyFill="1" applyProtection="1"/>
    <xf numFmtId="37" fontId="136" fillId="0" borderId="0" xfId="0" applyNumberFormat="1" applyFont="1" applyFill="1" applyAlignment="1" applyProtection="1">
      <alignment horizontal="center"/>
    </xf>
    <xf numFmtId="167" fontId="136" fillId="0" borderId="11" xfId="60" applyNumberFormat="1" applyFont="1" applyFill="1" applyBorder="1" applyProtection="1"/>
    <xf numFmtId="167" fontId="136" fillId="0" borderId="0" xfId="60" applyNumberFormat="1" applyFont="1" applyFill="1" applyAlignment="1" applyProtection="1">
      <alignment horizontal="fill"/>
    </xf>
    <xf numFmtId="0" fontId="123" fillId="0" borderId="0" xfId="0" quotePrefix="1" applyFont="1" applyFill="1"/>
    <xf numFmtId="0" fontId="129" fillId="0" borderId="0" xfId="0" applyFont="1" applyFill="1" applyBorder="1"/>
    <xf numFmtId="0" fontId="139" fillId="0" borderId="0" xfId="0" applyFont="1" applyFill="1" applyProtection="1"/>
    <xf numFmtId="37" fontId="139" fillId="0" borderId="0" xfId="0" applyNumberFormat="1" applyFont="1" applyFill="1" applyProtection="1"/>
    <xf numFmtId="37" fontId="140" fillId="0" borderId="0" xfId="0" applyNumberFormat="1" applyFont="1" applyFill="1" applyProtection="1"/>
    <xf numFmtId="0" fontId="123" fillId="24" borderId="0" xfId="0" applyFont="1" applyFill="1"/>
    <xf numFmtId="0" fontId="181" fillId="24" borderId="0" xfId="0" applyFont="1" applyFill="1"/>
    <xf numFmtId="0" fontId="127" fillId="0" borderId="0" xfId="0" applyFont="1" applyFill="1" applyProtection="1"/>
    <xf numFmtId="37" fontId="125" fillId="0" borderId="0" xfId="0" applyNumberFormat="1" applyFont="1" applyFill="1" applyProtection="1"/>
    <xf numFmtId="169" fontId="125" fillId="0" borderId="0" xfId="0" applyNumberFormat="1" applyFont="1" applyFill="1" applyProtection="1">
      <protection locked="0"/>
    </xf>
    <xf numFmtId="37" fontId="125" fillId="0" borderId="0" xfId="0" applyNumberFormat="1" applyFont="1" applyFill="1" applyAlignment="1" applyProtection="1">
      <alignment horizontal="center"/>
    </xf>
    <xf numFmtId="0" fontId="125" fillId="0" borderId="0" xfId="0" applyFont="1" applyFill="1" applyAlignment="1" applyProtection="1">
      <alignment horizontal="center"/>
    </xf>
    <xf numFmtId="0" fontId="127" fillId="0" borderId="0" xfId="0" applyFont="1" applyFill="1" applyAlignment="1" applyProtection="1">
      <alignment horizontal="center"/>
    </xf>
    <xf numFmtId="37" fontId="127" fillId="0" borderId="0" xfId="0" applyNumberFormat="1" applyFont="1" applyFill="1" applyAlignment="1" applyProtection="1">
      <alignment horizontal="center"/>
    </xf>
    <xf numFmtId="167" fontId="125" fillId="0" borderId="0" xfId="60" applyNumberFormat="1" applyFont="1" applyFill="1" applyProtection="1"/>
    <xf numFmtId="167" fontId="125" fillId="0" borderId="0" xfId="0" applyNumberFormat="1" applyFont="1" applyFill="1" applyProtection="1"/>
    <xf numFmtId="167" fontId="123" fillId="0" borderId="0" xfId="60" applyNumberFormat="1" applyFont="1" applyFill="1"/>
    <xf numFmtId="37" fontId="123" fillId="0" borderId="0" xfId="0" applyNumberFormat="1" applyFont="1" applyFill="1"/>
    <xf numFmtId="167" fontId="125" fillId="0" borderId="10" xfId="60" applyNumberFormat="1" applyFont="1" applyFill="1" applyBorder="1" applyAlignment="1" applyProtection="1">
      <alignment horizontal="right"/>
    </xf>
    <xf numFmtId="167" fontId="125" fillId="0" borderId="12" xfId="60" applyNumberFormat="1" applyFont="1" applyFill="1" applyBorder="1" applyProtection="1"/>
    <xf numFmtId="37" fontId="125" fillId="0" borderId="0" xfId="0" applyNumberFormat="1" applyFont="1" applyFill="1" applyAlignment="1" applyProtection="1">
      <alignment horizontal="right"/>
    </xf>
    <xf numFmtId="167" fontId="123" fillId="0" borderId="0" xfId="0" applyNumberFormat="1" applyFont="1"/>
    <xf numFmtId="167" fontId="125" fillId="0" borderId="0" xfId="60" applyNumberFormat="1" applyFont="1" applyFill="1" applyAlignment="1" applyProtection="1">
      <alignment horizontal="right"/>
    </xf>
    <xf numFmtId="0" fontId="141" fillId="0" borderId="0" xfId="0" applyFont="1" applyAlignment="1" applyProtection="1">
      <alignment horizontal="left"/>
    </xf>
    <xf numFmtId="0" fontId="142" fillId="0" borderId="0" xfId="0" applyFont="1"/>
    <xf numFmtId="0" fontId="141" fillId="0" borderId="0" xfId="0" applyFont="1" applyAlignment="1" applyProtection="1">
      <alignment horizontal="centerContinuous"/>
    </xf>
    <xf numFmtId="0" fontId="141" fillId="0" borderId="0" xfId="0" applyFont="1" applyAlignment="1" applyProtection="1"/>
    <xf numFmtId="0" fontId="141" fillId="0" borderId="0" xfId="0" applyFont="1" applyProtection="1"/>
    <xf numFmtId="0" fontId="195" fillId="0" borderId="0" xfId="0" applyFont="1" applyBorder="1" applyProtection="1"/>
    <xf numFmtId="0" fontId="196" fillId="0" borderId="0" xfId="0" applyFont="1" applyBorder="1" applyProtection="1"/>
    <xf numFmtId="0" fontId="141" fillId="0" borderId="0" xfId="0" applyFont="1" applyBorder="1" applyProtection="1"/>
    <xf numFmtId="0" fontId="142" fillId="0" borderId="0" xfId="0" applyFont="1" applyBorder="1"/>
    <xf numFmtId="0" fontId="181" fillId="0" borderId="0" xfId="0" applyFont="1"/>
    <xf numFmtId="0" fontId="197" fillId="0" borderId="0" xfId="0" applyFont="1"/>
    <xf numFmtId="17" fontId="143" fillId="0" borderId="0" xfId="0" applyNumberFormat="1" applyFont="1" applyFill="1" applyAlignment="1">
      <alignment horizontal="center"/>
    </xf>
    <xf numFmtId="0" fontId="142" fillId="0" borderId="0" xfId="0" applyFont="1" applyAlignment="1">
      <alignment horizontal="center"/>
    </xf>
    <xf numFmtId="167" fontId="142" fillId="0" borderId="0" xfId="54" applyNumberFormat="1" applyFont="1"/>
    <xf numFmtId="167" fontId="142" fillId="35" borderId="0" xfId="54" applyNumberFormat="1" applyFont="1" applyFill="1"/>
    <xf numFmtId="0" fontId="142" fillId="0" borderId="0" xfId="0" applyFont="1" applyBorder="1" applyAlignment="1">
      <alignment horizontal="center"/>
    </xf>
    <xf numFmtId="167" fontId="142" fillId="0" borderId="0" xfId="54" applyNumberFormat="1" applyFont="1" applyBorder="1"/>
    <xf numFmtId="167" fontId="142" fillId="35" borderId="0" xfId="54" applyNumberFormat="1" applyFont="1" applyFill="1" applyBorder="1"/>
    <xf numFmtId="167" fontId="142" fillId="0" borderId="11" xfId="54" applyNumberFormat="1" applyFont="1" applyBorder="1"/>
    <xf numFmtId="167" fontId="181" fillId="22" borderId="11" xfId="60" applyNumberFormat="1" applyFont="1" applyFill="1" applyBorder="1"/>
    <xf numFmtId="0" fontId="198" fillId="0" borderId="0" xfId="0" applyFont="1" applyAlignment="1">
      <alignment horizontal="right"/>
    </xf>
    <xf numFmtId="43" fontId="142" fillId="0" borderId="0" xfId="54" applyNumberFormat="1" applyFont="1"/>
    <xf numFmtId="170" fontId="142" fillId="0" borderId="0" xfId="0" applyNumberFormat="1" applyFont="1" applyFill="1" applyBorder="1"/>
    <xf numFmtId="170" fontId="142" fillId="35" borderId="0" xfId="0" applyNumberFormat="1" applyFont="1" applyFill="1" applyBorder="1"/>
    <xf numFmtId="170" fontId="181" fillId="22" borderId="0" xfId="0" applyNumberFormat="1" applyFont="1" applyFill="1"/>
    <xf numFmtId="170" fontId="181" fillId="39" borderId="0" xfId="0" applyNumberFormat="1" applyFont="1" applyFill="1"/>
    <xf numFmtId="170" fontId="181" fillId="22" borderId="11" xfId="0" applyNumberFormat="1" applyFont="1" applyFill="1" applyBorder="1"/>
    <xf numFmtId="170" fontId="181" fillId="39" borderId="11" xfId="0" applyNumberFormat="1" applyFont="1" applyFill="1" applyBorder="1"/>
    <xf numFmtId="10" fontId="144" fillId="0" borderId="0" xfId="218" applyNumberFormat="1" applyFont="1" applyFill="1" applyAlignment="1"/>
    <xf numFmtId="10" fontId="144" fillId="35" borderId="0" xfId="218" applyNumberFormat="1" applyFont="1" applyFill="1" applyAlignment="1"/>
    <xf numFmtId="0" fontId="199" fillId="0" borderId="0" xfId="0" applyFont="1" applyBorder="1" applyProtection="1"/>
    <xf numFmtId="10" fontId="200" fillId="0" borderId="0" xfId="218" applyNumberFormat="1" applyFont="1" applyFill="1" applyAlignment="1"/>
    <xf numFmtId="10" fontId="200" fillId="35" borderId="0" xfId="218" applyNumberFormat="1" applyFont="1" applyFill="1" applyAlignment="1"/>
    <xf numFmtId="10" fontId="200" fillId="26" borderId="0" xfId="218" applyNumberFormat="1" applyFont="1" applyFill="1" applyAlignment="1"/>
    <xf numFmtId="10" fontId="142" fillId="0" borderId="0" xfId="215" applyNumberFormat="1" applyFont="1"/>
    <xf numFmtId="10" fontId="182" fillId="0" borderId="0" xfId="215" applyNumberFormat="1" applyFont="1"/>
    <xf numFmtId="10" fontId="182" fillId="0" borderId="0" xfId="215" applyNumberFormat="1" applyFont="1" applyFill="1"/>
    <xf numFmtId="10" fontId="182" fillId="0" borderId="0" xfId="218" applyNumberFormat="1" applyFont="1" applyFill="1"/>
    <xf numFmtId="167" fontId="142" fillId="0" borderId="0" xfId="0" applyNumberFormat="1" applyFont="1"/>
    <xf numFmtId="0" fontId="145" fillId="0" borderId="0" xfId="0" applyFont="1" applyFill="1" applyAlignment="1" applyProtection="1">
      <alignment horizontal="centerContinuous"/>
    </xf>
    <xf numFmtId="0" fontId="146" fillId="0" borderId="0" xfId="0" applyFont="1" applyFill="1" applyAlignment="1" applyProtection="1">
      <alignment horizontal="centerContinuous"/>
    </xf>
    <xf numFmtId="0" fontId="147" fillId="0" borderId="0" xfId="0" applyFont="1" applyFill="1" applyAlignment="1" applyProtection="1">
      <alignment horizontal="centerContinuous"/>
    </xf>
    <xf numFmtId="0" fontId="147" fillId="0" borderId="0" xfId="0" applyFont="1" applyFill="1" applyProtection="1"/>
    <xf numFmtId="0" fontId="148" fillId="0" borderId="0" xfId="0" applyFont="1" applyFill="1"/>
    <xf numFmtId="0" fontId="149" fillId="0" borderId="0" xfId="0" applyFont="1" applyFill="1"/>
    <xf numFmtId="0" fontId="150" fillId="0" borderId="0" xfId="0" applyFont="1" applyFill="1"/>
    <xf numFmtId="0" fontId="146" fillId="0" borderId="0" xfId="0" applyFont="1" applyFill="1" applyProtection="1"/>
    <xf numFmtId="0" fontId="146" fillId="0" borderId="0" xfId="0" applyFont="1" applyFill="1" applyAlignment="1" applyProtection="1">
      <alignment horizontal="center"/>
    </xf>
    <xf numFmtId="0" fontId="151" fillId="0" borderId="0" xfId="0" applyFont="1" applyFill="1" applyAlignment="1" applyProtection="1">
      <alignment horizontal="center"/>
    </xf>
    <xf numFmtId="0" fontId="146" fillId="0" borderId="27" xfId="0" applyFont="1" applyFill="1" applyBorder="1" applyProtection="1"/>
    <xf numFmtId="37" fontId="146" fillId="0" borderId="27" xfId="0" applyNumberFormat="1" applyFont="1" applyFill="1" applyBorder="1" applyProtection="1"/>
    <xf numFmtId="37" fontId="146" fillId="0" borderId="0" xfId="0" applyNumberFormat="1" applyFont="1" applyFill="1" applyProtection="1"/>
    <xf numFmtId="164" fontId="146" fillId="0" borderId="27" xfId="0" applyNumberFormat="1" applyFont="1" applyFill="1" applyBorder="1" applyProtection="1"/>
    <xf numFmtId="164" fontId="146" fillId="0" borderId="0" xfId="0" applyNumberFormat="1" applyFont="1" applyFill="1" applyProtection="1"/>
    <xf numFmtId="164" fontId="147" fillId="0" borderId="0" xfId="0" applyNumberFormat="1" applyFont="1" applyFill="1" applyProtection="1"/>
    <xf numFmtId="0" fontId="146" fillId="0" borderId="32" xfId="0" applyFont="1" applyFill="1" applyBorder="1" applyProtection="1"/>
    <xf numFmtId="0" fontId="147" fillId="0" borderId="32" xfId="0" applyFont="1" applyFill="1" applyBorder="1" applyProtection="1"/>
    <xf numFmtId="10" fontId="147" fillId="0" borderId="0" xfId="215" applyNumberFormat="1" applyFont="1" applyFill="1" applyProtection="1"/>
    <xf numFmtId="0" fontId="151" fillId="0" borderId="0" xfId="0" applyFont="1" applyFill="1" applyBorder="1" applyProtection="1"/>
    <xf numFmtId="0" fontId="147" fillId="0" borderId="0" xfId="0" applyFont="1" applyFill="1" applyBorder="1" applyProtection="1"/>
    <xf numFmtId="0" fontId="146" fillId="0" borderId="0" xfId="0" applyFont="1" applyFill="1" applyBorder="1" applyProtection="1"/>
    <xf numFmtId="0" fontId="147" fillId="0" borderId="0" xfId="0" applyFont="1" applyFill="1" applyAlignment="1" applyProtection="1">
      <alignment horizontal="center"/>
    </xf>
    <xf numFmtId="0" fontId="146" fillId="0" borderId="27" xfId="0" applyFont="1" applyFill="1" applyBorder="1" applyAlignment="1" applyProtection="1">
      <alignment horizontal="center"/>
    </xf>
    <xf numFmtId="164" fontId="152" fillId="0" borderId="0" xfId="0" applyNumberFormat="1" applyFont="1" applyFill="1" applyAlignment="1" applyProtection="1">
      <alignment horizontal="center"/>
    </xf>
    <xf numFmtId="0" fontId="146" fillId="0" borderId="33" xfId="0" applyFont="1" applyFill="1" applyBorder="1" applyProtection="1"/>
    <xf numFmtId="0" fontId="146" fillId="0" borderId="34" xfId="0" applyFont="1" applyFill="1" applyBorder="1" applyProtection="1"/>
    <xf numFmtId="0" fontId="146" fillId="0" borderId="35" xfId="0" applyFont="1" applyFill="1" applyBorder="1" applyProtection="1"/>
    <xf numFmtId="0" fontId="146" fillId="0" borderId="13" xfId="0" applyFont="1" applyFill="1" applyBorder="1" applyProtection="1"/>
    <xf numFmtId="0" fontId="146" fillId="0" borderId="36" xfId="0" applyFont="1" applyFill="1" applyBorder="1" applyProtection="1"/>
    <xf numFmtId="0" fontId="147" fillId="0" borderId="34" xfId="0" applyFont="1" applyFill="1" applyBorder="1" applyProtection="1"/>
    <xf numFmtId="0" fontId="146" fillId="0" borderId="35" xfId="0" applyFont="1" applyFill="1" applyBorder="1" applyAlignment="1" applyProtection="1">
      <alignment horizontal="center"/>
    </xf>
    <xf numFmtId="0" fontId="146" fillId="0" borderId="37" xfId="0" applyFont="1" applyFill="1" applyBorder="1" applyProtection="1"/>
    <xf numFmtId="0" fontId="146" fillId="0" borderId="38" xfId="0" applyFont="1" applyFill="1" applyBorder="1" applyProtection="1"/>
    <xf numFmtId="0" fontId="146" fillId="0" borderId="0" xfId="0" applyFont="1" applyFill="1" applyAlignment="1" applyProtection="1">
      <alignment horizontal="right"/>
    </xf>
    <xf numFmtId="0" fontId="148" fillId="0" borderId="0" xfId="0" applyFont="1" applyFill="1" applyAlignment="1">
      <alignment horizontal="centerContinuous"/>
    </xf>
    <xf numFmtId="169" fontId="145" fillId="0" borderId="0" xfId="0" applyNumberFormat="1" applyFont="1" applyFill="1" applyAlignment="1" applyProtection="1">
      <alignment horizontal="centerContinuous"/>
    </xf>
    <xf numFmtId="0" fontId="147" fillId="0" borderId="0" xfId="0" applyFont="1" applyFill="1" applyAlignment="1" applyProtection="1">
      <alignment horizontal="left"/>
    </xf>
    <xf numFmtId="167" fontId="148" fillId="0" borderId="0" xfId="0" applyNumberFormat="1" applyFont="1" applyFill="1"/>
    <xf numFmtId="0" fontId="147" fillId="0" borderId="27" xfId="0" applyFont="1" applyFill="1" applyBorder="1" applyAlignment="1" applyProtection="1">
      <alignment horizontal="center"/>
    </xf>
    <xf numFmtId="41" fontId="147" fillId="0" borderId="27" xfId="54" applyNumberFormat="1" applyFont="1" applyFill="1" applyBorder="1" applyProtection="1"/>
    <xf numFmtId="41" fontId="147" fillId="0" borderId="0" xfId="54" applyNumberFormat="1" applyFont="1" applyFill="1" applyProtection="1"/>
    <xf numFmtId="41" fontId="147" fillId="0" borderId="0" xfId="0" applyNumberFormat="1" applyFont="1" applyFill="1" applyProtection="1"/>
    <xf numFmtId="37" fontId="147" fillId="0" borderId="0" xfId="0" applyNumberFormat="1" applyFont="1" applyFill="1" applyProtection="1"/>
    <xf numFmtId="0" fontId="153" fillId="0" borderId="0" xfId="0" applyFont="1" applyFill="1" applyProtection="1"/>
    <xf numFmtId="167" fontId="147" fillId="0" borderId="0" xfId="54" applyNumberFormat="1" applyFont="1" applyFill="1" applyProtection="1"/>
    <xf numFmtId="167" fontId="147" fillId="0" borderId="0" xfId="56" applyNumberFormat="1" applyFont="1" applyFill="1" applyProtection="1"/>
    <xf numFmtId="41" fontId="147" fillId="0" borderId="11" xfId="54" applyNumberFormat="1" applyFont="1" applyFill="1" applyBorder="1" applyProtection="1"/>
    <xf numFmtId="41" fontId="147" fillId="0" borderId="32" xfId="54" applyNumberFormat="1" applyFont="1" applyFill="1" applyBorder="1" applyProtection="1"/>
    <xf numFmtId="41" fontId="148" fillId="0" borderId="0" xfId="0" applyNumberFormat="1" applyFont="1" applyFill="1"/>
    <xf numFmtId="37" fontId="156" fillId="0" borderId="0" xfId="0" applyNumberFormat="1" applyFont="1" applyFill="1" applyAlignment="1" applyProtection="1">
      <alignment horizontal="centerContinuous"/>
    </xf>
    <xf numFmtId="41" fontId="157" fillId="0" borderId="0" xfId="0" applyNumberFormat="1" applyFont="1" applyFill="1" applyAlignment="1" applyProtection="1">
      <alignment horizontal="centerContinuous"/>
    </xf>
    <xf numFmtId="41" fontId="147" fillId="0" borderId="0" xfId="0" applyNumberFormat="1" applyFont="1" applyFill="1" applyAlignment="1" applyProtection="1">
      <alignment horizontal="centerContinuous"/>
    </xf>
    <xf numFmtId="41" fontId="156" fillId="0" borderId="0" xfId="0" applyNumberFormat="1" applyFont="1" applyFill="1" applyAlignment="1" applyProtection="1">
      <alignment horizontal="centerContinuous"/>
    </xf>
    <xf numFmtId="0" fontId="156" fillId="0" borderId="0" xfId="0" applyFont="1" applyFill="1" applyAlignment="1" applyProtection="1">
      <alignment horizontal="centerContinuous"/>
    </xf>
    <xf numFmtId="41" fontId="157" fillId="0" borderId="0" xfId="0" applyNumberFormat="1" applyFont="1" applyFill="1" applyAlignment="1" applyProtection="1">
      <alignment horizontal="left"/>
    </xf>
    <xf numFmtId="169" fontId="156" fillId="0" borderId="0" xfId="0" applyNumberFormat="1" applyFont="1" applyFill="1" applyAlignment="1" applyProtection="1">
      <alignment horizontal="centerContinuous"/>
    </xf>
    <xf numFmtId="41" fontId="147" fillId="0" borderId="0" xfId="0" applyNumberFormat="1" applyFont="1" applyFill="1" applyAlignment="1" applyProtection="1">
      <alignment horizontal="center"/>
    </xf>
    <xf numFmtId="37" fontId="147" fillId="0" borderId="0" xfId="0" applyNumberFormat="1" applyFont="1" applyFill="1" applyAlignment="1" applyProtection="1">
      <alignment horizontal="center"/>
    </xf>
    <xf numFmtId="41" fontId="147" fillId="0" borderId="27" xfId="0" applyNumberFormat="1" applyFont="1" applyFill="1" applyBorder="1" applyAlignment="1" applyProtection="1">
      <alignment horizontal="center"/>
    </xf>
    <xf numFmtId="0" fontId="147" fillId="0" borderId="0" xfId="0" applyFont="1" applyFill="1" applyAlignment="1" applyProtection="1">
      <alignment horizontal="left" indent="1"/>
    </xf>
    <xf numFmtId="0" fontId="154" fillId="0" borderId="0" xfId="0" applyFont="1" applyFill="1" applyAlignment="1" applyProtection="1">
      <alignment horizontal="left" indent="1"/>
    </xf>
    <xf numFmtId="43" fontId="147" fillId="0" borderId="0" xfId="54" applyFont="1" applyFill="1" applyProtection="1"/>
    <xf numFmtId="41" fontId="146" fillId="0" borderId="0" xfId="0" applyNumberFormat="1" applyFont="1" applyFill="1" applyAlignment="1" applyProtection="1">
      <alignment horizontal="centerContinuous"/>
    </xf>
    <xf numFmtId="0" fontId="154" fillId="0" borderId="0" xfId="0" applyFont="1" applyFill="1" applyProtection="1"/>
    <xf numFmtId="41" fontId="146" fillId="0" borderId="0" xfId="0" applyNumberFormat="1" applyFont="1" applyFill="1" applyAlignment="1" applyProtection="1">
      <alignment horizontal="center"/>
    </xf>
    <xf numFmtId="41" fontId="154" fillId="0" borderId="0" xfId="54" applyNumberFormat="1" applyFont="1" applyFill="1" applyBorder="1" applyProtection="1"/>
    <xf numFmtId="41" fontId="155" fillId="0" borderId="0" xfId="54" applyNumberFormat="1" applyFont="1" applyFill="1" applyProtection="1"/>
    <xf numFmtId="41" fontId="147" fillId="0" borderId="27" xfId="0" applyNumberFormat="1" applyFont="1" applyFill="1" applyBorder="1" applyProtection="1"/>
    <xf numFmtId="41" fontId="154" fillId="0" borderId="11" xfId="0" applyNumberFormat="1" applyFont="1" applyFill="1" applyBorder="1" applyProtection="1"/>
    <xf numFmtId="41" fontId="155" fillId="0" borderId="11" xfId="54" applyNumberFormat="1" applyFont="1" applyFill="1" applyBorder="1" applyProtection="1"/>
    <xf numFmtId="41" fontId="147" fillId="0" borderId="12" xfId="54" applyNumberFormat="1" applyFont="1" applyFill="1" applyBorder="1" applyProtection="1"/>
    <xf numFmtId="41" fontId="154" fillId="0" borderId="32" xfId="54" applyNumberFormat="1" applyFont="1" applyFill="1" applyBorder="1" applyProtection="1">
      <protection locked="0"/>
    </xf>
    <xf numFmtId="167" fontId="147" fillId="0" borderId="0" xfId="0" applyNumberFormat="1" applyFont="1" applyFill="1" applyProtection="1"/>
    <xf numFmtId="37" fontId="157" fillId="0" borderId="0" xfId="0" applyNumberFormat="1" applyFont="1" applyFill="1" applyAlignment="1" applyProtection="1">
      <alignment horizontal="centerContinuous"/>
    </xf>
    <xf numFmtId="37" fontId="157" fillId="0" borderId="0" xfId="0" applyNumberFormat="1" applyFont="1" applyFill="1" applyAlignment="1" applyProtection="1">
      <alignment horizontal="left"/>
    </xf>
    <xf numFmtId="37" fontId="147" fillId="0" borderId="0" xfId="0" applyNumberFormat="1" applyFont="1" applyFill="1" applyAlignment="1" applyProtection="1">
      <alignment horizontal="left"/>
    </xf>
    <xf numFmtId="0" fontId="158" fillId="0" borderId="0" xfId="0" applyFont="1" applyFill="1" applyProtection="1"/>
    <xf numFmtId="37" fontId="158" fillId="0" borderId="0" xfId="0" applyNumberFormat="1" applyFont="1" applyFill="1" applyProtection="1"/>
    <xf numFmtId="37" fontId="158" fillId="0" borderId="27" xfId="0" applyNumberFormat="1" applyFont="1" applyFill="1" applyBorder="1" applyAlignment="1" applyProtection="1">
      <alignment horizontal="centerContinuous"/>
    </xf>
    <xf numFmtId="37" fontId="158" fillId="0" borderId="0" xfId="0" applyNumberFormat="1" applyFont="1" applyFill="1" applyAlignment="1" applyProtection="1">
      <alignment horizontal="center"/>
    </xf>
    <xf numFmtId="0" fontId="159" fillId="0" borderId="0" xfId="0" applyFont="1" applyFill="1" applyAlignment="1" applyProtection="1">
      <alignment horizontal="center"/>
    </xf>
    <xf numFmtId="37" fontId="158" fillId="0" borderId="27" xfId="0" applyNumberFormat="1" applyFont="1" applyFill="1" applyBorder="1" applyAlignment="1" applyProtection="1">
      <alignment horizontal="center"/>
    </xf>
    <xf numFmtId="167" fontId="158" fillId="0" borderId="0" xfId="54" applyNumberFormat="1" applyFont="1" applyFill="1" applyProtection="1"/>
    <xf numFmtId="10" fontId="201" fillId="0" borderId="0" xfId="0" applyNumberFormat="1" applyFont="1" applyFill="1" applyProtection="1"/>
    <xf numFmtId="164" fontId="158" fillId="0" borderId="0" xfId="0" applyNumberFormat="1" applyFont="1" applyFill="1" applyProtection="1"/>
    <xf numFmtId="37" fontId="202" fillId="0" borderId="0" xfId="0" applyNumberFormat="1" applyFont="1" applyFill="1" applyProtection="1"/>
    <xf numFmtId="164" fontId="203" fillId="0" borderId="0" xfId="0" applyNumberFormat="1" applyFont="1" applyFill="1" applyProtection="1"/>
    <xf numFmtId="164" fontId="160" fillId="0" borderId="0" xfId="0" applyNumberFormat="1" applyFont="1" applyFill="1" applyProtection="1"/>
    <xf numFmtId="164" fontId="161" fillId="0" borderId="0" xfId="0" applyNumberFormat="1" applyFont="1" applyFill="1" applyProtection="1"/>
    <xf numFmtId="167" fontId="158" fillId="0" borderId="27" xfId="54" applyNumberFormat="1" applyFont="1" applyFill="1" applyBorder="1" applyProtection="1"/>
    <xf numFmtId="10" fontId="201" fillId="0" borderId="27" xfId="0" applyNumberFormat="1" applyFont="1" applyFill="1" applyBorder="1" applyProtection="1"/>
    <xf numFmtId="164" fontId="158" fillId="0" borderId="27" xfId="0" applyNumberFormat="1" applyFont="1" applyFill="1" applyBorder="1" applyProtection="1"/>
    <xf numFmtId="37" fontId="158" fillId="0" borderId="32" xfId="0" applyNumberFormat="1" applyFont="1" applyFill="1" applyBorder="1" applyProtection="1"/>
    <xf numFmtId="164" fontId="158" fillId="0" borderId="32" xfId="0" applyNumberFormat="1" applyFont="1" applyFill="1" applyBorder="1" applyProtection="1"/>
    <xf numFmtId="37" fontId="145" fillId="0" borderId="0" xfId="0" applyNumberFormat="1" applyFont="1" applyFill="1" applyAlignment="1" applyProtection="1">
      <alignment horizontal="centerContinuous"/>
    </xf>
    <xf numFmtId="37" fontId="146" fillId="0" borderId="0" xfId="0" applyNumberFormat="1" applyFont="1" applyFill="1" applyAlignment="1" applyProtection="1">
      <alignment horizontal="centerContinuous"/>
    </xf>
    <xf numFmtId="37" fontId="147" fillId="0" borderId="0" xfId="0" applyNumberFormat="1" applyFont="1" applyFill="1" applyAlignment="1" applyProtection="1">
      <alignment horizontal="centerContinuous"/>
    </xf>
    <xf numFmtId="37" fontId="146" fillId="0" borderId="0" xfId="0" applyNumberFormat="1" applyFont="1" applyFill="1" applyAlignment="1" applyProtection="1">
      <alignment horizontal="left"/>
    </xf>
    <xf numFmtId="37" fontId="157" fillId="0" borderId="0" xfId="0" applyNumberFormat="1" applyFont="1" applyFill="1" applyProtection="1"/>
    <xf numFmtId="39" fontId="147" fillId="0" borderId="0" xfId="0" applyNumberFormat="1" applyFont="1" applyFill="1" applyProtection="1"/>
    <xf numFmtId="179" fontId="147" fillId="0" borderId="0" xfId="54" applyNumberFormat="1" applyFont="1" applyFill="1" applyProtection="1"/>
    <xf numFmtId="0" fontId="151" fillId="0" borderId="0" xfId="0" applyFont="1" applyFill="1" applyProtection="1"/>
    <xf numFmtId="39" fontId="146" fillId="0" borderId="0" xfId="0" applyNumberFormat="1" applyFont="1" applyFill="1" applyProtection="1"/>
    <xf numFmtId="39" fontId="162" fillId="0" borderId="0" xfId="0" applyNumberFormat="1" applyFont="1" applyFill="1" applyProtection="1"/>
    <xf numFmtId="39" fontId="146" fillId="0" borderId="39" xfId="0" applyNumberFormat="1" applyFont="1" applyFill="1" applyBorder="1" applyProtection="1"/>
    <xf numFmtId="39" fontId="146" fillId="0" borderId="27" xfId="0" applyNumberFormat="1" applyFont="1" applyFill="1" applyBorder="1" applyProtection="1"/>
    <xf numFmtId="39" fontId="146" fillId="0" borderId="32" xfId="0" applyNumberFormat="1" applyFont="1" applyFill="1" applyBorder="1" applyProtection="1"/>
    <xf numFmtId="37" fontId="163" fillId="0" borderId="0" xfId="0" applyNumberFormat="1" applyFont="1" applyFill="1" applyProtection="1"/>
    <xf numFmtId="0" fontId="22" fillId="26" borderId="0" xfId="0" quotePrefix="1" applyFont="1" applyFill="1"/>
    <xf numFmtId="167" fontId="119" fillId="0" borderId="0" xfId="54" applyNumberFormat="1" applyFont="1" applyFill="1"/>
    <xf numFmtId="0" fontId="21" fillId="0" borderId="0" xfId="89" applyNumberFormat="1" applyFont="1" applyFill="1" applyBorder="1"/>
    <xf numFmtId="0" fontId="123" fillId="26" borderId="0" xfId="0" applyFont="1" applyFill="1"/>
    <xf numFmtId="0" fontId="204" fillId="0" borderId="0" xfId="0" applyFont="1" applyFill="1" applyProtection="1"/>
    <xf numFmtId="0" fontId="0" fillId="0" borderId="0" xfId="0" applyFill="1" applyBorder="1" applyAlignment="1">
      <alignment horizontal="left" vertical="top"/>
    </xf>
    <xf numFmtId="0" fontId="22" fillId="22" borderId="0" xfId="0" quotePrefix="1" applyFont="1" applyFill="1" applyBorder="1"/>
    <xf numFmtId="167" fontId="182" fillId="22" borderId="0" xfId="60" applyNumberFormat="1" applyFont="1" applyFill="1" applyBorder="1"/>
    <xf numFmtId="0" fontId="67" fillId="0" borderId="0" xfId="0" applyFont="1" applyFill="1" applyBorder="1" applyAlignment="1">
      <alignment horizontal="left"/>
    </xf>
    <xf numFmtId="0" fontId="67" fillId="0" borderId="0" xfId="0" quotePrefix="1" applyFont="1" applyFill="1" applyBorder="1" applyAlignment="1">
      <alignment horizontal="left"/>
    </xf>
    <xf numFmtId="0" fontId="67" fillId="0" borderId="0" xfId="0" applyFont="1" applyBorder="1"/>
    <xf numFmtId="0" fontId="43" fillId="0" borderId="0" xfId="0" applyFont="1" applyFill="1" applyBorder="1" applyAlignment="1">
      <alignment horizontal="left" indent="1"/>
    </xf>
    <xf numFmtId="0" fontId="69" fillId="0" borderId="0" xfId="0" applyFont="1" applyFill="1" applyBorder="1" applyAlignment="1">
      <alignment horizontal="center"/>
    </xf>
    <xf numFmtId="0" fontId="28" fillId="0" borderId="0" xfId="0" applyFont="1" applyFill="1" applyBorder="1" applyAlignment="1">
      <alignment horizontal="center"/>
    </xf>
    <xf numFmtId="3" fontId="67" fillId="0" borderId="0" xfId="0" applyNumberFormat="1" applyFont="1" applyFill="1" applyBorder="1"/>
    <xf numFmtId="14" fontId="21" fillId="0" borderId="0" xfId="0" applyNumberFormat="1" applyFont="1" applyFill="1" applyBorder="1" applyAlignment="1">
      <alignment horizontal="center"/>
    </xf>
    <xf numFmtId="37" fontId="28" fillId="0" borderId="0" xfId="0" applyNumberFormat="1" applyFont="1" applyFill="1" applyBorder="1"/>
    <xf numFmtId="3" fontId="43" fillId="0" borderId="0" xfId="0" applyNumberFormat="1" applyFont="1" applyFill="1" applyBorder="1"/>
    <xf numFmtId="3" fontId="28" fillId="0" borderId="0" xfId="0" applyNumberFormat="1" applyFont="1" applyFill="1" applyBorder="1"/>
    <xf numFmtId="173" fontId="28" fillId="0" borderId="0" xfId="0" applyNumberFormat="1" applyFont="1" applyFill="1" applyBorder="1"/>
    <xf numFmtId="16" fontId="25" fillId="0" borderId="0" xfId="0" quotePrefix="1" applyNumberFormat="1" applyFont="1" applyFill="1" applyBorder="1" applyAlignment="1">
      <alignment horizontal="centerContinuous"/>
    </xf>
    <xf numFmtId="44" fontId="184" fillId="0" borderId="0" xfId="89" applyNumberFormat="1" applyFont="1" applyFill="1"/>
    <xf numFmtId="0" fontId="21" fillId="0" borderId="56" xfId="0" quotePrefix="1" applyFont="1" applyFill="1" applyBorder="1" applyAlignment="1">
      <alignment horizontal="left" vertical="top"/>
    </xf>
    <xf numFmtId="17" fontId="191" fillId="0" borderId="0" xfId="0" applyNumberFormat="1" applyFont="1" applyAlignment="1">
      <alignment horizontal="center"/>
    </xf>
    <xf numFmtId="17" fontId="191" fillId="0" borderId="0" xfId="0" applyNumberFormat="1" applyFont="1"/>
    <xf numFmtId="0" fontId="191" fillId="0" borderId="0" xfId="0" applyFont="1"/>
    <xf numFmtId="0" fontId="191" fillId="0" borderId="0" xfId="0" applyFont="1" applyAlignment="1">
      <alignment horizontal="right"/>
    </xf>
    <xf numFmtId="185" fontId="205" fillId="42" borderId="18" xfId="73" applyNumberFormat="1" applyFont="1" applyFill="1" applyBorder="1"/>
    <xf numFmtId="185" fontId="205" fillId="22" borderId="18" xfId="73" applyNumberFormat="1" applyFont="1" applyFill="1" applyBorder="1"/>
    <xf numFmtId="185" fontId="205" fillId="42" borderId="0" xfId="0" applyNumberFormat="1" applyFont="1" applyFill="1"/>
    <xf numFmtId="185" fontId="205" fillId="43" borderId="0" xfId="0" applyNumberFormat="1" applyFont="1" applyFill="1"/>
    <xf numFmtId="0" fontId="206" fillId="0" borderId="0" xfId="0" applyFont="1" applyFill="1"/>
    <xf numFmtId="0" fontId="205" fillId="0" borderId="0" xfId="0" applyFont="1" applyFill="1"/>
    <xf numFmtId="17" fontId="207" fillId="25" borderId="0" xfId="0" applyNumberFormat="1" applyFont="1" applyFill="1" applyAlignment="1">
      <alignment horizontal="center"/>
    </xf>
    <xf numFmtId="0" fontId="191" fillId="22" borderId="0" xfId="0" applyFont="1" applyFill="1" applyAlignment="1">
      <alignment horizontal="center"/>
    </xf>
    <xf numFmtId="0" fontId="208" fillId="0" borderId="0" xfId="0" applyFont="1" applyAlignment="1">
      <alignment horizontal="center"/>
    </xf>
    <xf numFmtId="0" fontId="0" fillId="0" borderId="0" xfId="0" applyAlignment="1">
      <alignment horizontal="center"/>
    </xf>
    <xf numFmtId="186" fontId="0" fillId="30" borderId="0" xfId="0" applyNumberFormat="1" applyFill="1" applyBorder="1" applyAlignment="1">
      <alignment horizontal="right" vertical="top"/>
    </xf>
    <xf numFmtId="43" fontId="164" fillId="0" borderId="0" xfId="54" applyFont="1" applyFill="1"/>
    <xf numFmtId="41" fontId="147" fillId="44" borderId="27" xfId="54" applyNumberFormat="1" applyFont="1" applyFill="1" applyBorder="1" applyProtection="1"/>
    <xf numFmtId="167" fontId="125" fillId="44" borderId="0" xfId="54" applyNumberFormat="1" applyFont="1" applyFill="1" applyProtection="1"/>
    <xf numFmtId="165" fontId="22" fillId="44" borderId="0" xfId="0" applyNumberFormat="1" applyFont="1" applyFill="1" applyBorder="1" applyProtection="1"/>
    <xf numFmtId="167" fontId="125" fillId="45" borderId="0" xfId="54" applyNumberFormat="1" applyFont="1" applyFill="1" applyProtection="1"/>
    <xf numFmtId="167" fontId="21" fillId="45" borderId="0" xfId="54" applyNumberFormat="1" applyFont="1" applyFill="1"/>
    <xf numFmtId="0" fontId="107" fillId="0" borderId="0" xfId="0" applyFont="1" applyFill="1" applyAlignment="1">
      <alignment horizontal="left" vertical="top"/>
    </xf>
    <xf numFmtId="0" fontId="0" fillId="0" borderId="56" xfId="0" applyFill="1" applyBorder="1" applyAlignment="1">
      <alignment horizontal="left" vertical="top"/>
    </xf>
    <xf numFmtId="37" fontId="22" fillId="22" borderId="0" xfId="56" applyNumberFormat="1" applyFont="1" applyFill="1"/>
    <xf numFmtId="167" fontId="181" fillId="26" borderId="0" xfId="60" applyNumberFormat="1" applyFont="1" applyFill="1"/>
    <xf numFmtId="43" fontId="184" fillId="26" borderId="0" xfId="54" applyNumberFormat="1" applyFont="1" applyFill="1"/>
    <xf numFmtId="43" fontId="147" fillId="0" borderId="0" xfId="54" applyNumberFormat="1" applyFont="1" applyFill="1" applyProtection="1"/>
    <xf numFmtId="43" fontId="21" fillId="0" borderId="0" xfId="54" applyFont="1" applyFill="1" applyAlignment="1">
      <alignment horizontal="left"/>
    </xf>
    <xf numFmtId="49" fontId="209" fillId="22" borderId="0" xfId="0" applyNumberFormat="1" applyFont="1" applyFill="1" applyAlignment="1"/>
    <xf numFmtId="49" fontId="209" fillId="35" borderId="0" xfId="0" applyNumberFormat="1" applyFont="1" applyFill="1" applyAlignment="1"/>
    <xf numFmtId="170" fontId="210" fillId="39" borderId="0" xfId="0" applyNumberFormat="1" applyFont="1" applyFill="1" applyAlignment="1"/>
    <xf numFmtId="170" fontId="211" fillId="29" borderId="0" xfId="0" applyNumberFormat="1" applyFont="1" applyFill="1" applyAlignment="1"/>
    <xf numFmtId="170" fontId="211" fillId="45" borderId="0" xfId="0" applyNumberFormat="1" applyFont="1" applyFill="1" applyAlignment="1"/>
    <xf numFmtId="10" fontId="144" fillId="45" borderId="0" xfId="218" applyNumberFormat="1" applyFont="1" applyFill="1" applyAlignment="1"/>
    <xf numFmtId="170" fontId="33" fillId="39" borderId="0" xfId="0" quotePrefix="1" applyNumberFormat="1" applyFont="1" applyFill="1"/>
    <xf numFmtId="167" fontId="21" fillId="0" borderId="0" xfId="60" applyNumberFormat="1" applyAlignment="1">
      <alignment vertical="center"/>
    </xf>
    <xf numFmtId="167" fontId="18" fillId="0" borderId="10" xfId="60" applyNumberFormat="1" applyFont="1" applyBorder="1" applyAlignment="1">
      <alignment vertical="center"/>
    </xf>
    <xf numFmtId="43" fontId="21" fillId="0" borderId="0" xfId="60" applyAlignment="1">
      <alignment vertical="center"/>
    </xf>
    <xf numFmtId="167" fontId="21" fillId="0" borderId="0" xfId="60" applyNumberFormat="1"/>
    <xf numFmtId="167" fontId="18" fillId="0" borderId="0" xfId="60" applyNumberFormat="1" applyFont="1"/>
    <xf numFmtId="167" fontId="2" fillId="0" borderId="0" xfId="56" applyNumberFormat="1" applyFont="1" applyFill="1" applyProtection="1"/>
    <xf numFmtId="167" fontId="125" fillId="44" borderId="11" xfId="54" applyNumberFormat="1" applyFont="1" applyFill="1" applyBorder="1" applyProtection="1"/>
    <xf numFmtId="167" fontId="125" fillId="45" borderId="11" xfId="54" applyNumberFormat="1" applyFont="1" applyFill="1" applyBorder="1" applyProtection="1"/>
    <xf numFmtId="0" fontId="21" fillId="0" borderId="0" xfId="0" applyFont="1" applyAlignment="1">
      <alignment horizontal="center"/>
    </xf>
    <xf numFmtId="43" fontId="21" fillId="38" borderId="0" xfId="54" applyFont="1" applyFill="1" applyAlignment="1">
      <alignment horizontal="center"/>
    </xf>
    <xf numFmtId="170" fontId="21" fillId="38" borderId="0" xfId="0" applyNumberFormat="1" applyFont="1" applyFill="1"/>
    <xf numFmtId="43" fontId="165" fillId="38" borderId="0" xfId="54" applyNumberFormat="1" applyFont="1" applyFill="1"/>
    <xf numFmtId="170" fontId="184" fillId="37" borderId="0" xfId="0" applyNumberFormat="1" applyFont="1" applyFill="1"/>
    <xf numFmtId="170" fontId="181" fillId="37" borderId="0" xfId="0" applyNumberFormat="1" applyFont="1" applyFill="1"/>
    <xf numFmtId="0" fontId="195" fillId="0" borderId="0" xfId="0" applyFont="1"/>
    <xf numFmtId="0" fontId="196" fillId="0" borderId="0" xfId="0" applyFont="1"/>
    <xf numFmtId="0" fontId="17" fillId="0" borderId="0" xfId="0" applyFont="1"/>
    <xf numFmtId="0" fontId="17" fillId="0" borderId="0" xfId="0" applyFont="1" applyAlignment="1">
      <alignment horizontal="center"/>
    </xf>
    <xf numFmtId="17" fontId="14" fillId="0" borderId="0" xfId="0" applyNumberFormat="1" applyFont="1" applyAlignment="1">
      <alignment horizontal="center"/>
    </xf>
    <xf numFmtId="167" fontId="0" fillId="0" borderId="0" xfId="56" applyNumberFormat="1" applyFont="1"/>
    <xf numFmtId="167" fontId="0" fillId="0" borderId="11" xfId="56" applyNumberFormat="1" applyFont="1" applyBorder="1"/>
    <xf numFmtId="167" fontId="21" fillId="0" borderId="0" xfId="56" applyNumberFormat="1"/>
    <xf numFmtId="10" fontId="144" fillId="0" borderId="0" xfId="218" applyNumberFormat="1" applyFont="1"/>
    <xf numFmtId="170" fontId="142" fillId="0" borderId="0" xfId="0" applyNumberFormat="1" applyFont="1"/>
    <xf numFmtId="167" fontId="181" fillId="22" borderId="0" xfId="60" applyNumberFormat="1" applyFont="1" applyFill="1" applyBorder="1"/>
    <xf numFmtId="170" fontId="181" fillId="46" borderId="11" xfId="0" applyNumberFormat="1" applyFont="1" applyFill="1" applyBorder="1"/>
    <xf numFmtId="37" fontId="22" fillId="47" borderId="0" xfId="56" applyNumberFormat="1" applyFont="1" applyFill="1"/>
    <xf numFmtId="170" fontId="181" fillId="47" borderId="0" xfId="0" applyNumberFormat="1" applyFont="1" applyFill="1"/>
    <xf numFmtId="170" fontId="184" fillId="47" borderId="0" xfId="0" applyNumberFormat="1" applyFont="1" applyFill="1"/>
    <xf numFmtId="167" fontId="184" fillId="26" borderId="0" xfId="54" applyNumberFormat="1" applyFont="1" applyFill="1"/>
    <xf numFmtId="174" fontId="17" fillId="0" borderId="0" xfId="0" applyNumberFormat="1" applyFont="1" applyAlignment="1">
      <alignment horizontal="left"/>
    </xf>
    <xf numFmtId="37" fontId="17" fillId="0" borderId="0" xfId="0" applyNumberFormat="1" applyFont="1"/>
    <xf numFmtId="39" fontId="17" fillId="0" borderId="0" xfId="0" applyNumberFormat="1" applyFont="1"/>
    <xf numFmtId="187" fontId="28" fillId="0" borderId="0" xfId="156" applyNumberFormat="1" applyFont="1" applyAlignment="1">
      <alignment horizontal="centerContinuous"/>
    </xf>
    <xf numFmtId="37" fontId="43" fillId="0" borderId="0" xfId="156" applyNumberFormat="1" applyFont="1" applyAlignment="1">
      <alignment horizontal="centerContinuous"/>
    </xf>
    <xf numFmtId="37" fontId="43" fillId="0" borderId="0" xfId="156" applyNumberFormat="1" applyFont="1" applyAlignment="1">
      <alignment horizontal="right"/>
    </xf>
    <xf numFmtId="37" fontId="43" fillId="0" borderId="0" xfId="156" applyNumberFormat="1" applyFont="1"/>
    <xf numFmtId="39" fontId="43" fillId="0" borderId="0" xfId="156" applyNumberFormat="1" applyFont="1"/>
    <xf numFmtId="37" fontId="43" fillId="0" borderId="0" xfId="156" quotePrefix="1" applyNumberFormat="1" applyFont="1" applyAlignment="1">
      <alignment horizontal="center"/>
    </xf>
    <xf numFmtId="37" fontId="43" fillId="0" borderId="0" xfId="156" applyNumberFormat="1" applyFont="1" applyAlignment="1">
      <alignment horizontal="center"/>
    </xf>
    <xf numFmtId="37" fontId="28" fillId="0" borderId="0" xfId="156" quotePrefix="1" applyNumberFormat="1" applyFont="1" applyAlignment="1">
      <alignment horizontal="center"/>
    </xf>
    <xf numFmtId="37" fontId="43" fillId="0" borderId="11" xfId="156" applyNumberFormat="1" applyFont="1" applyBorder="1" applyAlignment="1">
      <alignment horizontal="center"/>
    </xf>
    <xf numFmtId="37" fontId="43" fillId="0" borderId="11" xfId="156" quotePrefix="1" applyNumberFormat="1" applyFont="1" applyBorder="1" applyAlignment="1">
      <alignment horizontal="center"/>
    </xf>
    <xf numFmtId="37" fontId="68" fillId="0" borderId="0" xfId="156" applyNumberFormat="1" applyFont="1" applyAlignment="1">
      <alignment horizontal="right"/>
    </xf>
    <xf numFmtId="10" fontId="43" fillId="0" borderId="0" xfId="218" applyNumberFormat="1" applyFont="1" applyFill="1" applyAlignment="1"/>
    <xf numFmtId="37" fontId="68" fillId="0" borderId="0" xfId="156" applyNumberFormat="1" applyFont="1"/>
    <xf numFmtId="10" fontId="189" fillId="0" borderId="0" xfId="218" applyNumberFormat="1" applyFont="1" applyFill="1" applyAlignment="1"/>
    <xf numFmtId="43" fontId="43" fillId="0" borderId="0" xfId="74" applyFont="1" applyFill="1" applyAlignment="1"/>
    <xf numFmtId="10" fontId="43" fillId="0" borderId="11" xfId="218" applyNumberFormat="1" applyFont="1" applyFill="1" applyBorder="1" applyAlignment="1"/>
    <xf numFmtId="43" fontId="43" fillId="0" borderId="11" xfId="74" applyFont="1" applyFill="1" applyBorder="1" applyAlignment="1"/>
    <xf numFmtId="10" fontId="43" fillId="0" borderId="0" xfId="218" applyNumberFormat="1" applyFont="1" applyFill="1" applyBorder="1" applyAlignment="1"/>
    <xf numFmtId="43" fontId="43" fillId="0" borderId="0" xfId="74" applyFont="1" applyFill="1" applyBorder="1" applyAlignment="1"/>
    <xf numFmtId="0" fontId="43" fillId="0" borderId="0" xfId="0" applyFont="1"/>
    <xf numFmtId="37" fontId="43" fillId="0" borderId="0" xfId="0" applyNumberFormat="1" applyFont="1"/>
    <xf numFmtId="37" fontId="43" fillId="0" borderId="0" xfId="0" applyNumberFormat="1" applyFont="1" applyAlignment="1">
      <alignment horizontal="center"/>
    </xf>
    <xf numFmtId="0" fontId="167" fillId="0" borderId="0" xfId="0" applyFont="1" applyAlignment="1">
      <alignment horizontal="center"/>
    </xf>
    <xf numFmtId="37" fontId="43" fillId="0" borderId="27" xfId="0" applyNumberFormat="1" applyFont="1" applyBorder="1" applyAlignment="1">
      <alignment horizontal="center"/>
    </xf>
    <xf numFmtId="178" fontId="43" fillId="0" borderId="0" xfId="89" applyNumberFormat="1" applyFont="1" applyFill="1" applyProtection="1"/>
    <xf numFmtId="167" fontId="43" fillId="0" borderId="0" xfId="56" applyNumberFormat="1" applyFont="1" applyFill="1" applyProtection="1"/>
    <xf numFmtId="167" fontId="43" fillId="0" borderId="11" xfId="56" applyNumberFormat="1" applyFont="1" applyFill="1" applyBorder="1" applyProtection="1"/>
    <xf numFmtId="178" fontId="43" fillId="0" borderId="0" xfId="89" applyNumberFormat="1" applyFont="1" applyFill="1" applyBorder="1" applyProtection="1"/>
    <xf numFmtId="37" fontId="43" fillId="0" borderId="0" xfId="0" applyNumberFormat="1" applyFont="1" applyAlignment="1">
      <alignment horizontal="centerContinuous"/>
    </xf>
    <xf numFmtId="37" fontId="43" fillId="0" borderId="0" xfId="0" applyNumberFormat="1" applyFont="1" applyAlignment="1">
      <alignment horizontal="left"/>
    </xf>
    <xf numFmtId="164" fontId="43" fillId="0" borderId="0" xfId="0" applyNumberFormat="1" applyFont="1"/>
    <xf numFmtId="10" fontId="43" fillId="0" borderId="0" xfId="218" applyNumberFormat="1" applyFont="1" applyFill="1" applyProtection="1"/>
    <xf numFmtId="37" fontId="28" fillId="0" borderId="0" xfId="156" applyNumberFormat="1" applyFont="1"/>
    <xf numFmtId="187" fontId="28" fillId="0" borderId="0" xfId="156" applyNumberFormat="1" applyFont="1"/>
    <xf numFmtId="37" fontId="43" fillId="0" borderId="0" xfId="156" quotePrefix="1" applyNumberFormat="1" applyFont="1" applyAlignment="1">
      <alignment horizontal="left"/>
    </xf>
    <xf numFmtId="0" fontId="43" fillId="0" borderId="0" xfId="156" applyFont="1" applyAlignment="1">
      <alignment horizontal="center"/>
    </xf>
    <xf numFmtId="37" fontId="43" fillId="0" borderId="0" xfId="156" applyNumberFormat="1" applyFont="1" applyAlignment="1">
      <alignment horizontal="fill"/>
    </xf>
    <xf numFmtId="0" fontId="43" fillId="0" borderId="0" xfId="156" quotePrefix="1" applyFont="1" applyAlignment="1">
      <alignment horizontal="center"/>
    </xf>
    <xf numFmtId="37" fontId="167" fillId="0" borderId="0" xfId="156" applyNumberFormat="1" applyFont="1"/>
    <xf numFmtId="187" fontId="28" fillId="0" borderId="0" xfId="156" quotePrefix="1" applyNumberFormat="1" applyFont="1"/>
    <xf numFmtId="189" fontId="43" fillId="0" borderId="0" xfId="156" applyNumberFormat="1" applyFont="1"/>
    <xf numFmtId="165" fontId="1" fillId="0" borderId="0" xfId="216" applyNumberFormat="1" applyFill="1"/>
    <xf numFmtId="9" fontId="1" fillId="0" borderId="0" xfId="216" applyFill="1"/>
    <xf numFmtId="190" fontId="43" fillId="0" borderId="0" xfId="156" applyNumberFormat="1" applyFont="1" applyAlignment="1">
      <alignment horizontal="center"/>
    </xf>
    <xf numFmtId="189" fontId="43" fillId="0" borderId="0" xfId="156" quotePrefix="1" applyNumberFormat="1" applyFont="1"/>
    <xf numFmtId="0" fontId="43" fillId="0" borderId="0" xfId="0" applyFont="1" applyAlignment="1">
      <alignment vertical="top"/>
    </xf>
    <xf numFmtId="0" fontId="18" fillId="40" borderId="10" xfId="157" quotePrefix="1" applyNumberFormat="1" applyFont="1" applyFill="1" applyBorder="1" applyAlignment="1">
      <alignment horizontal="center"/>
    </xf>
    <xf numFmtId="170" fontId="21" fillId="36" borderId="11" xfId="0" applyNumberFormat="1" applyFont="1" applyFill="1" applyBorder="1"/>
    <xf numFmtId="167" fontId="125" fillId="22" borderId="0" xfId="54" applyNumberFormat="1" applyFont="1" applyFill="1" applyProtection="1"/>
    <xf numFmtId="167" fontId="21" fillId="29" borderId="11" xfId="54" applyNumberFormat="1" applyFont="1" applyFill="1" applyBorder="1"/>
    <xf numFmtId="167" fontId="142" fillId="35" borderId="11" xfId="54" applyNumberFormat="1" applyFont="1" applyFill="1" applyBorder="1"/>
    <xf numFmtId="10" fontId="202" fillId="39" borderId="32" xfId="0" applyNumberFormat="1" applyFont="1" applyFill="1" applyBorder="1" applyProtection="1"/>
    <xf numFmtId="37" fontId="0" fillId="26" borderId="0" xfId="0" applyNumberFormat="1" applyFill="1"/>
    <xf numFmtId="167" fontId="165" fillId="38" borderId="0" xfId="54" applyNumberFormat="1" applyFont="1" applyFill="1"/>
    <xf numFmtId="0" fontId="18" fillId="0" borderId="0" xfId="167" applyFont="1" applyAlignment="1">
      <alignment vertical="center"/>
    </xf>
    <xf numFmtId="0" fontId="18" fillId="0" borderId="0" xfId="167" applyFont="1"/>
    <xf numFmtId="0" fontId="21" fillId="0" borderId="0" xfId="167"/>
    <xf numFmtId="170" fontId="211" fillId="26" borderId="0" xfId="0" applyNumberFormat="1" applyFont="1" applyFill="1" applyAlignment="1"/>
    <xf numFmtId="41" fontId="11" fillId="0" borderId="0" xfId="0" applyNumberFormat="1" applyFont="1" applyFill="1" applyAlignment="1" applyProtection="1">
      <alignment horizontal="centerContinuous"/>
    </xf>
    <xf numFmtId="10" fontId="204" fillId="0" borderId="0" xfId="0" applyNumberFormat="1" applyFont="1" applyFill="1" applyProtection="1"/>
    <xf numFmtId="43" fontId="142" fillId="0" borderId="0" xfId="54" applyFont="1"/>
    <xf numFmtId="43" fontId="142" fillId="0" borderId="11" xfId="54" applyFont="1" applyFill="1" applyBorder="1"/>
    <xf numFmtId="43" fontId="142" fillId="0" borderId="0" xfId="0" applyNumberFormat="1" applyFont="1"/>
    <xf numFmtId="170" fontId="181" fillId="45" borderId="0" xfId="0" applyNumberFormat="1" applyFont="1" applyFill="1"/>
    <xf numFmtId="17" fontId="14" fillId="0" borderId="0" xfId="0" quotePrefix="1" applyNumberFormat="1" applyFont="1" applyFill="1" applyAlignment="1">
      <alignment horizontal="center"/>
    </xf>
    <xf numFmtId="41" fontId="2" fillId="0" borderId="27" xfId="54" applyNumberFormat="1" applyFont="1" applyFill="1" applyBorder="1" applyProtection="1"/>
    <xf numFmtId="41" fontId="2" fillId="0" borderId="0" xfId="54" applyNumberFormat="1" applyFont="1" applyFill="1" applyProtection="1"/>
    <xf numFmtId="41" fontId="2" fillId="0" borderId="0" xfId="0" applyNumberFormat="1" applyFont="1" applyFill="1" applyProtection="1"/>
    <xf numFmtId="41" fontId="2" fillId="0" borderId="0" xfId="54" applyNumberFormat="1" applyFont="1" applyFill="1" applyProtection="1">
      <protection locked="0"/>
    </xf>
    <xf numFmtId="41" fontId="2" fillId="0" borderId="0" xfId="60" applyNumberFormat="1" applyFont="1" applyFill="1" applyProtection="1"/>
    <xf numFmtId="41" fontId="2" fillId="0" borderId="11" xfId="54" applyNumberFormat="1" applyFont="1" applyFill="1" applyBorder="1" applyProtection="1"/>
    <xf numFmtId="41" fontId="2" fillId="44" borderId="0" xfId="54" applyNumberFormat="1" applyFont="1" applyFill="1" applyProtection="1"/>
    <xf numFmtId="41" fontId="2" fillId="24" borderId="0" xfId="54" applyNumberFormat="1" applyFont="1" applyFill="1" applyProtection="1"/>
    <xf numFmtId="41" fontId="2" fillId="0" borderId="0" xfId="0" applyNumberFormat="1" applyFont="1" applyFill="1" applyProtection="1">
      <protection locked="0"/>
    </xf>
    <xf numFmtId="41" fontId="2" fillId="44" borderId="27" xfId="54" applyNumberFormat="1" applyFont="1" applyFill="1" applyBorder="1" applyProtection="1"/>
    <xf numFmtId="41" fontId="2" fillId="0" borderId="32" xfId="54" applyNumberFormat="1" applyFont="1" applyFill="1" applyBorder="1" applyProtection="1"/>
    <xf numFmtId="43" fontId="21" fillId="47" borderId="0" xfId="54" applyFont="1" applyFill="1" applyAlignment="1">
      <alignment horizontal="center"/>
    </xf>
    <xf numFmtId="43" fontId="21" fillId="45" borderId="0" xfId="54" applyFont="1" applyFill="1" applyAlignment="1">
      <alignment horizontal="center"/>
    </xf>
    <xf numFmtId="170" fontId="181" fillId="48" borderId="0" xfId="0" applyNumberFormat="1" applyFont="1" applyFill="1"/>
    <xf numFmtId="0" fontId="7" fillId="0" borderId="0" xfId="0" applyFont="1" applyAlignment="1">
      <alignment horizontal="centerContinuous"/>
    </xf>
    <xf numFmtId="0" fontId="6" fillId="0" borderId="0" xfId="0" applyFont="1" applyAlignment="1">
      <alignment horizontal="centerContinuous"/>
    </xf>
    <xf numFmtId="0" fontId="2" fillId="0" borderId="0" xfId="0" applyFont="1" applyAlignment="1">
      <alignment horizontal="centerContinuous"/>
    </xf>
    <xf numFmtId="0" fontId="2" fillId="0" borderId="0" xfId="0" applyFont="1"/>
    <xf numFmtId="0" fontId="27" fillId="0" borderId="0" xfId="0" applyFont="1"/>
    <xf numFmtId="0" fontId="6" fillId="0" borderId="0" xfId="0" applyFont="1"/>
    <xf numFmtId="0" fontId="6" fillId="0" borderId="0" xfId="0" applyFont="1" applyAlignment="1">
      <alignment horizontal="center"/>
    </xf>
    <xf numFmtId="0" fontId="9" fillId="0" borderId="0" xfId="0" applyFont="1" applyAlignment="1">
      <alignment horizontal="center"/>
    </xf>
    <xf numFmtId="0" fontId="6" fillId="0" borderId="27" xfId="0" applyFont="1" applyBorder="1"/>
    <xf numFmtId="37" fontId="6" fillId="0" borderId="27" xfId="0" applyNumberFormat="1" applyFont="1" applyBorder="1"/>
    <xf numFmtId="37" fontId="6" fillId="0" borderId="0" xfId="0" applyNumberFormat="1" applyFont="1"/>
    <xf numFmtId="164" fontId="6" fillId="0" borderId="27" xfId="0" applyNumberFormat="1" applyFont="1" applyBorder="1"/>
    <xf numFmtId="164" fontId="6" fillId="0" borderId="0" xfId="0" applyNumberFormat="1" applyFont="1"/>
    <xf numFmtId="164" fontId="2" fillId="0" borderId="0" xfId="0" applyNumberFormat="1" applyFont="1"/>
    <xf numFmtId="0" fontId="6" fillId="0" borderId="32" xfId="0" applyFont="1" applyBorder="1"/>
    <xf numFmtId="0" fontId="2" fillId="0" borderId="32" xfId="0" applyFont="1" applyBorder="1"/>
    <xf numFmtId="0" fontId="9" fillId="0" borderId="0" xfId="0" applyFont="1"/>
    <xf numFmtId="0" fontId="2" fillId="0" borderId="0" xfId="0" applyFont="1" applyAlignment="1">
      <alignment horizontal="center"/>
    </xf>
    <xf numFmtId="0" fontId="6" fillId="0" borderId="27" xfId="0" applyFont="1" applyBorder="1" applyAlignment="1">
      <alignment horizontal="center"/>
    </xf>
    <xf numFmtId="16" fontId="2" fillId="0" borderId="0" xfId="0" applyNumberFormat="1" applyFont="1"/>
    <xf numFmtId="164" fontId="6" fillId="22" borderId="27" xfId="0" applyNumberFormat="1" applyFont="1" applyFill="1" applyBorder="1"/>
    <xf numFmtId="0" fontId="6" fillId="0" borderId="33" xfId="0" applyFont="1" applyBorder="1"/>
    <xf numFmtId="0" fontId="6" fillId="0" borderId="34" xfId="0" applyFont="1" applyBorder="1"/>
    <xf numFmtId="0" fontId="6" fillId="0" borderId="35" xfId="0" applyFont="1" applyBorder="1"/>
    <xf numFmtId="0" fontId="6" fillId="0" borderId="13" xfId="0" applyFont="1" applyBorder="1"/>
    <xf numFmtId="0" fontId="6" fillId="0" borderId="36" xfId="0" applyFont="1" applyBorder="1"/>
    <xf numFmtId="0" fontId="2" fillId="0" borderId="34" xfId="0" applyFont="1" applyBorder="1"/>
    <xf numFmtId="0" fontId="6" fillId="0" borderId="35" xfId="0" applyFont="1" applyBorder="1" applyAlignment="1">
      <alignment horizontal="center"/>
    </xf>
    <xf numFmtId="0" fontId="6" fillId="0" borderId="37" xfId="0" applyFont="1" applyBorder="1"/>
    <xf numFmtId="0" fontId="6" fillId="0" borderId="38" xfId="0" applyFont="1" applyBorder="1"/>
    <xf numFmtId="0" fontId="6" fillId="0" borderId="0" xfId="0" applyFont="1" applyAlignment="1">
      <alignment horizontal="right"/>
    </xf>
    <xf numFmtId="169" fontId="7" fillId="0" borderId="0" xfId="0" applyNumberFormat="1" applyFont="1" applyAlignment="1">
      <alignment horizontal="centerContinuous"/>
    </xf>
    <xf numFmtId="0" fontId="2" fillId="0" borderId="0" xfId="0" applyFont="1" applyAlignment="1">
      <alignment horizontal="left"/>
    </xf>
    <xf numFmtId="167" fontId="6" fillId="0" borderId="0" xfId="56" applyNumberFormat="1" applyFont="1"/>
    <xf numFmtId="0" fontId="2" fillId="0" borderId="27" xfId="0" applyFont="1" applyBorder="1" applyAlignment="1">
      <alignment horizontal="center"/>
    </xf>
    <xf numFmtId="167" fontId="2" fillId="0" borderId="0" xfId="56" applyNumberFormat="1" applyFont="1"/>
    <xf numFmtId="37" fontId="2" fillId="0" borderId="0" xfId="0" applyNumberFormat="1" applyFont="1"/>
    <xf numFmtId="167" fontId="2" fillId="0" borderId="0" xfId="0" applyNumberFormat="1" applyFont="1"/>
    <xf numFmtId="0" fontId="4" fillId="0" borderId="0" xfId="0" applyFont="1"/>
    <xf numFmtId="0" fontId="204" fillId="0" borderId="0" xfId="0" applyFont="1"/>
    <xf numFmtId="37" fontId="10" fillId="0" borderId="0" xfId="0" applyNumberFormat="1" applyFont="1" applyAlignment="1">
      <alignment horizontal="centerContinuous"/>
    </xf>
    <xf numFmtId="37" fontId="11" fillId="0" borderId="0" xfId="0" applyNumberFormat="1" applyFont="1" applyAlignment="1">
      <alignment horizontal="centerContinuous"/>
    </xf>
    <xf numFmtId="37" fontId="2" fillId="0" borderId="0" xfId="0" applyNumberFormat="1" applyFont="1" applyAlignment="1">
      <alignment horizontal="centerContinuous"/>
    </xf>
    <xf numFmtId="0" fontId="10" fillId="0" borderId="0" xfId="0" applyFont="1" applyAlignment="1">
      <alignment horizontal="centerContinuous"/>
    </xf>
    <xf numFmtId="37" fontId="11" fillId="0" borderId="0" xfId="0" applyNumberFormat="1" applyFont="1" applyAlignment="1">
      <alignment horizontal="left"/>
    </xf>
    <xf numFmtId="37" fontId="2" fillId="0" borderId="0" xfId="0" applyNumberFormat="1" applyFont="1" applyAlignment="1">
      <alignment horizontal="center"/>
    </xf>
    <xf numFmtId="37" fontId="2" fillId="0" borderId="27" xfId="0" applyNumberFormat="1" applyFont="1" applyBorder="1" applyAlignment="1">
      <alignment horizontal="center"/>
    </xf>
    <xf numFmtId="0" fontId="2" fillId="0" borderId="0" xfId="0" applyFont="1" applyAlignment="1">
      <alignment horizontal="left" indent="1"/>
    </xf>
    <xf numFmtId="167" fontId="204" fillId="24" borderId="0" xfId="56" applyNumberFormat="1" applyFont="1" applyFill="1"/>
    <xf numFmtId="43" fontId="2" fillId="0" borderId="0" xfId="56" applyFont="1"/>
    <xf numFmtId="0" fontId="3" fillId="0" borderId="0" xfId="0" applyFont="1"/>
    <xf numFmtId="37" fontId="2" fillId="0" borderId="0" xfId="0" applyNumberFormat="1" applyFont="1" applyAlignment="1">
      <alignment horizontal="left"/>
    </xf>
    <xf numFmtId="0" fontId="12" fillId="0" borderId="0" xfId="0" applyFont="1"/>
    <xf numFmtId="167" fontId="12" fillId="0" borderId="0" xfId="56" applyNumberFormat="1" applyFont="1"/>
    <xf numFmtId="37" fontId="12" fillId="0" borderId="0" xfId="0" applyNumberFormat="1" applyFont="1"/>
    <xf numFmtId="37" fontId="12" fillId="0" borderId="27" xfId="0" applyNumberFormat="1" applyFont="1" applyBorder="1" applyAlignment="1">
      <alignment horizontal="centerContinuous"/>
    </xf>
    <xf numFmtId="37" fontId="12" fillId="0" borderId="0" xfId="0" applyNumberFormat="1" applyFont="1" applyAlignment="1">
      <alignment horizontal="center"/>
    </xf>
    <xf numFmtId="37" fontId="204" fillId="0" borderId="40" xfId="0" applyNumberFormat="1" applyFont="1" applyBorder="1"/>
    <xf numFmtId="37" fontId="204" fillId="0" borderId="41" xfId="0" applyNumberFormat="1" applyFont="1" applyBorder="1"/>
    <xf numFmtId="37" fontId="204" fillId="0" borderId="42" xfId="0" applyNumberFormat="1" applyFont="1" applyBorder="1"/>
    <xf numFmtId="37" fontId="204" fillId="0" borderId="0" xfId="0" applyNumberFormat="1" applyFont="1"/>
    <xf numFmtId="37" fontId="2" fillId="0" borderId="43" xfId="0" applyNumberFormat="1" applyFont="1" applyBorder="1" applyAlignment="1">
      <alignment horizontal="center"/>
    </xf>
    <xf numFmtId="37" fontId="2" fillId="0" borderId="43" xfId="0" applyNumberFormat="1" applyFont="1" applyBorder="1"/>
    <xf numFmtId="0" fontId="15" fillId="0" borderId="0" xfId="0" applyFont="1" applyAlignment="1">
      <alignment horizontal="center"/>
    </xf>
    <xf numFmtId="37" fontId="12" fillId="0" borderId="27" xfId="0" applyNumberFormat="1" applyFont="1" applyBorder="1" applyAlignment="1">
      <alignment horizontal="center"/>
    </xf>
    <xf numFmtId="37" fontId="204" fillId="0" borderId="22" xfId="0" applyNumberFormat="1" applyFont="1" applyBorder="1"/>
    <xf numFmtId="37" fontId="204" fillId="0" borderId="23" xfId="0" applyNumberFormat="1" applyFont="1" applyBorder="1"/>
    <xf numFmtId="0" fontId="181" fillId="0" borderId="24" xfId="0" applyFont="1" applyBorder="1"/>
    <xf numFmtId="37" fontId="2" fillId="0" borderId="26" xfId="0" applyNumberFormat="1" applyFont="1" applyBorder="1" applyAlignment="1">
      <alignment horizontal="center"/>
    </xf>
    <xf numFmtId="37" fontId="2" fillId="0" borderId="19" xfId="0" applyNumberFormat="1" applyFont="1" applyBorder="1"/>
    <xf numFmtId="10" fontId="2" fillId="0" borderId="0" xfId="218" applyNumberFormat="1" applyFont="1"/>
    <xf numFmtId="37" fontId="2" fillId="0" borderId="14" xfId="0" applyNumberFormat="1" applyFont="1" applyBorder="1"/>
    <xf numFmtId="37" fontId="2" fillId="0" borderId="25" xfId="0" applyNumberFormat="1" applyFont="1" applyBorder="1"/>
    <xf numFmtId="10" fontId="2" fillId="0" borderId="25" xfId="218" applyNumberFormat="1" applyFont="1" applyBorder="1"/>
    <xf numFmtId="37" fontId="30" fillId="0" borderId="19" xfId="0" applyNumberFormat="1" applyFont="1" applyBorder="1"/>
    <xf numFmtId="37" fontId="2" fillId="0" borderId="22" xfId="0" applyNumberFormat="1" applyFont="1" applyBorder="1"/>
    <xf numFmtId="37" fontId="2" fillId="0" borderId="23" xfId="0" applyNumberFormat="1" applyFont="1" applyBorder="1"/>
    <xf numFmtId="37" fontId="2" fillId="0" borderId="24" xfId="0" applyNumberFormat="1" applyFont="1" applyBorder="1"/>
    <xf numFmtId="37" fontId="2" fillId="0" borderId="26" xfId="0" applyNumberFormat="1" applyFont="1" applyBorder="1"/>
    <xf numFmtId="10" fontId="12" fillId="0" borderId="0" xfId="56" applyNumberFormat="1" applyFont="1"/>
    <xf numFmtId="37" fontId="7" fillId="0" borderId="0" xfId="0" applyNumberFormat="1" applyFont="1" applyAlignment="1">
      <alignment horizontal="centerContinuous"/>
    </xf>
    <xf numFmtId="37" fontId="6" fillId="0" borderId="0" xfId="0" applyNumberFormat="1" applyFont="1" applyAlignment="1">
      <alignment horizontal="centerContinuous"/>
    </xf>
    <xf numFmtId="37" fontId="11" fillId="0" borderId="0" xfId="0" applyNumberFormat="1" applyFont="1"/>
    <xf numFmtId="168" fontId="2" fillId="0" borderId="0" xfId="56" applyNumberFormat="1" applyFont="1"/>
    <xf numFmtId="180" fontId="2" fillId="0" borderId="0" xfId="218" applyNumberFormat="1" applyFont="1"/>
    <xf numFmtId="37" fontId="6" fillId="0" borderId="0" xfId="0" applyNumberFormat="1" applyFont="1" applyAlignment="1">
      <alignment horizontal="left"/>
    </xf>
    <xf numFmtId="179" fontId="2" fillId="0" borderId="0" xfId="56" applyNumberFormat="1" applyFont="1"/>
    <xf numFmtId="182" fontId="2" fillId="0" borderId="0" xfId="0" applyNumberFormat="1" applyFont="1"/>
    <xf numFmtId="37" fontId="13" fillId="0" borderId="0" xfId="0" applyNumberFormat="1" applyFont="1"/>
    <xf numFmtId="0" fontId="6" fillId="0" borderId="0" xfId="0" applyFont="1" applyProtection="1">
      <protection locked="0"/>
    </xf>
    <xf numFmtId="0" fontId="10" fillId="0" borderId="28" xfId="0" applyFont="1" applyBorder="1" applyAlignment="1">
      <alignment horizontal="centerContinuous"/>
    </xf>
    <xf numFmtId="0" fontId="2" fillId="0" borderId="29" xfId="0" applyFont="1" applyBorder="1" applyAlignment="1">
      <alignment horizontal="centerContinuous"/>
    </xf>
    <xf numFmtId="0" fontId="2" fillId="0" borderId="30" xfId="0" applyFont="1" applyBorder="1" applyAlignment="1">
      <alignment horizontal="centerContinuous"/>
    </xf>
    <xf numFmtId="0" fontId="0" fillId="0" borderId="0" xfId="0" applyAlignment="1">
      <alignment horizontal="fill"/>
    </xf>
    <xf numFmtId="0" fontId="4" fillId="0" borderId="0" xfId="0" applyFont="1" applyAlignment="1">
      <alignment horizontal="center"/>
    </xf>
    <xf numFmtId="0" fontId="2" fillId="0" borderId="0" xfId="0" applyFont="1" applyAlignment="1">
      <alignment horizontal="fill"/>
    </xf>
    <xf numFmtId="0" fontId="7" fillId="0" borderId="0" xfId="0" applyFont="1"/>
    <xf numFmtId="185" fontId="2" fillId="0" borderId="0" xfId="56" applyNumberFormat="1" applyFont="1"/>
    <xf numFmtId="0" fontId="193" fillId="0" borderId="0" xfId="0" applyFont="1" applyAlignment="1">
      <alignment horizontal="left"/>
    </xf>
    <xf numFmtId="0" fontId="0" fillId="41" borderId="0" xfId="0" applyFill="1"/>
    <xf numFmtId="0" fontId="4" fillId="0" borderId="0" xfId="0" applyFont="1" applyBorder="1"/>
    <xf numFmtId="41" fontId="147" fillId="0" borderId="0" xfId="54" applyNumberFormat="1" applyFont="1" applyFill="1" applyBorder="1" applyProtection="1"/>
    <xf numFmtId="17" fontId="18" fillId="37" borderId="0" xfId="0" applyNumberFormat="1" applyFont="1" applyFill="1" applyAlignment="1">
      <alignment horizontal="center"/>
    </xf>
    <xf numFmtId="49" fontId="135" fillId="37" borderId="0" xfId="0" applyNumberFormat="1" applyFont="1" applyFill="1" applyAlignment="1">
      <alignment horizontal="center"/>
    </xf>
    <xf numFmtId="167" fontId="18" fillId="0" borderId="0" xfId="63" applyNumberFormat="1" applyFont="1" applyProtection="1"/>
    <xf numFmtId="167" fontId="18" fillId="0" borderId="0" xfId="63" applyNumberFormat="1" applyFont="1" applyProtection="1">
      <protection locked="0"/>
    </xf>
    <xf numFmtId="168" fontId="182" fillId="22" borderId="0" xfId="54" applyNumberFormat="1" applyFont="1" applyFill="1"/>
    <xf numFmtId="167" fontId="18" fillId="0" borderId="0" xfId="157" applyNumberFormat="1" applyFont="1" applyFill="1"/>
    <xf numFmtId="167" fontId="21" fillId="0" borderId="0" xfId="157" applyNumberFormat="1"/>
    <xf numFmtId="167" fontId="21" fillId="0" borderId="0" xfId="157" applyNumberFormat="1" applyFont="1" applyFill="1" applyBorder="1"/>
    <xf numFmtId="41" fontId="2" fillId="37" borderId="0" xfId="54" applyNumberFormat="1" applyFont="1" applyFill="1" applyProtection="1">
      <protection locked="0"/>
    </xf>
    <xf numFmtId="167" fontId="67" fillId="0" borderId="0" xfId="0" applyNumberFormat="1" applyFont="1" applyFill="1"/>
    <xf numFmtId="0" fontId="21" fillId="0" borderId="0" xfId="0" applyFont="1" applyBorder="1" applyAlignment="1" applyProtection="1">
      <alignment horizontal="right"/>
    </xf>
    <xf numFmtId="169" fontId="21" fillId="0" borderId="14" xfId="0" applyNumberFormat="1" applyFont="1" applyBorder="1" applyAlignment="1" applyProtection="1">
      <alignment horizontal="right"/>
      <protection locked="0"/>
    </xf>
    <xf numFmtId="170" fontId="211" fillId="0" borderId="0" xfId="0" applyNumberFormat="1" applyFont="1" applyFill="1" applyAlignment="1"/>
    <xf numFmtId="0" fontId="182" fillId="0" borderId="0" xfId="0" applyFont="1" applyFill="1" applyAlignment="1">
      <alignment horizontal="center"/>
    </xf>
    <xf numFmtId="14" fontId="25" fillId="0" borderId="43" xfId="0" quotePrefix="1" applyNumberFormat="1" applyFont="1" applyBorder="1" applyAlignment="1">
      <alignment horizontal="center"/>
    </xf>
    <xf numFmtId="14" fontId="8" fillId="0" borderId="0" xfId="0" quotePrefix="1" applyNumberFormat="1" applyFont="1" applyFill="1" applyAlignment="1" applyProtection="1">
      <alignment horizontal="centerContinuous"/>
      <protection locked="0"/>
    </xf>
    <xf numFmtId="37" fontId="28" fillId="0" borderId="0" xfId="0" applyNumberFormat="1" applyFont="1"/>
    <xf numFmtId="37" fontId="43" fillId="0" borderId="0" xfId="0" applyNumberFormat="1" applyFont="1" applyAlignment="1">
      <alignment horizontal="right"/>
    </xf>
    <xf numFmtId="167" fontId="43" fillId="0" borderId="0" xfId="57" applyNumberFormat="1" applyFont="1" applyFill="1" applyBorder="1" applyAlignment="1"/>
    <xf numFmtId="180" fontId="2" fillId="0" borderId="0" xfId="218" applyNumberFormat="1" applyFont="1" applyBorder="1" applyAlignment="1">
      <alignment horizontal="right"/>
    </xf>
    <xf numFmtId="178" fontId="43" fillId="0" borderId="10" xfId="89" applyNumberFormat="1" applyFont="1" applyFill="1" applyBorder="1" applyAlignment="1"/>
    <xf numFmtId="37" fontId="2" fillId="0" borderId="0" xfId="0" applyNumberFormat="1" applyFont="1" applyAlignment="1">
      <alignment horizontal="right"/>
    </xf>
    <xf numFmtId="10" fontId="212" fillId="0" borderId="0" xfId="218" applyNumberFormat="1" applyFont="1" applyFill="1" applyBorder="1" applyAlignment="1"/>
    <xf numFmtId="37" fontId="43" fillId="41" borderId="0" xfId="0" applyNumberFormat="1" applyFont="1" applyFill="1"/>
    <xf numFmtId="37" fontId="213" fillId="0" borderId="0" xfId="0" applyNumberFormat="1" applyFont="1" applyAlignment="1">
      <alignment horizontal="right"/>
    </xf>
    <xf numFmtId="167" fontId="43" fillId="0" borderId="0" xfId="56" applyNumberFormat="1" applyFont="1" applyFill="1" applyBorder="1" applyAlignment="1"/>
    <xf numFmtId="167" fontId="214" fillId="0" borderId="0" xfId="54" applyNumberFormat="1" applyFont="1" applyFill="1" applyProtection="1"/>
    <xf numFmtId="167" fontId="3" fillId="0" borderId="0" xfId="0" applyNumberFormat="1" applyFont="1" applyProtection="1">
      <protection locked="0"/>
    </xf>
    <xf numFmtId="43" fontId="171" fillId="0" borderId="0" xfId="54" applyFont="1" applyFill="1"/>
    <xf numFmtId="0" fontId="0" fillId="39" borderId="0" xfId="0" applyFill="1" applyAlignment="1">
      <alignment horizontal="left" vertical="top"/>
    </xf>
    <xf numFmtId="10" fontId="21" fillId="37" borderId="0" xfId="0" applyNumberFormat="1" applyFont="1" applyFill="1" applyBorder="1" applyProtection="1">
      <protection locked="0"/>
    </xf>
    <xf numFmtId="39" fontId="0" fillId="0" borderId="0" xfId="0" applyNumberFormat="1"/>
    <xf numFmtId="39" fontId="199" fillId="0" borderId="0" xfId="0" applyNumberFormat="1" applyFont="1" applyFill="1" applyProtection="1"/>
    <xf numFmtId="0" fontId="21" fillId="0" borderId="11" xfId="0" applyFont="1" applyBorder="1"/>
    <xf numFmtId="167" fontId="125" fillId="26" borderId="0" xfId="54" applyNumberFormat="1" applyFont="1" applyFill="1" applyProtection="1"/>
    <xf numFmtId="0" fontId="18" fillId="49" borderId="44" xfId="0" applyFont="1" applyFill="1" applyBorder="1" applyAlignment="1">
      <alignment horizontal="left"/>
    </xf>
    <xf numFmtId="0" fontId="21" fillId="49" borderId="10" xfId="0" applyFont="1" applyFill="1" applyBorder="1"/>
    <xf numFmtId="0" fontId="0" fillId="49" borderId="10" xfId="0" applyFill="1" applyBorder="1"/>
    <xf numFmtId="0" fontId="0" fillId="49" borderId="45" xfId="0" applyFill="1" applyBorder="1"/>
    <xf numFmtId="0" fontId="18" fillId="49" borderId="46" xfId="0" applyFont="1" applyFill="1" applyBorder="1" applyAlignment="1">
      <alignment horizontal="left"/>
    </xf>
    <xf numFmtId="0" fontId="21" fillId="49" borderId="0" xfId="0" applyFont="1" applyFill="1"/>
    <xf numFmtId="0" fontId="0" fillId="49" borderId="0" xfId="0" applyFill="1"/>
    <xf numFmtId="0" fontId="0" fillId="49" borderId="47" xfId="0" applyFill="1" applyBorder="1"/>
    <xf numFmtId="0" fontId="21" fillId="49" borderId="46" xfId="0" applyFont="1" applyFill="1" applyBorder="1" applyAlignment="1">
      <alignment horizontal="left" indent="1"/>
    </xf>
    <xf numFmtId="0" fontId="0" fillId="49" borderId="46" xfId="0" applyFill="1" applyBorder="1" applyAlignment="1">
      <alignment horizontal="left"/>
    </xf>
    <xf numFmtId="0" fontId="198" fillId="49" borderId="46" xfId="0" applyFont="1" applyFill="1" applyBorder="1" applyAlignment="1">
      <alignment horizontal="left" indent="1"/>
    </xf>
    <xf numFmtId="0" fontId="18" fillId="49" borderId="46" xfId="0" applyFont="1" applyFill="1" applyBorder="1" applyAlignment="1">
      <alignment horizontal="left" indent="1"/>
    </xf>
    <xf numFmtId="0" fontId="215" fillId="49" borderId="46" xfId="0" applyFont="1" applyFill="1" applyBorder="1" applyAlignment="1">
      <alignment horizontal="left" indent="1"/>
    </xf>
    <xf numFmtId="0" fontId="21" fillId="49" borderId="11" xfId="0" applyFont="1" applyFill="1" applyBorder="1"/>
    <xf numFmtId="0" fontId="0" fillId="49" borderId="11" xfId="0" applyFill="1" applyBorder="1"/>
    <xf numFmtId="0" fontId="0" fillId="49" borderId="48" xfId="0" applyFill="1" applyBorder="1"/>
    <xf numFmtId="0" fontId="21" fillId="49" borderId="46" xfId="0" applyFont="1" applyFill="1" applyBorder="1" applyAlignment="1">
      <alignment horizontal="left" vertical="center" indent="1"/>
    </xf>
    <xf numFmtId="49" fontId="21" fillId="0" borderId="0" xfId="0" applyNumberFormat="1" applyFont="1" applyAlignment="1">
      <alignment horizontal="left"/>
    </xf>
    <xf numFmtId="17" fontId="190" fillId="24" borderId="25" xfId="0" quotePrefix="1" applyNumberFormat="1" applyFont="1" applyFill="1" applyBorder="1" applyAlignment="1">
      <alignment horizontal="center"/>
    </xf>
    <xf numFmtId="0" fontId="216" fillId="50" borderId="0" xfId="0" applyFont="1" applyFill="1" applyAlignment="1">
      <alignment horizontal="left"/>
    </xf>
    <xf numFmtId="0" fontId="216" fillId="50" borderId="0" xfId="0" applyFont="1" applyFill="1" applyAlignment="1">
      <alignment horizontal="center"/>
    </xf>
    <xf numFmtId="0" fontId="216" fillId="50" borderId="0" xfId="0" applyFont="1" applyFill="1"/>
    <xf numFmtId="16" fontId="35" fillId="50" borderId="0" xfId="0" quotePrefix="1" applyNumberFormat="1" applyFont="1" applyFill="1" applyBorder="1" applyAlignment="1">
      <alignment horizontal="center"/>
    </xf>
    <xf numFmtId="0" fontId="216" fillId="51" borderId="0" xfId="0" applyFont="1" applyFill="1" applyAlignment="1">
      <alignment horizontal="left"/>
    </xf>
    <xf numFmtId="0" fontId="216" fillId="51" borderId="0" xfId="0" applyFont="1" applyFill="1" applyAlignment="1">
      <alignment horizontal="center"/>
    </xf>
    <xf numFmtId="0" fontId="216" fillId="51" borderId="0" xfId="0" applyFont="1" applyFill="1"/>
    <xf numFmtId="16" fontId="35" fillId="51" borderId="0" xfId="0" quotePrefix="1" applyNumberFormat="1" applyFont="1" applyFill="1" applyBorder="1" applyAlignment="1">
      <alignment horizontal="center"/>
    </xf>
    <xf numFmtId="16" fontId="18" fillId="51" borderId="11" xfId="0" quotePrefix="1" applyNumberFormat="1" applyFont="1" applyFill="1" applyBorder="1" applyAlignment="1">
      <alignment horizontal="center"/>
    </xf>
    <xf numFmtId="168" fontId="182" fillId="0" borderId="0" xfId="54" applyNumberFormat="1" applyFont="1" applyFill="1"/>
    <xf numFmtId="0" fontId="14" fillId="0" borderId="0" xfId="0" applyFont="1" applyAlignment="1">
      <alignment horizontal="left"/>
    </xf>
    <xf numFmtId="0" fontId="21" fillId="0" borderId="0" xfId="0" applyFont="1" applyAlignment="1">
      <alignment horizontal="left" indent="1"/>
    </xf>
    <xf numFmtId="0" fontId="21" fillId="0" borderId="0" xfId="0" quotePrefix="1" applyFont="1" applyFill="1" applyAlignment="1">
      <alignment horizontal="left" indent="1"/>
    </xf>
    <xf numFmtId="170" fontId="217" fillId="0" borderId="0" xfId="0" applyNumberFormat="1" applyFont="1" applyFill="1"/>
    <xf numFmtId="37" fontId="21" fillId="0" borderId="0" xfId="54" applyNumberFormat="1" applyFont="1" applyFill="1"/>
    <xf numFmtId="37" fontId="181" fillId="0" borderId="0" xfId="0" applyNumberFormat="1" applyFont="1" applyFill="1"/>
    <xf numFmtId="37" fontId="22" fillId="0" borderId="0" xfId="56" applyNumberFormat="1" applyFont="1" applyFill="1"/>
    <xf numFmtId="0" fontId="182" fillId="0" borderId="0" xfId="0" applyFont="1"/>
    <xf numFmtId="37" fontId="182" fillId="0" borderId="0" xfId="0" applyNumberFormat="1" applyFont="1" applyFill="1"/>
    <xf numFmtId="0" fontId="33" fillId="0" borderId="0" xfId="0" quotePrefix="1" applyFont="1" applyFill="1" applyAlignment="1">
      <alignment horizontal="left" indent="1"/>
    </xf>
    <xf numFmtId="0" fontId="21" fillId="0" borderId="0" xfId="0" quotePrefix="1" applyFont="1" applyAlignment="1">
      <alignment horizontal="left" indent="1"/>
    </xf>
    <xf numFmtId="0" fontId="33" fillId="0" borderId="0" xfId="0" quotePrefix="1" applyFont="1" applyAlignment="1">
      <alignment horizontal="left" indent="1"/>
    </xf>
    <xf numFmtId="0" fontId="33" fillId="0" borderId="0" xfId="0" applyFont="1" applyAlignment="1">
      <alignment horizontal="left" indent="1"/>
    </xf>
    <xf numFmtId="0" fontId="0" fillId="0" borderId="0" xfId="0" applyAlignment="1">
      <alignment horizontal="left" indent="1"/>
    </xf>
    <xf numFmtId="167" fontId="21" fillId="0" borderId="11" xfId="54" applyNumberFormat="1" applyFont="1" applyFill="1" applyBorder="1"/>
    <xf numFmtId="0" fontId="18" fillId="0" borderId="0" xfId="157" applyFont="1"/>
    <xf numFmtId="0" fontId="218" fillId="50" borderId="10" xfId="157" applyFont="1" applyFill="1" applyBorder="1" applyAlignment="1">
      <alignment horizontal="center"/>
    </xf>
    <xf numFmtId="0" fontId="218" fillId="50" borderId="10" xfId="157" applyNumberFormat="1" applyFont="1" applyFill="1" applyBorder="1" applyAlignment="1">
      <alignment horizontal="center"/>
    </xf>
    <xf numFmtId="0" fontId="218" fillId="50" borderId="11" xfId="157" applyFont="1" applyFill="1" applyBorder="1"/>
    <xf numFmtId="40" fontId="218" fillId="50" borderId="11" xfId="157" applyNumberFormat="1" applyFont="1" applyFill="1" applyBorder="1" applyAlignment="1">
      <alignment horizontal="center"/>
    </xf>
    <xf numFmtId="0" fontId="18" fillId="0" borderId="0" xfId="157" applyFont="1" applyFill="1" applyAlignment="1">
      <alignment horizontal="center"/>
    </xf>
    <xf numFmtId="0" fontId="21" fillId="0" borderId="0" xfId="157" applyFill="1"/>
    <xf numFmtId="167" fontId="21" fillId="0" borderId="0" xfId="157" applyNumberFormat="1" applyFill="1"/>
    <xf numFmtId="167" fontId="18" fillId="0" borderId="0" xfId="63" applyNumberFormat="1" applyFont="1" applyFill="1" applyProtection="1">
      <protection locked="0"/>
    </xf>
    <xf numFmtId="43" fontId="182" fillId="0" borderId="0" xfId="56" applyNumberFormat="1" applyFont="1" applyFill="1" applyBorder="1"/>
    <xf numFmtId="180" fontId="182" fillId="0" borderId="0" xfId="157" applyNumberFormat="1" applyFont="1" applyAlignment="1" applyProtection="1">
      <alignment horizontal="center"/>
    </xf>
    <xf numFmtId="180" fontId="182" fillId="0" borderId="0" xfId="157" applyNumberFormat="1" applyFont="1" applyFill="1" applyAlignment="1" applyProtection="1">
      <alignment horizontal="center"/>
    </xf>
    <xf numFmtId="0" fontId="182" fillId="0" borderId="0" xfId="157" applyFont="1" applyFill="1"/>
    <xf numFmtId="167" fontId="218" fillId="50" borderId="10" xfId="157" applyNumberFormat="1" applyFont="1" applyFill="1" applyBorder="1" applyAlignment="1">
      <alignment horizontal="center"/>
    </xf>
    <xf numFmtId="167" fontId="218" fillId="50" borderId="11" xfId="157" applyNumberFormat="1" applyFont="1" applyFill="1" applyBorder="1" applyAlignment="1">
      <alignment horizontal="center"/>
    </xf>
    <xf numFmtId="43" fontId="18" fillId="0" borderId="18" xfId="56" applyFont="1" applyFill="1" applyBorder="1" applyProtection="1"/>
    <xf numFmtId="167" fontId="18" fillId="0" borderId="18" xfId="56" applyNumberFormat="1" applyFont="1" applyFill="1" applyBorder="1" applyProtection="1"/>
    <xf numFmtId="0" fontId="190" fillId="49" borderId="46" xfId="0" applyFont="1" applyFill="1" applyBorder="1" applyAlignment="1">
      <alignment horizontal="left" indent="1"/>
    </xf>
    <xf numFmtId="0" fontId="190" fillId="29" borderId="49" xfId="0" applyFont="1" applyFill="1" applyBorder="1" applyAlignment="1">
      <alignment horizontal="left" indent="1"/>
    </xf>
    <xf numFmtId="167" fontId="18" fillId="29" borderId="18" xfId="63" applyNumberFormat="1" applyFont="1" applyFill="1" applyBorder="1" applyProtection="1"/>
    <xf numFmtId="167" fontId="18" fillId="29" borderId="18" xfId="56" applyNumberFormat="1" applyFont="1" applyFill="1" applyBorder="1" applyProtection="1"/>
    <xf numFmtId="167" fontId="182" fillId="0" borderId="0" xfId="60" applyNumberFormat="1" applyFont="1" applyAlignment="1">
      <alignment vertical="center"/>
    </xf>
    <xf numFmtId="185" fontId="0" fillId="0" borderId="0" xfId="0" applyNumberFormat="1" applyFill="1" applyAlignment="1">
      <alignment horizontal="center"/>
    </xf>
    <xf numFmtId="185" fontId="182" fillId="0" borderId="0" xfId="0" applyNumberFormat="1" applyFont="1" applyFill="1" applyAlignment="1">
      <alignment horizontal="center"/>
    </xf>
    <xf numFmtId="0" fontId="20" fillId="0" borderId="0" xfId="0" applyFont="1" applyFill="1" applyAlignment="1" applyProtection="1">
      <alignment horizontal="center"/>
    </xf>
    <xf numFmtId="0" fontId="17" fillId="0" borderId="0" xfId="0" applyFont="1" applyFill="1" applyProtection="1"/>
    <xf numFmtId="37" fontId="19" fillId="29" borderId="0" xfId="0" applyNumberFormat="1" applyFont="1" applyFill="1" applyProtection="1">
      <protection locked="0"/>
    </xf>
    <xf numFmtId="0" fontId="219" fillId="50" borderId="0" xfId="0" applyFont="1" applyFill="1" applyAlignment="1">
      <alignment horizontal="left" vertical="top"/>
    </xf>
    <xf numFmtId="0" fontId="21" fillId="40" borderId="51" xfId="0" applyFont="1" applyFill="1" applyBorder="1" applyAlignment="1">
      <alignment horizontal="left" vertical="top"/>
    </xf>
    <xf numFmtId="0" fontId="18" fillId="40" borderId="0" xfId="0" applyFont="1" applyFill="1" applyAlignment="1">
      <alignment horizontal="left" vertical="top"/>
    </xf>
    <xf numFmtId="0" fontId="218" fillId="50" borderId="0" xfId="0" applyFont="1" applyFill="1" applyAlignment="1">
      <alignment horizontal="left" vertical="top"/>
    </xf>
    <xf numFmtId="0" fontId="21" fillId="26" borderId="0" xfId="0" applyFont="1" applyFill="1" applyAlignment="1">
      <alignment horizontal="left" vertical="top"/>
    </xf>
    <xf numFmtId="186" fontId="21" fillId="26" borderId="0" xfId="0" applyNumberFormat="1" applyFont="1" applyFill="1" applyBorder="1" applyAlignment="1">
      <alignment horizontal="right" vertical="top"/>
    </xf>
    <xf numFmtId="43" fontId="21" fillId="26" borderId="0" xfId="54" applyFont="1" applyFill="1"/>
    <xf numFmtId="0" fontId="21" fillId="40" borderId="52" xfId="0" applyFont="1" applyFill="1" applyBorder="1" applyAlignment="1">
      <alignment horizontal="left" vertical="top"/>
    </xf>
    <xf numFmtId="0" fontId="216" fillId="50" borderId="52" xfId="0" applyFont="1" applyFill="1" applyBorder="1" applyAlignment="1">
      <alignment horizontal="left" vertical="top"/>
    </xf>
    <xf numFmtId="43" fontId="18" fillId="0" borderId="0" xfId="0" applyNumberFormat="1" applyFont="1"/>
    <xf numFmtId="0" fontId="21" fillId="40" borderId="0" xfId="0" applyFont="1" applyFill="1" applyAlignment="1">
      <alignment horizontal="left" vertical="top"/>
    </xf>
    <xf numFmtId="37" fontId="182" fillId="0" borderId="0" xfId="56" applyNumberFormat="1" applyFont="1" applyFill="1"/>
    <xf numFmtId="41" fontId="2" fillId="26" borderId="0" xfId="0" applyNumberFormat="1" applyFont="1" applyFill="1" applyProtection="1">
      <protection locked="0"/>
    </xf>
    <xf numFmtId="41" fontId="2" fillId="26" borderId="0" xfId="60" applyNumberFormat="1" applyFont="1" applyFill="1" applyProtection="1"/>
    <xf numFmtId="41" fontId="2" fillId="26" borderId="0" xfId="54" applyNumberFormat="1" applyFont="1" applyFill="1" applyProtection="1"/>
    <xf numFmtId="41" fontId="147" fillId="26" borderId="32" xfId="54" applyNumberFormat="1" applyFont="1" applyFill="1" applyBorder="1" applyProtection="1"/>
    <xf numFmtId="41" fontId="147" fillId="26" borderId="11" xfId="0" applyNumberFormat="1" applyFont="1" applyFill="1" applyBorder="1" applyProtection="1">
      <protection locked="0"/>
    </xf>
    <xf numFmtId="167" fontId="2" fillId="26" borderId="0" xfId="60" applyNumberFormat="1" applyFont="1" applyFill="1" applyProtection="1"/>
    <xf numFmtId="167" fontId="132" fillId="26" borderId="0" xfId="54" applyNumberFormat="1" applyFont="1" applyFill="1" applyProtection="1"/>
    <xf numFmtId="41" fontId="147" fillId="26" borderId="27" xfId="54" applyNumberFormat="1" applyFont="1" applyFill="1" applyBorder="1" applyProtection="1"/>
    <xf numFmtId="0" fontId="0" fillId="39" borderId="0" xfId="0" quotePrefix="1" applyFill="1" applyAlignment="1">
      <alignment horizontal="left" vertical="top"/>
    </xf>
    <xf numFmtId="0" fontId="21" fillId="39" borderId="0" xfId="0" quotePrefix="1" applyFont="1" applyFill="1" applyAlignment="1">
      <alignment horizontal="left" vertical="top"/>
    </xf>
    <xf numFmtId="43" fontId="172" fillId="0" borderId="0" xfId="73" applyFont="1" applyFill="1"/>
    <xf numFmtId="167" fontId="217" fillId="0" borderId="0" xfId="54" applyNumberFormat="1" applyFont="1" applyFill="1"/>
    <xf numFmtId="37" fontId="217" fillId="0" borderId="0" xfId="56" applyNumberFormat="1" applyFont="1" applyFill="1"/>
    <xf numFmtId="170" fontId="217" fillId="0" borderId="11" xfId="0" applyNumberFormat="1" applyFont="1" applyFill="1" applyBorder="1"/>
    <xf numFmtId="0" fontId="33" fillId="0" borderId="0" xfId="0" applyFont="1" applyFill="1" applyAlignment="1">
      <alignment horizontal="left" indent="1"/>
    </xf>
    <xf numFmtId="167" fontId="204" fillId="29" borderId="0" xfId="54" applyNumberFormat="1" applyFont="1" applyFill="1" applyProtection="1"/>
    <xf numFmtId="41" fontId="2" fillId="29" borderId="0" xfId="54" applyNumberFormat="1" applyFont="1" applyFill="1" applyProtection="1"/>
    <xf numFmtId="164" fontId="12" fillId="0" borderId="0" xfId="0" applyNumberFormat="1" applyFont="1" applyFill="1" applyProtection="1"/>
    <xf numFmtId="10" fontId="12" fillId="39" borderId="32" xfId="0" applyNumberFormat="1" applyFont="1" applyFill="1" applyBorder="1" applyProtection="1"/>
    <xf numFmtId="10" fontId="2" fillId="0" borderId="0" xfId="0" applyNumberFormat="1" applyFont="1" applyFill="1" applyProtection="1"/>
    <xf numFmtId="37" fontId="12" fillId="0" borderId="0" xfId="0" applyNumberFormat="1" applyFont="1" applyFill="1" applyProtection="1"/>
    <xf numFmtId="10" fontId="2" fillId="0" borderId="27" xfId="0" applyNumberFormat="1" applyFont="1" applyFill="1" applyBorder="1" applyProtection="1"/>
    <xf numFmtId="41" fontId="220" fillId="0" borderId="0" xfId="54" applyNumberFormat="1" applyFont="1" applyFill="1" applyProtection="1"/>
    <xf numFmtId="168" fontId="0" fillId="0" borderId="0" xfId="0" applyNumberFormat="1" applyFill="1"/>
    <xf numFmtId="168" fontId="0" fillId="0" borderId="0" xfId="0" applyNumberFormat="1"/>
    <xf numFmtId="37" fontId="2" fillId="0" borderId="0" xfId="0" applyNumberFormat="1" applyFont="1" applyFill="1"/>
    <xf numFmtId="41" fontId="2" fillId="0" borderId="0" xfId="0" applyNumberFormat="1" applyFont="1" applyFill="1" applyAlignment="1" applyProtection="1">
      <alignment horizontal="center"/>
    </xf>
    <xf numFmtId="41" fontId="2" fillId="0" borderId="27" xfId="0" applyNumberFormat="1" applyFont="1" applyFill="1" applyBorder="1" applyAlignment="1" applyProtection="1">
      <alignment horizontal="center"/>
    </xf>
    <xf numFmtId="167" fontId="12" fillId="0" borderId="0" xfId="54" applyNumberFormat="1" applyFont="1" applyFill="1" applyProtection="1"/>
    <xf numFmtId="41" fontId="2" fillId="37" borderId="0" xfId="0" applyNumberFormat="1" applyFont="1" applyFill="1" applyProtection="1">
      <protection locked="0"/>
    </xf>
    <xf numFmtId="41" fontId="2" fillId="37" borderId="0" xfId="54" applyNumberFormat="1" applyFont="1" applyFill="1" applyProtection="1"/>
    <xf numFmtId="37" fontId="221" fillId="50" borderId="44" xfId="0" applyNumberFormat="1" applyFont="1" applyFill="1" applyBorder="1"/>
    <xf numFmtId="0" fontId="216" fillId="50" borderId="10" xfId="0" applyFont="1" applyFill="1" applyBorder="1"/>
    <xf numFmtId="0" fontId="216" fillId="50" borderId="45" xfId="0" applyFont="1" applyFill="1" applyBorder="1"/>
    <xf numFmtId="0" fontId="222" fillId="0" borderId="46" xfId="0" applyFont="1" applyBorder="1"/>
    <xf numFmtId="37" fontId="43" fillId="0" borderId="47" xfId="0" applyNumberFormat="1" applyFont="1" applyBorder="1" applyAlignment="1">
      <alignment horizontal="center"/>
    </xf>
    <xf numFmtId="0" fontId="0" fillId="0" borderId="46" xfId="0" applyBorder="1"/>
    <xf numFmtId="37" fontId="43" fillId="0" borderId="46" xfId="0" applyNumberFormat="1" applyFont="1" applyBorder="1" applyAlignment="1">
      <alignment horizontal="right"/>
    </xf>
    <xf numFmtId="10" fontId="43" fillId="0" borderId="47" xfId="218" applyNumberFormat="1" applyFont="1" applyFill="1" applyBorder="1" applyAlignment="1"/>
    <xf numFmtId="37" fontId="43" fillId="0" borderId="49" xfId="0" applyNumberFormat="1" applyFont="1" applyBorder="1" applyAlignment="1">
      <alignment horizontal="right"/>
    </xf>
    <xf numFmtId="167" fontId="43" fillId="0" borderId="17" xfId="57" applyNumberFormat="1" applyFont="1" applyFill="1" applyBorder="1" applyAlignment="1"/>
    <xf numFmtId="10" fontId="43" fillId="0" borderId="50" xfId="218" applyNumberFormat="1" applyFont="1" applyFill="1" applyBorder="1" applyAlignment="1"/>
    <xf numFmtId="0" fontId="0" fillId="0" borderId="47" xfId="0" applyBorder="1"/>
    <xf numFmtId="0" fontId="21" fillId="0" borderId="46" xfId="0" applyFont="1" applyBorder="1"/>
    <xf numFmtId="37" fontId="221" fillId="50" borderId="10" xfId="0" applyNumberFormat="1" applyFont="1" applyFill="1" applyBorder="1"/>
    <xf numFmtId="37" fontId="221" fillId="50" borderId="45" xfId="0" applyNumberFormat="1" applyFont="1" applyFill="1" applyBorder="1"/>
    <xf numFmtId="167" fontId="12" fillId="0" borderId="27" xfId="54" applyNumberFormat="1" applyFont="1" applyFill="1" applyBorder="1" applyProtection="1"/>
    <xf numFmtId="164" fontId="146" fillId="22" borderId="27" xfId="0" applyNumberFormat="1" applyFont="1" applyFill="1" applyBorder="1" applyProtection="1"/>
    <xf numFmtId="168" fontId="182" fillId="29" borderId="0" xfId="54" applyNumberFormat="1" applyFont="1" applyFill="1"/>
    <xf numFmtId="37" fontId="17" fillId="24" borderId="0" xfId="0" applyNumberFormat="1" applyFont="1" applyFill="1"/>
    <xf numFmtId="37" fontId="19" fillId="24" borderId="0" xfId="0" applyNumberFormat="1" applyFont="1" applyFill="1" applyProtection="1">
      <protection locked="0"/>
    </xf>
    <xf numFmtId="39" fontId="0" fillId="24" borderId="0" xfId="0" applyNumberFormat="1" applyFill="1"/>
    <xf numFmtId="167" fontId="125" fillId="52" borderId="0" xfId="54" applyNumberFormat="1" applyFont="1" applyFill="1" applyProtection="1"/>
    <xf numFmtId="167" fontId="125" fillId="44" borderId="0" xfId="54" applyNumberFormat="1" applyFont="1" applyFill="1" applyBorder="1" applyProtection="1"/>
    <xf numFmtId="0" fontId="28" fillId="0" borderId="0" xfId="167" applyFont="1" applyAlignment="1">
      <alignment vertical="center"/>
    </xf>
    <xf numFmtId="0" fontId="21" fillId="0" borderId="0" xfId="167" applyAlignment="1">
      <alignment vertical="center"/>
    </xf>
    <xf numFmtId="0" fontId="190" fillId="0" borderId="0" xfId="167" applyFont="1"/>
    <xf numFmtId="14" fontId="21" fillId="22" borderId="0" xfId="167" applyNumberFormat="1" applyFill="1" applyAlignment="1">
      <alignment vertical="center"/>
    </xf>
    <xf numFmtId="37" fontId="190" fillId="0" borderId="0" xfId="167" applyNumberFormat="1" applyFont="1" applyAlignment="1">
      <alignment vertical="center"/>
    </xf>
    <xf numFmtId="0" fontId="198" fillId="0" borderId="0" xfId="167" applyFont="1" applyAlignment="1">
      <alignment horizontal="center" vertical="center"/>
    </xf>
    <xf numFmtId="0" fontId="18" fillId="0" borderId="0" xfId="167" applyFont="1" applyAlignment="1">
      <alignment horizontal="center"/>
    </xf>
    <xf numFmtId="0" fontId="18" fillId="0" borderId="0" xfId="167" applyFont="1" applyAlignment="1">
      <alignment horizontal="center" vertical="center"/>
    </xf>
    <xf numFmtId="17" fontId="18" fillId="0" borderId="11" xfId="167" applyNumberFormat="1" applyFont="1" applyBorder="1" applyAlignment="1">
      <alignment horizontal="center" vertical="center"/>
    </xf>
    <xf numFmtId="167" fontId="21" fillId="0" borderId="0" xfId="56" applyNumberFormat="1" applyAlignment="1">
      <alignment vertical="center"/>
    </xf>
    <xf numFmtId="43" fontId="21" fillId="0" borderId="0" xfId="56" applyAlignment="1">
      <alignment vertical="center"/>
    </xf>
    <xf numFmtId="167" fontId="21" fillId="0" borderId="0" xfId="60" applyNumberFormat="1" applyFont="1" applyAlignment="1">
      <alignment vertical="center"/>
    </xf>
    <xf numFmtId="167" fontId="21" fillId="0" borderId="0" xfId="56" applyNumberFormat="1" applyFont="1" applyFill="1" applyAlignment="1">
      <alignment vertical="center"/>
    </xf>
    <xf numFmtId="43" fontId="182" fillId="0" borderId="0" xfId="56" applyFont="1" applyAlignment="1">
      <alignment vertical="center"/>
    </xf>
    <xf numFmtId="167" fontId="182" fillId="0" borderId="0" xfId="56" applyNumberFormat="1" applyFont="1" applyAlignment="1">
      <alignment vertical="center"/>
    </xf>
    <xf numFmtId="167" fontId="21" fillId="0" borderId="0" xfId="60" applyNumberFormat="1" applyFont="1" applyFill="1" applyAlignment="1">
      <alignment vertical="center"/>
    </xf>
    <xf numFmtId="167" fontId="182" fillId="53" borderId="0" xfId="56" applyNumberFormat="1" applyFont="1" applyFill="1" applyAlignment="1">
      <alignment vertical="center"/>
    </xf>
    <xf numFmtId="0" fontId="18" fillId="0" borderId="0" xfId="167" applyFont="1" applyAlignment="1">
      <alignment horizontal="left"/>
    </xf>
    <xf numFmtId="167" fontId="18" fillId="18" borderId="0" xfId="60" applyNumberFormat="1" applyFont="1" applyFill="1" applyAlignment="1">
      <alignment vertical="center"/>
    </xf>
    <xf numFmtId="167" fontId="0" fillId="0" borderId="0" xfId="60" applyNumberFormat="1" applyFont="1"/>
    <xf numFmtId="167" fontId="21" fillId="0" borderId="0" xfId="167" applyNumberFormat="1"/>
    <xf numFmtId="41" fontId="2" fillId="22" borderId="11" xfId="0" applyNumberFormat="1" applyFont="1" applyFill="1" applyBorder="1" applyProtection="1">
      <protection locked="0"/>
    </xf>
    <xf numFmtId="197" fontId="158" fillId="0" borderId="0" xfId="54" applyNumberFormat="1" applyFont="1" applyFill="1" applyProtection="1"/>
    <xf numFmtId="197" fontId="158" fillId="0" borderId="0" xfId="0" applyNumberFormat="1" applyFont="1" applyFill="1" applyProtection="1"/>
    <xf numFmtId="167" fontId="182" fillId="0" borderId="0" xfId="56" applyNumberFormat="1" applyFont="1" applyFill="1" applyAlignment="1">
      <alignment vertical="center"/>
    </xf>
    <xf numFmtId="0" fontId="43" fillId="0" borderId="0" xfId="0" applyFont="1" applyAlignment="1">
      <alignment horizontal="centerContinuous"/>
    </xf>
    <xf numFmtId="167" fontId="18" fillId="0" borderId="0" xfId="56" applyNumberFormat="1" applyFont="1"/>
    <xf numFmtId="200" fontId="69" fillId="0" borderId="0" xfId="0" applyNumberFormat="1" applyFont="1" applyAlignment="1">
      <alignment horizontal="center"/>
    </xf>
    <xf numFmtId="0" fontId="175" fillId="0" borderId="0" xfId="0" applyFont="1"/>
    <xf numFmtId="201" fontId="18" fillId="0" borderId="0" xfId="0" applyNumberFormat="1" applyFont="1"/>
    <xf numFmtId="191" fontId="18" fillId="0" borderId="0" xfId="218" applyNumberFormat="1" applyFont="1"/>
    <xf numFmtId="191" fontId="18" fillId="0" borderId="0" xfId="0" applyNumberFormat="1" applyFont="1"/>
    <xf numFmtId="0" fontId="68" fillId="0" borderId="0" xfId="0" applyFont="1"/>
    <xf numFmtId="167" fontId="223" fillId="0" borderId="0" xfId="56" applyNumberFormat="1" applyFont="1"/>
    <xf numFmtId="0" fontId="68" fillId="0" borderId="0" xfId="0" applyFont="1" applyAlignment="1">
      <alignment horizontal="center"/>
    </xf>
    <xf numFmtId="0" fontId="68" fillId="0" borderId="11" xfId="0" applyFont="1" applyBorder="1" applyAlignment="1">
      <alignment horizontal="center"/>
    </xf>
    <xf numFmtId="37" fontId="21" fillId="0" borderId="11" xfId="0" applyNumberFormat="1" applyFont="1" applyBorder="1"/>
    <xf numFmtId="10" fontId="18" fillId="46" borderId="11" xfId="218" applyNumberFormat="1" applyFont="1" applyFill="1" applyBorder="1"/>
    <xf numFmtId="43" fontId="21" fillId="0" borderId="0" xfId="0" applyNumberFormat="1" applyFont="1"/>
    <xf numFmtId="167" fontId="21" fillId="0" borderId="0" xfId="66" applyNumberFormat="1" applyFont="1" applyFill="1"/>
    <xf numFmtId="0" fontId="69" fillId="0" borderId="11" xfId="0" quotePrefix="1" applyFont="1" applyBorder="1" applyAlignment="1">
      <alignment horizontal="center"/>
    </xf>
    <xf numFmtId="0" fontId="21" fillId="35" borderId="11" xfId="0" applyFont="1" applyFill="1" applyBorder="1"/>
    <xf numFmtId="167" fontId="21" fillId="35" borderId="0" xfId="66" applyNumberFormat="1" applyFont="1" applyFill="1"/>
    <xf numFmtId="2" fontId="21" fillId="35" borderId="0" xfId="0" applyNumberFormat="1" applyFont="1" applyFill="1"/>
    <xf numFmtId="10" fontId="21" fillId="0" borderId="0" xfId="218" applyNumberFormat="1" applyFont="1"/>
    <xf numFmtId="0" fontId="68" fillId="0" borderId="0" xfId="0" applyFont="1" applyAlignment="1">
      <alignment horizontal="left"/>
    </xf>
    <xf numFmtId="2" fontId="21" fillId="0" borderId="0" xfId="0" applyNumberFormat="1" applyFont="1"/>
    <xf numFmtId="10" fontId="21" fillId="0" borderId="11" xfId="218" applyNumberFormat="1" applyFont="1" applyBorder="1"/>
    <xf numFmtId="10" fontId="21" fillId="0" borderId="0" xfId="0" applyNumberFormat="1" applyFont="1"/>
    <xf numFmtId="0" fontId="21" fillId="28" borderId="11" xfId="0" applyFont="1" applyFill="1" applyBorder="1"/>
    <xf numFmtId="167" fontId="21" fillId="28" borderId="0" xfId="66" applyNumberFormat="1" applyFont="1" applyFill="1"/>
    <xf numFmtId="2" fontId="21" fillId="28" borderId="0" xfId="0" applyNumberFormat="1" applyFont="1" applyFill="1"/>
    <xf numFmtId="180" fontId="21" fillId="0" borderId="0" xfId="218" applyNumberFormat="1" applyFont="1"/>
    <xf numFmtId="180" fontId="21" fillId="0" borderId="0" xfId="0" applyNumberFormat="1" applyFont="1"/>
    <xf numFmtId="167" fontId="21" fillId="0" borderId="11" xfId="66" applyNumberFormat="1" applyFont="1" applyFill="1" applyBorder="1"/>
    <xf numFmtId="43" fontId="21" fillId="0" borderId="0" xfId="66" applyFont="1" applyFill="1" applyBorder="1"/>
    <xf numFmtId="10" fontId="68" fillId="0" borderId="0" xfId="218" applyNumberFormat="1" applyFont="1" applyFill="1"/>
    <xf numFmtId="0" fontId="68" fillId="26" borderId="0" xfId="0" applyFont="1" applyFill="1"/>
    <xf numFmtId="167" fontId="21" fillId="26" borderId="0" xfId="66" applyNumberFormat="1" applyFont="1" applyFill="1"/>
    <xf numFmtId="2" fontId="21" fillId="26" borderId="0" xfId="0" applyNumberFormat="1" applyFont="1" applyFill="1"/>
    <xf numFmtId="0" fontId="68" fillId="35" borderId="0" xfId="0" applyFont="1" applyFill="1"/>
    <xf numFmtId="10" fontId="21" fillId="0" borderId="11" xfId="0" applyNumberFormat="1" applyFont="1" applyBorder="1"/>
    <xf numFmtId="10" fontId="21" fillId="0" borderId="0" xfId="218" applyNumberFormat="1" applyFont="1" applyFill="1"/>
    <xf numFmtId="0" fontId="68" fillId="46" borderId="0" xfId="0" applyFont="1" applyFill="1"/>
    <xf numFmtId="167" fontId="21" fillId="46" borderId="0" xfId="66" applyNumberFormat="1" applyFont="1" applyFill="1"/>
    <xf numFmtId="2" fontId="21" fillId="46" borderId="0" xfId="0" applyNumberFormat="1" applyFont="1" applyFill="1"/>
    <xf numFmtId="0" fontId="176" fillId="0" borderId="0" xfId="0" applyFont="1"/>
    <xf numFmtId="43" fontId="21" fillId="0" borderId="0" xfId="62" applyFont="1" applyFill="1"/>
    <xf numFmtId="0" fontId="68" fillId="28" borderId="0" xfId="0" applyFont="1" applyFill="1"/>
    <xf numFmtId="0" fontId="68" fillId="44" borderId="0" xfId="0" applyFont="1" applyFill="1"/>
    <xf numFmtId="167" fontId="21" fillId="44" borderId="0" xfId="66" applyNumberFormat="1" applyFont="1" applyFill="1"/>
    <xf numFmtId="2" fontId="21" fillId="44" borderId="0" xfId="0" applyNumberFormat="1" applyFont="1" applyFill="1"/>
    <xf numFmtId="0" fontId="68" fillId="0" borderId="0" xfId="0" applyFont="1" applyAlignment="1">
      <alignment horizontal="right"/>
    </xf>
    <xf numFmtId="0" fontId="68" fillId="22" borderId="0" xfId="0" applyFont="1" applyFill="1"/>
    <xf numFmtId="167" fontId="21" fillId="22" borderId="0" xfId="66" applyNumberFormat="1" applyFont="1" applyFill="1"/>
    <xf numFmtId="2" fontId="21" fillId="22" borderId="0" xfId="0" applyNumberFormat="1" applyFont="1" applyFill="1"/>
    <xf numFmtId="167" fontId="21" fillId="28" borderId="11" xfId="66" applyNumberFormat="1" applyFont="1" applyFill="1" applyBorder="1"/>
    <xf numFmtId="0" fontId="69" fillId="0" borderId="0" xfId="0" applyFont="1"/>
    <xf numFmtId="2" fontId="68" fillId="0" borderId="0" xfId="0" applyNumberFormat="1" applyFont="1"/>
    <xf numFmtId="10" fontId="21" fillId="0" borderId="17" xfId="218" applyNumberFormat="1" applyFont="1" applyBorder="1"/>
    <xf numFmtId="10" fontId="18" fillId="0" borderId="11" xfId="66" applyNumberFormat="1" applyFont="1" applyFill="1" applyBorder="1"/>
    <xf numFmtId="10" fontId="69" fillId="0" borderId="0" xfId="0" applyNumberFormat="1" applyFont="1"/>
    <xf numFmtId="43" fontId="69" fillId="0" borderId="0" xfId="66" applyFont="1" applyFill="1" applyBorder="1"/>
    <xf numFmtId="167" fontId="18" fillId="0" borderId="0" xfId="66" applyNumberFormat="1" applyFont="1" applyFill="1" applyBorder="1" applyAlignment="1">
      <alignment horizontal="left"/>
    </xf>
    <xf numFmtId="0" fontId="68" fillId="0" borderId="0" xfId="0" applyFont="1" applyAlignment="1">
      <alignment horizontal="left" indent="1"/>
    </xf>
    <xf numFmtId="201" fontId="21" fillId="0" borderId="0" xfId="0" applyNumberFormat="1" applyFont="1"/>
    <xf numFmtId="167" fontId="68" fillId="0" borderId="0" xfId="66" applyNumberFormat="1" applyFont="1" applyFill="1"/>
    <xf numFmtId="0" fontId="21" fillId="0" borderId="0" xfId="0" quotePrefix="1" applyFont="1" applyAlignment="1">
      <alignment horizontal="right"/>
    </xf>
    <xf numFmtId="2" fontId="21" fillId="0" borderId="0" xfId="66" applyNumberFormat="1" applyFont="1" applyFill="1"/>
    <xf numFmtId="37" fontId="17" fillId="0" borderId="0" xfId="0" applyNumberFormat="1" applyFont="1" applyFill="1"/>
    <xf numFmtId="39" fontId="0" fillId="0" borderId="0" xfId="0" applyNumberFormat="1" applyFill="1"/>
    <xf numFmtId="43" fontId="18" fillId="38" borderId="0" xfId="54" applyFont="1" applyFill="1"/>
    <xf numFmtId="41" fontId="204" fillId="26" borderId="0" xfId="60" applyNumberFormat="1" applyFont="1" applyFill="1" applyProtection="1"/>
    <xf numFmtId="167" fontId="204" fillId="26" borderId="0" xfId="60" applyNumberFormat="1" applyFont="1" applyFill="1" applyProtection="1"/>
    <xf numFmtId="41" fontId="2" fillId="26" borderId="27" xfId="54" applyNumberFormat="1" applyFont="1" applyFill="1" applyBorder="1" applyProtection="1"/>
    <xf numFmtId="41" fontId="2" fillId="26" borderId="0" xfId="54" applyNumberFormat="1" applyFont="1" applyFill="1" applyProtection="1">
      <protection locked="0"/>
    </xf>
    <xf numFmtId="10" fontId="21" fillId="26" borderId="0" xfId="0" applyNumberFormat="1" applyFont="1" applyFill="1" applyBorder="1" applyProtection="1">
      <protection locked="0"/>
    </xf>
    <xf numFmtId="37" fontId="2" fillId="0" borderId="0" xfId="0" quotePrefix="1" applyNumberFormat="1" applyFont="1" applyFill="1" applyAlignment="1" applyProtection="1">
      <alignment horizontal="center"/>
    </xf>
    <xf numFmtId="37" fontId="125" fillId="0" borderId="0" xfId="0" applyNumberFormat="1" applyFont="1" applyFill="1" applyAlignment="1" applyProtection="1">
      <alignment horizontal="center" wrapText="1"/>
    </xf>
    <xf numFmtId="167" fontId="125" fillId="0" borderId="0" xfId="60" applyNumberFormat="1" applyFont="1" applyFill="1" applyBorder="1" applyAlignment="1" applyProtection="1">
      <alignment horizontal="right"/>
    </xf>
    <xf numFmtId="167" fontId="125" fillId="0" borderId="0" xfId="60" applyNumberFormat="1" applyFont="1" applyFill="1" applyBorder="1" applyProtection="1"/>
    <xf numFmtId="0" fontId="2" fillId="0" borderId="0" xfId="0" applyFont="1" applyFill="1" applyAlignment="1" applyProtection="1">
      <alignment horizontal="right"/>
    </xf>
    <xf numFmtId="39" fontId="224" fillId="0" borderId="0" xfId="0" applyNumberFormat="1" applyFont="1" applyFill="1" applyProtection="1"/>
    <xf numFmtId="37" fontId="224" fillId="0" borderId="0" xfId="0" applyNumberFormat="1" applyFont="1" applyFill="1" applyProtection="1"/>
    <xf numFmtId="0" fontId="180" fillId="0" borderId="0" xfId="0" applyFont="1"/>
    <xf numFmtId="0" fontId="181" fillId="0" borderId="45" xfId="0" applyFont="1" applyBorder="1" applyAlignment="1"/>
    <xf numFmtId="0" fontId="22" fillId="0" borderId="49" xfId="0" applyFont="1" applyBorder="1" applyAlignment="1"/>
    <xf numFmtId="0" fontId="22" fillId="0" borderId="48" xfId="0" applyFont="1" applyBorder="1" applyAlignment="1"/>
    <xf numFmtId="37" fontId="2" fillId="0" borderId="0" xfId="0" applyNumberFormat="1" applyFont="1" applyFill="1" applyAlignment="1">
      <alignment horizontal="center"/>
    </xf>
    <xf numFmtId="41" fontId="2" fillId="44" borderId="11" xfId="54" applyNumberFormat="1" applyFont="1" applyFill="1" applyBorder="1" applyProtection="1"/>
    <xf numFmtId="10" fontId="43" fillId="0" borderId="0" xfId="215" applyNumberFormat="1" applyFont="1" applyAlignment="1">
      <alignment horizontal="right"/>
    </xf>
    <xf numFmtId="10" fontId="43" fillId="0" borderId="0" xfId="215" applyNumberFormat="1" applyFont="1" applyFill="1"/>
    <xf numFmtId="189" fontId="43" fillId="0" borderId="0" xfId="156" quotePrefix="1" applyNumberFormat="1" applyFont="1" applyAlignment="1">
      <alignment horizontal="left"/>
    </xf>
    <xf numFmtId="10" fontId="43" fillId="0" borderId="0" xfId="215" applyNumberFormat="1" applyFont="1"/>
    <xf numFmtId="10" fontId="225" fillId="0" borderId="0" xfId="218" applyNumberFormat="1" applyFont="1" applyFill="1" applyAlignment="1"/>
    <xf numFmtId="0" fontId="0" fillId="35" borderId="0" xfId="0" applyFill="1"/>
    <xf numFmtId="0" fontId="0" fillId="0" borderId="11" xfId="0" applyBorder="1"/>
    <xf numFmtId="0" fontId="21" fillId="49" borderId="0" xfId="0" applyFont="1" applyFill="1" applyAlignment="1">
      <alignment horizontal="left" wrapText="1"/>
    </xf>
    <xf numFmtId="0" fontId="21" fillId="49" borderId="47" xfId="0" applyFont="1" applyFill="1" applyBorder="1" applyAlignment="1">
      <alignment horizontal="left" wrapText="1"/>
    </xf>
    <xf numFmtId="0" fontId="21" fillId="22" borderId="0" xfId="0" applyFont="1" applyFill="1" applyAlignment="1">
      <alignment horizontal="left" wrapText="1"/>
    </xf>
    <xf numFmtId="17" fontId="181" fillId="0" borderId="10" xfId="0" applyNumberFormat="1" applyFont="1" applyBorder="1" applyAlignment="1">
      <alignment horizontal="center" wrapText="1"/>
    </xf>
    <xf numFmtId="17" fontId="181" fillId="0" borderId="0" xfId="0" applyNumberFormat="1" applyFont="1" applyBorder="1" applyAlignment="1">
      <alignment horizontal="center" wrapText="1"/>
    </xf>
    <xf numFmtId="17" fontId="181" fillId="0" borderId="44" xfId="0" applyNumberFormat="1" applyFont="1" applyBorder="1" applyAlignment="1">
      <alignment horizontal="center"/>
    </xf>
    <xf numFmtId="0" fontId="181" fillId="0" borderId="45" xfId="0" applyFont="1" applyBorder="1" applyAlignment="1">
      <alignment horizontal="center"/>
    </xf>
    <xf numFmtId="0" fontId="22" fillId="0" borderId="49" xfId="0" applyFont="1" applyBorder="1" applyAlignment="1">
      <alignment horizontal="center"/>
    </xf>
    <xf numFmtId="0" fontId="22" fillId="0" borderId="48" xfId="0" applyFont="1" applyBorder="1" applyAlignment="1">
      <alignment horizontal="center"/>
    </xf>
    <xf numFmtId="0" fontId="192" fillId="0" borderId="40" xfId="0" applyFont="1" applyBorder="1" applyAlignment="1">
      <alignment horizontal="center"/>
    </xf>
    <xf numFmtId="0" fontId="192" fillId="0" borderId="41" xfId="0" applyFont="1" applyBorder="1" applyAlignment="1">
      <alignment horizontal="center"/>
    </xf>
    <xf numFmtId="0" fontId="192" fillId="0" borderId="42" xfId="0" applyFont="1" applyBorder="1" applyAlignment="1">
      <alignment horizontal="center"/>
    </xf>
    <xf numFmtId="0" fontId="223" fillId="0" borderId="19" xfId="0" applyFont="1" applyBorder="1" applyAlignment="1">
      <alignment horizontal="center"/>
    </xf>
    <xf numFmtId="0" fontId="223" fillId="0" borderId="0" xfId="0" applyFont="1" applyBorder="1" applyAlignment="1">
      <alignment horizontal="center"/>
    </xf>
    <xf numFmtId="0" fontId="223" fillId="0" borderId="14" xfId="0" applyFont="1" applyBorder="1" applyAlignment="1">
      <alignment horizontal="center"/>
    </xf>
    <xf numFmtId="17" fontId="7" fillId="0" borderId="0" xfId="0" quotePrefix="1" applyNumberFormat="1" applyFont="1" applyFill="1" applyAlignment="1" applyProtection="1">
      <alignment horizontal="center" wrapText="1"/>
    </xf>
    <xf numFmtId="37" fontId="145" fillId="0" borderId="0" xfId="0" applyNumberFormat="1" applyFont="1" applyFill="1" applyAlignment="1" applyProtection="1">
      <alignment horizontal="center"/>
    </xf>
    <xf numFmtId="0" fontId="145" fillId="0" borderId="0" xfId="0" applyFont="1" applyFill="1" applyAlignment="1" applyProtection="1">
      <alignment horizontal="center"/>
    </xf>
    <xf numFmtId="169" fontId="145" fillId="0" borderId="0" xfId="0" applyNumberFormat="1" applyFont="1" applyFill="1" applyAlignment="1" applyProtection="1">
      <alignment horizontal="center"/>
    </xf>
    <xf numFmtId="37" fontId="127" fillId="0" borderId="0" xfId="0" applyNumberFormat="1" applyFont="1" applyFill="1" applyAlignment="1" applyProtection="1">
      <alignment horizontal="center" wrapText="1"/>
    </xf>
    <xf numFmtId="0" fontId="7" fillId="0" borderId="0" xfId="0" applyFont="1" applyFill="1" applyAlignment="1" applyProtection="1">
      <alignment horizontal="center"/>
    </xf>
    <xf numFmtId="37" fontId="125" fillId="0" borderId="0" xfId="0" applyNumberFormat="1" applyFont="1" applyFill="1" applyAlignment="1" applyProtection="1">
      <alignment horizontal="center" wrapText="1"/>
    </xf>
    <xf numFmtId="187" fontId="28" fillId="0" borderId="0" xfId="156" quotePrefix="1" applyNumberFormat="1" applyFont="1" applyAlignment="1">
      <alignment horizontal="center"/>
    </xf>
    <xf numFmtId="187" fontId="28" fillId="0" borderId="0" xfId="156" applyNumberFormat="1" applyFont="1" applyAlignment="1">
      <alignment horizontal="center"/>
    </xf>
    <xf numFmtId="169" fontId="28" fillId="0" borderId="0" xfId="0" applyNumberFormat="1" applyFont="1" applyAlignment="1">
      <alignment horizontal="center"/>
    </xf>
    <xf numFmtId="37" fontId="43" fillId="0" borderId="0" xfId="156" applyNumberFormat="1" applyFont="1" applyAlignment="1">
      <alignment horizontal="right"/>
    </xf>
    <xf numFmtId="0" fontId="68" fillId="0" borderId="0" xfId="0" applyFont="1" applyAlignment="1">
      <alignment vertical="top" wrapText="1"/>
    </xf>
    <xf numFmtId="0" fontId="0" fillId="0" borderId="0" xfId="0" applyAlignment="1">
      <alignment vertical="top" wrapText="1"/>
    </xf>
    <xf numFmtId="0" fontId="68" fillId="0" borderId="0" xfId="156" applyFont="1" applyAlignment="1">
      <alignment horizontal="left" vertical="top" wrapText="1"/>
    </xf>
    <xf numFmtId="0" fontId="28" fillId="0" borderId="0" xfId="0" applyFont="1" applyAlignment="1">
      <alignment horizontal="center"/>
    </xf>
    <xf numFmtId="169" fontId="28" fillId="0" borderId="0" xfId="0" quotePrefix="1" applyNumberFormat="1" applyFont="1" applyAlignment="1">
      <alignment horizontal="center"/>
    </xf>
    <xf numFmtId="0" fontId="66" fillId="0" borderId="0" xfId="0" applyFont="1" applyFill="1" applyAlignment="1">
      <alignment horizontal="center"/>
    </xf>
  </cellXfs>
  <cellStyles count="245">
    <cellStyle name="_2006 Budget FINAL for CASH FLOW" xfId="1"/>
    <cellStyle name="_2007 Budget  FINAL 01_15_07 w. tax" xfId="2"/>
    <cellStyle name="_2008 Reforecast 0+12  03.14.08" xfId="3"/>
    <cellStyle name="_2008_ACCT 17103" xfId="4"/>
    <cellStyle name="_2008_ACCT 17103 2" xfId="5"/>
    <cellStyle name="_2008_ACCT 17103 2 2" xfId="6"/>
    <cellStyle name="_2008_ACCT 17103 2 3" xfId="7"/>
    <cellStyle name="_2008_ACCT 17103 3" xfId="8"/>
    <cellStyle name="_2008_ACCT 17103 4" xfId="9"/>
    <cellStyle name="_2008_ACCT 17103 5" xfId="10"/>
    <cellStyle name="_2009 Budget 5_02_08  FINAL" xfId="11"/>
    <cellStyle name="_Balance Sheet 0809" xfId="12"/>
    <cellStyle name="_Reformatted Cash Flow Consolidation 0706" xfId="13"/>
    <cellStyle name="_Reformatted Cash Flow Consolidation 0706 2" xfId="14"/>
    <cellStyle name="_Reformatted Cash Flow Consolidation 0706 2 2" xfId="15"/>
    <cellStyle name="_Reformatted Cash Flow Consolidation 0706 2 3" xfId="16"/>
    <cellStyle name="_Reformatted Cash Flow Consolidation 0706 3" xfId="17"/>
    <cellStyle name="_Reformatted Cash Flow Consolidation 0706 4" xfId="18"/>
    <cellStyle name="_Reformatted Cash Flow Consolidation 0706 5" xfId="19"/>
    <cellStyle name="_Reformatted Cash Flow Consolidation 0906" xfId="20"/>
    <cellStyle name="_Reformatted Cash Flow Consolidation 0906 2" xfId="21"/>
    <cellStyle name="_Reformatted Cash Flow Consolidation 0906 2 2" xfId="22"/>
    <cellStyle name="_Reformatted Cash Flow Consolidation 0906 2 3" xfId="23"/>
    <cellStyle name="_Reformatted Cash Flow Consolidation 0906 3" xfId="24"/>
    <cellStyle name="_Reformatted Cash Flow Consolidation 0906 4" xfId="25"/>
    <cellStyle name="_Reformatted Cash Flow Consolidation 0906 5" xfId="26"/>
    <cellStyle name="20% - Accent1" xfId="27" builtinId="30" customBuiltin="1"/>
    <cellStyle name="20% - Accent2" xfId="28" builtinId="34" customBuiltin="1"/>
    <cellStyle name="20% - Accent3" xfId="29" builtinId="38" customBuiltin="1"/>
    <cellStyle name="20% - Accent4" xfId="30" builtinId="42" customBuiltin="1"/>
    <cellStyle name="20% - Accent5" xfId="31" builtinId="46" customBuiltin="1"/>
    <cellStyle name="20% - Accent6" xfId="32" builtinId="50" customBuiltin="1"/>
    <cellStyle name="40% - Accent1" xfId="33" builtinId="31" customBuiltin="1"/>
    <cellStyle name="40% - Accent2" xfId="34" builtinId="35" customBuiltin="1"/>
    <cellStyle name="40% - Accent3" xfId="35" builtinId="39" customBuiltin="1"/>
    <cellStyle name="40% - Accent4" xfId="36" builtinId="43" customBuiltin="1"/>
    <cellStyle name="40% - Accent5" xfId="37" builtinId="47" customBuiltin="1"/>
    <cellStyle name="40% - Accent6" xfId="38" builtinId="51" customBuiltin="1"/>
    <cellStyle name="60% - Accent1" xfId="39" builtinId="32" customBuiltin="1"/>
    <cellStyle name="60% - Accent2" xfId="40" builtinId="36" customBuiltin="1"/>
    <cellStyle name="60% - Accent3" xfId="41" builtinId="40" customBuiltin="1"/>
    <cellStyle name="60% - Accent4" xfId="42" builtinId="44" customBuiltin="1"/>
    <cellStyle name="60% - Accent5" xfId="43" builtinId="48" customBuiltin="1"/>
    <cellStyle name="60% - Accent6" xfId="44" builtinId="52" customBuiltin="1"/>
    <cellStyle name="Accent1" xfId="45" builtinId="29" customBuiltin="1"/>
    <cellStyle name="Accent2" xfId="46" builtinId="33" customBuiltin="1"/>
    <cellStyle name="Accent3" xfId="47" builtinId="37" customBuiltin="1"/>
    <cellStyle name="Accent4" xfId="48" builtinId="41" customBuiltin="1"/>
    <cellStyle name="Accent5" xfId="49" builtinId="45" customBuiltin="1"/>
    <cellStyle name="Accent6" xfId="50" builtinId="49" customBuiltin="1"/>
    <cellStyle name="Bad" xfId="51" builtinId="27" customBuiltin="1"/>
    <cellStyle name="Calculation" xfId="52" builtinId="22" customBuiltin="1"/>
    <cellStyle name="Check Cell" xfId="53" builtinId="23" customBuiltin="1"/>
    <cellStyle name="Comma" xfId="54" builtinId="3"/>
    <cellStyle name="Comma 10" xfId="55"/>
    <cellStyle name="Comma 10 2" xfId="56"/>
    <cellStyle name="Comma 10 2 2" xfId="57"/>
    <cellStyle name="Comma 11" xfId="58"/>
    <cellStyle name="Comma 2" xfId="59"/>
    <cellStyle name="Comma 2 2" xfId="60"/>
    <cellStyle name="Comma 2 2 2" xfId="61"/>
    <cellStyle name="Comma 2 2 2 2" xfId="62"/>
    <cellStyle name="Comma 2 2 3" xfId="63"/>
    <cellStyle name="Comma 2 3" xfId="64"/>
    <cellStyle name="Comma 2 3 2" xfId="65"/>
    <cellStyle name="Comma 2 33" xfId="66"/>
    <cellStyle name="Comma 2 4" xfId="67"/>
    <cellStyle name="Comma 2 5" xfId="68"/>
    <cellStyle name="Comma 2 6" xfId="69"/>
    <cellStyle name="Comma 3" xfId="70"/>
    <cellStyle name="Comma 3 2" xfId="71"/>
    <cellStyle name="Comma 3 3" xfId="72"/>
    <cellStyle name="Comma 3 4" xfId="73"/>
    <cellStyle name="Comma 4" xfId="74"/>
    <cellStyle name="Comma 4 2" xfId="75"/>
    <cellStyle name="Comma 4 3" xfId="76"/>
    <cellStyle name="Comma 5" xfId="77"/>
    <cellStyle name="Comma 5 2" xfId="78"/>
    <cellStyle name="Comma 5 3" xfId="79"/>
    <cellStyle name="Comma 6" xfId="80"/>
    <cellStyle name="Comma 6 2" xfId="81"/>
    <cellStyle name="Comma 7" xfId="82"/>
    <cellStyle name="Comma 8" xfId="83"/>
    <cellStyle name="Comma 9" xfId="84"/>
    <cellStyle name="Comma0" xfId="85"/>
    <cellStyle name="Currency" xfId="86" builtinId="4"/>
    <cellStyle name="Currency 2" xfId="87"/>
    <cellStyle name="Currency 2 2" xfId="88"/>
    <cellStyle name="Currency 2 2 2" xfId="89"/>
    <cellStyle name="Currency 2 3" xfId="90"/>
    <cellStyle name="Currency 2 3 2" xfId="91"/>
    <cellStyle name="Currency 2 3 3" xfId="92"/>
    <cellStyle name="Currency 2 4" xfId="93"/>
    <cellStyle name="Currency 2 5" xfId="94"/>
    <cellStyle name="Currency 2 6" xfId="95"/>
    <cellStyle name="Currency 3" xfId="96"/>
    <cellStyle name="Currency 3 2" xfId="97"/>
    <cellStyle name="Currency 3 3" xfId="98"/>
    <cellStyle name="Currency 4" xfId="99"/>
    <cellStyle name="Currency 4 2" xfId="100"/>
    <cellStyle name="Currency 5" xfId="101"/>
    <cellStyle name="Currency 5 2" xfId="102"/>
    <cellStyle name="Currency 5 3" xfId="103"/>
    <cellStyle name="Currency 6" xfId="104"/>
    <cellStyle name="Currency 7" xfId="105"/>
    <cellStyle name="Currency 8" xfId="106"/>
    <cellStyle name="Currency0" xfId="107"/>
    <cellStyle name="Date" xfId="108"/>
    <cellStyle name="Date 2" xfId="109"/>
    <cellStyle name="Date 2 2" xfId="110"/>
    <cellStyle name="Date 3" xfId="111"/>
    <cellStyle name="Date 3 2" xfId="112"/>
    <cellStyle name="Date 3 3" xfId="113"/>
    <cellStyle name="Date 4" xfId="114"/>
    <cellStyle name="Date 5" xfId="115"/>
    <cellStyle name="Date 6" xfId="116"/>
    <cellStyle name="Explanatory Text" xfId="117" builtinId="53" customBuiltin="1"/>
    <cellStyle name="Fixed" xfId="118"/>
    <cellStyle name="FRxAmtStyle" xfId="119"/>
    <cellStyle name="Good" xfId="120" builtinId="26" customBuiltin="1"/>
    <cellStyle name="Heading 1" xfId="121" builtinId="16" customBuiltin="1"/>
    <cellStyle name="Heading 2" xfId="122" builtinId="17" customBuiltin="1"/>
    <cellStyle name="Heading 3" xfId="123" builtinId="18" customBuiltin="1"/>
    <cellStyle name="Heading 4" xfId="124" builtinId="19" customBuiltin="1"/>
    <cellStyle name="Hyperlink 2" xfId="125"/>
    <cellStyle name="Input" xfId="126" builtinId="20" customBuiltin="1"/>
    <cellStyle name="Linked Cell" xfId="127" builtinId="24" customBuiltin="1"/>
    <cellStyle name="Neutral" xfId="128" builtinId="28" customBuiltin="1"/>
    <cellStyle name="Normal" xfId="0" builtinId="0"/>
    <cellStyle name="Normal 10" xfId="129"/>
    <cellStyle name="Normal 10 2" xfId="130"/>
    <cellStyle name="Normal 10 2 2" xfId="131"/>
    <cellStyle name="Normal 10 2 2 7" xfId="132"/>
    <cellStyle name="Normal 10 3" xfId="133"/>
    <cellStyle name="Normal 11" xfId="134"/>
    <cellStyle name="Normal 11 2" xfId="135"/>
    <cellStyle name="Normal 11 2 2" xfId="136"/>
    <cellStyle name="Normal 11 2 3" xfId="137"/>
    <cellStyle name="Normal 11 3" xfId="138"/>
    <cellStyle name="Normal 11 3 2" xfId="139"/>
    <cellStyle name="Normal 11 4" xfId="140"/>
    <cellStyle name="Normal 11 5" xfId="141"/>
    <cellStyle name="Normal 12" xfId="142"/>
    <cellStyle name="Normal 12 2" xfId="143"/>
    <cellStyle name="Normal 12 3" xfId="144"/>
    <cellStyle name="Normal 13" xfId="145"/>
    <cellStyle name="Normal 13 2" xfId="146"/>
    <cellStyle name="Normal 13 3" xfId="147"/>
    <cellStyle name="Normal 14" xfId="148"/>
    <cellStyle name="Normal 14 2" xfId="149"/>
    <cellStyle name="Normal 15" xfId="150"/>
    <cellStyle name="Normal 16" xfId="151"/>
    <cellStyle name="Normal 17" xfId="152"/>
    <cellStyle name="Normal 18" xfId="153"/>
    <cellStyle name="Normal 19" xfId="154"/>
    <cellStyle name="Normal 2" xfId="155"/>
    <cellStyle name="Normal 2 10" xfId="156"/>
    <cellStyle name="Normal 2 2" xfId="157"/>
    <cellStyle name="Normal 2 2 2" xfId="158"/>
    <cellStyle name="Normal 2 2 2 2" xfId="159"/>
    <cellStyle name="Normal 2 2 2 2 2" xfId="160"/>
    <cellStyle name="Normal 2 2 2 2 3" xfId="161"/>
    <cellStyle name="Normal 2 2 2 3" xfId="162"/>
    <cellStyle name="Normal 2 2 3" xfId="163"/>
    <cellStyle name="Normal 2 2 3 2" xfId="164"/>
    <cellStyle name="Normal 2 2 4" xfId="165"/>
    <cellStyle name="Normal 2 2 5" xfId="166"/>
    <cellStyle name="Normal 2 2 8" xfId="167"/>
    <cellStyle name="Normal 2 3" xfId="168"/>
    <cellStyle name="Normal 2 3 2" xfId="169"/>
    <cellStyle name="Normal 2 3 3" xfId="170"/>
    <cellStyle name="Normal 2 3 4" xfId="171"/>
    <cellStyle name="Normal 2 4" xfId="172"/>
    <cellStyle name="Normal 2 5" xfId="173"/>
    <cellStyle name="Normal 2_Cash Flows w.o FAS 95" xfId="174"/>
    <cellStyle name="Normal 20" xfId="175"/>
    <cellStyle name="Normal 21" xfId="176"/>
    <cellStyle name="Normal 22" xfId="177"/>
    <cellStyle name="Normal 3" xfId="178"/>
    <cellStyle name="Normal 3 2" xfId="179"/>
    <cellStyle name="Normal 3 2 2" xfId="180"/>
    <cellStyle name="Normal 3 2 3" xfId="181"/>
    <cellStyle name="Normal 3 3" xfId="182"/>
    <cellStyle name="Normal 3 4" xfId="183"/>
    <cellStyle name="Normal 3_Cash Flows w.o FAS 95" xfId="184"/>
    <cellStyle name="Normal 4" xfId="185"/>
    <cellStyle name="Normal 4 2" xfId="186"/>
    <cellStyle name="Normal 4 3" xfId="187"/>
    <cellStyle name="Normal 5" xfId="188"/>
    <cellStyle name="Normal 5 2" xfId="189"/>
    <cellStyle name="Normal 5 2 2" xfId="190"/>
    <cellStyle name="Normal 5 3" xfId="191"/>
    <cellStyle name="Normal 6" xfId="192"/>
    <cellStyle name="Normal 6 2" xfId="193"/>
    <cellStyle name="Normal 6 2 2" xfId="194"/>
    <cellStyle name="Normal 6 3" xfId="195"/>
    <cellStyle name="Normal 6 4" xfId="196"/>
    <cellStyle name="Normal 6 5" xfId="197"/>
    <cellStyle name="Normal 7" xfId="198"/>
    <cellStyle name="Normal 7 2" xfId="199"/>
    <cellStyle name="Normal 7 3" xfId="200"/>
    <cellStyle name="Normal 8" xfId="201"/>
    <cellStyle name="Normal 8 2" xfId="202"/>
    <cellStyle name="Normal 8 2 2" xfId="203"/>
    <cellStyle name="Normal 8 3" xfId="204"/>
    <cellStyle name="Normal 9" xfId="205"/>
    <cellStyle name="Normal 9 2" xfId="206"/>
    <cellStyle name="Normal 9 2 2" xfId="207"/>
    <cellStyle name="Normal 9 2 3" xfId="208"/>
    <cellStyle name="Normal 9 3" xfId="209"/>
    <cellStyle name="Normal 9 3 2" xfId="210"/>
    <cellStyle name="Normal 9 4" xfId="211"/>
    <cellStyle name="Normal 9 5" xfId="212"/>
    <cellStyle name="Note" xfId="213" builtinId="10" customBuiltin="1"/>
    <cellStyle name="Output" xfId="214" builtinId="21" customBuiltin="1"/>
    <cellStyle name="Percent" xfId="215" builtinId="5"/>
    <cellStyle name="Percent 2" xfId="216"/>
    <cellStyle name="Percent 2 2" xfId="217"/>
    <cellStyle name="Percent 2 2 2" xfId="218"/>
    <cellStyle name="Percent 2 3" xfId="219"/>
    <cellStyle name="Percent 2 4" xfId="220"/>
    <cellStyle name="Percent 2 5" xfId="221"/>
    <cellStyle name="Percent 3" xfId="222"/>
    <cellStyle name="Percent 3 2" xfId="223"/>
    <cellStyle name="Percent 4" xfId="224"/>
    <cellStyle name="Percent 4 2" xfId="225"/>
    <cellStyle name="Percent 5" xfId="226"/>
    <cellStyle name="Percent 6" xfId="227"/>
    <cellStyle name="Percent 7" xfId="228"/>
    <cellStyle name="Style 1" xfId="229"/>
    <cellStyle name="Style 1 2" xfId="230"/>
    <cellStyle name="Style 1 2 2" xfId="231"/>
    <cellStyle name="Style 1 2 3" xfId="232"/>
    <cellStyle name="Style 1 3" xfId="233"/>
    <cellStyle name="Style 1 4" xfId="234"/>
    <cellStyle name="Style 1 5" xfId="235"/>
    <cellStyle name="Style 1 6" xfId="236"/>
    <cellStyle name="Style 1_Sheet3" xfId="237"/>
    <cellStyle name="STYLE1" xfId="238"/>
    <cellStyle name="STYLE2" xfId="239"/>
    <cellStyle name="STYLE3" xfId="240"/>
    <cellStyle name="STYLE4" xfId="241"/>
    <cellStyle name="Title" xfId="242" builtinId="15" customBuiltin="1"/>
    <cellStyle name="Total" xfId="243" builtinId="25" customBuiltin="1"/>
    <cellStyle name="Warning Text" xfId="244" builtinId="11" customBuiltin="1"/>
  </cellStyles>
  <dxfs count="18">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146</xdr:col>
      <xdr:colOff>276225</xdr:colOff>
      <xdr:row>52</xdr:row>
      <xdr:rowOff>0</xdr:rowOff>
    </xdr:from>
    <xdr:to>
      <xdr:col>164</xdr:col>
      <xdr:colOff>447675</xdr:colOff>
      <xdr:row>72</xdr:row>
      <xdr:rowOff>76200</xdr:rowOff>
    </xdr:to>
    <xdr:pic>
      <xdr:nvPicPr>
        <xdr:cNvPr id="11132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64825" y="8477250"/>
          <a:ext cx="11506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122</xdr:col>
      <xdr:colOff>2857500</xdr:colOff>
      <xdr:row>28</xdr:row>
      <xdr:rowOff>1076325</xdr:rowOff>
    </xdr:from>
    <xdr:to>
      <xdr:col>131</xdr:col>
      <xdr:colOff>0</xdr:colOff>
      <xdr:row>70</xdr:row>
      <xdr:rowOff>0</xdr:rowOff>
    </xdr:to>
    <xdr:pic>
      <xdr:nvPicPr>
        <xdr:cNvPr id="12121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06650" y="5019675"/>
          <a:ext cx="6219825"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122</xdr:col>
      <xdr:colOff>2857500</xdr:colOff>
      <xdr:row>70</xdr:row>
      <xdr:rowOff>152400</xdr:rowOff>
    </xdr:from>
    <xdr:to>
      <xdr:col>130</xdr:col>
      <xdr:colOff>171450</xdr:colOff>
      <xdr:row>94</xdr:row>
      <xdr:rowOff>0</xdr:rowOff>
    </xdr:to>
    <xdr:pic>
      <xdr:nvPicPr>
        <xdr:cNvPr id="12121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06650" y="8334375"/>
          <a:ext cx="5353050" cy="441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131</xdr:col>
      <xdr:colOff>381000</xdr:colOff>
      <xdr:row>28</xdr:row>
      <xdr:rowOff>0</xdr:rowOff>
    </xdr:from>
    <xdr:to>
      <xdr:col>149</xdr:col>
      <xdr:colOff>1933575</xdr:colOff>
      <xdr:row>73</xdr:row>
      <xdr:rowOff>704850</xdr:rowOff>
    </xdr:to>
    <xdr:pic>
      <xdr:nvPicPr>
        <xdr:cNvPr id="121218"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07475" y="4857750"/>
          <a:ext cx="1087755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131</xdr:col>
      <xdr:colOff>571500</xdr:colOff>
      <xdr:row>74</xdr:row>
      <xdr:rowOff>371475</xdr:rowOff>
    </xdr:from>
    <xdr:to>
      <xdr:col>148</xdr:col>
      <xdr:colOff>1600200</xdr:colOff>
      <xdr:row>104</xdr:row>
      <xdr:rowOff>523875</xdr:rowOff>
    </xdr:to>
    <xdr:pic>
      <xdr:nvPicPr>
        <xdr:cNvPr id="121219"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897975" y="9134475"/>
          <a:ext cx="10096500" cy="539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38</xdr:row>
      <xdr:rowOff>19050</xdr:rowOff>
    </xdr:from>
    <xdr:to>
      <xdr:col>7</xdr:col>
      <xdr:colOff>723900</xdr:colOff>
      <xdr:row>71</xdr:row>
      <xdr:rowOff>9525</xdr:rowOff>
    </xdr:to>
    <xdr:pic>
      <xdr:nvPicPr>
        <xdr:cNvPr id="7996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19175"/>
          <a:ext cx="6867525" cy="533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114300</xdr:colOff>
      <xdr:row>230</xdr:row>
      <xdr:rowOff>85725</xdr:rowOff>
    </xdr:from>
    <xdr:to>
      <xdr:col>23</xdr:col>
      <xdr:colOff>561975</xdr:colOff>
      <xdr:row>255</xdr:row>
      <xdr:rowOff>95250</xdr:rowOff>
    </xdr:to>
    <xdr:pic>
      <xdr:nvPicPr>
        <xdr:cNvPr id="11911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0" y="46920150"/>
          <a:ext cx="4895850"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876300</xdr:colOff>
      <xdr:row>230</xdr:row>
      <xdr:rowOff>47625</xdr:rowOff>
    </xdr:from>
    <xdr:to>
      <xdr:col>16</xdr:col>
      <xdr:colOff>590550</xdr:colOff>
      <xdr:row>255</xdr:row>
      <xdr:rowOff>104775</xdr:rowOff>
    </xdr:to>
    <xdr:pic>
      <xdr:nvPicPr>
        <xdr:cNvPr id="11911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7225" y="46882050"/>
          <a:ext cx="5076825" cy="481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885825</xdr:colOff>
      <xdr:row>255</xdr:row>
      <xdr:rowOff>171450</xdr:rowOff>
    </xdr:from>
    <xdr:to>
      <xdr:col>16</xdr:col>
      <xdr:colOff>514350</xdr:colOff>
      <xdr:row>282</xdr:row>
      <xdr:rowOff>76200</xdr:rowOff>
    </xdr:to>
    <xdr:pic>
      <xdr:nvPicPr>
        <xdr:cNvPr id="119117"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6750" y="51768375"/>
          <a:ext cx="4991100"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9.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4.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12.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18.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5.bin"/><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6.bin"/><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customProperty" Target="../customProperty17.bin"/><Relationship Id="rId1" Type="http://schemas.openxmlformats.org/officeDocument/2006/relationships/printerSettings" Target="../printerSettings/printerSettings30.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18.bin"/><Relationship Id="rId1" Type="http://schemas.openxmlformats.org/officeDocument/2006/relationships/printerSettings" Target="../printerSettings/printerSettings33.bin"/><Relationship Id="rId4"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19.bin"/><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20.bin"/><Relationship Id="rId1" Type="http://schemas.openxmlformats.org/officeDocument/2006/relationships/printerSettings" Target="../printerSettings/printerSettings37.bin"/><Relationship Id="rId4"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21.bin"/><Relationship Id="rId1" Type="http://schemas.openxmlformats.org/officeDocument/2006/relationships/printerSettings" Target="../printerSettings/printerSettings38.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
  <sheetViews>
    <sheetView workbookViewId="0">
      <selection activeCell="B44" sqref="B44"/>
    </sheetView>
  </sheetViews>
  <sheetFormatPr defaultRowHeight="12.75"/>
  <cols>
    <col min="1" max="1" width="2.5703125" customWidth="1"/>
    <col min="2" max="2" width="32.7109375" bestFit="1" customWidth="1"/>
    <col min="12" max="12" width="14.85546875" customWidth="1"/>
  </cols>
  <sheetData>
    <row r="2" spans="2:12">
      <c r="B2" s="1087" t="s">
        <v>2599</v>
      </c>
      <c r="C2" s="1088" t="s">
        <v>2617</v>
      </c>
      <c r="D2" s="1089"/>
      <c r="E2" s="1089"/>
      <c r="F2" s="1089"/>
      <c r="G2" s="1089"/>
      <c r="H2" s="1089"/>
      <c r="I2" s="1089"/>
      <c r="J2" s="1089"/>
      <c r="K2" s="1089"/>
      <c r="L2" s="1090"/>
    </row>
    <row r="3" spans="2:12">
      <c r="B3" s="1091" t="s">
        <v>2600</v>
      </c>
      <c r="C3" s="1092" t="s">
        <v>2618</v>
      </c>
      <c r="D3" s="1093"/>
      <c r="E3" s="1093"/>
      <c r="F3" s="1093"/>
      <c r="G3" s="1093"/>
      <c r="H3" s="1093"/>
      <c r="I3" s="1093"/>
      <c r="J3" s="1093"/>
      <c r="K3" s="1093"/>
      <c r="L3" s="1094"/>
    </row>
    <row r="4" spans="2:12">
      <c r="B4" s="1091" t="s">
        <v>2601</v>
      </c>
      <c r="C4" s="1093"/>
      <c r="D4" s="1093"/>
      <c r="E4" s="1093"/>
      <c r="F4" s="1093"/>
      <c r="G4" s="1093"/>
      <c r="H4" s="1093"/>
      <c r="I4" s="1093"/>
      <c r="J4" s="1093"/>
      <c r="K4" s="1093"/>
      <c r="L4" s="1094"/>
    </row>
    <row r="5" spans="2:12" ht="24" customHeight="1">
      <c r="B5" s="1103" t="s">
        <v>2602</v>
      </c>
      <c r="C5" s="1341" t="s">
        <v>2619</v>
      </c>
      <c r="D5" s="1341"/>
      <c r="E5" s="1341"/>
      <c r="F5" s="1341"/>
      <c r="G5" s="1341"/>
      <c r="H5" s="1341"/>
      <c r="I5" s="1341"/>
      <c r="J5" s="1341"/>
      <c r="K5" s="1341"/>
      <c r="L5" s="1342"/>
    </row>
    <row r="6" spans="2:12">
      <c r="B6" s="1095" t="s">
        <v>2603</v>
      </c>
      <c r="C6" s="1092" t="s">
        <v>2620</v>
      </c>
      <c r="D6" s="1093"/>
      <c r="E6" s="1093"/>
      <c r="F6" s="1093"/>
      <c r="G6" s="1093"/>
      <c r="H6" s="1093"/>
      <c r="I6" s="1093"/>
      <c r="J6" s="1093"/>
      <c r="K6" s="1093"/>
      <c r="L6" s="1094"/>
    </row>
    <row r="7" spans="2:12">
      <c r="B7" s="1095" t="s">
        <v>2604</v>
      </c>
      <c r="C7" s="1092" t="s">
        <v>2605</v>
      </c>
      <c r="D7" s="1093"/>
      <c r="E7" s="1093"/>
      <c r="F7" s="1093"/>
      <c r="G7" s="1093"/>
      <c r="H7" s="1093"/>
      <c r="I7" s="1093"/>
      <c r="J7" s="1093"/>
      <c r="K7" s="1093"/>
      <c r="L7" s="1094"/>
    </row>
    <row r="8" spans="2:12">
      <c r="B8" s="1095" t="s">
        <v>2606</v>
      </c>
      <c r="C8" s="1092" t="s">
        <v>2607</v>
      </c>
      <c r="D8" s="1093"/>
      <c r="E8" s="1093"/>
      <c r="F8" s="1093"/>
      <c r="G8" s="1093"/>
      <c r="H8" s="1093"/>
      <c r="I8" s="1093"/>
      <c r="J8" s="1093"/>
      <c r="K8" s="1093"/>
      <c r="L8" s="1094"/>
    </row>
    <row r="9" spans="2:12">
      <c r="B9" s="1096"/>
      <c r="C9" s="1093"/>
      <c r="D9" s="1093"/>
      <c r="E9" s="1093"/>
      <c r="F9" s="1093"/>
      <c r="G9" s="1093"/>
      <c r="H9" s="1093"/>
      <c r="I9" s="1093"/>
      <c r="J9" s="1093"/>
      <c r="K9" s="1093"/>
      <c r="L9" s="1094"/>
    </row>
    <row r="10" spans="2:12">
      <c r="B10" s="1091" t="s">
        <v>2608</v>
      </c>
      <c r="C10" s="1093"/>
      <c r="D10" s="1093"/>
      <c r="E10" s="1093"/>
      <c r="F10" s="1093"/>
      <c r="G10" s="1093"/>
      <c r="H10" s="1093"/>
      <c r="I10" s="1093"/>
      <c r="J10" s="1093"/>
      <c r="K10" s="1093"/>
      <c r="L10" s="1094"/>
    </row>
    <row r="11" spans="2:12">
      <c r="B11" s="1097" t="s">
        <v>2609</v>
      </c>
      <c r="C11" s="1092" t="s">
        <v>2610</v>
      </c>
      <c r="D11" s="1093"/>
      <c r="E11" s="1093"/>
      <c r="F11" s="1093"/>
      <c r="G11" s="1093"/>
      <c r="H11" s="1093"/>
      <c r="I11" s="1093"/>
      <c r="J11" s="1093"/>
      <c r="K11" s="1093"/>
      <c r="L11" s="1094"/>
    </row>
    <row r="12" spans="2:12">
      <c r="B12" s="1098" t="s">
        <v>2611</v>
      </c>
      <c r="C12" s="1092" t="s">
        <v>2612</v>
      </c>
      <c r="D12" s="1093"/>
      <c r="E12" s="1093"/>
      <c r="F12" s="1093"/>
      <c r="G12" s="1093"/>
      <c r="H12" s="1093"/>
      <c r="I12" s="1093"/>
      <c r="J12" s="1093"/>
      <c r="K12" s="1093"/>
      <c r="L12" s="1094"/>
    </row>
    <row r="13" spans="2:12">
      <c r="B13" s="1099" t="s">
        <v>2613</v>
      </c>
      <c r="C13" s="1092" t="s">
        <v>2614</v>
      </c>
      <c r="D13" s="1093"/>
      <c r="E13" s="1093"/>
      <c r="F13" s="1093"/>
      <c r="G13" s="1093"/>
      <c r="H13" s="1093"/>
      <c r="I13" s="1093"/>
      <c r="J13" s="1093"/>
      <c r="K13" s="1093"/>
      <c r="L13" s="1094"/>
    </row>
    <row r="14" spans="2:12">
      <c r="B14" s="1148" t="s">
        <v>2615</v>
      </c>
      <c r="C14" s="1092" t="s">
        <v>2616</v>
      </c>
      <c r="D14" s="1093"/>
      <c r="E14" s="1093"/>
      <c r="F14" s="1093"/>
      <c r="G14" s="1093"/>
      <c r="H14" s="1093"/>
      <c r="I14" s="1093"/>
      <c r="J14" s="1093"/>
      <c r="K14" s="1093"/>
      <c r="L14" s="1094"/>
    </row>
    <row r="15" spans="2:12">
      <c r="B15" s="1149"/>
      <c r="C15" s="1100" t="s">
        <v>2669</v>
      </c>
      <c r="D15" s="1101"/>
      <c r="E15" s="1101"/>
      <c r="F15" s="1101"/>
      <c r="G15" s="1101"/>
      <c r="H15" s="1101"/>
      <c r="I15" s="1101"/>
      <c r="J15" s="1101"/>
      <c r="K15" s="1101"/>
      <c r="L15" s="1102"/>
    </row>
  </sheetData>
  <mergeCells count="1">
    <mergeCell ref="C5:L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CW516"/>
  <sheetViews>
    <sheetView workbookViewId="0"/>
  </sheetViews>
  <sheetFormatPr defaultColWidth="13.7109375" defaultRowHeight="12.75"/>
  <cols>
    <col min="1" max="1" width="15" bestFit="1" customWidth="1"/>
    <col min="2" max="2" width="14.28515625" customWidth="1"/>
    <col min="3" max="3" width="33.7109375" customWidth="1"/>
    <col min="4" max="15" width="21" hidden="1" customWidth="1"/>
    <col min="16" max="17" width="17" hidden="1" customWidth="1"/>
    <col min="18" max="18" width="17.7109375" hidden="1" customWidth="1"/>
    <col min="19" max="19" width="16.7109375" hidden="1" customWidth="1"/>
    <col min="20" max="20" width="17" hidden="1" customWidth="1"/>
    <col min="21" max="21" width="16.28515625" hidden="1" customWidth="1"/>
    <col min="22" max="22" width="16.85546875" hidden="1" customWidth="1"/>
    <col min="23" max="23" width="17.5703125" hidden="1" customWidth="1"/>
    <col min="24" max="70" width="17.28515625" hidden="1" customWidth="1"/>
    <col min="71" max="71" width="17.5703125" hidden="1" customWidth="1"/>
    <col min="72" max="78" width="17.28515625" hidden="1" customWidth="1"/>
    <col min="79" max="79" width="17.42578125" hidden="1" customWidth="1"/>
    <col min="80" max="80" width="17.5703125" hidden="1" customWidth="1"/>
    <col min="81" max="81" width="17" hidden="1" customWidth="1"/>
    <col min="82" max="87" width="17.28515625" hidden="1" customWidth="1"/>
    <col min="88" max="95" width="17.28515625" customWidth="1"/>
    <col min="96" max="96" width="18.42578125" customWidth="1"/>
    <col min="97" max="97" width="17.42578125" customWidth="1"/>
    <col min="98" max="98" width="17.5703125" customWidth="1"/>
    <col min="99" max="99" width="17.28515625" bestFit="1" customWidth="1"/>
    <col min="100" max="100" width="15.28515625" customWidth="1"/>
  </cols>
  <sheetData>
    <row r="1" spans="1:101" ht="15">
      <c r="A1" s="824"/>
      <c r="C1" s="824"/>
      <c r="W1" s="462"/>
    </row>
    <row r="2" spans="1:101" ht="15">
      <c r="A2" s="56"/>
      <c r="C2" s="56"/>
      <c r="W2" s="462"/>
      <c r="CV2" s="1344" t="str">
        <f>+Input!A4</f>
        <v>(JAN 2021 - DEC 2021)</v>
      </c>
      <c r="CW2" s="1329"/>
    </row>
    <row r="3" spans="1:101" ht="15">
      <c r="A3" s="56"/>
      <c r="B3" s="56"/>
      <c r="C3" s="56"/>
      <c r="D3" s="391" t="s">
        <v>572</v>
      </c>
      <c r="W3" s="462"/>
      <c r="CV3" s="1345"/>
    </row>
    <row r="4" spans="1:101" ht="15">
      <c r="A4" s="1158"/>
      <c r="B4" s="1158" t="s">
        <v>574</v>
      </c>
      <c r="C4" s="1158"/>
      <c r="D4" s="424" t="s">
        <v>941</v>
      </c>
      <c r="E4" s="424" t="s">
        <v>942</v>
      </c>
      <c r="F4" s="424" t="s">
        <v>943</v>
      </c>
      <c r="G4" s="424" t="s">
        <v>944</v>
      </c>
      <c r="H4" s="424" t="s">
        <v>945</v>
      </c>
      <c r="I4" s="424" t="s">
        <v>946</v>
      </c>
      <c r="J4" s="424" t="s">
        <v>947</v>
      </c>
      <c r="K4" s="424" t="s">
        <v>948</v>
      </c>
      <c r="L4" s="424" t="s">
        <v>949</v>
      </c>
      <c r="M4" s="424" t="s">
        <v>950</v>
      </c>
      <c r="N4" s="424" t="s">
        <v>951</v>
      </c>
      <c r="O4" s="425" t="s">
        <v>952</v>
      </c>
      <c r="P4" s="424" t="s">
        <v>1377</v>
      </c>
      <c r="Q4" s="424" t="s">
        <v>1378</v>
      </c>
      <c r="R4" s="425" t="s">
        <v>1379</v>
      </c>
      <c r="S4" s="460" t="s">
        <v>1385</v>
      </c>
      <c r="T4" s="461" t="s">
        <v>1386</v>
      </c>
      <c r="U4" s="460" t="s">
        <v>1387</v>
      </c>
      <c r="V4" s="460" t="s">
        <v>1400</v>
      </c>
      <c r="W4" s="460" t="s">
        <v>1401</v>
      </c>
      <c r="X4" s="460" t="s">
        <v>1402</v>
      </c>
      <c r="Y4" s="460" t="s">
        <v>1409</v>
      </c>
      <c r="Z4" s="460" t="s">
        <v>1410</v>
      </c>
      <c r="AA4" s="460" t="s">
        <v>1411</v>
      </c>
      <c r="AB4" s="460" t="s">
        <v>1427</v>
      </c>
      <c r="AC4" s="460" t="s">
        <v>1428</v>
      </c>
      <c r="AD4" s="460" t="s">
        <v>1429</v>
      </c>
      <c r="AE4" s="460" t="s">
        <v>1430</v>
      </c>
      <c r="AF4" s="460" t="s">
        <v>1431</v>
      </c>
      <c r="AG4" s="460" t="s">
        <v>1432</v>
      </c>
      <c r="AH4" s="460" t="s">
        <v>1689</v>
      </c>
      <c r="AI4" s="460" t="s">
        <v>1690</v>
      </c>
      <c r="AJ4" s="460" t="s">
        <v>1691</v>
      </c>
      <c r="AK4" s="460" t="s">
        <v>1711</v>
      </c>
      <c r="AL4" s="460" t="s">
        <v>1712</v>
      </c>
      <c r="AM4" s="460" t="s">
        <v>1713</v>
      </c>
      <c r="AN4" s="460" t="s">
        <v>1757</v>
      </c>
      <c r="AO4" s="460" t="s">
        <v>1758</v>
      </c>
      <c r="AP4" s="460" t="s">
        <v>1759</v>
      </c>
      <c r="AQ4" s="460" t="s">
        <v>1815</v>
      </c>
      <c r="AR4" s="460" t="s">
        <v>1816</v>
      </c>
      <c r="AS4" s="460" t="s">
        <v>1817</v>
      </c>
      <c r="AT4" s="460" t="s">
        <v>1824</v>
      </c>
      <c r="AU4" s="460" t="s">
        <v>1825</v>
      </c>
      <c r="AV4" s="460" t="s">
        <v>1826</v>
      </c>
      <c r="AW4" s="460" t="s">
        <v>1833</v>
      </c>
      <c r="AX4" s="460" t="s">
        <v>1834</v>
      </c>
      <c r="AY4" s="460" t="s">
        <v>1835</v>
      </c>
      <c r="AZ4" s="460" t="s">
        <v>1860</v>
      </c>
      <c r="BA4" s="460" t="s">
        <v>1861</v>
      </c>
      <c r="BB4" s="460" t="s">
        <v>1862</v>
      </c>
      <c r="BC4" s="460" t="s">
        <v>2227</v>
      </c>
      <c r="BD4" s="460" t="s">
        <v>2228</v>
      </c>
      <c r="BE4" s="460" t="s">
        <v>2229</v>
      </c>
      <c r="BF4" s="460" t="s">
        <v>2237</v>
      </c>
      <c r="BG4" s="460" t="s">
        <v>2238</v>
      </c>
      <c r="BH4" s="460" t="s">
        <v>2239</v>
      </c>
      <c r="BI4" s="460" t="s">
        <v>2247</v>
      </c>
      <c r="BJ4" s="460" t="s">
        <v>2248</v>
      </c>
      <c r="BK4" s="460" t="s">
        <v>2249</v>
      </c>
      <c r="BL4" s="460" t="s">
        <v>2258</v>
      </c>
      <c r="BM4" s="460" t="s">
        <v>2259</v>
      </c>
      <c r="BN4" s="460" t="s">
        <v>2260</v>
      </c>
      <c r="BO4" s="460" t="s">
        <v>2270</v>
      </c>
      <c r="BP4" s="460" t="s">
        <v>2271</v>
      </c>
      <c r="BQ4" s="460" t="s">
        <v>2272</v>
      </c>
      <c r="BR4" s="460" t="s">
        <v>2285</v>
      </c>
      <c r="BS4" s="460" t="s">
        <v>2286</v>
      </c>
      <c r="BT4" s="460" t="s">
        <v>2287</v>
      </c>
      <c r="BU4" s="460" t="s">
        <v>2342</v>
      </c>
      <c r="BV4" s="460" t="s">
        <v>2343</v>
      </c>
      <c r="BW4" s="460" t="s">
        <v>2344</v>
      </c>
      <c r="BX4" s="460" t="s">
        <v>2440</v>
      </c>
      <c r="BY4" s="460" t="s">
        <v>2441</v>
      </c>
      <c r="BZ4" s="460" t="s">
        <v>2442</v>
      </c>
      <c r="CA4" s="460" t="s">
        <v>2482</v>
      </c>
      <c r="CB4" s="460" t="s">
        <v>2486</v>
      </c>
      <c r="CC4" s="1159" t="s">
        <v>2507</v>
      </c>
      <c r="CD4" s="1159" t="s">
        <v>2518</v>
      </c>
      <c r="CE4" s="1159" t="s">
        <v>2519</v>
      </c>
      <c r="CF4" s="1159" t="s">
        <v>2520</v>
      </c>
      <c r="CG4" s="1159" t="s">
        <v>2537</v>
      </c>
      <c r="CH4" s="1159" t="s">
        <v>2538</v>
      </c>
      <c r="CI4" s="1159" t="s">
        <v>2539</v>
      </c>
      <c r="CJ4" s="1159" t="s">
        <v>2572</v>
      </c>
      <c r="CK4" s="1159" t="s">
        <v>2573</v>
      </c>
      <c r="CL4" s="1159" t="s">
        <v>2574</v>
      </c>
      <c r="CM4" s="1159" t="s">
        <v>2680</v>
      </c>
      <c r="CN4" s="1159" t="s">
        <v>2681</v>
      </c>
      <c r="CO4" s="1159" t="s">
        <v>2682</v>
      </c>
      <c r="CP4" s="1159" t="s">
        <v>2708</v>
      </c>
      <c r="CQ4" s="1159" t="s">
        <v>2709</v>
      </c>
      <c r="CR4" s="1159" t="s">
        <v>2710</v>
      </c>
      <c r="CS4" s="1159" t="s">
        <v>2763</v>
      </c>
      <c r="CT4" s="1159" t="s">
        <v>2764</v>
      </c>
      <c r="CU4" s="1159" t="s">
        <v>2765</v>
      </c>
      <c r="CV4" s="1330" t="s">
        <v>511</v>
      </c>
      <c r="CW4" s="1331"/>
    </row>
    <row r="5" spans="1:101">
      <c r="A5" s="540" t="str">
        <f>+B5</f>
        <v>4073052</v>
      </c>
      <c r="B5" s="541" t="s">
        <v>1406</v>
      </c>
      <c r="C5" s="463" t="s">
        <v>1407</v>
      </c>
      <c r="D5" s="52">
        <v>0</v>
      </c>
      <c r="E5" s="52">
        <v>0</v>
      </c>
      <c r="F5" s="52">
        <v>0</v>
      </c>
      <c r="G5" s="52">
        <v>0</v>
      </c>
      <c r="H5" s="52">
        <v>0</v>
      </c>
      <c r="I5" s="52">
        <v>0</v>
      </c>
      <c r="J5" s="52">
        <v>0</v>
      </c>
      <c r="K5" s="52">
        <v>0</v>
      </c>
      <c r="L5" s="52">
        <v>0</v>
      </c>
      <c r="M5" s="52">
        <v>0</v>
      </c>
      <c r="N5" s="52">
        <v>0</v>
      </c>
      <c r="O5" s="52">
        <v>0</v>
      </c>
      <c r="P5" s="52">
        <v>0</v>
      </c>
      <c r="Q5" s="52">
        <v>0</v>
      </c>
      <c r="R5" s="52">
        <v>0</v>
      </c>
      <c r="S5" s="52">
        <v>0</v>
      </c>
      <c r="T5" s="52">
        <v>0</v>
      </c>
      <c r="U5" s="52">
        <v>0</v>
      </c>
      <c r="V5" s="52">
        <v>0</v>
      </c>
      <c r="W5" s="52">
        <v>511204</v>
      </c>
      <c r="X5" s="52">
        <v>0</v>
      </c>
      <c r="Y5" s="52">
        <v>0</v>
      </c>
      <c r="Z5" s="52">
        <v>0</v>
      </c>
      <c r="AA5" s="52">
        <v>0</v>
      </c>
      <c r="AB5" s="52">
        <v>0</v>
      </c>
      <c r="AC5" s="52">
        <v>0</v>
      </c>
      <c r="AD5" s="52">
        <v>0</v>
      </c>
      <c r="AE5" s="52">
        <v>0</v>
      </c>
      <c r="AF5" s="52">
        <v>0</v>
      </c>
      <c r="AG5" s="52">
        <v>-61344.480000000003</v>
      </c>
      <c r="AH5" s="52">
        <v>0</v>
      </c>
      <c r="AI5" s="52">
        <v>0</v>
      </c>
      <c r="AJ5" s="52">
        <v>0</v>
      </c>
      <c r="AK5" s="52">
        <v>0</v>
      </c>
      <c r="AL5" s="52">
        <v>0</v>
      </c>
      <c r="AM5" s="52">
        <v>0</v>
      </c>
      <c r="AN5" s="52">
        <v>0</v>
      </c>
      <c r="AO5" s="52">
        <v>0</v>
      </c>
      <c r="AP5" s="52">
        <v>0</v>
      </c>
      <c r="AQ5" s="52">
        <v>0</v>
      </c>
      <c r="AR5" s="52">
        <v>0</v>
      </c>
      <c r="AS5" s="52">
        <v>0</v>
      </c>
      <c r="AT5" s="52">
        <v>0</v>
      </c>
      <c r="AU5" s="52">
        <v>0</v>
      </c>
      <c r="AV5" s="52">
        <v>0</v>
      </c>
      <c r="AW5" s="52"/>
      <c r="AX5" s="52"/>
      <c r="AY5" s="52"/>
      <c r="AZ5" s="52">
        <v>0</v>
      </c>
      <c r="BA5" s="52">
        <v>0</v>
      </c>
      <c r="BB5" s="52">
        <v>0</v>
      </c>
      <c r="BC5" s="52">
        <v>0</v>
      </c>
      <c r="BD5" s="52">
        <v>0</v>
      </c>
      <c r="BE5" s="52">
        <v>0</v>
      </c>
      <c r="BF5" s="52">
        <v>0</v>
      </c>
      <c r="BG5" s="52">
        <v>0</v>
      </c>
      <c r="BH5" s="52">
        <v>0</v>
      </c>
      <c r="BI5" s="52">
        <v>0</v>
      </c>
      <c r="BJ5" s="52">
        <v>0</v>
      </c>
      <c r="BK5" s="52">
        <v>0</v>
      </c>
      <c r="BL5" s="52">
        <v>0</v>
      </c>
      <c r="BM5" s="52">
        <v>0</v>
      </c>
      <c r="BN5" s="52">
        <v>0</v>
      </c>
      <c r="BO5" s="52">
        <v>0</v>
      </c>
      <c r="BP5" s="52">
        <v>0</v>
      </c>
      <c r="BQ5" s="52">
        <v>0</v>
      </c>
      <c r="BR5" s="52">
        <v>0</v>
      </c>
      <c r="BS5" s="52">
        <v>0</v>
      </c>
      <c r="BT5" s="52">
        <v>0</v>
      </c>
      <c r="BU5" s="52">
        <v>0</v>
      </c>
      <c r="BV5" s="52">
        <v>0</v>
      </c>
      <c r="BW5" s="52">
        <v>0</v>
      </c>
      <c r="BX5" s="52">
        <v>0</v>
      </c>
      <c r="BY5" s="52">
        <v>0</v>
      </c>
      <c r="BZ5" s="52">
        <v>0</v>
      </c>
      <c r="CA5" s="52">
        <v>0</v>
      </c>
      <c r="CB5" s="52">
        <v>0</v>
      </c>
      <c r="CC5" s="52">
        <v>0</v>
      </c>
      <c r="CD5" s="52">
        <v>0</v>
      </c>
      <c r="CE5" s="52">
        <v>0</v>
      </c>
      <c r="CF5" s="52">
        <v>0</v>
      </c>
      <c r="CG5" s="52">
        <v>0</v>
      </c>
      <c r="CH5" s="52">
        <v>0</v>
      </c>
      <c r="CI5" s="52">
        <v>0</v>
      </c>
      <c r="CJ5" s="52">
        <v>0</v>
      </c>
      <c r="CK5" s="52">
        <v>0</v>
      </c>
      <c r="CL5" s="52">
        <v>0</v>
      </c>
      <c r="CM5" s="52">
        <v>0</v>
      </c>
      <c r="CN5" s="52">
        <v>0</v>
      </c>
      <c r="CO5" s="52">
        <v>0</v>
      </c>
      <c r="CP5" s="52">
        <v>0</v>
      </c>
      <c r="CQ5" s="52">
        <v>0</v>
      </c>
      <c r="CR5" s="52">
        <v>0</v>
      </c>
      <c r="CS5" s="52">
        <v>0</v>
      </c>
      <c r="CT5" s="52">
        <v>0</v>
      </c>
      <c r="CU5" s="52">
        <v>0</v>
      </c>
      <c r="CV5" s="430">
        <f>SUM(CJ5:CU5)</f>
        <v>0</v>
      </c>
    </row>
    <row r="6" spans="1:101">
      <c r="A6" s="540" t="str">
        <f t="shared" ref="A6:A76" si="0">+B6</f>
        <v>4073060</v>
      </c>
      <c r="B6" s="541" t="s">
        <v>1272</v>
      </c>
      <c r="C6" s="463" t="s">
        <v>953</v>
      </c>
      <c r="D6" s="426">
        <v>679986</v>
      </c>
      <c r="E6" s="426">
        <v>5019291</v>
      </c>
      <c r="F6" s="426">
        <v>-818714</v>
      </c>
      <c r="G6" s="426">
        <v>1885134</v>
      </c>
      <c r="H6" s="426">
        <v>-2013681</v>
      </c>
      <c r="I6" s="426">
        <v>1920726</v>
      </c>
      <c r="J6" s="426">
        <v>764503.05</v>
      </c>
      <c r="K6" s="426">
        <v>189971</v>
      </c>
      <c r="L6" s="426">
        <v>-269327</v>
      </c>
      <c r="M6" s="426">
        <v>-1988662</v>
      </c>
      <c r="N6" s="426">
        <v>-5688020</v>
      </c>
      <c r="O6" s="427">
        <v>2440143.9</v>
      </c>
      <c r="P6" s="52">
        <v>874005</v>
      </c>
      <c r="Q6" s="52">
        <v>-46942</v>
      </c>
      <c r="R6" s="52">
        <v>1692339</v>
      </c>
      <c r="S6" s="52">
        <v>0</v>
      </c>
      <c r="T6" s="52">
        <v>0</v>
      </c>
      <c r="U6" s="52">
        <v>2345723</v>
      </c>
      <c r="V6" s="52">
        <v>0</v>
      </c>
      <c r="W6" s="52">
        <v>532507</v>
      </c>
      <c r="X6" s="52">
        <v>0</v>
      </c>
      <c r="Y6" s="52">
        <v>0</v>
      </c>
      <c r="Z6" s="52">
        <v>0</v>
      </c>
      <c r="AA6" s="52">
        <v>0</v>
      </c>
      <c r="AB6" s="52">
        <v>1010190</v>
      </c>
      <c r="AC6" s="52">
        <v>5028710</v>
      </c>
      <c r="AD6" s="52">
        <v>1623436</v>
      </c>
      <c r="AE6" s="52">
        <v>777966</v>
      </c>
      <c r="AF6" s="52">
        <v>1592898</v>
      </c>
      <c r="AG6" s="52">
        <v>1972766</v>
      </c>
      <c r="AH6" s="52">
        <v>1264664</v>
      </c>
      <c r="AI6" s="52">
        <v>835184</v>
      </c>
      <c r="AJ6" s="52">
        <v>0</v>
      </c>
      <c r="AK6" s="52">
        <v>0</v>
      </c>
      <c r="AL6" s="52">
        <v>0</v>
      </c>
      <c r="AM6" s="52">
        <v>0</v>
      </c>
      <c r="AN6" s="52">
        <v>554769</v>
      </c>
      <c r="AO6" s="52">
        <v>3223761</v>
      </c>
      <c r="AP6" s="52">
        <v>0</v>
      </c>
      <c r="AQ6" s="52">
        <v>1044957</v>
      </c>
      <c r="AR6" s="52">
        <v>96188</v>
      </c>
      <c r="AS6" s="52">
        <v>0</v>
      </c>
      <c r="AT6" s="52">
        <v>0</v>
      </c>
      <c r="AU6" s="52">
        <v>0</v>
      </c>
      <c r="AV6" s="52">
        <v>1278299</v>
      </c>
      <c r="AW6" s="52">
        <v>0</v>
      </c>
      <c r="AX6" s="52">
        <v>0</v>
      </c>
      <c r="AY6" s="52">
        <v>765281</v>
      </c>
      <c r="AZ6" s="52">
        <v>4926984</v>
      </c>
      <c r="BA6" s="52">
        <v>5862451</v>
      </c>
      <c r="BB6" s="52">
        <v>0</v>
      </c>
      <c r="BC6" s="52">
        <v>3350938</v>
      </c>
      <c r="BD6" s="52">
        <v>0</v>
      </c>
      <c r="BE6" s="52">
        <v>172230</v>
      </c>
      <c r="BF6" s="52">
        <v>0</v>
      </c>
      <c r="BG6" s="52">
        <v>0</v>
      </c>
      <c r="BH6" s="52">
        <v>204507</v>
      </c>
      <c r="BI6" s="52">
        <v>0</v>
      </c>
      <c r="BJ6" s="52">
        <v>0</v>
      </c>
      <c r="BK6" s="52">
        <v>0</v>
      </c>
      <c r="BL6" s="52">
        <v>1935561</v>
      </c>
      <c r="BM6" s="52">
        <v>3580818</v>
      </c>
      <c r="BN6" s="52">
        <v>1224380</v>
      </c>
      <c r="BO6" s="52">
        <v>3105870</v>
      </c>
      <c r="BP6" s="52">
        <v>2591667</v>
      </c>
      <c r="BQ6" s="52">
        <v>1229044</v>
      </c>
      <c r="BR6" s="52">
        <v>330011</v>
      </c>
      <c r="BS6" s="52">
        <v>0</v>
      </c>
      <c r="BT6" s="52">
        <v>706367</v>
      </c>
      <c r="BU6" s="52">
        <v>0</v>
      </c>
      <c r="BV6" s="52">
        <v>0</v>
      </c>
      <c r="BW6" s="52">
        <v>1284764</v>
      </c>
      <c r="BX6" s="52">
        <v>3527066</v>
      </c>
      <c r="BY6" s="52">
        <v>3182845</v>
      </c>
      <c r="BZ6" s="52">
        <v>1357240</v>
      </c>
      <c r="CA6" s="52">
        <v>774904</v>
      </c>
      <c r="CB6" s="52">
        <v>0</v>
      </c>
      <c r="CC6" s="52">
        <v>746533</v>
      </c>
      <c r="CD6" s="52">
        <v>0</v>
      </c>
      <c r="CE6" s="52">
        <v>0</v>
      </c>
      <c r="CF6" s="52">
        <v>0</v>
      </c>
      <c r="CG6" s="52">
        <v>0</v>
      </c>
      <c r="CH6" s="52">
        <v>0</v>
      </c>
      <c r="CI6" s="52">
        <v>0</v>
      </c>
      <c r="CJ6" s="52">
        <v>3733943</v>
      </c>
      <c r="CK6" s="52">
        <v>0</v>
      </c>
      <c r="CL6" s="52">
        <v>0</v>
      </c>
      <c r="CM6" s="52">
        <v>3928902</v>
      </c>
      <c r="CN6" s="52">
        <v>503058</v>
      </c>
      <c r="CO6" s="52">
        <v>0</v>
      </c>
      <c r="CP6" s="52">
        <v>417974</v>
      </c>
      <c r="CQ6" s="52">
        <v>0</v>
      </c>
      <c r="CR6" s="52">
        <v>0</v>
      </c>
      <c r="CS6" s="52">
        <v>0</v>
      </c>
      <c r="CT6" s="52">
        <v>0</v>
      </c>
      <c r="CU6" s="52">
        <v>589453</v>
      </c>
      <c r="CV6" s="430">
        <f t="shared" ref="CV6:CV69" si="1">SUM(CJ6:CU6)</f>
        <v>9173330</v>
      </c>
    </row>
    <row r="7" spans="1:101">
      <c r="A7" s="540" t="str">
        <f t="shared" si="0"/>
        <v>4073061</v>
      </c>
      <c r="B7" s="541" t="s">
        <v>1274</v>
      </c>
      <c r="C7" s="463" t="s">
        <v>2208</v>
      </c>
      <c r="D7" s="426"/>
      <c r="E7" s="426"/>
      <c r="F7" s="426"/>
      <c r="G7" s="426"/>
      <c r="H7" s="426"/>
      <c r="I7" s="426"/>
      <c r="J7" s="426"/>
      <c r="K7" s="426"/>
      <c r="L7" s="426"/>
      <c r="M7" s="426"/>
      <c r="N7" s="426"/>
      <c r="O7" s="427"/>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v>292032</v>
      </c>
      <c r="BA7" s="52">
        <v>292032</v>
      </c>
      <c r="BB7" s="52">
        <v>292032</v>
      </c>
      <c r="BC7" s="52">
        <v>292032</v>
      </c>
      <c r="BD7" s="52">
        <v>292032</v>
      </c>
      <c r="BE7" s="52">
        <v>292032</v>
      </c>
      <c r="BF7" s="52">
        <v>292032</v>
      </c>
      <c r="BG7" s="52">
        <v>292032</v>
      </c>
      <c r="BH7" s="52">
        <v>292032</v>
      </c>
      <c r="BI7" s="52">
        <v>292032</v>
      </c>
      <c r="BJ7" s="52">
        <v>292032</v>
      </c>
      <c r="BK7" s="52">
        <v>292029</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430">
        <f t="shared" si="1"/>
        <v>0</v>
      </c>
    </row>
    <row r="8" spans="1:101">
      <c r="A8" s="540" t="str">
        <f t="shared" si="0"/>
        <v>4073071</v>
      </c>
      <c r="B8" s="541" t="s">
        <v>1361</v>
      </c>
      <c r="C8" s="463" t="s">
        <v>954</v>
      </c>
      <c r="D8" s="426">
        <v>135248</v>
      </c>
      <c r="E8" s="426">
        <v>125940</v>
      </c>
      <c r="F8" s="426">
        <v>67278</v>
      </c>
      <c r="G8" s="426">
        <v>44926</v>
      </c>
      <c r="H8" s="426">
        <v>1437</v>
      </c>
      <c r="I8" s="426">
        <v>-520</v>
      </c>
      <c r="J8" s="426">
        <v>0</v>
      </c>
      <c r="K8" s="426">
        <v>0</v>
      </c>
      <c r="L8" s="426">
        <v>0</v>
      </c>
      <c r="M8" s="426">
        <v>0</v>
      </c>
      <c r="N8" s="426">
        <v>0</v>
      </c>
      <c r="O8" s="427">
        <v>0</v>
      </c>
      <c r="P8" s="52">
        <v>211438</v>
      </c>
      <c r="Q8" s="52">
        <v>148838.45000000001</v>
      </c>
      <c r="R8" s="52">
        <v>123002.41</v>
      </c>
      <c r="S8" s="52">
        <v>14225.68</v>
      </c>
      <c r="T8" s="52">
        <v>-178</v>
      </c>
      <c r="U8" s="52">
        <v>0</v>
      </c>
      <c r="V8" s="52">
        <v>0</v>
      </c>
      <c r="W8" s="52">
        <v>0</v>
      </c>
      <c r="X8" s="52">
        <v>0</v>
      </c>
      <c r="Y8" s="52">
        <v>0</v>
      </c>
      <c r="Z8" s="52">
        <v>0</v>
      </c>
      <c r="AA8" s="52">
        <v>0</v>
      </c>
      <c r="AB8" s="52">
        <v>125650.52</v>
      </c>
      <c r="AC8" s="52">
        <v>176191</v>
      </c>
      <c r="AD8" s="52">
        <v>102005</v>
      </c>
      <c r="AE8" s="52">
        <v>31870</v>
      </c>
      <c r="AF8" s="52">
        <v>-136</v>
      </c>
      <c r="AG8" s="52">
        <v>0</v>
      </c>
      <c r="AH8" s="52">
        <v>0</v>
      </c>
      <c r="AI8" s="52">
        <v>0</v>
      </c>
      <c r="AJ8" s="52">
        <v>0</v>
      </c>
      <c r="AK8" s="52">
        <v>0</v>
      </c>
      <c r="AL8" s="52">
        <v>0</v>
      </c>
      <c r="AM8" s="52">
        <v>0</v>
      </c>
      <c r="AN8" s="52">
        <v>0</v>
      </c>
      <c r="AO8" s="52">
        <v>0</v>
      </c>
      <c r="AP8" s="52">
        <v>0</v>
      </c>
      <c r="AQ8" s="52">
        <v>0</v>
      </c>
      <c r="AR8" s="52">
        <v>0</v>
      </c>
      <c r="AS8" s="52">
        <v>0</v>
      </c>
      <c r="AT8" s="52">
        <v>0</v>
      </c>
      <c r="AU8" s="52">
        <v>0</v>
      </c>
      <c r="AV8" s="52">
        <v>0</v>
      </c>
      <c r="AW8" s="52"/>
      <c r="AX8" s="52"/>
      <c r="AY8" s="52"/>
      <c r="AZ8" s="52">
        <v>582327</v>
      </c>
      <c r="BA8" s="52">
        <v>418952</v>
      </c>
      <c r="BB8" s="52">
        <v>177031</v>
      </c>
      <c r="BC8" s="52">
        <v>190011</v>
      </c>
      <c r="BD8" s="52">
        <v>334292</v>
      </c>
      <c r="BE8" s="52">
        <v>-81651</v>
      </c>
      <c r="BF8" s="52">
        <v>0</v>
      </c>
      <c r="BG8" s="52">
        <v>0</v>
      </c>
      <c r="BH8" s="52">
        <v>0</v>
      </c>
      <c r="BI8" s="52">
        <v>0</v>
      </c>
      <c r="BJ8" s="52">
        <v>0</v>
      </c>
      <c r="BK8" s="52">
        <v>6390</v>
      </c>
      <c r="BL8" s="52">
        <v>367155</v>
      </c>
      <c r="BM8" s="52">
        <v>291525</v>
      </c>
      <c r="BN8" s="52">
        <v>104259</v>
      </c>
      <c r="BO8" s="52">
        <v>2319</v>
      </c>
      <c r="BP8" s="52">
        <v>153</v>
      </c>
      <c r="BQ8" s="52">
        <v>0</v>
      </c>
      <c r="BR8" s="52">
        <v>0</v>
      </c>
      <c r="BS8" s="52">
        <v>0</v>
      </c>
      <c r="BT8" s="52">
        <v>0</v>
      </c>
      <c r="BU8" s="52">
        <v>24577</v>
      </c>
      <c r="BV8" s="52">
        <v>0</v>
      </c>
      <c r="BW8" s="52">
        <v>-83264</v>
      </c>
      <c r="BX8" s="52">
        <v>459156</v>
      </c>
      <c r="BY8" s="52">
        <v>386397</v>
      </c>
      <c r="BZ8" s="52">
        <v>223176</v>
      </c>
      <c r="CA8" s="52">
        <v>0</v>
      </c>
      <c r="CB8" s="52">
        <v>0</v>
      </c>
      <c r="CC8" s="52">
        <v>0</v>
      </c>
      <c r="CD8" s="52">
        <v>0</v>
      </c>
      <c r="CE8" s="52">
        <v>0</v>
      </c>
      <c r="CF8" s="52">
        <v>0</v>
      </c>
      <c r="CG8" s="52">
        <v>0</v>
      </c>
      <c r="CH8" s="52">
        <v>0</v>
      </c>
      <c r="CI8" s="52">
        <v>0</v>
      </c>
      <c r="CJ8" s="52">
        <v>318354</v>
      </c>
      <c r="CK8" s="52">
        <v>234765</v>
      </c>
      <c r="CL8" s="52">
        <v>127008</v>
      </c>
      <c r="CM8" s="52">
        <v>89725</v>
      </c>
      <c r="CN8" s="52">
        <v>0</v>
      </c>
      <c r="CO8" s="52">
        <v>0</v>
      </c>
      <c r="CP8" s="52">
        <v>0</v>
      </c>
      <c r="CQ8" s="52">
        <v>0</v>
      </c>
      <c r="CR8" s="52">
        <v>823</v>
      </c>
      <c r="CS8" s="52">
        <v>0</v>
      </c>
      <c r="CT8" s="52">
        <v>0</v>
      </c>
      <c r="CU8" s="52">
        <v>0</v>
      </c>
      <c r="CV8" s="430">
        <f t="shared" si="1"/>
        <v>770675</v>
      </c>
    </row>
    <row r="9" spans="1:101">
      <c r="A9" s="540" t="str">
        <f>+B9</f>
        <v>4073072</v>
      </c>
      <c r="B9" s="541" t="s">
        <v>2209</v>
      </c>
      <c r="C9" s="463" t="s">
        <v>2210</v>
      </c>
      <c r="D9" s="426"/>
      <c r="E9" s="426"/>
      <c r="F9" s="426"/>
      <c r="G9" s="426"/>
      <c r="H9" s="426"/>
      <c r="I9" s="426"/>
      <c r="J9" s="426"/>
      <c r="K9" s="426"/>
      <c r="L9" s="426"/>
      <c r="M9" s="426"/>
      <c r="N9" s="426"/>
      <c r="O9" s="427"/>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v>39660</v>
      </c>
      <c r="BA9" s="52">
        <v>39660</v>
      </c>
      <c r="BB9" s="52">
        <v>39660</v>
      </c>
      <c r="BC9" s="52">
        <v>39660</v>
      </c>
      <c r="BD9" s="52">
        <v>39660</v>
      </c>
      <c r="BE9" s="52">
        <v>39660</v>
      </c>
      <c r="BF9" s="52">
        <v>39660</v>
      </c>
      <c r="BG9" s="52">
        <v>39660</v>
      </c>
      <c r="BH9" s="52">
        <v>39660</v>
      </c>
      <c r="BI9" s="52">
        <v>39660</v>
      </c>
      <c r="BJ9" s="52">
        <v>39660</v>
      </c>
      <c r="BK9" s="52">
        <v>39659</v>
      </c>
      <c r="BL9" s="52">
        <v>0</v>
      </c>
      <c r="BM9" s="52">
        <v>0</v>
      </c>
      <c r="BN9" s="52">
        <v>0</v>
      </c>
      <c r="BO9" s="52">
        <v>0</v>
      </c>
      <c r="BP9" s="52">
        <v>0</v>
      </c>
      <c r="BQ9" s="52">
        <v>0</v>
      </c>
      <c r="BR9" s="52">
        <v>0</v>
      </c>
      <c r="BS9" s="52">
        <v>0</v>
      </c>
      <c r="BT9" s="52">
        <v>0</v>
      </c>
      <c r="BU9" s="52">
        <v>0</v>
      </c>
      <c r="BV9" s="52">
        <v>0</v>
      </c>
      <c r="BW9" s="52">
        <v>0</v>
      </c>
      <c r="BX9" s="52">
        <v>179433</v>
      </c>
      <c r="BY9" s="52">
        <v>179433</v>
      </c>
      <c r="BZ9" s="52">
        <v>179433</v>
      </c>
      <c r="CA9" s="52">
        <v>179433</v>
      </c>
      <c r="CB9" s="52">
        <v>179433</v>
      </c>
      <c r="CC9" s="52">
        <v>179433</v>
      </c>
      <c r="CD9" s="52">
        <v>179433</v>
      </c>
      <c r="CE9" s="52">
        <v>179433</v>
      </c>
      <c r="CF9" s="52">
        <v>179433</v>
      </c>
      <c r="CG9" s="52">
        <v>179433</v>
      </c>
      <c r="CH9" s="52">
        <v>179433</v>
      </c>
      <c r="CI9" s="52">
        <v>179433</v>
      </c>
      <c r="CJ9" s="52">
        <v>335362</v>
      </c>
      <c r="CK9" s="52">
        <v>335362</v>
      </c>
      <c r="CL9" s="52">
        <v>335362</v>
      </c>
      <c r="CM9" s="52">
        <v>335362</v>
      </c>
      <c r="CN9" s="52">
        <v>335362</v>
      </c>
      <c r="CO9" s="52">
        <v>335362</v>
      </c>
      <c r="CP9" s="52">
        <v>335362</v>
      </c>
      <c r="CQ9" s="52">
        <v>335362</v>
      </c>
      <c r="CR9" s="52">
        <v>335362</v>
      </c>
      <c r="CS9" s="52">
        <v>335362</v>
      </c>
      <c r="CT9" s="52">
        <v>335362</v>
      </c>
      <c r="CU9" s="52">
        <v>335359</v>
      </c>
      <c r="CV9" s="430">
        <f t="shared" si="1"/>
        <v>4024341</v>
      </c>
    </row>
    <row r="10" spans="1:101">
      <c r="A10" s="540" t="str">
        <f t="shared" si="0"/>
        <v>4073140</v>
      </c>
      <c r="B10" s="541" t="s">
        <v>1362</v>
      </c>
      <c r="C10" s="463" t="s">
        <v>955</v>
      </c>
      <c r="D10" s="428">
        <v>504151</v>
      </c>
      <c r="E10" s="428">
        <v>824850</v>
      </c>
      <c r="F10" s="428">
        <v>614473</v>
      </c>
      <c r="G10" s="428">
        <v>360330</v>
      </c>
      <c r="H10" s="428">
        <v>136686</v>
      </c>
      <c r="I10" s="428">
        <v>102776</v>
      </c>
      <c r="J10" s="428">
        <v>0</v>
      </c>
      <c r="K10" s="428">
        <v>0</v>
      </c>
      <c r="L10" s="428">
        <v>0</v>
      </c>
      <c r="M10" s="428">
        <v>0</v>
      </c>
      <c r="N10" s="428">
        <v>30078</v>
      </c>
      <c r="O10" s="429">
        <v>552794</v>
      </c>
      <c r="P10" s="52">
        <v>375692</v>
      </c>
      <c r="Q10" s="52">
        <v>842024</v>
      </c>
      <c r="R10" s="52">
        <v>591629</v>
      </c>
      <c r="S10" s="52">
        <v>449670</v>
      </c>
      <c r="T10" s="52">
        <v>0</v>
      </c>
      <c r="U10" s="52">
        <v>64343</v>
      </c>
      <c r="V10" s="52">
        <v>0</v>
      </c>
      <c r="W10" s="52">
        <v>0</v>
      </c>
      <c r="X10" s="52">
        <v>0</v>
      </c>
      <c r="Y10" s="52">
        <v>0</v>
      </c>
      <c r="Z10" s="52">
        <v>179226</v>
      </c>
      <c r="AA10" s="52">
        <v>396429</v>
      </c>
      <c r="AB10" s="52">
        <v>335438</v>
      </c>
      <c r="AC10" s="52">
        <v>586562</v>
      </c>
      <c r="AD10" s="52">
        <v>312201</v>
      </c>
      <c r="AE10" s="52">
        <v>271437</v>
      </c>
      <c r="AF10" s="52">
        <v>0</v>
      </c>
      <c r="AG10" s="52">
        <v>0</v>
      </c>
      <c r="AH10" s="52">
        <v>0</v>
      </c>
      <c r="AI10" s="52">
        <v>0</v>
      </c>
      <c r="AJ10" s="52">
        <v>0</v>
      </c>
      <c r="AK10" s="52">
        <v>0</v>
      </c>
      <c r="AL10" s="52">
        <v>156370</v>
      </c>
      <c r="AM10" s="52">
        <v>0</v>
      </c>
      <c r="AN10" s="52">
        <v>945491</v>
      </c>
      <c r="AO10" s="52">
        <v>534613</v>
      </c>
      <c r="AP10" s="52">
        <v>275023</v>
      </c>
      <c r="AQ10" s="52">
        <v>267436</v>
      </c>
      <c r="AR10" s="52">
        <v>0</v>
      </c>
      <c r="AS10" s="52">
        <v>0</v>
      </c>
      <c r="AT10" s="52">
        <v>0</v>
      </c>
      <c r="AU10" s="52">
        <v>0</v>
      </c>
      <c r="AV10" s="52">
        <v>0</v>
      </c>
      <c r="AW10" s="52">
        <v>0</v>
      </c>
      <c r="AX10" s="52">
        <v>0</v>
      </c>
      <c r="AY10" s="52">
        <v>126390</v>
      </c>
      <c r="AZ10" s="52">
        <v>720522</v>
      </c>
      <c r="BA10" s="52">
        <v>187450</v>
      </c>
      <c r="BB10" s="52">
        <v>0</v>
      </c>
      <c r="BC10" s="52">
        <v>0</v>
      </c>
      <c r="BD10" s="52">
        <v>73123</v>
      </c>
      <c r="BE10" s="52">
        <v>0</v>
      </c>
      <c r="BF10" s="52">
        <v>0</v>
      </c>
      <c r="BG10" s="52">
        <v>0</v>
      </c>
      <c r="BH10" s="52">
        <v>48580</v>
      </c>
      <c r="BI10" s="52">
        <v>0</v>
      </c>
      <c r="BJ10" s="52">
        <v>0</v>
      </c>
      <c r="BK10" s="52">
        <v>38871</v>
      </c>
      <c r="BL10" s="52">
        <v>287256</v>
      </c>
      <c r="BM10" s="52">
        <v>1211760</v>
      </c>
      <c r="BN10" s="52">
        <v>547925</v>
      </c>
      <c r="BO10" s="52">
        <v>129935</v>
      </c>
      <c r="BP10" s="52">
        <v>246320</v>
      </c>
      <c r="BQ10" s="52">
        <v>0</v>
      </c>
      <c r="BR10" s="52">
        <v>0</v>
      </c>
      <c r="BS10" s="52">
        <v>0</v>
      </c>
      <c r="BT10" s="52">
        <v>82058</v>
      </c>
      <c r="BU10" s="52">
        <v>0</v>
      </c>
      <c r="BV10" s="52">
        <v>0</v>
      </c>
      <c r="BW10" s="52">
        <v>313854</v>
      </c>
      <c r="BX10" s="52">
        <v>177286</v>
      </c>
      <c r="BY10" s="52">
        <v>691068</v>
      </c>
      <c r="BZ10" s="52">
        <v>609630</v>
      </c>
      <c r="CA10" s="52">
        <v>0</v>
      </c>
      <c r="CB10" s="52">
        <v>0</v>
      </c>
      <c r="CC10" s="52">
        <v>0</v>
      </c>
      <c r="CD10" s="52">
        <v>0</v>
      </c>
      <c r="CE10" s="52">
        <v>0</v>
      </c>
      <c r="CF10" s="52">
        <v>0</v>
      </c>
      <c r="CG10" s="52">
        <v>0</v>
      </c>
      <c r="CH10" s="52">
        <v>0</v>
      </c>
      <c r="CI10" s="52">
        <v>157880</v>
      </c>
      <c r="CJ10" s="52">
        <v>899651</v>
      </c>
      <c r="CK10" s="52">
        <v>143341</v>
      </c>
      <c r="CL10" s="52">
        <v>71595</v>
      </c>
      <c r="CM10" s="52">
        <v>190638</v>
      </c>
      <c r="CN10" s="52">
        <v>10003</v>
      </c>
      <c r="CO10" s="52">
        <v>0</v>
      </c>
      <c r="CP10" s="52">
        <v>0</v>
      </c>
      <c r="CQ10" s="52">
        <v>53608</v>
      </c>
      <c r="CR10" s="52">
        <v>0</v>
      </c>
      <c r="CS10" s="52">
        <v>0</v>
      </c>
      <c r="CT10" s="52">
        <v>0</v>
      </c>
      <c r="CU10" s="52">
        <v>111245</v>
      </c>
      <c r="CV10" s="430">
        <f t="shared" si="1"/>
        <v>1480081</v>
      </c>
    </row>
    <row r="11" spans="1:101">
      <c r="A11" s="540" t="str">
        <f t="shared" si="0"/>
        <v>4073141</v>
      </c>
      <c r="B11" s="541" t="s">
        <v>1765</v>
      </c>
      <c r="C11" s="463" t="s">
        <v>1764</v>
      </c>
      <c r="D11" s="428"/>
      <c r="E11" s="428"/>
      <c r="F11" s="428"/>
      <c r="G11" s="428"/>
      <c r="H11" s="428"/>
      <c r="I11" s="428"/>
      <c r="J11" s="428"/>
      <c r="K11" s="428"/>
      <c r="L11" s="428"/>
      <c r="M11" s="428"/>
      <c r="N11" s="428"/>
      <c r="O11" s="429"/>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v>15801</v>
      </c>
      <c r="AO11" s="52">
        <v>15801</v>
      </c>
      <c r="AP11" s="52">
        <v>15801</v>
      </c>
      <c r="AQ11" s="52">
        <v>15801</v>
      </c>
      <c r="AR11" s="52">
        <v>15801</v>
      </c>
      <c r="AS11" s="52">
        <v>15801</v>
      </c>
      <c r="AT11" s="52">
        <v>15801</v>
      </c>
      <c r="AU11" s="52">
        <v>15801</v>
      </c>
      <c r="AV11" s="52">
        <v>15801</v>
      </c>
      <c r="AW11" s="52">
        <v>15801</v>
      </c>
      <c r="AX11" s="52">
        <v>15801</v>
      </c>
      <c r="AY11" s="52">
        <v>15801</v>
      </c>
      <c r="AZ11" s="52">
        <v>181164</v>
      </c>
      <c r="BA11" s="52">
        <v>181164</v>
      </c>
      <c r="BB11" s="52">
        <v>181164</v>
      </c>
      <c r="BC11" s="52">
        <v>181164</v>
      </c>
      <c r="BD11" s="52">
        <v>181164</v>
      </c>
      <c r="BE11" s="52">
        <v>181164</v>
      </c>
      <c r="BF11" s="52">
        <v>181164</v>
      </c>
      <c r="BG11" s="52">
        <v>181164</v>
      </c>
      <c r="BH11" s="52">
        <v>181164</v>
      </c>
      <c r="BI11" s="52">
        <v>181164</v>
      </c>
      <c r="BJ11" s="52">
        <v>181164</v>
      </c>
      <c r="BK11" s="52">
        <v>181163</v>
      </c>
      <c r="BL11" s="52">
        <v>119556</v>
      </c>
      <c r="BM11" s="52">
        <v>119556</v>
      </c>
      <c r="BN11" s="52">
        <v>119556</v>
      </c>
      <c r="BO11" s="52">
        <v>119556</v>
      </c>
      <c r="BP11" s="52">
        <v>119556</v>
      </c>
      <c r="BQ11" s="52">
        <v>119556</v>
      </c>
      <c r="BR11" s="52">
        <v>119556</v>
      </c>
      <c r="BS11" s="52">
        <v>119556</v>
      </c>
      <c r="BT11" s="52">
        <v>119556</v>
      </c>
      <c r="BU11" s="52">
        <v>119556</v>
      </c>
      <c r="BV11" s="52">
        <v>119556</v>
      </c>
      <c r="BW11" s="52">
        <v>119550</v>
      </c>
      <c r="BX11" s="52">
        <v>229896</v>
      </c>
      <c r="BY11" s="52">
        <v>229896</v>
      </c>
      <c r="BZ11" s="52">
        <v>229896</v>
      </c>
      <c r="CA11" s="52">
        <v>229896</v>
      </c>
      <c r="CB11" s="52">
        <v>229896</v>
      </c>
      <c r="CC11" s="52">
        <v>229896</v>
      </c>
      <c r="CD11" s="52">
        <v>229896</v>
      </c>
      <c r="CE11" s="52">
        <v>229896</v>
      </c>
      <c r="CF11" s="52">
        <v>229896</v>
      </c>
      <c r="CG11" s="52">
        <v>229896</v>
      </c>
      <c r="CH11" s="52">
        <v>229896</v>
      </c>
      <c r="CI11" s="52">
        <v>229891</v>
      </c>
      <c r="CJ11" s="52">
        <v>95892</v>
      </c>
      <c r="CK11" s="52">
        <v>95892</v>
      </c>
      <c r="CL11" s="52">
        <v>95892</v>
      </c>
      <c r="CM11" s="52">
        <v>95892</v>
      </c>
      <c r="CN11" s="52">
        <v>95892</v>
      </c>
      <c r="CO11" s="52">
        <v>95892</v>
      </c>
      <c r="CP11" s="52">
        <v>95892</v>
      </c>
      <c r="CQ11" s="52">
        <v>95892</v>
      </c>
      <c r="CR11" s="52">
        <v>95892</v>
      </c>
      <c r="CS11" s="52">
        <v>95892</v>
      </c>
      <c r="CT11" s="52">
        <v>95892</v>
      </c>
      <c r="CU11" s="52">
        <v>95886</v>
      </c>
      <c r="CV11" s="430">
        <f t="shared" si="1"/>
        <v>1150698</v>
      </c>
    </row>
    <row r="12" spans="1:101">
      <c r="A12" s="540" t="str">
        <f t="shared" si="0"/>
        <v>4074060</v>
      </c>
      <c r="B12" s="541" t="s">
        <v>1381</v>
      </c>
      <c r="C12" s="463" t="s">
        <v>1390</v>
      </c>
      <c r="D12" s="428"/>
      <c r="E12" s="428"/>
      <c r="F12" s="428"/>
      <c r="G12" s="428"/>
      <c r="H12" s="428"/>
      <c r="I12" s="428"/>
      <c r="J12" s="428"/>
      <c r="K12" s="428"/>
      <c r="L12" s="428"/>
      <c r="M12" s="428"/>
      <c r="N12" s="428"/>
      <c r="O12" s="429"/>
      <c r="P12" s="52">
        <v>0</v>
      </c>
      <c r="Q12" s="52">
        <v>-425567</v>
      </c>
      <c r="R12" s="52">
        <v>0</v>
      </c>
      <c r="S12" s="52">
        <v>-1620786</v>
      </c>
      <c r="T12" s="52">
        <v>-444631</v>
      </c>
      <c r="U12" s="52">
        <v>0</v>
      </c>
      <c r="V12" s="52">
        <v>-1162761</v>
      </c>
      <c r="W12" s="52">
        <v>-3</v>
      </c>
      <c r="X12" s="52">
        <v>-370308</v>
      </c>
      <c r="Y12" s="52">
        <v>-2364559</v>
      </c>
      <c r="Z12" s="52">
        <v>-2263247</v>
      </c>
      <c r="AA12" s="52">
        <v>-198332.01</v>
      </c>
      <c r="AB12" s="52">
        <v>0</v>
      </c>
      <c r="AC12" s="52">
        <v>0</v>
      </c>
      <c r="AD12" s="52">
        <v>0</v>
      </c>
      <c r="AE12" s="52">
        <v>0</v>
      </c>
      <c r="AF12" s="52">
        <v>0</v>
      </c>
      <c r="AG12" s="52">
        <v>0</v>
      </c>
      <c r="AH12" s="52">
        <v>0</v>
      </c>
      <c r="AI12" s="52">
        <v>0</v>
      </c>
      <c r="AJ12" s="52">
        <v>-473339</v>
      </c>
      <c r="AK12" s="52">
        <v>-2673097</v>
      </c>
      <c r="AL12" s="52">
        <v>-2821449</v>
      </c>
      <c r="AM12" s="52">
        <v>-414714.06</v>
      </c>
      <c r="AN12" s="52">
        <v>0</v>
      </c>
      <c r="AO12" s="52">
        <v>0</v>
      </c>
      <c r="AP12" s="52">
        <v>-3422244</v>
      </c>
      <c r="AQ12" s="52">
        <v>0</v>
      </c>
      <c r="AR12" s="52">
        <v>0</v>
      </c>
      <c r="AS12" s="52">
        <v>-837443</v>
      </c>
      <c r="AT12" s="52">
        <v>-1098212</v>
      </c>
      <c r="AU12" s="52">
        <v>-1113145</v>
      </c>
      <c r="AV12" s="52">
        <v>0</v>
      </c>
      <c r="AW12" s="52">
        <v>-3327711</v>
      </c>
      <c r="AX12" s="52">
        <v>-1118927</v>
      </c>
      <c r="AY12" s="52">
        <v>0</v>
      </c>
      <c r="AZ12" s="52">
        <v>0</v>
      </c>
      <c r="BA12" s="52">
        <v>0</v>
      </c>
      <c r="BB12" s="52">
        <v>-2979909</v>
      </c>
      <c r="BC12" s="52">
        <v>0</v>
      </c>
      <c r="BD12" s="52">
        <v>-429410</v>
      </c>
      <c r="BE12" s="52">
        <v>0</v>
      </c>
      <c r="BF12" s="52">
        <v>-167319</v>
      </c>
      <c r="BG12" s="52">
        <v>-714468</v>
      </c>
      <c r="BH12" s="52">
        <v>0</v>
      </c>
      <c r="BI12" s="52">
        <v>-3378428</v>
      </c>
      <c r="BJ12" s="52">
        <v>-6614016</v>
      </c>
      <c r="BK12" s="52">
        <v>-3537698.72</v>
      </c>
      <c r="BL12" s="52">
        <v>0</v>
      </c>
      <c r="BM12" s="52">
        <v>0</v>
      </c>
      <c r="BN12" s="52">
        <v>0</v>
      </c>
      <c r="BO12" s="52">
        <v>0</v>
      </c>
      <c r="BP12" s="52">
        <v>0</v>
      </c>
      <c r="BQ12" s="52">
        <v>0</v>
      </c>
      <c r="BR12" s="52">
        <v>0</v>
      </c>
      <c r="BS12" s="52">
        <v>-1387481</v>
      </c>
      <c r="BT12" s="52">
        <v>0</v>
      </c>
      <c r="BU12" s="52">
        <v>-2443733</v>
      </c>
      <c r="BV12" s="52">
        <v>-2146784</v>
      </c>
      <c r="BW12" s="52">
        <v>0</v>
      </c>
      <c r="BX12" s="52">
        <v>0</v>
      </c>
      <c r="BY12" s="52">
        <v>0</v>
      </c>
      <c r="BZ12" s="52">
        <v>0</v>
      </c>
      <c r="CA12" s="52">
        <v>0</v>
      </c>
      <c r="CB12" s="52">
        <v>-389749</v>
      </c>
      <c r="CC12" s="52">
        <v>0</v>
      </c>
      <c r="CD12" s="52">
        <v>-437706</v>
      </c>
      <c r="CE12" s="52">
        <v>-2362539</v>
      </c>
      <c r="CF12" s="52">
        <v>-657410</v>
      </c>
      <c r="CG12" s="52">
        <v>-3869236</v>
      </c>
      <c r="CH12" s="52">
        <v>-3349085</v>
      </c>
      <c r="CI12" s="52">
        <v>-638028.97</v>
      </c>
      <c r="CJ12" s="52">
        <v>0</v>
      </c>
      <c r="CK12" s="52">
        <v>-2433807</v>
      </c>
      <c r="CL12" s="52">
        <v>-1199460</v>
      </c>
      <c r="CM12" s="52">
        <v>0</v>
      </c>
      <c r="CN12" s="52">
        <v>0</v>
      </c>
      <c r="CO12" s="52">
        <v>-676221</v>
      </c>
      <c r="CP12" s="52">
        <v>0</v>
      </c>
      <c r="CQ12" s="52">
        <v>-903569</v>
      </c>
      <c r="CR12" s="52">
        <v>-1398453</v>
      </c>
      <c r="CS12" s="52">
        <v>-7609249</v>
      </c>
      <c r="CT12" s="52">
        <v>-7684861</v>
      </c>
      <c r="CU12" s="52">
        <v>0</v>
      </c>
      <c r="CV12" s="430">
        <f t="shared" si="1"/>
        <v>-21905620</v>
      </c>
    </row>
    <row r="13" spans="1:101">
      <c r="A13" s="540" t="str">
        <f t="shared" si="0"/>
        <v>4074061</v>
      </c>
      <c r="B13" s="541" t="s">
        <v>1273</v>
      </c>
      <c r="C13" s="463" t="s">
        <v>956</v>
      </c>
      <c r="D13" s="428">
        <v>-603</v>
      </c>
      <c r="E13" s="428">
        <v>-603</v>
      </c>
      <c r="F13" s="428">
        <v>-603</v>
      </c>
      <c r="G13" s="428">
        <v>-603</v>
      </c>
      <c r="H13" s="428">
        <v>-603</v>
      </c>
      <c r="I13" s="428">
        <v>-603</v>
      </c>
      <c r="J13" s="428">
        <v>-603</v>
      </c>
      <c r="K13" s="428">
        <v>-603</v>
      </c>
      <c r="L13" s="428">
        <v>-603</v>
      </c>
      <c r="M13" s="428">
        <v>-603</v>
      </c>
      <c r="N13" s="428">
        <v>-603</v>
      </c>
      <c r="O13" s="429">
        <v>-603</v>
      </c>
      <c r="P13" s="52">
        <v>-51648</v>
      </c>
      <c r="Q13" s="52">
        <v>-51648</v>
      </c>
      <c r="R13" s="52">
        <v>-51648</v>
      </c>
      <c r="S13" s="52">
        <v>-51648</v>
      </c>
      <c r="T13" s="52">
        <v>-51648</v>
      </c>
      <c r="U13" s="52">
        <v>-51648</v>
      </c>
      <c r="V13" s="52">
        <v>-51648</v>
      </c>
      <c r="W13" s="52">
        <v>-51648</v>
      </c>
      <c r="X13" s="52">
        <v>-51648</v>
      </c>
      <c r="Y13" s="52">
        <v>-51648</v>
      </c>
      <c r="Z13" s="52">
        <v>-51648</v>
      </c>
      <c r="AA13" s="52">
        <v>-51642</v>
      </c>
      <c r="AB13" s="52">
        <v>-67872</v>
      </c>
      <c r="AC13" s="52">
        <v>-67872</v>
      </c>
      <c r="AD13" s="52">
        <v>-67872</v>
      </c>
      <c r="AE13" s="52">
        <v>-67872</v>
      </c>
      <c r="AF13" s="52">
        <v>-67872</v>
      </c>
      <c r="AG13" s="52">
        <v>-67872</v>
      </c>
      <c r="AH13" s="52">
        <v>-67872</v>
      </c>
      <c r="AI13" s="52">
        <v>-67872</v>
      </c>
      <c r="AJ13" s="52">
        <v>-67872</v>
      </c>
      <c r="AK13" s="52">
        <v>-67872</v>
      </c>
      <c r="AL13" s="52">
        <v>-67872</v>
      </c>
      <c r="AM13" s="52">
        <v>-67866</v>
      </c>
      <c r="AN13" s="52">
        <v>-90557</v>
      </c>
      <c r="AO13" s="52">
        <v>-90557</v>
      </c>
      <c r="AP13" s="52">
        <v>-90557</v>
      </c>
      <c r="AQ13" s="52">
        <v>-90557</v>
      </c>
      <c r="AR13" s="52">
        <v>-90557</v>
      </c>
      <c r="AS13" s="52">
        <v>-90557</v>
      </c>
      <c r="AT13" s="52">
        <v>-90557</v>
      </c>
      <c r="AU13" s="52">
        <v>-90557</v>
      </c>
      <c r="AV13" s="52">
        <v>-90557</v>
      </c>
      <c r="AW13" s="52">
        <v>-90557</v>
      </c>
      <c r="AX13" s="52">
        <v>-90557</v>
      </c>
      <c r="AY13" s="52">
        <v>-90558</v>
      </c>
      <c r="AZ13" s="52">
        <v>0</v>
      </c>
      <c r="BA13" s="52">
        <v>0</v>
      </c>
      <c r="BB13" s="52">
        <v>0</v>
      </c>
      <c r="BC13" s="52">
        <v>0</v>
      </c>
      <c r="BD13" s="52">
        <v>0</v>
      </c>
      <c r="BE13" s="52">
        <v>0</v>
      </c>
      <c r="BF13" s="52">
        <v>0</v>
      </c>
      <c r="BG13" s="52">
        <v>0</v>
      </c>
      <c r="BH13" s="52">
        <v>0</v>
      </c>
      <c r="BI13" s="52">
        <v>0</v>
      </c>
      <c r="BJ13" s="52">
        <v>0</v>
      </c>
      <c r="BK13" s="52">
        <v>0</v>
      </c>
      <c r="BL13" s="52">
        <v>-188849</v>
      </c>
      <c r="BM13" s="52">
        <v>-188849</v>
      </c>
      <c r="BN13" s="52">
        <v>-188849</v>
      </c>
      <c r="BO13" s="52">
        <v>-188849</v>
      </c>
      <c r="BP13" s="52">
        <v>-188849</v>
      </c>
      <c r="BQ13" s="52">
        <v>-188849</v>
      </c>
      <c r="BR13" s="52">
        <v>-188849</v>
      </c>
      <c r="BS13" s="52">
        <v>-188849</v>
      </c>
      <c r="BT13" s="52">
        <v>-188849</v>
      </c>
      <c r="BU13" s="52">
        <v>-188849</v>
      </c>
      <c r="BV13" s="52">
        <v>-188849</v>
      </c>
      <c r="BW13" s="52">
        <v>-188844</v>
      </c>
      <c r="BX13" s="52">
        <v>-147158</v>
      </c>
      <c r="BY13" s="52">
        <v>-147158</v>
      </c>
      <c r="BZ13" s="52">
        <v>-147158</v>
      </c>
      <c r="CA13" s="52">
        <v>-147158</v>
      </c>
      <c r="CB13" s="52">
        <v>-147158</v>
      </c>
      <c r="CC13" s="52">
        <v>-147158</v>
      </c>
      <c r="CD13" s="52">
        <v>-147158</v>
      </c>
      <c r="CE13" s="52">
        <v>-147158</v>
      </c>
      <c r="CF13" s="52">
        <v>-147158</v>
      </c>
      <c r="CG13" s="52">
        <v>-147158</v>
      </c>
      <c r="CH13" s="52">
        <v>-147158</v>
      </c>
      <c r="CI13" s="52">
        <v>-147162</v>
      </c>
      <c r="CJ13" s="52">
        <v>-107304</v>
      </c>
      <c r="CK13" s="52">
        <v>-107304</v>
      </c>
      <c r="CL13" s="52">
        <v>-107304</v>
      </c>
      <c r="CM13" s="52">
        <v>-107304</v>
      </c>
      <c r="CN13" s="52">
        <v>-107304</v>
      </c>
      <c r="CO13" s="52">
        <v>-107304</v>
      </c>
      <c r="CP13" s="52">
        <v>-107304</v>
      </c>
      <c r="CQ13" s="52">
        <v>-107304</v>
      </c>
      <c r="CR13" s="52">
        <v>-107304</v>
      </c>
      <c r="CS13" s="52">
        <v>-107304</v>
      </c>
      <c r="CT13" s="52">
        <v>-107304</v>
      </c>
      <c r="CU13" s="52">
        <v>-107299</v>
      </c>
      <c r="CV13" s="430">
        <f t="shared" si="1"/>
        <v>-1287643</v>
      </c>
    </row>
    <row r="14" spans="1:101">
      <c r="A14" s="540" t="str">
        <f t="shared" si="0"/>
        <v>4074071</v>
      </c>
      <c r="B14" s="541" t="s">
        <v>1271</v>
      </c>
      <c r="C14" s="463" t="s">
        <v>957</v>
      </c>
      <c r="D14" s="428">
        <v>-449</v>
      </c>
      <c r="E14" s="428">
        <v>0</v>
      </c>
      <c r="F14" s="428">
        <v>0</v>
      </c>
      <c r="G14" s="428">
        <v>120</v>
      </c>
      <c r="H14" s="428">
        <v>0</v>
      </c>
      <c r="I14" s="428">
        <v>-16168</v>
      </c>
      <c r="J14" s="428">
        <v>-39326</v>
      </c>
      <c r="K14" s="428">
        <v>-64938</v>
      </c>
      <c r="L14" s="428">
        <v>-69921</v>
      </c>
      <c r="M14" s="428">
        <v>-78854</v>
      </c>
      <c r="N14" s="428">
        <v>-71943</v>
      </c>
      <c r="O14" s="429">
        <v>-30478</v>
      </c>
      <c r="P14" s="52">
        <v>-322</v>
      </c>
      <c r="Q14" s="52">
        <v>0</v>
      </c>
      <c r="R14" s="52">
        <v>0</v>
      </c>
      <c r="S14" s="52">
        <v>0</v>
      </c>
      <c r="T14" s="52">
        <v>-48410.36</v>
      </c>
      <c r="U14" s="52">
        <v>-53010.63</v>
      </c>
      <c r="V14" s="52">
        <v>-85048.69</v>
      </c>
      <c r="W14" s="52">
        <v>-88295.52</v>
      </c>
      <c r="X14" s="52">
        <v>-102172.72</v>
      </c>
      <c r="Y14" s="52">
        <v>-103060.91</v>
      </c>
      <c r="Z14" s="52">
        <v>-91061.32</v>
      </c>
      <c r="AA14" s="52">
        <v>-61046.91</v>
      </c>
      <c r="AB14" s="52">
        <v>-436</v>
      </c>
      <c r="AC14" s="52">
        <v>0</v>
      </c>
      <c r="AD14" s="52">
        <v>0</v>
      </c>
      <c r="AE14" s="52">
        <v>0</v>
      </c>
      <c r="AF14" s="52">
        <v>-27493</v>
      </c>
      <c r="AG14" s="52">
        <v>-74489</v>
      </c>
      <c r="AH14" s="52">
        <v>-102321</v>
      </c>
      <c r="AI14" s="52">
        <v>-137545</v>
      </c>
      <c r="AJ14" s="52">
        <v>-124338</v>
      </c>
      <c r="AK14" s="52">
        <v>-176440</v>
      </c>
      <c r="AL14" s="52">
        <v>-128508</v>
      </c>
      <c r="AM14" s="52">
        <v>138494</v>
      </c>
      <c r="AN14" s="52">
        <v>-59322</v>
      </c>
      <c r="AO14" s="52">
        <v>-45253</v>
      </c>
      <c r="AP14" s="52">
        <v>-109905</v>
      </c>
      <c r="AQ14" s="52">
        <v>-137919</v>
      </c>
      <c r="AR14" s="52">
        <v>-214731</v>
      </c>
      <c r="AS14" s="52">
        <v>-259250</v>
      </c>
      <c r="AT14" s="52">
        <v>-295998</v>
      </c>
      <c r="AU14" s="52">
        <v>-316710</v>
      </c>
      <c r="AV14" s="52">
        <v>-298228</v>
      </c>
      <c r="AW14" s="52">
        <v>-353946</v>
      </c>
      <c r="AX14" s="52">
        <v>-315658</v>
      </c>
      <c r="AY14" s="52">
        <v>-337518</v>
      </c>
      <c r="AZ14" s="52">
        <v>0</v>
      </c>
      <c r="BA14" s="52">
        <v>0</v>
      </c>
      <c r="BB14" s="52">
        <v>0</v>
      </c>
      <c r="BC14" s="52">
        <v>0</v>
      </c>
      <c r="BD14" s="52">
        <v>0</v>
      </c>
      <c r="BE14" s="52">
        <v>-30851</v>
      </c>
      <c r="BF14" s="52">
        <v>-136031</v>
      </c>
      <c r="BG14" s="52">
        <v>-178782</v>
      </c>
      <c r="BH14" s="52">
        <v>-148132</v>
      </c>
      <c r="BI14" s="52">
        <v>-259413</v>
      </c>
      <c r="BJ14" s="52">
        <v>-216793</v>
      </c>
      <c r="BK14" s="52">
        <v>-7586</v>
      </c>
      <c r="BL14" s="52">
        <v>0</v>
      </c>
      <c r="BM14" s="52">
        <v>-55071</v>
      </c>
      <c r="BN14" s="52">
        <v>0</v>
      </c>
      <c r="BO14" s="52">
        <v>0</v>
      </c>
      <c r="BP14" s="52">
        <v>-117401</v>
      </c>
      <c r="BQ14" s="52">
        <v>-275453</v>
      </c>
      <c r="BR14" s="52">
        <v>-346744</v>
      </c>
      <c r="BS14" s="52">
        <v>-389234</v>
      </c>
      <c r="BT14" s="52">
        <v>-398114</v>
      </c>
      <c r="BU14" s="52">
        <v>-386221</v>
      </c>
      <c r="BV14" s="52">
        <v>-370016</v>
      </c>
      <c r="BW14" s="52">
        <v>-399518</v>
      </c>
      <c r="BX14" s="52">
        <v>0</v>
      </c>
      <c r="BY14" s="52">
        <v>0</v>
      </c>
      <c r="BZ14" s="52">
        <v>0</v>
      </c>
      <c r="CA14" s="52">
        <v>-280180</v>
      </c>
      <c r="CB14" s="52">
        <v>-459211</v>
      </c>
      <c r="CC14" s="52">
        <v>-484349</v>
      </c>
      <c r="CD14" s="52">
        <v>-616565</v>
      </c>
      <c r="CE14" s="52">
        <v>-651473</v>
      </c>
      <c r="CF14" s="52">
        <v>-688199</v>
      </c>
      <c r="CG14" s="52">
        <v>-636298</v>
      </c>
      <c r="CH14" s="52">
        <v>-473631</v>
      </c>
      <c r="CI14" s="52">
        <v>-115872</v>
      </c>
      <c r="CJ14" s="52">
        <v>0</v>
      </c>
      <c r="CK14" s="52">
        <v>0</v>
      </c>
      <c r="CL14" s="52">
        <v>0</v>
      </c>
      <c r="CM14" s="52">
        <v>0</v>
      </c>
      <c r="CN14" s="52">
        <v>-8166</v>
      </c>
      <c r="CO14" s="52">
        <v>-53038</v>
      </c>
      <c r="CP14" s="52">
        <v>-83304</v>
      </c>
      <c r="CQ14" s="52">
        <v>-133213</v>
      </c>
      <c r="CR14" s="52">
        <v>-129123</v>
      </c>
      <c r="CS14" s="52">
        <v>-168064</v>
      </c>
      <c r="CT14" s="52">
        <v>-138930</v>
      </c>
      <c r="CU14" s="52">
        <v>-61927</v>
      </c>
      <c r="CV14" s="430">
        <f t="shared" si="1"/>
        <v>-775765</v>
      </c>
    </row>
    <row r="15" spans="1:101">
      <c r="A15" s="540" t="str">
        <f>+B15</f>
        <v>4074072</v>
      </c>
      <c r="B15" s="541" t="s">
        <v>2268</v>
      </c>
      <c r="C15" s="463" t="s">
        <v>2269</v>
      </c>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v>-119764</v>
      </c>
      <c r="BM15" s="52">
        <v>-119764</v>
      </c>
      <c r="BN15" s="52">
        <v>-119764</v>
      </c>
      <c r="BO15" s="52">
        <v>-119764</v>
      </c>
      <c r="BP15" s="52">
        <v>-119764</v>
      </c>
      <c r="BQ15" s="52">
        <v>-119764</v>
      </c>
      <c r="BR15" s="52">
        <v>-119764</v>
      </c>
      <c r="BS15" s="52">
        <v>-119764</v>
      </c>
      <c r="BT15" s="52">
        <v>-119764</v>
      </c>
      <c r="BU15" s="52">
        <v>-119764</v>
      </c>
      <c r="BV15" s="52">
        <v>-119764</v>
      </c>
      <c r="BW15" s="52">
        <v>-119760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430">
        <f t="shared" si="1"/>
        <v>0</v>
      </c>
    </row>
    <row r="16" spans="1:101">
      <c r="A16" s="540" t="str">
        <f t="shared" si="0"/>
        <v>4074140</v>
      </c>
      <c r="B16" s="541" t="s">
        <v>1269</v>
      </c>
      <c r="C16" s="463" t="s">
        <v>958</v>
      </c>
      <c r="D16" s="426">
        <v>0</v>
      </c>
      <c r="E16" s="426">
        <v>0</v>
      </c>
      <c r="F16" s="426">
        <v>0</v>
      </c>
      <c r="G16" s="426">
        <v>0</v>
      </c>
      <c r="H16" s="426">
        <v>0</v>
      </c>
      <c r="I16" s="426">
        <v>0</v>
      </c>
      <c r="J16" s="426">
        <v>-512011</v>
      </c>
      <c r="K16" s="426">
        <v>-202925</v>
      </c>
      <c r="L16" s="426">
        <v>-291582</v>
      </c>
      <c r="M16" s="426">
        <v>-108285</v>
      </c>
      <c r="N16" s="426">
        <v>0</v>
      </c>
      <c r="O16" s="427">
        <v>0</v>
      </c>
      <c r="P16" s="52">
        <v>0</v>
      </c>
      <c r="Q16" s="52">
        <v>0</v>
      </c>
      <c r="R16" s="52">
        <v>0</v>
      </c>
      <c r="S16" s="52">
        <v>0</v>
      </c>
      <c r="T16" s="52">
        <v>-65065</v>
      </c>
      <c r="U16" s="52">
        <v>0</v>
      </c>
      <c r="V16" s="52">
        <v>-19797</v>
      </c>
      <c r="W16" s="52">
        <v>-208974</v>
      </c>
      <c r="X16" s="52">
        <v>-90502</v>
      </c>
      <c r="Y16" s="52">
        <v>-380393</v>
      </c>
      <c r="Z16" s="52">
        <v>0</v>
      </c>
      <c r="AA16" s="52">
        <v>0</v>
      </c>
      <c r="AB16" s="52">
        <v>0</v>
      </c>
      <c r="AC16" s="52">
        <v>0</v>
      </c>
      <c r="AD16" s="52">
        <v>0</v>
      </c>
      <c r="AE16" s="52">
        <v>0</v>
      </c>
      <c r="AF16" s="52">
        <v>-144189</v>
      </c>
      <c r="AG16" s="52">
        <v>-195014</v>
      </c>
      <c r="AH16" s="52">
        <v>-128184</v>
      </c>
      <c r="AI16" s="52">
        <v>-619807</v>
      </c>
      <c r="AJ16" s="52">
        <v>-41764</v>
      </c>
      <c r="AK16" s="52">
        <v>-427683</v>
      </c>
      <c r="AL16" s="52">
        <v>0</v>
      </c>
      <c r="AM16" s="52">
        <v>-302247</v>
      </c>
      <c r="AN16" s="52">
        <v>0</v>
      </c>
      <c r="AO16" s="52">
        <v>0</v>
      </c>
      <c r="AP16" s="52">
        <v>0</v>
      </c>
      <c r="AQ16" s="52">
        <v>0</v>
      </c>
      <c r="AR16" s="52">
        <v>-454094</v>
      </c>
      <c r="AS16" s="52">
        <v>-640424</v>
      </c>
      <c r="AT16" s="52">
        <v>-672190</v>
      </c>
      <c r="AU16" s="52">
        <v>-842391</v>
      </c>
      <c r="AV16" s="52">
        <v>-414828</v>
      </c>
      <c r="AW16" s="52">
        <v>-1213757</v>
      </c>
      <c r="AX16" s="52">
        <v>-407876</v>
      </c>
      <c r="AY16" s="52">
        <v>0</v>
      </c>
      <c r="AZ16" s="52">
        <v>0</v>
      </c>
      <c r="BA16" s="52">
        <v>0</v>
      </c>
      <c r="BB16" s="52">
        <v>-472880</v>
      </c>
      <c r="BC16" s="52">
        <v>-1178357</v>
      </c>
      <c r="BD16" s="52">
        <v>0</v>
      </c>
      <c r="BE16" s="52">
        <v>-111104</v>
      </c>
      <c r="BF16" s="52">
        <v>-1268349</v>
      </c>
      <c r="BG16" s="52">
        <v>-712465</v>
      </c>
      <c r="BH16" s="52">
        <v>0</v>
      </c>
      <c r="BI16" s="52">
        <v>-1217780</v>
      </c>
      <c r="BJ16" s="52">
        <v>-51668</v>
      </c>
      <c r="BK16" s="52">
        <v>0</v>
      </c>
      <c r="BL16" s="52">
        <v>0</v>
      </c>
      <c r="BM16" s="52">
        <v>0</v>
      </c>
      <c r="BN16" s="52">
        <v>0</v>
      </c>
      <c r="BO16" s="52">
        <v>0</v>
      </c>
      <c r="BP16" s="52">
        <v>0</v>
      </c>
      <c r="BQ16" s="52">
        <v>-677865</v>
      </c>
      <c r="BR16" s="52">
        <v>-1098139</v>
      </c>
      <c r="BS16" s="52">
        <v>-356143</v>
      </c>
      <c r="BT16" s="52">
        <v>0</v>
      </c>
      <c r="BU16" s="52">
        <v>-563046</v>
      </c>
      <c r="BV16" s="52">
        <v>-209982</v>
      </c>
      <c r="BW16" s="52">
        <v>0</v>
      </c>
      <c r="BX16" s="52">
        <v>0</v>
      </c>
      <c r="BY16" s="52">
        <v>0</v>
      </c>
      <c r="BZ16" s="52">
        <v>0</v>
      </c>
      <c r="CA16" s="52">
        <v>-260945</v>
      </c>
      <c r="CB16" s="52">
        <v>-254313</v>
      </c>
      <c r="CC16" s="52">
        <v>-315452</v>
      </c>
      <c r="CD16" s="52">
        <v>-263835</v>
      </c>
      <c r="CE16" s="52">
        <v>-496526</v>
      </c>
      <c r="CF16" s="52">
        <v>-790149</v>
      </c>
      <c r="CG16" s="52">
        <v>-903910</v>
      </c>
      <c r="CH16" s="52">
        <v>-133416</v>
      </c>
      <c r="CI16" s="52">
        <v>0</v>
      </c>
      <c r="CJ16" s="52">
        <v>0</v>
      </c>
      <c r="CK16" s="52">
        <v>0</v>
      </c>
      <c r="CL16" s="52">
        <v>0</v>
      </c>
      <c r="CM16" s="52">
        <v>1900</v>
      </c>
      <c r="CN16" s="52">
        <v>0</v>
      </c>
      <c r="CO16" s="52">
        <v>-12226</v>
      </c>
      <c r="CP16" s="52">
        <v>-300183</v>
      </c>
      <c r="CQ16" s="52">
        <v>0</v>
      </c>
      <c r="CR16" s="52">
        <v>-504358</v>
      </c>
      <c r="CS16" s="52">
        <v>-391595</v>
      </c>
      <c r="CT16" s="52">
        <v>-140516</v>
      </c>
      <c r="CU16" s="52">
        <v>0</v>
      </c>
      <c r="CV16" s="430">
        <f t="shared" si="1"/>
        <v>-1346978</v>
      </c>
    </row>
    <row r="17" spans="1:100">
      <c r="A17" s="540" t="str">
        <f t="shared" si="0"/>
        <v>4074141</v>
      </c>
      <c r="B17" s="541" t="s">
        <v>1270</v>
      </c>
      <c r="C17" s="463" t="s">
        <v>1391</v>
      </c>
      <c r="D17" s="426"/>
      <c r="E17" s="426"/>
      <c r="F17" s="426"/>
      <c r="G17" s="426"/>
      <c r="H17" s="426"/>
      <c r="I17" s="426"/>
      <c r="J17" s="426"/>
      <c r="K17" s="426"/>
      <c r="L17" s="426"/>
      <c r="M17" s="426"/>
      <c r="N17" s="426"/>
      <c r="O17" s="427"/>
      <c r="P17" s="52">
        <v>-25795</v>
      </c>
      <c r="Q17" s="52">
        <v>-25795</v>
      </c>
      <c r="R17" s="52">
        <v>-25795</v>
      </c>
      <c r="S17" s="52">
        <v>-25795</v>
      </c>
      <c r="T17" s="52">
        <v>-25795</v>
      </c>
      <c r="U17" s="52">
        <v>-25795</v>
      </c>
      <c r="V17" s="52">
        <v>-25795</v>
      </c>
      <c r="W17" s="52">
        <v>-25795</v>
      </c>
      <c r="X17" s="52">
        <v>-25795</v>
      </c>
      <c r="Y17" s="52">
        <v>-25795</v>
      </c>
      <c r="Z17" s="52">
        <v>-25795</v>
      </c>
      <c r="AA17" s="52">
        <v>-25799</v>
      </c>
      <c r="AB17" s="52">
        <v>-178038</v>
      </c>
      <c r="AC17" s="52">
        <v>-178038</v>
      </c>
      <c r="AD17" s="52">
        <v>-178038</v>
      </c>
      <c r="AE17" s="52">
        <v>-178038</v>
      </c>
      <c r="AF17" s="52">
        <v>-178038</v>
      </c>
      <c r="AG17" s="52">
        <v>-178038</v>
      </c>
      <c r="AH17" s="52">
        <v>-178038</v>
      </c>
      <c r="AI17" s="52">
        <v>-178038</v>
      </c>
      <c r="AJ17" s="52">
        <v>-178038</v>
      </c>
      <c r="AK17" s="52">
        <v>-178038</v>
      </c>
      <c r="AL17" s="52">
        <v>-178038</v>
      </c>
      <c r="AM17" s="52">
        <v>-178042</v>
      </c>
      <c r="AN17" s="52">
        <v>0</v>
      </c>
      <c r="AO17" s="52">
        <v>0</v>
      </c>
      <c r="AP17" s="52">
        <v>0</v>
      </c>
      <c r="AQ17" s="52">
        <v>0</v>
      </c>
      <c r="AR17" s="52">
        <v>0</v>
      </c>
      <c r="AS17" s="52">
        <v>0</v>
      </c>
      <c r="AT17" s="52">
        <v>0</v>
      </c>
      <c r="AU17" s="52">
        <v>0</v>
      </c>
      <c r="AV17" s="52">
        <v>0</v>
      </c>
      <c r="AW17" s="52"/>
      <c r="AX17" s="52"/>
      <c r="AY17" s="52"/>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430">
        <f t="shared" si="1"/>
        <v>0</v>
      </c>
    </row>
    <row r="18" spans="1:100">
      <c r="A18" s="540" t="str">
        <f>+B18</f>
        <v>4073212</v>
      </c>
      <c r="B18" s="541" t="s">
        <v>2221</v>
      </c>
      <c r="C18" s="463" t="s">
        <v>2211</v>
      </c>
      <c r="D18" s="426"/>
      <c r="E18" s="426"/>
      <c r="F18" s="426"/>
      <c r="G18" s="426"/>
      <c r="H18" s="426"/>
      <c r="I18" s="426"/>
      <c r="J18" s="426"/>
      <c r="K18" s="426"/>
      <c r="L18" s="426"/>
      <c r="M18" s="426"/>
      <c r="N18" s="426"/>
      <c r="O18" s="427"/>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v>0</v>
      </c>
      <c r="BA18" s="52">
        <v>1338154</v>
      </c>
      <c r="BB18" s="52">
        <v>1131555</v>
      </c>
      <c r="BC18" s="52">
        <v>1167235</v>
      </c>
      <c r="BD18" s="52">
        <v>283526</v>
      </c>
      <c r="BE18" s="52">
        <v>721436</v>
      </c>
      <c r="BF18" s="52">
        <v>711747</v>
      </c>
      <c r="BG18" s="52">
        <v>700410</v>
      </c>
      <c r="BH18" s="52">
        <v>-6054063</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720499.67</v>
      </c>
      <c r="CS18" s="52">
        <v>-31403.51</v>
      </c>
      <c r="CT18" s="52">
        <v>66485.61</v>
      </c>
      <c r="CU18" s="52">
        <v>96002.12</v>
      </c>
      <c r="CV18" s="430">
        <f t="shared" si="1"/>
        <v>851583.89</v>
      </c>
    </row>
    <row r="19" spans="1:100">
      <c r="A19" s="540" t="str">
        <f t="shared" si="0"/>
        <v>4120000</v>
      </c>
      <c r="B19" s="541" t="s">
        <v>1866</v>
      </c>
      <c r="C19" s="463" t="s">
        <v>1441</v>
      </c>
      <c r="D19" s="426"/>
      <c r="E19" s="426"/>
      <c r="F19" s="426"/>
      <c r="G19" s="426"/>
      <c r="H19" s="426"/>
      <c r="I19" s="426"/>
      <c r="J19" s="426"/>
      <c r="K19" s="426"/>
      <c r="L19" s="426"/>
      <c r="M19" s="426"/>
      <c r="N19" s="426"/>
      <c r="O19" s="427"/>
      <c r="P19" s="52"/>
      <c r="Q19" s="52"/>
      <c r="R19" s="52"/>
      <c r="S19" s="52"/>
      <c r="T19" s="52"/>
      <c r="U19" s="52"/>
      <c r="V19" s="52"/>
      <c r="W19" s="52"/>
      <c r="X19" s="52"/>
      <c r="Y19" s="52"/>
      <c r="Z19" s="52"/>
      <c r="AA19" s="52"/>
      <c r="AB19" s="52"/>
      <c r="AC19" s="52"/>
      <c r="AD19" s="52"/>
      <c r="AE19" s="52">
        <v>0</v>
      </c>
      <c r="AF19" s="526">
        <v>-235245.67</v>
      </c>
      <c r="AG19" s="526">
        <v>-84738.62</v>
      </c>
      <c r="AH19" s="526">
        <v>-84738.62</v>
      </c>
      <c r="AI19" s="526">
        <v>-84738.62</v>
      </c>
      <c r="AJ19" s="526">
        <v>-84738.62</v>
      </c>
      <c r="AK19" s="526">
        <v>-106698.62</v>
      </c>
      <c r="AL19" s="526">
        <v>-106698.62</v>
      </c>
      <c r="AM19" s="526">
        <v>-106698.62</v>
      </c>
      <c r="AN19" s="526">
        <v>-106698.62</v>
      </c>
      <c r="AO19" s="526">
        <v>-106698.62</v>
      </c>
      <c r="AP19" s="526">
        <v>-106735.81</v>
      </c>
      <c r="AQ19" s="526">
        <v>-193421.26</v>
      </c>
      <c r="AR19" s="526">
        <v>-193458.45</v>
      </c>
      <c r="AS19" s="526">
        <v>-193458.45</v>
      </c>
      <c r="AT19" s="526">
        <v>-193458.45</v>
      </c>
      <c r="AU19" s="526">
        <v>-193458.45</v>
      </c>
      <c r="AV19" s="526">
        <v>-193458.45</v>
      </c>
      <c r="AW19" s="526">
        <v>-223789.45</v>
      </c>
      <c r="AX19" s="526">
        <v>-223789.45</v>
      </c>
      <c r="AY19" s="526">
        <v>-223789.45</v>
      </c>
      <c r="AZ19" s="526">
        <v>-223789.45</v>
      </c>
      <c r="BA19" s="526">
        <v>-223789.45</v>
      </c>
      <c r="BB19" s="526">
        <v>-223789.45</v>
      </c>
      <c r="BC19" s="526">
        <v>-223789.45</v>
      </c>
      <c r="BD19" s="526">
        <v>-223789.45</v>
      </c>
      <c r="BE19" s="526">
        <v>-223789.45</v>
      </c>
      <c r="BF19" s="526">
        <v>-223789.45</v>
      </c>
      <c r="BG19" s="526">
        <v>-223789.45</v>
      </c>
      <c r="BH19" s="526">
        <v>-223789.45</v>
      </c>
      <c r="BI19" s="526">
        <v>-223789.45</v>
      </c>
      <c r="BJ19" s="526">
        <v>-223789.45</v>
      </c>
      <c r="BK19" s="526">
        <v>-223789.45</v>
      </c>
      <c r="BL19" s="526">
        <v>-223789.45</v>
      </c>
      <c r="BM19" s="526">
        <v>-223789.45</v>
      </c>
      <c r="BN19" s="526">
        <v>-255542.13</v>
      </c>
      <c r="BO19" s="526">
        <v>-239665.79</v>
      </c>
      <c r="BP19" s="526">
        <v>-239665.79</v>
      </c>
      <c r="BQ19" s="526">
        <v>-239665.79</v>
      </c>
      <c r="BR19" s="526">
        <v>-239665.79</v>
      </c>
      <c r="BS19" s="526">
        <v>-239665.79</v>
      </c>
      <c r="BT19" s="526">
        <v>-239665.79</v>
      </c>
      <c r="BU19" s="526">
        <v>-239665.79</v>
      </c>
      <c r="BV19" s="526">
        <v>-239665.79</v>
      </c>
      <c r="BW19" s="526">
        <v>-239665.79</v>
      </c>
      <c r="BX19" s="526">
        <v>-239665.79</v>
      </c>
      <c r="BY19" s="526">
        <v>-239665.79</v>
      </c>
      <c r="BZ19" s="526">
        <v>-239665.79</v>
      </c>
      <c r="CA19" s="526">
        <v>-239665.79</v>
      </c>
      <c r="CB19" s="526">
        <v>-191777.77</v>
      </c>
      <c r="CC19" s="526">
        <v>-215721.78</v>
      </c>
      <c r="CD19" s="526">
        <v>-215721.78</v>
      </c>
      <c r="CE19" s="526">
        <v>-215721.78</v>
      </c>
      <c r="CF19" s="526">
        <v>-215721.78</v>
      </c>
      <c r="CG19" s="526">
        <v>-207350.78</v>
      </c>
      <c r="CH19" s="526">
        <v>-207350.78</v>
      </c>
      <c r="CI19" s="526">
        <v>-207350.78</v>
      </c>
      <c r="CJ19" s="526">
        <v>-207350.78</v>
      </c>
      <c r="CK19" s="526">
        <v>-207350.78</v>
      </c>
      <c r="CL19" s="526">
        <v>-207350.78</v>
      </c>
      <c r="CM19" s="526">
        <v>-207350.78</v>
      </c>
      <c r="CN19" s="526">
        <v>-207350.78</v>
      </c>
      <c r="CO19" s="526">
        <v>-207350.78</v>
      </c>
      <c r="CP19" s="526">
        <v>-207350.78</v>
      </c>
      <c r="CQ19" s="526">
        <v>-207350.78</v>
      </c>
      <c r="CR19" s="526">
        <v>-207350.78</v>
      </c>
      <c r="CS19" s="526">
        <v>-207350.78</v>
      </c>
      <c r="CT19" s="526">
        <v>-207350.78</v>
      </c>
      <c r="CU19" s="526">
        <v>-207350.78</v>
      </c>
      <c r="CV19" s="430">
        <f t="shared" si="1"/>
        <v>-2488209.36</v>
      </c>
    </row>
    <row r="20" spans="1:100">
      <c r="A20" s="540" t="str">
        <f t="shared" si="0"/>
        <v>4120001</v>
      </c>
      <c r="B20" s="541" t="s">
        <v>1867</v>
      </c>
      <c r="C20" s="463" t="s">
        <v>1442</v>
      </c>
      <c r="D20" s="426"/>
      <c r="E20" s="426"/>
      <c r="F20" s="426"/>
      <c r="G20" s="426"/>
      <c r="H20" s="426"/>
      <c r="I20" s="426"/>
      <c r="J20" s="426"/>
      <c r="K20" s="426"/>
      <c r="L20" s="426"/>
      <c r="M20" s="426"/>
      <c r="N20" s="426"/>
      <c r="O20" s="427"/>
      <c r="P20" s="52"/>
      <c r="Q20" s="52"/>
      <c r="R20" s="52"/>
      <c r="S20" s="52"/>
      <c r="T20" s="52"/>
      <c r="U20" s="52"/>
      <c r="V20" s="52"/>
      <c r="W20" s="52"/>
      <c r="X20" s="52"/>
      <c r="Y20" s="52"/>
      <c r="Z20" s="52"/>
      <c r="AA20" s="52"/>
      <c r="AB20" s="52"/>
      <c r="AC20" s="52"/>
      <c r="AD20" s="52"/>
      <c r="AE20" s="52">
        <v>0</v>
      </c>
      <c r="AF20" s="52">
        <v>0</v>
      </c>
      <c r="AG20" s="525">
        <v>188448</v>
      </c>
      <c r="AH20" s="525">
        <v>62816</v>
      </c>
      <c r="AI20" s="525">
        <v>62816</v>
      </c>
      <c r="AJ20" s="525">
        <v>62816</v>
      </c>
      <c r="AK20" s="525">
        <v>62816</v>
      </c>
      <c r="AL20" s="525">
        <v>106735</v>
      </c>
      <c r="AM20" s="525">
        <v>84776</v>
      </c>
      <c r="AN20" s="525">
        <v>84776</v>
      </c>
      <c r="AO20" s="525">
        <v>84776</v>
      </c>
      <c r="AP20" s="525">
        <v>84776</v>
      </c>
      <c r="AQ20" s="525">
        <v>171536</v>
      </c>
      <c r="AR20" s="525">
        <v>171536</v>
      </c>
      <c r="AS20" s="525">
        <v>171536</v>
      </c>
      <c r="AT20" s="525">
        <v>171536</v>
      </c>
      <c r="AU20" s="525">
        <v>171536</v>
      </c>
      <c r="AV20" s="525">
        <v>171536</v>
      </c>
      <c r="AW20" s="525">
        <v>201867</v>
      </c>
      <c r="AX20" s="525">
        <v>201867</v>
      </c>
      <c r="AY20" s="525">
        <v>201867</v>
      </c>
      <c r="AZ20" s="525">
        <v>201867</v>
      </c>
      <c r="BA20" s="525">
        <v>201867</v>
      </c>
      <c r="BB20" s="525">
        <v>201867</v>
      </c>
      <c r="BC20" s="525">
        <v>201867</v>
      </c>
      <c r="BD20" s="525">
        <v>201867</v>
      </c>
      <c r="BE20" s="525">
        <v>201867</v>
      </c>
      <c r="BF20" s="525">
        <v>201867</v>
      </c>
      <c r="BG20" s="525">
        <v>201867</v>
      </c>
      <c r="BH20" s="525">
        <v>201867</v>
      </c>
      <c r="BI20" s="525">
        <v>201867</v>
      </c>
      <c r="BJ20" s="525">
        <v>201867</v>
      </c>
      <c r="BK20" s="525">
        <v>201867</v>
      </c>
      <c r="BL20" s="525">
        <v>201867</v>
      </c>
      <c r="BM20" s="525">
        <v>201867</v>
      </c>
      <c r="BN20" s="525">
        <v>201867</v>
      </c>
      <c r="BO20" s="525">
        <v>201867</v>
      </c>
      <c r="BP20" s="525">
        <v>201867</v>
      </c>
      <c r="BQ20" s="525">
        <v>201867</v>
      </c>
      <c r="BR20" s="525">
        <v>201866</v>
      </c>
      <c r="BS20" s="525">
        <v>201866</v>
      </c>
      <c r="BT20" s="525">
        <v>201866</v>
      </c>
      <c r="BU20" s="525">
        <v>201866</v>
      </c>
      <c r="BV20" s="525">
        <v>201866</v>
      </c>
      <c r="BW20" s="525">
        <v>201866</v>
      </c>
      <c r="BX20" s="525">
        <v>201868</v>
      </c>
      <c r="BY20" s="525">
        <v>201868</v>
      </c>
      <c r="BZ20" s="525">
        <v>201869</v>
      </c>
      <c r="CA20" s="525">
        <v>177924</v>
      </c>
      <c r="CB20" s="525">
        <v>177923</v>
      </c>
      <c r="CC20" s="525">
        <v>177924</v>
      </c>
      <c r="CD20" s="525">
        <v>177924</v>
      </c>
      <c r="CE20" s="525">
        <v>177924</v>
      </c>
      <c r="CF20" s="525">
        <v>177924</v>
      </c>
      <c r="CG20" s="525">
        <v>169552</v>
      </c>
      <c r="CH20" s="525">
        <v>169552</v>
      </c>
      <c r="CI20" s="525">
        <v>169552</v>
      </c>
      <c r="CJ20" s="525">
        <v>169551</v>
      </c>
      <c r="CK20" s="525">
        <v>169552</v>
      </c>
      <c r="CL20" s="525">
        <v>169552</v>
      </c>
      <c r="CM20" s="525">
        <v>169552</v>
      </c>
      <c r="CN20" s="525">
        <v>169552</v>
      </c>
      <c r="CO20" s="525">
        <v>169552</v>
      </c>
      <c r="CP20" s="525">
        <v>169552</v>
      </c>
      <c r="CQ20" s="525">
        <v>169552</v>
      </c>
      <c r="CR20" s="525">
        <v>169552</v>
      </c>
      <c r="CS20" s="525">
        <v>169552</v>
      </c>
      <c r="CT20" s="525">
        <v>169552</v>
      </c>
      <c r="CU20" s="525">
        <v>169552</v>
      </c>
      <c r="CV20" s="430">
        <f t="shared" si="1"/>
        <v>2034623</v>
      </c>
    </row>
    <row r="21" spans="1:100">
      <c r="A21" s="540" t="str">
        <f t="shared" si="0"/>
        <v>4120002</v>
      </c>
      <c r="B21" s="541" t="s">
        <v>1868</v>
      </c>
      <c r="C21" s="463" t="s">
        <v>1443</v>
      </c>
      <c r="D21" s="426"/>
      <c r="E21" s="426"/>
      <c r="F21" s="426"/>
      <c r="G21" s="426"/>
      <c r="H21" s="426"/>
      <c r="I21" s="426"/>
      <c r="J21" s="426"/>
      <c r="K21" s="426"/>
      <c r="L21" s="426"/>
      <c r="M21" s="426"/>
      <c r="N21" s="426"/>
      <c r="O21" s="427"/>
      <c r="P21" s="52"/>
      <c r="Q21" s="52"/>
      <c r="R21" s="52"/>
      <c r="S21" s="52"/>
      <c r="T21" s="52"/>
      <c r="U21" s="52"/>
      <c r="V21" s="52"/>
      <c r="W21" s="52"/>
      <c r="X21" s="52"/>
      <c r="Y21" s="52"/>
      <c r="Z21" s="52"/>
      <c r="AA21" s="52"/>
      <c r="AB21" s="52"/>
      <c r="AC21" s="52"/>
      <c r="AD21" s="52"/>
      <c r="AE21" s="52">
        <v>0</v>
      </c>
      <c r="AF21" s="52">
        <v>0</v>
      </c>
      <c r="AG21" s="525">
        <v>4207</v>
      </c>
      <c r="AH21" s="525">
        <v>1402</v>
      </c>
      <c r="AI21" s="525">
        <v>1402</v>
      </c>
      <c r="AJ21" s="525">
        <v>1403</v>
      </c>
      <c r="AK21" s="525">
        <v>1403</v>
      </c>
      <c r="AL21" s="525">
        <v>2372</v>
      </c>
      <c r="AM21" s="525">
        <v>1887</v>
      </c>
      <c r="AN21" s="525">
        <v>1475</v>
      </c>
      <c r="AO21" s="525">
        <v>1476</v>
      </c>
      <c r="AP21" s="525">
        <v>1476</v>
      </c>
      <c r="AQ21" s="525">
        <v>-55332</v>
      </c>
      <c r="AR21" s="525">
        <v>-55331</v>
      </c>
      <c r="AS21" s="525">
        <v>-55331</v>
      </c>
      <c r="AT21" s="525">
        <v>-55331</v>
      </c>
      <c r="AU21" s="525">
        <v>-55331</v>
      </c>
      <c r="AV21" s="525">
        <v>-55331</v>
      </c>
      <c r="AW21" s="525">
        <v>-75198</v>
      </c>
      <c r="AX21" s="525">
        <v>-75199</v>
      </c>
      <c r="AY21" s="525">
        <v>-75198</v>
      </c>
      <c r="AZ21" s="525">
        <v>-75860</v>
      </c>
      <c r="BA21" s="525">
        <v>-75861</v>
      </c>
      <c r="BB21" s="525">
        <v>-75861</v>
      </c>
      <c r="BC21" s="525">
        <v>-75861</v>
      </c>
      <c r="BD21" s="525">
        <v>-75860</v>
      </c>
      <c r="BE21" s="525">
        <v>-75861</v>
      </c>
      <c r="BF21" s="525">
        <v>-75861</v>
      </c>
      <c r="BG21" s="525">
        <v>-75860</v>
      </c>
      <c r="BH21" s="525">
        <v>-75860</v>
      </c>
      <c r="BI21" s="525">
        <v>-75860</v>
      </c>
      <c r="BJ21" s="525">
        <v>-75860</v>
      </c>
      <c r="BK21" s="525">
        <v>-75860</v>
      </c>
      <c r="BL21" s="525">
        <v>-76523</v>
      </c>
      <c r="BM21" s="525">
        <v>-76523</v>
      </c>
      <c r="BN21" s="525">
        <v>-76523</v>
      </c>
      <c r="BO21" s="525">
        <v>-76523</v>
      </c>
      <c r="BP21" s="525">
        <v>-76523</v>
      </c>
      <c r="BQ21" s="525">
        <v>-76523</v>
      </c>
      <c r="BR21" s="525">
        <v>-76522</v>
      </c>
      <c r="BS21" s="525">
        <v>-76522</v>
      </c>
      <c r="BT21" s="525">
        <v>-76522</v>
      </c>
      <c r="BU21" s="525">
        <v>-76524</v>
      </c>
      <c r="BV21" s="525">
        <v>-76523</v>
      </c>
      <c r="BW21" s="525">
        <v>-76523</v>
      </c>
      <c r="BX21" s="525">
        <v>-77186</v>
      </c>
      <c r="BY21" s="525">
        <v>-77185</v>
      </c>
      <c r="BZ21" s="525">
        <v>-77186</v>
      </c>
      <c r="CA21" s="525">
        <v>-61508</v>
      </c>
      <c r="CB21" s="525">
        <v>-61507</v>
      </c>
      <c r="CC21" s="525">
        <v>-61508</v>
      </c>
      <c r="CD21" s="525">
        <v>-61507</v>
      </c>
      <c r="CE21" s="525">
        <v>-61508</v>
      </c>
      <c r="CF21" s="525">
        <v>-61508</v>
      </c>
      <c r="CG21" s="525">
        <v>-56024</v>
      </c>
      <c r="CH21" s="525">
        <v>-56024</v>
      </c>
      <c r="CI21" s="525">
        <v>-56024</v>
      </c>
      <c r="CJ21" s="525">
        <v>-56686</v>
      </c>
      <c r="CK21" s="525">
        <v>-56687</v>
      </c>
      <c r="CL21" s="525">
        <v>-56686</v>
      </c>
      <c r="CM21" s="525">
        <v>-56686</v>
      </c>
      <c r="CN21" s="525">
        <v>-56687</v>
      </c>
      <c r="CO21" s="525">
        <v>-56686</v>
      </c>
      <c r="CP21" s="525">
        <v>-56686</v>
      </c>
      <c r="CQ21" s="525">
        <v>-56686</v>
      </c>
      <c r="CR21" s="525">
        <v>-56686</v>
      </c>
      <c r="CS21" s="525">
        <v>-56686</v>
      </c>
      <c r="CT21" s="525">
        <v>-56686</v>
      </c>
      <c r="CU21" s="525">
        <v>-56686</v>
      </c>
      <c r="CV21" s="430">
        <f t="shared" si="1"/>
        <v>-680234</v>
      </c>
    </row>
    <row r="22" spans="1:100">
      <c r="A22" s="540" t="str">
        <f t="shared" si="0"/>
        <v>4800010</v>
      </c>
      <c r="B22" s="541" t="s">
        <v>1869</v>
      </c>
      <c r="C22" s="463" t="s">
        <v>959</v>
      </c>
      <c r="D22" s="426">
        <v>-1123757.57</v>
      </c>
      <c r="E22" s="426">
        <v>-1108978.28</v>
      </c>
      <c r="F22" s="426">
        <v>-1034913.52</v>
      </c>
      <c r="G22" s="426">
        <v>-1000917.71</v>
      </c>
      <c r="H22" s="426">
        <v>-988763.96</v>
      </c>
      <c r="I22" s="426">
        <v>-983243.99</v>
      </c>
      <c r="J22" s="426">
        <v>-955649.02</v>
      </c>
      <c r="K22" s="426">
        <v>-962883.04</v>
      </c>
      <c r="L22" s="426">
        <v>-964213.07</v>
      </c>
      <c r="M22" s="426">
        <v>-977042.56</v>
      </c>
      <c r="N22" s="426">
        <v>-991025.68</v>
      </c>
      <c r="O22" s="427">
        <v>-1056258.95</v>
      </c>
      <c r="P22" s="52">
        <v>-1090069.98</v>
      </c>
      <c r="Q22" s="52">
        <v>-1092646.44</v>
      </c>
      <c r="R22" s="52">
        <v>-1082741.3400000001</v>
      </c>
      <c r="S22" s="52">
        <v>-1007301.09</v>
      </c>
      <c r="T22" s="52">
        <v>-978712.21</v>
      </c>
      <c r="U22" s="52">
        <v>-990341.05</v>
      </c>
      <c r="V22" s="52">
        <v>-1007297.72</v>
      </c>
      <c r="W22" s="52">
        <v>-996727.95</v>
      </c>
      <c r="X22" s="52">
        <v>-999472.18</v>
      </c>
      <c r="Y22" s="52">
        <v>-1009147.04</v>
      </c>
      <c r="Z22" s="52">
        <v>-1028063.33</v>
      </c>
      <c r="AA22" s="52">
        <v>-1066732.05</v>
      </c>
      <c r="AB22" s="52">
        <v>-1135715.8700000001</v>
      </c>
      <c r="AC22" s="52">
        <v>-1147514.45</v>
      </c>
      <c r="AD22" s="52">
        <v>-1102456.06</v>
      </c>
      <c r="AE22" s="52">
        <v>-1072272.92</v>
      </c>
      <c r="AF22" s="52">
        <v>-1041151.67</v>
      </c>
      <c r="AG22" s="52">
        <v>-1025289.49</v>
      </c>
      <c r="AH22" s="52">
        <v>-1198387.73</v>
      </c>
      <c r="AI22" s="52">
        <v>-1141902.45</v>
      </c>
      <c r="AJ22" s="52">
        <v>-1147790.9099999999</v>
      </c>
      <c r="AK22" s="52">
        <v>-1150771.1599999999</v>
      </c>
      <c r="AL22" s="52">
        <v>-1186605.78</v>
      </c>
      <c r="AM22" s="52">
        <v>-1239580.83</v>
      </c>
      <c r="AN22" s="52">
        <v>-1289449.42</v>
      </c>
      <c r="AO22" s="52">
        <v>-1258512.68</v>
      </c>
      <c r="AP22" s="52">
        <v>-1251539.02</v>
      </c>
      <c r="AQ22" s="52">
        <v>-1247043.1399999999</v>
      </c>
      <c r="AR22" s="52">
        <v>-1194248</v>
      </c>
      <c r="AS22" s="52">
        <v>-1170232.0900000001</v>
      </c>
      <c r="AT22" s="52">
        <v>-1421544.45</v>
      </c>
      <c r="AU22" s="52">
        <v>-1325841.24</v>
      </c>
      <c r="AV22" s="52">
        <v>-1357884.43</v>
      </c>
      <c r="AW22" s="52">
        <v>-1346338.45</v>
      </c>
      <c r="AX22" s="52">
        <v>-1393012.16</v>
      </c>
      <c r="AY22" s="52">
        <v>-1442612.78</v>
      </c>
      <c r="AZ22" s="52">
        <v>-1699603.85</v>
      </c>
      <c r="BA22" s="52">
        <v>-1516159.99</v>
      </c>
      <c r="BB22" s="52">
        <v>-1394358.8</v>
      </c>
      <c r="BC22" s="52">
        <v>-1454954.87</v>
      </c>
      <c r="BD22" s="52">
        <v>-1357513.53</v>
      </c>
      <c r="BE22" s="52">
        <v>-1361619.13</v>
      </c>
      <c r="BF22" s="52">
        <v>-1140248.82</v>
      </c>
      <c r="BG22" s="52">
        <v>-1207173.25</v>
      </c>
      <c r="BH22" s="52">
        <v>-1235488.28</v>
      </c>
      <c r="BI22" s="52">
        <v>-1229611.5</v>
      </c>
      <c r="BJ22" s="52">
        <v>-1235133.6200000001</v>
      </c>
      <c r="BK22" s="52">
        <v>-1312002.07</v>
      </c>
      <c r="BL22" s="52">
        <v>-1279160.02</v>
      </c>
      <c r="BM22" s="52">
        <v>-1259997.8400000001</v>
      </c>
      <c r="BN22" s="52">
        <v>-1244165.18</v>
      </c>
      <c r="BO22" s="52">
        <v>-1237461.5</v>
      </c>
      <c r="BP22" s="52">
        <v>-1190372.6499999999</v>
      </c>
      <c r="BQ22" s="52">
        <v>-1160059.42</v>
      </c>
      <c r="BR22" s="52">
        <v>-1249495.1299999999</v>
      </c>
      <c r="BS22" s="52">
        <v>-1227028.25</v>
      </c>
      <c r="BT22" s="52">
        <v>-1237025.74</v>
      </c>
      <c r="BU22" s="52">
        <v>-1232366.58</v>
      </c>
      <c r="BV22" s="52">
        <v>-1272527.83</v>
      </c>
      <c r="BW22" s="52">
        <v>-1332806.19</v>
      </c>
      <c r="BX22" s="52">
        <v>-1399845.78</v>
      </c>
      <c r="BY22" s="52">
        <v>-1351023.08</v>
      </c>
      <c r="BZ22" s="52">
        <v>-1317993.45</v>
      </c>
      <c r="CA22" s="52">
        <v>-1314006.42</v>
      </c>
      <c r="CB22" s="52">
        <v>-1297352.73</v>
      </c>
      <c r="CC22" s="52">
        <v>-1278766.0900000001</v>
      </c>
      <c r="CD22" s="52">
        <v>-1233667.2</v>
      </c>
      <c r="CE22" s="52">
        <v>-1246369.03</v>
      </c>
      <c r="CF22" s="52">
        <v>-1241044.3</v>
      </c>
      <c r="CG22" s="52">
        <v>-1255319.79</v>
      </c>
      <c r="CH22" s="52">
        <v>-1288495.03</v>
      </c>
      <c r="CI22" s="52">
        <v>-1405883.48</v>
      </c>
      <c r="CJ22" s="52">
        <v>-2060363.31</v>
      </c>
      <c r="CK22" s="52">
        <v>-1756566.78</v>
      </c>
      <c r="CL22" s="52">
        <v>-1745984.37</v>
      </c>
      <c r="CM22" s="52">
        <v>-1737212.25</v>
      </c>
      <c r="CN22" s="52">
        <v>-1646693.59</v>
      </c>
      <c r="CO22" s="52">
        <v>-1641667.89</v>
      </c>
      <c r="CP22" s="52">
        <v>-1723840.85</v>
      </c>
      <c r="CQ22" s="52">
        <v>-1687744.85</v>
      </c>
      <c r="CR22" s="52">
        <v>-1696247.71</v>
      </c>
      <c r="CS22" s="52">
        <v>-1694530.16</v>
      </c>
      <c r="CT22" s="52">
        <v>-1727752.61</v>
      </c>
      <c r="CU22" s="52">
        <v>-1812163.04</v>
      </c>
      <c r="CV22" s="430">
        <f t="shared" si="1"/>
        <v>-20930767.41</v>
      </c>
    </row>
    <row r="23" spans="1:100">
      <c r="A23" s="540" t="str">
        <f t="shared" si="0"/>
        <v>4800011</v>
      </c>
      <c r="B23" s="541" t="s">
        <v>1870</v>
      </c>
      <c r="C23" s="463" t="s">
        <v>960</v>
      </c>
      <c r="D23" s="428">
        <v>-770758.2</v>
      </c>
      <c r="E23" s="428">
        <v>-714784.27</v>
      </c>
      <c r="F23" s="428">
        <v>-467538.42</v>
      </c>
      <c r="G23" s="428">
        <v>-360765.72</v>
      </c>
      <c r="H23" s="428">
        <v>-335996.29</v>
      </c>
      <c r="I23" s="428">
        <v>-340609.68</v>
      </c>
      <c r="J23" s="428">
        <v>-212973.16</v>
      </c>
      <c r="K23" s="428">
        <v>-256646.22</v>
      </c>
      <c r="L23" s="428">
        <v>-254303.69</v>
      </c>
      <c r="M23" s="428">
        <v>-295731.59000000003</v>
      </c>
      <c r="N23" s="428">
        <v>-352911.14</v>
      </c>
      <c r="O23" s="429">
        <v>-557220.78</v>
      </c>
      <c r="P23" s="52">
        <v>-649630.09</v>
      </c>
      <c r="Q23" s="52">
        <v>-565637.94999999995</v>
      </c>
      <c r="R23" s="52">
        <v>-570837.39</v>
      </c>
      <c r="S23" s="52">
        <v>-327177.26</v>
      </c>
      <c r="T23" s="52">
        <v>-282907.7</v>
      </c>
      <c r="U23" s="52">
        <v>-335317.49</v>
      </c>
      <c r="V23" s="52">
        <v>-241321.86</v>
      </c>
      <c r="W23" s="52">
        <v>-258891.94</v>
      </c>
      <c r="X23" s="52">
        <v>-271385.94</v>
      </c>
      <c r="Y23" s="52">
        <v>-292583.88</v>
      </c>
      <c r="Z23" s="52">
        <v>-354467.78</v>
      </c>
      <c r="AA23" s="52">
        <v>-459819.36</v>
      </c>
      <c r="AB23" s="52">
        <v>-693091.44</v>
      </c>
      <c r="AC23" s="52">
        <v>-716826.16</v>
      </c>
      <c r="AD23" s="52">
        <v>-566894.07999999996</v>
      </c>
      <c r="AE23" s="52">
        <v>-448734.6</v>
      </c>
      <c r="AF23" s="52">
        <v>-356876.49</v>
      </c>
      <c r="AG23" s="52">
        <v>-285805.38</v>
      </c>
      <c r="AH23" s="52">
        <v>-253603.74</v>
      </c>
      <c r="AI23" s="52">
        <v>-273331.32</v>
      </c>
      <c r="AJ23" s="52">
        <v>-276329.84000000003</v>
      </c>
      <c r="AK23" s="52">
        <v>-285907.21999999997</v>
      </c>
      <c r="AL23" s="52">
        <v>-361398.83</v>
      </c>
      <c r="AM23" s="52">
        <v>-503085.01</v>
      </c>
      <c r="AN23" s="52">
        <v>-657485.02</v>
      </c>
      <c r="AO23" s="52">
        <v>-587978.17000000004</v>
      </c>
      <c r="AP23" s="52">
        <v>-530932.98</v>
      </c>
      <c r="AQ23" s="52">
        <v>-536744.39</v>
      </c>
      <c r="AR23" s="52">
        <v>-370128.54</v>
      </c>
      <c r="AS23" s="52">
        <v>-287172.37</v>
      </c>
      <c r="AT23" s="52">
        <v>-318320.84000000003</v>
      </c>
      <c r="AU23" s="52">
        <v>-339120.38</v>
      </c>
      <c r="AV23" s="52">
        <v>-454287.71</v>
      </c>
      <c r="AW23" s="52">
        <v>-428977.04</v>
      </c>
      <c r="AX23" s="52">
        <v>-583741.73</v>
      </c>
      <c r="AY23" s="52">
        <v>-733524.36</v>
      </c>
      <c r="AZ23" s="52">
        <v>-1735749.97</v>
      </c>
      <c r="BA23" s="52">
        <v>-1082647.8500000001</v>
      </c>
      <c r="BB23" s="52">
        <v>-526643.89</v>
      </c>
      <c r="BC23" s="52">
        <v>-754315.93</v>
      </c>
      <c r="BD23" s="52">
        <v>-434722.68</v>
      </c>
      <c r="BE23" s="52">
        <v>-416253.57</v>
      </c>
      <c r="BF23" s="52">
        <v>-254097.03</v>
      </c>
      <c r="BG23" s="52">
        <v>-296455.69</v>
      </c>
      <c r="BH23" s="52">
        <v>-349032.51</v>
      </c>
      <c r="BI23" s="52">
        <v>-296844.2</v>
      </c>
      <c r="BJ23" s="52">
        <v>-405213.61</v>
      </c>
      <c r="BK23" s="52">
        <v>-578834.14</v>
      </c>
      <c r="BL23" s="52">
        <v>-794965.4</v>
      </c>
      <c r="BM23" s="52">
        <v>-672374.49</v>
      </c>
      <c r="BN23" s="52">
        <v>-685534.66</v>
      </c>
      <c r="BO23" s="52">
        <v>-705876.81</v>
      </c>
      <c r="BP23" s="52">
        <v>-503851.43</v>
      </c>
      <c r="BQ23" s="52">
        <v>-397916.69</v>
      </c>
      <c r="BR23" s="52">
        <v>-360560.58</v>
      </c>
      <c r="BS23" s="52">
        <v>-296601.46999999997</v>
      </c>
      <c r="BT23" s="52">
        <v>-366116.49</v>
      </c>
      <c r="BU23" s="52">
        <v>-347111.69</v>
      </c>
      <c r="BV23" s="52">
        <v>-494186.19</v>
      </c>
      <c r="BW23" s="52">
        <v>-677520.63</v>
      </c>
      <c r="BX23" s="52">
        <v>-826459.72</v>
      </c>
      <c r="BY23" s="52">
        <v>-683943.06</v>
      </c>
      <c r="BZ23" s="52">
        <v>-559976.63</v>
      </c>
      <c r="CA23" s="52">
        <v>-563285.15</v>
      </c>
      <c r="CB23" s="52">
        <v>-513848.38</v>
      </c>
      <c r="CC23" s="52">
        <v>-439630.55</v>
      </c>
      <c r="CD23" s="52">
        <v>-327503.69</v>
      </c>
      <c r="CE23" s="52">
        <v>-356799.91</v>
      </c>
      <c r="CF23" s="52">
        <v>-346085.9</v>
      </c>
      <c r="CG23" s="52">
        <v>-430128.5</v>
      </c>
      <c r="CH23" s="52">
        <v>-576679.09</v>
      </c>
      <c r="CI23" s="52">
        <v>-998888.69</v>
      </c>
      <c r="CJ23" s="52">
        <v>-1233709.33</v>
      </c>
      <c r="CK23" s="52">
        <v>-879972.06</v>
      </c>
      <c r="CL23" s="52">
        <v>-1017595.32</v>
      </c>
      <c r="CM23" s="52">
        <v>-923069.27</v>
      </c>
      <c r="CN23" s="52">
        <v>-584730.22</v>
      </c>
      <c r="CO23" s="52">
        <v>-554189.86</v>
      </c>
      <c r="CP23" s="52">
        <v>-382192.26</v>
      </c>
      <c r="CQ23" s="52">
        <v>-415539.11</v>
      </c>
      <c r="CR23" s="52">
        <v>-455325.18</v>
      </c>
      <c r="CS23" s="52">
        <v>-453587.7</v>
      </c>
      <c r="CT23" s="52">
        <v>-584175.04</v>
      </c>
      <c r="CU23" s="52">
        <v>-903150.13</v>
      </c>
      <c r="CV23" s="430">
        <f t="shared" si="1"/>
        <v>-8387235.4800000004</v>
      </c>
    </row>
    <row r="24" spans="1:100">
      <c r="A24" s="540" t="str">
        <f t="shared" si="0"/>
        <v>4800020</v>
      </c>
      <c r="B24" s="541" t="s">
        <v>1871</v>
      </c>
      <c r="C24" s="463" t="s">
        <v>961</v>
      </c>
      <c r="D24" s="426">
        <v>-3650840.93</v>
      </c>
      <c r="E24" s="426">
        <v>-3677647.53</v>
      </c>
      <c r="F24" s="426">
        <v>-2972908.65</v>
      </c>
      <c r="G24" s="426">
        <v>-2971772.45</v>
      </c>
      <c r="H24" s="426">
        <v>-2810926.02</v>
      </c>
      <c r="I24" s="426">
        <v>-2836539.01</v>
      </c>
      <c r="J24" s="426">
        <v>-2701163.3</v>
      </c>
      <c r="K24" s="426">
        <v>-2693952.56</v>
      </c>
      <c r="L24" s="426">
        <v>-2760352.52</v>
      </c>
      <c r="M24" s="426">
        <v>-2796087.8</v>
      </c>
      <c r="N24" s="426">
        <v>-2909400.92</v>
      </c>
      <c r="O24" s="427">
        <v>-3324127</v>
      </c>
      <c r="P24" s="52">
        <v>-3460385.14</v>
      </c>
      <c r="Q24" s="52">
        <v>-3530784.26</v>
      </c>
      <c r="R24" s="52">
        <v>-3324284.94</v>
      </c>
      <c r="S24" s="52">
        <v>-2777722.27</v>
      </c>
      <c r="T24" s="52">
        <v>-2797611.88</v>
      </c>
      <c r="U24" s="52">
        <v>-2846355.06</v>
      </c>
      <c r="V24" s="52">
        <v>-2626530.0499999998</v>
      </c>
      <c r="W24" s="52">
        <v>-2716254.15</v>
      </c>
      <c r="X24" s="52">
        <v>-2710252.78</v>
      </c>
      <c r="Y24" s="52">
        <v>-2731631.16</v>
      </c>
      <c r="Z24" s="52">
        <v>-2824199.01</v>
      </c>
      <c r="AA24" s="52">
        <v>-2942717.88</v>
      </c>
      <c r="AB24" s="52">
        <v>-3348226.74</v>
      </c>
      <c r="AC24" s="52">
        <v>-3529754.95</v>
      </c>
      <c r="AD24" s="52">
        <v>-3038086.41</v>
      </c>
      <c r="AE24" s="52">
        <v>-2866995.67</v>
      </c>
      <c r="AF24" s="52">
        <v>-2834519.84</v>
      </c>
      <c r="AG24" s="52">
        <v>-2793114.71</v>
      </c>
      <c r="AH24" s="52">
        <v>-2999184.04</v>
      </c>
      <c r="AI24" s="52">
        <v>-2926513.16</v>
      </c>
      <c r="AJ24" s="52">
        <v>-2970934.05</v>
      </c>
      <c r="AK24" s="52">
        <v>-2968329.67</v>
      </c>
      <c r="AL24" s="52">
        <v>-3093976.96</v>
      </c>
      <c r="AM24" s="52">
        <v>-3329210.97</v>
      </c>
      <c r="AN24" s="52">
        <v>-3557472.13</v>
      </c>
      <c r="AO24" s="52">
        <v>-3431936.76</v>
      </c>
      <c r="AP24" s="52">
        <v>-3237217.56</v>
      </c>
      <c r="AQ24" s="52">
        <v>-3224541.52</v>
      </c>
      <c r="AR24" s="52">
        <v>-3057622.32</v>
      </c>
      <c r="AS24" s="52">
        <v>-3033381.46</v>
      </c>
      <c r="AT24" s="52">
        <v>-2979018.25</v>
      </c>
      <c r="AU24" s="52">
        <v>-2961387.8</v>
      </c>
      <c r="AV24" s="52">
        <v>-3063338.64</v>
      </c>
      <c r="AW24" s="52">
        <v>-3017753.89</v>
      </c>
      <c r="AX24" s="52">
        <v>-3154432.45</v>
      </c>
      <c r="AY24" s="52">
        <v>-3460827.44</v>
      </c>
      <c r="AZ24" s="52">
        <v>-4485574.47</v>
      </c>
      <c r="BA24" s="52">
        <v>-3676223.9</v>
      </c>
      <c r="BB24" s="52">
        <v>-3110078.88</v>
      </c>
      <c r="BC24" s="52">
        <v>-3359639.28</v>
      </c>
      <c r="BD24" s="52">
        <v>-3044320.01</v>
      </c>
      <c r="BE24" s="52">
        <v>-3058209.74</v>
      </c>
      <c r="BF24" s="52">
        <v>-2897730.33</v>
      </c>
      <c r="BG24" s="52">
        <v>-2908617.5</v>
      </c>
      <c r="BH24" s="52">
        <v>-3005616.5</v>
      </c>
      <c r="BI24" s="52">
        <v>-2944287.06</v>
      </c>
      <c r="BJ24" s="52">
        <v>-3020568.92</v>
      </c>
      <c r="BK24" s="52">
        <v>-3415087.63</v>
      </c>
      <c r="BL24" s="52">
        <v>-3392815.14</v>
      </c>
      <c r="BM24" s="52">
        <v>-3334106.37</v>
      </c>
      <c r="BN24" s="52">
        <v>-2992659.11</v>
      </c>
      <c r="BO24" s="52">
        <v>-2974883.43</v>
      </c>
      <c r="BP24" s="52">
        <v>-2870009.36</v>
      </c>
      <c r="BQ24" s="52">
        <v>-2788627.64</v>
      </c>
      <c r="BR24" s="52">
        <v>-2836308.35</v>
      </c>
      <c r="BS24" s="52">
        <v>-2823005.96</v>
      </c>
      <c r="BT24" s="52">
        <v>-2880994.57</v>
      </c>
      <c r="BU24" s="52">
        <v>-2842735.31</v>
      </c>
      <c r="BV24" s="52">
        <v>-3010168.62</v>
      </c>
      <c r="BW24" s="52">
        <v>-3263560.11</v>
      </c>
      <c r="BX24" s="52">
        <v>-3443992.14</v>
      </c>
      <c r="BY24" s="52">
        <v>-3357032.31</v>
      </c>
      <c r="BZ24" s="52">
        <v>-3122587.6</v>
      </c>
      <c r="CA24" s="52">
        <v>-3038664.26</v>
      </c>
      <c r="CB24" s="52">
        <v>-3022112.46</v>
      </c>
      <c r="CC24" s="52">
        <v>-2979229.48</v>
      </c>
      <c r="CD24" s="52">
        <v>-2936592.37</v>
      </c>
      <c r="CE24" s="52">
        <v>-2952246.08</v>
      </c>
      <c r="CF24" s="52">
        <v>-2948571.11</v>
      </c>
      <c r="CG24" s="52">
        <v>-2978161.62</v>
      </c>
      <c r="CH24" s="52">
        <v>-3076992.17</v>
      </c>
      <c r="CI24" s="52">
        <v>-3578254.06</v>
      </c>
      <c r="CJ24" s="52">
        <v>-5110198.3099999996</v>
      </c>
      <c r="CK24" s="52">
        <v>-4169454.47</v>
      </c>
      <c r="CL24" s="52">
        <v>-3979312.58</v>
      </c>
      <c r="CM24" s="52">
        <v>-3956333.25</v>
      </c>
      <c r="CN24" s="52">
        <v>-3736932.5</v>
      </c>
      <c r="CO24" s="52">
        <v>-3728859.76</v>
      </c>
      <c r="CP24" s="52">
        <v>-3700434.73</v>
      </c>
      <c r="CQ24" s="52">
        <v>-3677722.72</v>
      </c>
      <c r="CR24" s="52">
        <v>-3732785.26</v>
      </c>
      <c r="CS24" s="52">
        <v>-3709848.29</v>
      </c>
      <c r="CT24" s="52">
        <v>-3834912.87</v>
      </c>
      <c r="CU24" s="52">
        <v>-4173628.76</v>
      </c>
      <c r="CV24" s="430">
        <f t="shared" si="1"/>
        <v>-47510423.499999993</v>
      </c>
    </row>
    <row r="25" spans="1:100">
      <c r="A25" s="540" t="str">
        <f t="shared" si="0"/>
        <v>4800021</v>
      </c>
      <c r="B25" s="541" t="s">
        <v>1872</v>
      </c>
      <c r="C25" s="463" t="s">
        <v>962</v>
      </c>
      <c r="D25" s="428">
        <v>-4241828</v>
      </c>
      <c r="E25" s="428">
        <v>-4268146.91</v>
      </c>
      <c r="F25" s="428">
        <v>-1952911.05</v>
      </c>
      <c r="G25" s="428">
        <v>-1932921.97</v>
      </c>
      <c r="H25" s="428">
        <v>-1430202.7</v>
      </c>
      <c r="I25" s="428">
        <v>-1597812.13</v>
      </c>
      <c r="J25" s="428">
        <v>-1288744.1000000001</v>
      </c>
      <c r="K25" s="428">
        <v>-1204265.9099999999</v>
      </c>
      <c r="L25" s="428">
        <v>-1380276.73</v>
      </c>
      <c r="M25" s="428">
        <v>-1485531.85</v>
      </c>
      <c r="N25" s="428">
        <v>-1844626.27</v>
      </c>
      <c r="O25" s="429">
        <v>-3255707.26</v>
      </c>
      <c r="P25" s="52">
        <v>-3554300.79</v>
      </c>
      <c r="Q25" s="52">
        <v>-3308954.57</v>
      </c>
      <c r="R25" s="52">
        <v>-2830188</v>
      </c>
      <c r="S25" s="52">
        <v>-1148477.22</v>
      </c>
      <c r="T25" s="52">
        <v>-1357190.21</v>
      </c>
      <c r="U25" s="52">
        <v>-1559571.87</v>
      </c>
      <c r="V25" s="52">
        <v>-1175282.47</v>
      </c>
      <c r="W25" s="52">
        <v>-1327278.55</v>
      </c>
      <c r="X25" s="52">
        <v>-1318245.8799999999</v>
      </c>
      <c r="Y25" s="52">
        <v>-1354580.88</v>
      </c>
      <c r="Z25" s="52">
        <v>-1639862.71</v>
      </c>
      <c r="AA25" s="52">
        <v>-1965290.68</v>
      </c>
      <c r="AB25" s="52">
        <v>-3327589.59</v>
      </c>
      <c r="AC25" s="52">
        <v>-3882314.14</v>
      </c>
      <c r="AD25" s="52">
        <v>-2202942.4300000002</v>
      </c>
      <c r="AE25" s="52">
        <v>-1593092.86</v>
      </c>
      <c r="AF25" s="52">
        <v>-1497143.84</v>
      </c>
      <c r="AG25" s="52">
        <v>-1295145.26</v>
      </c>
      <c r="AH25" s="52">
        <v>-1230097.83</v>
      </c>
      <c r="AI25" s="52">
        <v>-1248929.77</v>
      </c>
      <c r="AJ25" s="52">
        <v>-1271987.47</v>
      </c>
      <c r="AK25" s="52">
        <v>-1279373.77</v>
      </c>
      <c r="AL25" s="52">
        <v>-1495421.59</v>
      </c>
      <c r="AM25" s="52">
        <v>-2160227.89</v>
      </c>
      <c r="AN25" s="52">
        <v>-2818524.69</v>
      </c>
      <c r="AO25" s="52">
        <v>-2605958.7200000002</v>
      </c>
      <c r="AP25" s="52">
        <v>-1929065.59</v>
      </c>
      <c r="AQ25" s="52">
        <v>-1936665.04</v>
      </c>
      <c r="AR25" s="52">
        <v>-1405874.41</v>
      </c>
      <c r="AS25" s="52">
        <v>-1283000.73</v>
      </c>
      <c r="AT25" s="52">
        <v>-1323055.1200000001</v>
      </c>
      <c r="AU25" s="52">
        <v>-1349625.64</v>
      </c>
      <c r="AV25" s="52">
        <v>-1781448.4</v>
      </c>
      <c r="AW25" s="52">
        <v>-1614282.53</v>
      </c>
      <c r="AX25" s="52">
        <v>-2031804.07</v>
      </c>
      <c r="AY25" s="52">
        <v>-3028470.43</v>
      </c>
      <c r="AZ25" s="52">
        <v>-7118368.5499999998</v>
      </c>
      <c r="BA25" s="52">
        <v>-4185348.5</v>
      </c>
      <c r="BB25" s="52">
        <v>-1722364.71</v>
      </c>
      <c r="BC25" s="52">
        <v>-2652915.7799999998</v>
      </c>
      <c r="BD25" s="52">
        <v>-1588186.62</v>
      </c>
      <c r="BE25" s="52">
        <v>-1544913.93</v>
      </c>
      <c r="BF25" s="52">
        <v>-1328141.83</v>
      </c>
      <c r="BG25" s="52">
        <v>-1281724.2</v>
      </c>
      <c r="BH25" s="52">
        <v>-1510062.52</v>
      </c>
      <c r="BI25" s="52">
        <v>-1246101.82</v>
      </c>
      <c r="BJ25" s="52">
        <v>-1574414.64</v>
      </c>
      <c r="BK25" s="52">
        <v>-2724438.62</v>
      </c>
      <c r="BL25" s="52">
        <v>-3565619.04</v>
      </c>
      <c r="BM25" s="52">
        <v>-3224154.6</v>
      </c>
      <c r="BN25" s="52">
        <v>-2304365.9700000002</v>
      </c>
      <c r="BO25" s="52">
        <v>-2374891.5099999998</v>
      </c>
      <c r="BP25" s="52">
        <v>-1865932.48</v>
      </c>
      <c r="BQ25" s="52">
        <v>-1567937.67</v>
      </c>
      <c r="BR25" s="52">
        <v>-1565824.43</v>
      </c>
      <c r="BS25" s="52">
        <v>-1212940.32</v>
      </c>
      <c r="BT25" s="52">
        <v>-1523928.93</v>
      </c>
      <c r="BU25" s="52">
        <v>-1386024.19</v>
      </c>
      <c r="BV25" s="52">
        <v>-1950176.29</v>
      </c>
      <c r="BW25" s="52">
        <v>-2765237.68</v>
      </c>
      <c r="BX25" s="52">
        <v>-3184360.41</v>
      </c>
      <c r="BY25" s="52">
        <v>-2832867.33</v>
      </c>
      <c r="BZ25" s="52">
        <v>-2027038.46</v>
      </c>
      <c r="CA25" s="52">
        <v>-1822756.63</v>
      </c>
      <c r="CB25" s="52">
        <v>-1752563.81</v>
      </c>
      <c r="CC25" s="52">
        <v>-1574642.9</v>
      </c>
      <c r="CD25" s="52">
        <v>-1251360.08</v>
      </c>
      <c r="CE25" s="52">
        <v>-1353756.44</v>
      </c>
      <c r="CF25" s="52">
        <v>-1327943.3500000001</v>
      </c>
      <c r="CG25" s="52">
        <v>-1561634.31</v>
      </c>
      <c r="CH25" s="52">
        <v>-1980925.3</v>
      </c>
      <c r="CI25" s="52">
        <v>-3774337.14</v>
      </c>
      <c r="CJ25" s="52">
        <v>-5075077.84</v>
      </c>
      <c r="CK25" s="52">
        <v>-3234834.73</v>
      </c>
      <c r="CL25" s="52">
        <v>-3175034.32</v>
      </c>
      <c r="CM25" s="52">
        <v>-2842560.43</v>
      </c>
      <c r="CN25" s="52">
        <v>-2001838.84</v>
      </c>
      <c r="CO25" s="52">
        <v>-1936450.4</v>
      </c>
      <c r="CP25" s="52">
        <v>-1789648.38</v>
      </c>
      <c r="CQ25" s="52">
        <v>-1697839.55</v>
      </c>
      <c r="CR25" s="52">
        <v>-1911031.37</v>
      </c>
      <c r="CS25" s="52">
        <v>-1812172.92</v>
      </c>
      <c r="CT25" s="52">
        <v>-2288483.29</v>
      </c>
      <c r="CU25" s="52">
        <v>-3563484.57</v>
      </c>
      <c r="CV25" s="430">
        <f t="shared" si="1"/>
        <v>-31328456.640000001</v>
      </c>
    </row>
    <row r="26" spans="1:100">
      <c r="A26" s="540" t="str">
        <f t="shared" si="0"/>
        <v>4800030</v>
      </c>
      <c r="B26" s="541" t="s">
        <v>1873</v>
      </c>
      <c r="C26" s="463" t="s">
        <v>963</v>
      </c>
      <c r="D26" s="426">
        <v>-3003917.18</v>
      </c>
      <c r="E26" s="426">
        <v>-2927497.48</v>
      </c>
      <c r="F26" s="426">
        <v>-2344904.16</v>
      </c>
      <c r="G26" s="426">
        <v>-2258801.17</v>
      </c>
      <c r="H26" s="426">
        <v>-1965259.48</v>
      </c>
      <c r="I26" s="426">
        <v>-1964483.37</v>
      </c>
      <c r="J26" s="426">
        <v>-1978925.39</v>
      </c>
      <c r="K26" s="426">
        <v>-1913618.14</v>
      </c>
      <c r="L26" s="426">
        <v>-1988247.54</v>
      </c>
      <c r="M26" s="426">
        <v>-2048002.19</v>
      </c>
      <c r="N26" s="426">
        <v>-2316874.75</v>
      </c>
      <c r="O26" s="427">
        <v>-2832867.6</v>
      </c>
      <c r="P26" s="52">
        <v>-2996645.28</v>
      </c>
      <c r="Q26" s="52">
        <v>-3001146.36</v>
      </c>
      <c r="R26" s="52">
        <v>-2820240.74</v>
      </c>
      <c r="S26" s="52">
        <v>-2100128.46</v>
      </c>
      <c r="T26" s="52">
        <v>-2034966.04</v>
      </c>
      <c r="U26" s="52">
        <v>-2083415.54</v>
      </c>
      <c r="V26" s="52">
        <v>-2087047.77</v>
      </c>
      <c r="W26" s="52">
        <v>-2099604.88</v>
      </c>
      <c r="X26" s="52">
        <v>-2098977.6</v>
      </c>
      <c r="Y26" s="52">
        <v>-2159089.61</v>
      </c>
      <c r="Z26" s="52">
        <v>-2323887.7000000002</v>
      </c>
      <c r="AA26" s="52">
        <v>-2540867.6800000002</v>
      </c>
      <c r="AB26" s="52">
        <v>-3113929.27</v>
      </c>
      <c r="AC26" s="52">
        <v>-3334982.14</v>
      </c>
      <c r="AD26" s="52">
        <v>-2698632.23</v>
      </c>
      <c r="AE26" s="52">
        <v>-2397498.2400000002</v>
      </c>
      <c r="AF26" s="52">
        <v>-2287868.66</v>
      </c>
      <c r="AG26" s="52">
        <v>-2170062.52</v>
      </c>
      <c r="AH26" s="52">
        <v>-1488762.42</v>
      </c>
      <c r="AI26" s="52">
        <v>-1726566.77</v>
      </c>
      <c r="AJ26" s="52">
        <v>-1788064.03</v>
      </c>
      <c r="AK26" s="52">
        <v>-1804713.55</v>
      </c>
      <c r="AL26" s="52">
        <v>-2071440.18</v>
      </c>
      <c r="AM26" s="52">
        <v>-2338465.85</v>
      </c>
      <c r="AN26" s="52">
        <v>-2577134.0699999998</v>
      </c>
      <c r="AO26" s="52">
        <v>-2367034.7200000002</v>
      </c>
      <c r="AP26" s="52">
        <v>-2278716.88</v>
      </c>
      <c r="AQ26" s="52">
        <v>-2281069.02</v>
      </c>
      <c r="AR26" s="52">
        <v>-1994058.67</v>
      </c>
      <c r="AS26" s="52">
        <v>-1900042.14</v>
      </c>
      <c r="AT26" s="52">
        <v>-1443405.54</v>
      </c>
      <c r="AU26" s="52">
        <v>-1593871.16</v>
      </c>
      <c r="AV26" s="52">
        <v>-1718104.67</v>
      </c>
      <c r="AW26" s="52">
        <v>-1704381.53</v>
      </c>
      <c r="AX26" s="52">
        <v>-1953745.19</v>
      </c>
      <c r="AY26" s="52">
        <v>-2257532.61</v>
      </c>
      <c r="AZ26" s="52">
        <v>-3038184.22</v>
      </c>
      <c r="BA26" s="52">
        <v>-2344555.35</v>
      </c>
      <c r="BB26" s="52">
        <v>-2147861.8199999998</v>
      </c>
      <c r="BC26" s="52">
        <v>-2377416.69</v>
      </c>
      <c r="BD26" s="52">
        <v>-1897601.82</v>
      </c>
      <c r="BE26" s="52">
        <v>-1874079.08</v>
      </c>
      <c r="BF26" s="52">
        <v>-2318452.91</v>
      </c>
      <c r="BG26" s="52">
        <v>-2153105.27</v>
      </c>
      <c r="BH26" s="52">
        <v>-2267015.77</v>
      </c>
      <c r="BI26" s="52">
        <v>-2239649.64</v>
      </c>
      <c r="BJ26" s="52">
        <v>-2491818.86</v>
      </c>
      <c r="BK26" s="52">
        <v>-3070957.6</v>
      </c>
      <c r="BL26" s="52">
        <v>-3253477.36</v>
      </c>
      <c r="BM26" s="52">
        <v>-2969919.7</v>
      </c>
      <c r="BN26" s="52">
        <v>-2709469.29</v>
      </c>
      <c r="BO26" s="52">
        <v>-2728394.4</v>
      </c>
      <c r="BP26" s="52">
        <v>-2396125.0099999998</v>
      </c>
      <c r="BQ26" s="52">
        <v>-2207677.84</v>
      </c>
      <c r="BR26" s="52">
        <v>-2006666.34</v>
      </c>
      <c r="BS26" s="52">
        <v>-2117019.21</v>
      </c>
      <c r="BT26" s="52">
        <v>-2182209.58</v>
      </c>
      <c r="BU26" s="52">
        <v>-2229680.0099999998</v>
      </c>
      <c r="BV26" s="52">
        <v>-2501978.66</v>
      </c>
      <c r="BW26" s="52">
        <v>-3041588.2</v>
      </c>
      <c r="BX26" s="52">
        <v>-3234378.44</v>
      </c>
      <c r="BY26" s="52">
        <v>-3039074.43</v>
      </c>
      <c r="BZ26" s="52">
        <v>-2877904.08</v>
      </c>
      <c r="CA26" s="52">
        <v>-2809083.5</v>
      </c>
      <c r="CB26" s="52">
        <v>-2690485.07</v>
      </c>
      <c r="CC26" s="52">
        <v>-2558907.13</v>
      </c>
      <c r="CD26" s="52">
        <v>-2361553.2599999998</v>
      </c>
      <c r="CE26" s="52">
        <v>-2460609.71</v>
      </c>
      <c r="CF26" s="52">
        <v>-2479758.39</v>
      </c>
      <c r="CG26" s="52">
        <v>-2611692.2000000002</v>
      </c>
      <c r="CH26" s="52">
        <v>-2856745.61</v>
      </c>
      <c r="CI26" s="52">
        <v>-3639926.15</v>
      </c>
      <c r="CJ26" s="52">
        <v>-5148943.25</v>
      </c>
      <c r="CK26" s="52">
        <v>-4072084.89</v>
      </c>
      <c r="CL26" s="52">
        <v>-4100457.71</v>
      </c>
      <c r="CM26" s="52">
        <v>-4128056.56</v>
      </c>
      <c r="CN26" s="52">
        <v>-3542530.83</v>
      </c>
      <c r="CO26" s="52">
        <v>-3573687.16</v>
      </c>
      <c r="CP26" s="52">
        <v>-3266435.47</v>
      </c>
      <c r="CQ26" s="52">
        <v>-3315235.63</v>
      </c>
      <c r="CR26" s="52">
        <v>-3436898.46</v>
      </c>
      <c r="CS26" s="52">
        <v>-3533330.31</v>
      </c>
      <c r="CT26" s="52">
        <v>-3920277.03</v>
      </c>
      <c r="CU26" s="52">
        <v>-4611249.84</v>
      </c>
      <c r="CV26" s="430">
        <f t="shared" si="1"/>
        <v>-46649187.140000001</v>
      </c>
    </row>
    <row r="27" spans="1:100">
      <c r="A27" s="540" t="str">
        <f t="shared" si="0"/>
        <v>4800031</v>
      </c>
      <c r="B27" s="541" t="s">
        <v>1874</v>
      </c>
      <c r="C27" s="463" t="s">
        <v>964</v>
      </c>
      <c r="D27" s="428">
        <v>-4889858.78</v>
      </c>
      <c r="E27" s="428">
        <v>-4577722.2300000004</v>
      </c>
      <c r="F27" s="428">
        <v>-2664808.54</v>
      </c>
      <c r="G27" s="428">
        <v>-2350455.69</v>
      </c>
      <c r="H27" s="428">
        <v>-1394585.89</v>
      </c>
      <c r="I27" s="428">
        <v>-1446309.31</v>
      </c>
      <c r="J27" s="428">
        <v>-1297688.6000000001</v>
      </c>
      <c r="K27" s="428">
        <v>-1130981.76</v>
      </c>
      <c r="L27" s="428">
        <v>-1318235.24</v>
      </c>
      <c r="M27" s="428">
        <v>-1514616.12</v>
      </c>
      <c r="N27" s="428">
        <v>-2385792.7999999998</v>
      </c>
      <c r="O27" s="429">
        <v>-4177449.17</v>
      </c>
      <c r="P27" s="52">
        <v>-4526055.6100000003</v>
      </c>
      <c r="Q27" s="52">
        <v>-3975966.03</v>
      </c>
      <c r="R27" s="52">
        <v>-3600211.42</v>
      </c>
      <c r="S27" s="52">
        <v>-1388281.39</v>
      </c>
      <c r="T27" s="52">
        <v>-1328868.5900000001</v>
      </c>
      <c r="U27" s="52">
        <v>-1490863.85</v>
      </c>
      <c r="V27" s="52">
        <v>-1239660.1499999999</v>
      </c>
      <c r="W27" s="52">
        <v>-1326903.1399999999</v>
      </c>
      <c r="X27" s="52">
        <v>-1321254.08</v>
      </c>
      <c r="Y27" s="52">
        <v>-1491199.52</v>
      </c>
      <c r="Z27" s="52">
        <v>-2023598.18</v>
      </c>
      <c r="AA27" s="52">
        <v>-2688150.33</v>
      </c>
      <c r="AB27" s="52">
        <v>-4614382.08</v>
      </c>
      <c r="AC27" s="52">
        <v>-5311641.12</v>
      </c>
      <c r="AD27" s="52">
        <v>-3164857.42</v>
      </c>
      <c r="AE27" s="52">
        <v>-2049301.37</v>
      </c>
      <c r="AF27" s="52">
        <v>-1693071.94</v>
      </c>
      <c r="AG27" s="52">
        <v>-1220629.99</v>
      </c>
      <c r="AH27" s="52">
        <v>-877376.1</v>
      </c>
      <c r="AI27" s="52">
        <v>-1008877.33</v>
      </c>
      <c r="AJ27" s="52">
        <v>-1088264.8999999999</v>
      </c>
      <c r="AK27" s="52">
        <v>-1132433.8999999999</v>
      </c>
      <c r="AL27" s="52">
        <v>-1753971.41</v>
      </c>
      <c r="AM27" s="52">
        <v>-2493288.37</v>
      </c>
      <c r="AN27" s="52">
        <v>-3178693.5</v>
      </c>
      <c r="AO27" s="52">
        <v>-2729167.15</v>
      </c>
      <c r="AP27" s="52">
        <v>-2340963.1800000002</v>
      </c>
      <c r="AQ27" s="52">
        <v>-2325773.98</v>
      </c>
      <c r="AR27" s="52">
        <v>-1410660.16</v>
      </c>
      <c r="AS27" s="52">
        <v>-1035027.16</v>
      </c>
      <c r="AT27" s="52">
        <v>-913709.86</v>
      </c>
      <c r="AU27" s="52">
        <v>-997039.76</v>
      </c>
      <c r="AV27" s="52">
        <v>-1394696.83</v>
      </c>
      <c r="AW27" s="52">
        <v>-1331919.1399999999</v>
      </c>
      <c r="AX27" s="52">
        <v>-2085118.72</v>
      </c>
      <c r="AY27" s="52">
        <v>-3009378.22</v>
      </c>
      <c r="AZ27" s="52">
        <v>-6058565.9500000002</v>
      </c>
      <c r="BA27" s="52">
        <v>-3541014.76</v>
      </c>
      <c r="BB27" s="52">
        <v>-2344767.87</v>
      </c>
      <c r="BC27" s="52">
        <v>-3132351.89</v>
      </c>
      <c r="BD27" s="52">
        <v>-1475808.63</v>
      </c>
      <c r="BE27" s="52">
        <v>-1217503.77</v>
      </c>
      <c r="BF27" s="52">
        <v>-1415446.15</v>
      </c>
      <c r="BG27" s="52">
        <v>-1235226.6200000001</v>
      </c>
      <c r="BH27" s="52">
        <v>-1499472.71</v>
      </c>
      <c r="BI27" s="52">
        <v>-1266829.8</v>
      </c>
      <c r="BJ27" s="52">
        <v>-2068130.42</v>
      </c>
      <c r="BK27" s="52">
        <v>-3747008.65</v>
      </c>
      <c r="BL27" s="52">
        <v>-5212320.2300000004</v>
      </c>
      <c r="BM27" s="52">
        <v>-4072976.1</v>
      </c>
      <c r="BN27" s="52">
        <v>-3480959.38</v>
      </c>
      <c r="BO27" s="52">
        <v>-3745581.75</v>
      </c>
      <c r="BP27" s="52">
        <v>-2236572.33</v>
      </c>
      <c r="BQ27" s="52">
        <v>-1427397.87</v>
      </c>
      <c r="BR27" s="52">
        <v>-1442436.63</v>
      </c>
      <c r="BS27" s="52">
        <v>-1180723.6599999999</v>
      </c>
      <c r="BT27" s="52">
        <v>-1463128.26</v>
      </c>
      <c r="BU27" s="52">
        <v>-1529065.35</v>
      </c>
      <c r="BV27" s="52">
        <v>-2384045.46</v>
      </c>
      <c r="BW27" s="52">
        <v>-4088378.1</v>
      </c>
      <c r="BX27" s="52">
        <v>-4570405.28</v>
      </c>
      <c r="BY27" s="52">
        <v>-3659445.24</v>
      </c>
      <c r="BZ27" s="52">
        <v>-2980431.52</v>
      </c>
      <c r="CA27" s="52">
        <v>-2760879.26</v>
      </c>
      <c r="CB27" s="52">
        <v>-2316953.0099999998</v>
      </c>
      <c r="CC27" s="52">
        <v>-1802490.65</v>
      </c>
      <c r="CD27" s="52">
        <v>-1147227.67</v>
      </c>
      <c r="CE27" s="52">
        <v>-1356427.73</v>
      </c>
      <c r="CF27" s="52">
        <v>-1347468.91</v>
      </c>
      <c r="CG27" s="52">
        <v>-1833625.78</v>
      </c>
      <c r="CH27" s="52">
        <v>-2682740.31</v>
      </c>
      <c r="CI27" s="52">
        <v>-5467712.4699999997</v>
      </c>
      <c r="CJ27" s="52">
        <v>-6798181.04</v>
      </c>
      <c r="CK27" s="52">
        <v>-4344107.63</v>
      </c>
      <c r="CL27" s="52">
        <v>-5203267.1500000004</v>
      </c>
      <c r="CM27" s="52">
        <v>-4875260.41</v>
      </c>
      <c r="CN27" s="52">
        <v>-2527972.7999999998</v>
      </c>
      <c r="CO27" s="52">
        <v>-2459181.06</v>
      </c>
      <c r="CP27" s="52">
        <v>-2190186.9300000002</v>
      </c>
      <c r="CQ27" s="52">
        <v>-1899548.07</v>
      </c>
      <c r="CR27" s="52">
        <v>-2271779.7999999998</v>
      </c>
      <c r="CS27" s="52">
        <v>-2428177.2599999998</v>
      </c>
      <c r="CT27" s="52">
        <v>-3811831.05</v>
      </c>
      <c r="CU27" s="52">
        <v>-6312915.1100000003</v>
      </c>
      <c r="CV27" s="430">
        <f t="shared" si="1"/>
        <v>-45122408.309999995</v>
      </c>
    </row>
    <row r="28" spans="1:100">
      <c r="A28" s="540" t="str">
        <f t="shared" si="0"/>
        <v>4800035</v>
      </c>
      <c r="B28" s="541" t="s">
        <v>1875</v>
      </c>
      <c r="C28" s="463" t="s">
        <v>965</v>
      </c>
      <c r="D28" s="426">
        <v>-16640.23</v>
      </c>
      <c r="E28" s="426">
        <v>-16499.59</v>
      </c>
      <c r="F28" s="426">
        <v>-16252.32</v>
      </c>
      <c r="G28" s="426">
        <v>-16418.45</v>
      </c>
      <c r="H28" s="426">
        <v>-16152.87</v>
      </c>
      <c r="I28" s="426">
        <v>-15784.68</v>
      </c>
      <c r="J28" s="426">
        <v>-15780.09</v>
      </c>
      <c r="K28" s="426">
        <v>-15465.55</v>
      </c>
      <c r="L28" s="426">
        <v>-15359.76</v>
      </c>
      <c r="M28" s="426">
        <v>-16329.51</v>
      </c>
      <c r="N28" s="426">
        <v>-16360.84</v>
      </c>
      <c r="O28" s="427">
        <v>-16215.5</v>
      </c>
      <c r="P28" s="52">
        <v>-16857.38</v>
      </c>
      <c r="Q28" s="52">
        <v>-16997.7</v>
      </c>
      <c r="R28" s="52">
        <v>-16338.06</v>
      </c>
      <c r="S28" s="52">
        <v>-16459.939999999999</v>
      </c>
      <c r="T28" s="52">
        <v>-16350.39</v>
      </c>
      <c r="U28" s="52">
        <v>-16532.060000000001</v>
      </c>
      <c r="V28" s="52">
        <v>-15731.88</v>
      </c>
      <c r="W28" s="52">
        <v>-16071.35</v>
      </c>
      <c r="X28" s="52">
        <v>-16253.03</v>
      </c>
      <c r="Y28" s="52">
        <v>-16162.84</v>
      </c>
      <c r="Z28" s="52">
        <v>-16616.23</v>
      </c>
      <c r="AA28" s="52">
        <v>-16331.15</v>
      </c>
      <c r="AB28" s="52">
        <v>-16593.93</v>
      </c>
      <c r="AC28" s="52">
        <v>-16570.63</v>
      </c>
      <c r="AD28" s="52">
        <v>-17483.68</v>
      </c>
      <c r="AE28" s="52">
        <v>-16102.21</v>
      </c>
      <c r="AF28" s="52">
        <v>-15804.87</v>
      </c>
      <c r="AG28" s="52">
        <v>-15697.93</v>
      </c>
      <c r="AH28" s="52">
        <v>-16342.6</v>
      </c>
      <c r="AI28" s="52">
        <v>-16473.2</v>
      </c>
      <c r="AJ28" s="52">
        <v>-16374.55</v>
      </c>
      <c r="AK28" s="52">
        <v>-16590.330000000002</v>
      </c>
      <c r="AL28" s="52">
        <v>-16724.900000000001</v>
      </c>
      <c r="AM28" s="52">
        <v>-16600</v>
      </c>
      <c r="AN28" s="52">
        <v>-16635.89</v>
      </c>
      <c r="AO28" s="52">
        <v>-16687.189999999999</v>
      </c>
      <c r="AP28" s="52">
        <v>-17454.66</v>
      </c>
      <c r="AQ28" s="52">
        <v>-17522.62</v>
      </c>
      <c r="AR28" s="52">
        <v>-16637.13</v>
      </c>
      <c r="AS28" s="52">
        <v>-17000.7</v>
      </c>
      <c r="AT28" s="52">
        <v>-17236.060000000001</v>
      </c>
      <c r="AU28" s="52">
        <v>-16708.29</v>
      </c>
      <c r="AV28" s="52">
        <v>-21051.91</v>
      </c>
      <c r="AW28" s="52">
        <v>-20084.36</v>
      </c>
      <c r="AX28" s="52">
        <v>-24875.98</v>
      </c>
      <c r="AY28" s="52">
        <v>-17019.55</v>
      </c>
      <c r="AZ28" s="52">
        <v>-18217.72</v>
      </c>
      <c r="BA28" s="52">
        <v>-17394.150000000001</v>
      </c>
      <c r="BB28" s="52">
        <v>-17038.900000000001</v>
      </c>
      <c r="BC28" s="52">
        <v>-17727.34</v>
      </c>
      <c r="BD28" s="52">
        <v>-16954.939999999999</v>
      </c>
      <c r="BE28" s="52">
        <v>-17744.599999999999</v>
      </c>
      <c r="BF28" s="52">
        <v>-16794.080000000002</v>
      </c>
      <c r="BG28" s="52">
        <v>-17169.02</v>
      </c>
      <c r="BH28" s="52">
        <v>-18128.55</v>
      </c>
      <c r="BI28" s="52">
        <v>-18450.990000000002</v>
      </c>
      <c r="BJ28" s="52">
        <v>-19254.03</v>
      </c>
      <c r="BK28" s="52">
        <v>-18769.849999999999</v>
      </c>
      <c r="BL28" s="52">
        <v>-17951.07</v>
      </c>
      <c r="BM28" s="52">
        <v>-18749.23</v>
      </c>
      <c r="BN28" s="52">
        <v>-18100.759999999998</v>
      </c>
      <c r="BO28" s="52">
        <v>-18244.82</v>
      </c>
      <c r="BP28" s="52">
        <v>-17882.830000000002</v>
      </c>
      <c r="BQ28" s="52">
        <v>-17380.68</v>
      </c>
      <c r="BR28" s="52">
        <v>-16987.189999999999</v>
      </c>
      <c r="BS28" s="52">
        <v>-17649.810000000001</v>
      </c>
      <c r="BT28" s="52">
        <v>-17282.599999999999</v>
      </c>
      <c r="BU28" s="52">
        <v>-17830.82</v>
      </c>
      <c r="BV28" s="52">
        <v>-17869.96</v>
      </c>
      <c r="BW28" s="52">
        <v>-19027.62</v>
      </c>
      <c r="BX28" s="52">
        <v>-19038.45</v>
      </c>
      <c r="BY28" s="52">
        <v>-18164.84</v>
      </c>
      <c r="BZ28" s="52">
        <v>-18766.48</v>
      </c>
      <c r="CA28" s="52">
        <v>-17882.72</v>
      </c>
      <c r="CB28" s="52">
        <v>-17906.07</v>
      </c>
      <c r="CC28" s="52">
        <v>-19021.72</v>
      </c>
      <c r="CD28" s="52">
        <v>-18577.79</v>
      </c>
      <c r="CE28" s="52">
        <v>-18465.96</v>
      </c>
      <c r="CF28" s="52">
        <v>-18912.650000000001</v>
      </c>
      <c r="CG28" s="52">
        <v>-18933.849999999999</v>
      </c>
      <c r="CH28" s="52">
        <v>-20050.45</v>
      </c>
      <c r="CI28" s="52">
        <v>-20803.23</v>
      </c>
      <c r="CJ28" s="52">
        <v>-26319.55</v>
      </c>
      <c r="CK28" s="52">
        <v>-26206.81</v>
      </c>
      <c r="CL28" s="52">
        <v>-26733</v>
      </c>
      <c r="CM28" s="52">
        <v>-26352.97</v>
      </c>
      <c r="CN28" s="52">
        <v>-26355.21</v>
      </c>
      <c r="CO28" s="52">
        <v>-25954.36</v>
      </c>
      <c r="CP28" s="52">
        <v>-25754.21</v>
      </c>
      <c r="CQ28" s="52">
        <v>-25111.29</v>
      </c>
      <c r="CR28" s="52">
        <v>-26211.82</v>
      </c>
      <c r="CS28" s="52">
        <v>-26455.05</v>
      </c>
      <c r="CT28" s="52">
        <v>-25961.11</v>
      </c>
      <c r="CU28" s="52">
        <v>-27514.42</v>
      </c>
      <c r="CV28" s="430">
        <f t="shared" si="1"/>
        <v>-314929.8</v>
      </c>
    </row>
    <row r="29" spans="1:100">
      <c r="A29" s="540" t="str">
        <f t="shared" si="0"/>
        <v>4800036</v>
      </c>
      <c r="B29" s="541" t="s">
        <v>1876</v>
      </c>
      <c r="C29" s="463" t="s">
        <v>966</v>
      </c>
      <c r="D29" s="428">
        <v>-4644.59</v>
      </c>
      <c r="E29" s="428">
        <v>-4642.13</v>
      </c>
      <c r="F29" s="428">
        <v>-3659.35</v>
      </c>
      <c r="G29" s="428">
        <v>-3907.93</v>
      </c>
      <c r="H29" s="428">
        <v>-3231.71</v>
      </c>
      <c r="I29" s="428">
        <v>-3015.36</v>
      </c>
      <c r="J29" s="428">
        <v>-2683.14</v>
      </c>
      <c r="K29" s="428">
        <v>-2061.9899999999998</v>
      </c>
      <c r="L29" s="428">
        <v>-2387.5700000000002</v>
      </c>
      <c r="M29" s="428">
        <v>-2861.19</v>
      </c>
      <c r="N29" s="428">
        <v>-3317.17</v>
      </c>
      <c r="O29" s="429">
        <v>-4172.32</v>
      </c>
      <c r="P29" s="52">
        <v>-5521.95</v>
      </c>
      <c r="Q29" s="52">
        <v>-3974.6</v>
      </c>
      <c r="R29" s="52">
        <v>-3781.2</v>
      </c>
      <c r="S29" s="52">
        <v>-3592.19</v>
      </c>
      <c r="T29" s="52">
        <v>-2543.9499999999998</v>
      </c>
      <c r="U29" s="52">
        <v>-2551.7199999999998</v>
      </c>
      <c r="V29" s="52">
        <v>-2372.7199999999998</v>
      </c>
      <c r="W29" s="52">
        <v>-2245.88</v>
      </c>
      <c r="X29" s="52">
        <v>-2451.21</v>
      </c>
      <c r="Y29" s="52">
        <v>-2570.1799999999998</v>
      </c>
      <c r="Z29" s="52">
        <v>-3136.56</v>
      </c>
      <c r="AA29" s="52">
        <v>-3874.35</v>
      </c>
      <c r="AB29" s="52">
        <v>-4890.96</v>
      </c>
      <c r="AC29" s="52">
        <v>-3724.22</v>
      </c>
      <c r="AD29" s="52">
        <v>-5151.7700000000004</v>
      </c>
      <c r="AE29" s="52">
        <v>-3663.31</v>
      </c>
      <c r="AF29" s="52">
        <v>-3563.78</v>
      </c>
      <c r="AG29" s="52">
        <v>-2654.98</v>
      </c>
      <c r="AH29" s="52">
        <v>-2596.84</v>
      </c>
      <c r="AI29" s="52">
        <v>-2022.95</v>
      </c>
      <c r="AJ29" s="52">
        <v>-2094.37</v>
      </c>
      <c r="AK29" s="52">
        <v>-3586.71</v>
      </c>
      <c r="AL29" s="52">
        <v>-3578.84</v>
      </c>
      <c r="AM29" s="52">
        <v>-4116.74</v>
      </c>
      <c r="AN29" s="52">
        <v>-4188.03</v>
      </c>
      <c r="AO29" s="52">
        <v>-4489.76</v>
      </c>
      <c r="AP29" s="52">
        <v>-4279.97</v>
      </c>
      <c r="AQ29" s="52">
        <v>-4011.47</v>
      </c>
      <c r="AR29" s="52">
        <v>-3357.62</v>
      </c>
      <c r="AS29" s="52">
        <v>-2428.5500000000002</v>
      </c>
      <c r="AT29" s="52">
        <v>-2206.9299999999998</v>
      </c>
      <c r="AU29" s="52">
        <v>-2145.38</v>
      </c>
      <c r="AV29" s="52">
        <v>-19496.53</v>
      </c>
      <c r="AW29" s="52">
        <v>-18956.45</v>
      </c>
      <c r="AX29" s="52">
        <v>-33021.21</v>
      </c>
      <c r="AY29" s="52">
        <v>-4926.6899999999996</v>
      </c>
      <c r="AZ29" s="52">
        <v>-7215.05</v>
      </c>
      <c r="BA29" s="52">
        <v>-4883.1899999999996</v>
      </c>
      <c r="BB29" s="52">
        <v>-4069.52</v>
      </c>
      <c r="BC29" s="52">
        <v>-4836.21</v>
      </c>
      <c r="BD29" s="52">
        <v>-3489.54</v>
      </c>
      <c r="BE29" s="52">
        <v>-3720.13</v>
      </c>
      <c r="BF29" s="52">
        <v>-2950.6</v>
      </c>
      <c r="BG29" s="52">
        <v>-2204.14</v>
      </c>
      <c r="BH29" s="52">
        <v>-2606.65</v>
      </c>
      <c r="BI29" s="52">
        <v>-4430.51</v>
      </c>
      <c r="BJ29" s="52">
        <v>-7803.1</v>
      </c>
      <c r="BK29" s="52">
        <v>-4757.6499999999996</v>
      </c>
      <c r="BL29" s="52">
        <v>-6169.18</v>
      </c>
      <c r="BM29" s="52">
        <v>-5790.13</v>
      </c>
      <c r="BN29" s="52">
        <v>-5581.73</v>
      </c>
      <c r="BO29" s="52">
        <v>-5691.5</v>
      </c>
      <c r="BP29" s="52">
        <v>-4194.55</v>
      </c>
      <c r="BQ29" s="52">
        <v>-3420.51</v>
      </c>
      <c r="BR29" s="52">
        <v>-2938.16</v>
      </c>
      <c r="BS29" s="52">
        <v>-2548.2600000000002</v>
      </c>
      <c r="BT29" s="52">
        <v>-2497.23</v>
      </c>
      <c r="BU29" s="52">
        <v>-2649.73</v>
      </c>
      <c r="BV29" s="52">
        <v>-3422.39</v>
      </c>
      <c r="BW29" s="52">
        <v>-5748.23</v>
      </c>
      <c r="BX29" s="52">
        <v>-6019.78</v>
      </c>
      <c r="BY29" s="52">
        <v>-4833.3</v>
      </c>
      <c r="BZ29" s="52">
        <v>-4180.74</v>
      </c>
      <c r="CA29" s="52">
        <v>-4317.58</v>
      </c>
      <c r="CB29" s="52">
        <v>-3626.71</v>
      </c>
      <c r="CC29" s="52">
        <v>-2988.67</v>
      </c>
      <c r="CD29" s="52">
        <v>-2552.9699999999998</v>
      </c>
      <c r="CE29" s="52">
        <v>-2632.17</v>
      </c>
      <c r="CF29" s="52">
        <v>-2387.5500000000002</v>
      </c>
      <c r="CG29" s="52">
        <v>-2744.69</v>
      </c>
      <c r="CH29" s="52">
        <v>-4131.78</v>
      </c>
      <c r="CI29" s="52">
        <v>-7527.67</v>
      </c>
      <c r="CJ29" s="52">
        <v>-10225.200000000001</v>
      </c>
      <c r="CK29" s="52">
        <v>-8782.58</v>
      </c>
      <c r="CL29" s="52">
        <v>-8672.23</v>
      </c>
      <c r="CM29" s="52">
        <v>-8448.5</v>
      </c>
      <c r="CN29" s="52">
        <v>-5744.81</v>
      </c>
      <c r="CO29" s="52">
        <v>-5291.77</v>
      </c>
      <c r="CP29" s="52">
        <v>-4116.25</v>
      </c>
      <c r="CQ29" s="52">
        <v>-3702.28</v>
      </c>
      <c r="CR29" s="52">
        <v>-3526.78</v>
      </c>
      <c r="CS29" s="52">
        <v>-4245.68</v>
      </c>
      <c r="CT29" s="52">
        <v>-5435.36</v>
      </c>
      <c r="CU29" s="52">
        <v>-11995.94</v>
      </c>
      <c r="CV29" s="430">
        <f t="shared" si="1"/>
        <v>-80187.37999999999</v>
      </c>
    </row>
    <row r="30" spans="1:100">
      <c r="A30" s="540" t="str">
        <f>+B30</f>
        <v>4800037</v>
      </c>
      <c r="B30" s="541" t="s">
        <v>2489</v>
      </c>
      <c r="C30" s="463" t="s">
        <v>2491</v>
      </c>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v>-13.65</v>
      </c>
      <c r="CC30" s="52">
        <v>-67.569999999999993</v>
      </c>
      <c r="CD30" s="52">
        <v>-46.93</v>
      </c>
      <c r="CE30" s="52">
        <v>-60.77</v>
      </c>
      <c r="CF30" s="52">
        <v>107.7</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430">
        <f t="shared" si="1"/>
        <v>0</v>
      </c>
    </row>
    <row r="31" spans="1:100">
      <c r="A31" s="540" t="str">
        <f>+B31</f>
        <v>4800038</v>
      </c>
      <c r="B31" s="541" t="s">
        <v>2490</v>
      </c>
      <c r="C31" s="463" t="s">
        <v>2492</v>
      </c>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v>-32.97</v>
      </c>
      <c r="CC31" s="52">
        <v>-311.26</v>
      </c>
      <c r="CD31" s="52">
        <v>-222.52</v>
      </c>
      <c r="CE31" s="52">
        <v>-332.83</v>
      </c>
      <c r="CF31" s="52">
        <v>555.35</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430">
        <f t="shared" si="1"/>
        <v>0</v>
      </c>
    </row>
    <row r="32" spans="1:100">
      <c r="A32" s="540" t="str">
        <f t="shared" si="0"/>
        <v>4800040</v>
      </c>
      <c r="B32" s="541" t="s">
        <v>1877</v>
      </c>
      <c r="C32" s="463" t="s">
        <v>967</v>
      </c>
      <c r="D32" s="426">
        <v>-226738.43</v>
      </c>
      <c r="E32" s="426">
        <v>-160895.51</v>
      </c>
      <c r="F32" s="426">
        <v>-159257.88</v>
      </c>
      <c r="G32" s="426">
        <v>-147172.81</v>
      </c>
      <c r="H32" s="426">
        <v>-81873.08</v>
      </c>
      <c r="I32" s="426">
        <v>-69082.06</v>
      </c>
      <c r="J32" s="426">
        <v>-62109.07</v>
      </c>
      <c r="K32" s="426">
        <v>-59162.37</v>
      </c>
      <c r="L32" s="426">
        <v>-66969.95</v>
      </c>
      <c r="M32" s="426">
        <v>-85197.48</v>
      </c>
      <c r="N32" s="426">
        <v>-153183.92000000001</v>
      </c>
      <c r="O32" s="427">
        <v>-199343.8</v>
      </c>
      <c r="P32" s="52">
        <v>-191167.09</v>
      </c>
      <c r="Q32" s="52">
        <v>-190733.52</v>
      </c>
      <c r="R32" s="52">
        <v>-165651.94</v>
      </c>
      <c r="S32" s="52">
        <v>-101502.9</v>
      </c>
      <c r="T32" s="52">
        <v>-67486.91</v>
      </c>
      <c r="U32" s="52">
        <v>-71386.14</v>
      </c>
      <c r="V32" s="52">
        <v>-61899.19</v>
      </c>
      <c r="W32" s="52">
        <v>-70995.45</v>
      </c>
      <c r="X32" s="52">
        <v>-66342.06</v>
      </c>
      <c r="Y32" s="52">
        <v>-84890.17</v>
      </c>
      <c r="Z32" s="52">
        <v>-114359.24</v>
      </c>
      <c r="AA32" s="52">
        <v>-167859.1</v>
      </c>
      <c r="AB32" s="52">
        <v>-208515.78</v>
      </c>
      <c r="AC32" s="52">
        <v>-209091.64</v>
      </c>
      <c r="AD32" s="52">
        <v>-167781.78</v>
      </c>
      <c r="AE32" s="52">
        <v>-125668.68</v>
      </c>
      <c r="AF32" s="52">
        <v>-94338.59</v>
      </c>
      <c r="AG32" s="52">
        <v>-60407.83</v>
      </c>
      <c r="AH32" s="52">
        <v>-59382.69</v>
      </c>
      <c r="AI32" s="52">
        <v>-61573.64</v>
      </c>
      <c r="AJ32" s="52">
        <v>-69815.990000000005</v>
      </c>
      <c r="AK32" s="52">
        <v>-76949.679999999993</v>
      </c>
      <c r="AL32" s="52">
        <v>-150592.99</v>
      </c>
      <c r="AM32" s="52">
        <v>-187290.81</v>
      </c>
      <c r="AN32" s="52">
        <v>-191210.83</v>
      </c>
      <c r="AO32" s="52">
        <v>-188135.69</v>
      </c>
      <c r="AP32" s="52">
        <v>-160008.95000000001</v>
      </c>
      <c r="AQ32" s="52">
        <v>-149083.91</v>
      </c>
      <c r="AR32" s="52">
        <v>-94853.21</v>
      </c>
      <c r="AS32" s="52">
        <v>-64694.68</v>
      </c>
      <c r="AT32" s="52">
        <v>-78668.7</v>
      </c>
      <c r="AU32" s="52">
        <v>-74590.52</v>
      </c>
      <c r="AV32" s="52">
        <v>-89591.679999999993</v>
      </c>
      <c r="AW32" s="52">
        <v>-89682.38</v>
      </c>
      <c r="AX32" s="52">
        <v>-158640.35</v>
      </c>
      <c r="AY32" s="52">
        <v>-207567.3</v>
      </c>
      <c r="AZ32" s="52">
        <v>-258653.92</v>
      </c>
      <c r="BA32" s="52">
        <v>-190629.98</v>
      </c>
      <c r="BB32" s="52">
        <v>-170998.83</v>
      </c>
      <c r="BC32" s="52">
        <v>-187905.51</v>
      </c>
      <c r="BD32" s="52">
        <v>-96663.14</v>
      </c>
      <c r="BE32" s="52">
        <v>-84453.23</v>
      </c>
      <c r="BF32" s="52">
        <v>-77823.929999999993</v>
      </c>
      <c r="BG32" s="52">
        <v>-78292.509999999995</v>
      </c>
      <c r="BH32" s="52">
        <v>-90137.61</v>
      </c>
      <c r="BI32" s="52">
        <v>-87283.96</v>
      </c>
      <c r="BJ32" s="52">
        <v>-149441.38</v>
      </c>
      <c r="BK32" s="52">
        <v>-219856.55</v>
      </c>
      <c r="BL32" s="52">
        <v>-241974.19</v>
      </c>
      <c r="BM32" s="52">
        <v>-187412.55</v>
      </c>
      <c r="BN32" s="52">
        <v>-171941.54</v>
      </c>
      <c r="BO32" s="52">
        <v>-169125.13</v>
      </c>
      <c r="BP32" s="52">
        <v>-104825.93</v>
      </c>
      <c r="BQ32" s="52">
        <v>-68008.44</v>
      </c>
      <c r="BR32" s="52">
        <v>-111506.36</v>
      </c>
      <c r="BS32" s="52">
        <v>-57858.5</v>
      </c>
      <c r="BT32" s="52">
        <v>-75267.34</v>
      </c>
      <c r="BU32" s="52">
        <v>-48293.07</v>
      </c>
      <c r="BV32" s="52">
        <v>-140033.4</v>
      </c>
      <c r="BW32" s="52">
        <v>-213696.32</v>
      </c>
      <c r="BX32" s="52">
        <v>-232478.68</v>
      </c>
      <c r="BY32" s="52">
        <v>-185183.18</v>
      </c>
      <c r="BZ32" s="52">
        <v>-169355.24</v>
      </c>
      <c r="CA32" s="52">
        <v>-120441.83</v>
      </c>
      <c r="CB32" s="52">
        <v>-99703.65</v>
      </c>
      <c r="CC32" s="52">
        <v>-94205.31</v>
      </c>
      <c r="CD32" s="52">
        <v>-63071.040000000001</v>
      </c>
      <c r="CE32" s="52">
        <v>-70321.179999999993</v>
      </c>
      <c r="CF32" s="52">
        <v>-70474.94</v>
      </c>
      <c r="CG32" s="52">
        <v>-91616.07</v>
      </c>
      <c r="CH32" s="52">
        <v>-125918.83</v>
      </c>
      <c r="CI32" s="52">
        <v>-223658.81</v>
      </c>
      <c r="CJ32" s="52">
        <v>-308661.26</v>
      </c>
      <c r="CK32" s="52">
        <v>-218788.53</v>
      </c>
      <c r="CL32" s="52">
        <v>-221169.79</v>
      </c>
      <c r="CM32" s="52">
        <v>-201025.99</v>
      </c>
      <c r="CN32" s="52">
        <v>-109305.93</v>
      </c>
      <c r="CO32" s="52">
        <v>-114889.54</v>
      </c>
      <c r="CP32" s="52">
        <v>-184326.3</v>
      </c>
      <c r="CQ32" s="52">
        <v>-136147.42000000001</v>
      </c>
      <c r="CR32" s="52">
        <v>-150155.51</v>
      </c>
      <c r="CS32" s="52">
        <v>-169825.48</v>
      </c>
      <c r="CT32" s="52">
        <v>-279051.15999999997</v>
      </c>
      <c r="CU32" s="52">
        <v>-384845.16</v>
      </c>
      <c r="CV32" s="430">
        <f t="shared" si="1"/>
        <v>-2478192.0699999998</v>
      </c>
    </row>
    <row r="33" spans="1:100">
      <c r="A33" s="540" t="str">
        <f t="shared" si="0"/>
        <v>4800041</v>
      </c>
      <c r="B33" s="541" t="s">
        <v>1878</v>
      </c>
      <c r="C33" s="463" t="s">
        <v>968</v>
      </c>
      <c r="D33" s="428">
        <v>-629150.1</v>
      </c>
      <c r="E33" s="428">
        <v>-362201.33</v>
      </c>
      <c r="F33" s="428">
        <v>-339176.58</v>
      </c>
      <c r="G33" s="428">
        <v>-348505.28</v>
      </c>
      <c r="H33" s="428">
        <v>-114894.59</v>
      </c>
      <c r="I33" s="428">
        <v>-90415.69</v>
      </c>
      <c r="J33" s="428">
        <v>-68571.13</v>
      </c>
      <c r="K33" s="428">
        <v>-60939.13</v>
      </c>
      <c r="L33" s="428">
        <v>-79337.2</v>
      </c>
      <c r="M33" s="428">
        <v>-128901.34</v>
      </c>
      <c r="N33" s="428">
        <v>-311668.34000000003</v>
      </c>
      <c r="O33" s="429">
        <v>-446256.36</v>
      </c>
      <c r="P33" s="52">
        <v>-491629.3</v>
      </c>
      <c r="Q33" s="52">
        <v>-445371.65</v>
      </c>
      <c r="R33" s="52">
        <v>-309310.98</v>
      </c>
      <c r="S33" s="52">
        <v>-178107.93</v>
      </c>
      <c r="T33" s="52">
        <v>-82203.960000000006</v>
      </c>
      <c r="U33" s="52">
        <v>-96294.23</v>
      </c>
      <c r="V33" s="52">
        <v>-59213.36</v>
      </c>
      <c r="W33" s="52">
        <v>-89579.66</v>
      </c>
      <c r="X33" s="52">
        <v>-75822.34</v>
      </c>
      <c r="Y33" s="52">
        <v>-125802.33</v>
      </c>
      <c r="Z33" s="52">
        <v>-218331.64</v>
      </c>
      <c r="AA33" s="52">
        <v>-385469.2</v>
      </c>
      <c r="AB33" s="52">
        <v>-565372.84</v>
      </c>
      <c r="AC33" s="52">
        <v>-563925.39</v>
      </c>
      <c r="AD33" s="52">
        <v>-396238.63</v>
      </c>
      <c r="AE33" s="52">
        <v>-283169.07</v>
      </c>
      <c r="AF33" s="52">
        <v>-175179.58</v>
      </c>
      <c r="AG33" s="52">
        <v>-57530.33</v>
      </c>
      <c r="AH33" s="52">
        <v>-54967.3</v>
      </c>
      <c r="AI33" s="52">
        <v>-62038.22</v>
      </c>
      <c r="AJ33" s="52">
        <v>-80987.09</v>
      </c>
      <c r="AK33" s="52">
        <v>-103745.89</v>
      </c>
      <c r="AL33" s="52">
        <v>-300844.21999999997</v>
      </c>
      <c r="AM33" s="52">
        <v>-406085.97</v>
      </c>
      <c r="AN33" s="52">
        <v>-422909.5</v>
      </c>
      <c r="AO33" s="52">
        <v>-437933.67</v>
      </c>
      <c r="AP33" s="52">
        <v>-348037.1</v>
      </c>
      <c r="AQ33" s="52">
        <v>-318716.65000000002</v>
      </c>
      <c r="AR33" s="52">
        <v>-159972.25</v>
      </c>
      <c r="AS33" s="52">
        <v>-65476.79</v>
      </c>
      <c r="AT33" s="52">
        <v>-77518.740000000005</v>
      </c>
      <c r="AU33" s="52">
        <v>-78679.28</v>
      </c>
      <c r="AV33" s="52">
        <v>-140206.31</v>
      </c>
      <c r="AW33" s="52">
        <v>-140376.1</v>
      </c>
      <c r="AX33" s="52">
        <v>-368427.61</v>
      </c>
      <c r="AY33" s="52">
        <v>-530497.65</v>
      </c>
      <c r="AZ33" s="52">
        <v>-793622.18</v>
      </c>
      <c r="BA33" s="52">
        <v>-530080.77</v>
      </c>
      <c r="BB33" s="52">
        <v>-400265.11</v>
      </c>
      <c r="BC33" s="52">
        <v>-467268.87</v>
      </c>
      <c r="BD33" s="52">
        <v>-161389.4</v>
      </c>
      <c r="BE33" s="52">
        <v>-109267.51</v>
      </c>
      <c r="BF33" s="52">
        <v>-76858.37</v>
      </c>
      <c r="BG33" s="52">
        <v>-83523.42</v>
      </c>
      <c r="BH33" s="52">
        <v>-111767.07</v>
      </c>
      <c r="BI33" s="52">
        <v>-101940.67</v>
      </c>
      <c r="BJ33" s="52">
        <v>-296301.76</v>
      </c>
      <c r="BK33" s="52">
        <v>-511362.66</v>
      </c>
      <c r="BL33" s="52">
        <v>-665692.77</v>
      </c>
      <c r="BM33" s="52">
        <v>-470554.65</v>
      </c>
      <c r="BN33" s="52">
        <v>-465084.79</v>
      </c>
      <c r="BO33" s="52">
        <v>-490211.31</v>
      </c>
      <c r="BP33" s="52">
        <v>-220552.3</v>
      </c>
      <c r="BQ33" s="52">
        <v>-74373.710000000006</v>
      </c>
      <c r="BR33" s="52">
        <v>-258981.31</v>
      </c>
      <c r="BS33" s="52">
        <v>-22472.9</v>
      </c>
      <c r="BT33" s="52">
        <v>-97829.08</v>
      </c>
      <c r="BU33" s="52">
        <v>8568.7000000000007</v>
      </c>
      <c r="BV33" s="52">
        <v>-311784.09999999998</v>
      </c>
      <c r="BW33" s="52">
        <v>-561662.99</v>
      </c>
      <c r="BX33" s="52">
        <v>-621132.6</v>
      </c>
      <c r="BY33" s="52">
        <v>-426827.85</v>
      </c>
      <c r="BZ33" s="52">
        <v>-370149.44</v>
      </c>
      <c r="CA33" s="52">
        <v>-227303.63</v>
      </c>
      <c r="CB33" s="52">
        <v>-163853.67000000001</v>
      </c>
      <c r="CC33" s="52">
        <v>-146547.16</v>
      </c>
      <c r="CD33" s="52">
        <v>-51817.03</v>
      </c>
      <c r="CE33" s="52">
        <v>-72913.600000000006</v>
      </c>
      <c r="CF33" s="52">
        <v>-73283.929999999993</v>
      </c>
      <c r="CG33" s="52">
        <v>-147202.42000000001</v>
      </c>
      <c r="CH33" s="52">
        <v>-276519.17</v>
      </c>
      <c r="CI33" s="52">
        <v>-633509.03</v>
      </c>
      <c r="CJ33" s="52">
        <v>-638205.56000000006</v>
      </c>
      <c r="CK33" s="52">
        <v>-457289.2</v>
      </c>
      <c r="CL33" s="52">
        <v>-563364.79</v>
      </c>
      <c r="CM33" s="52">
        <v>-464344.99</v>
      </c>
      <c r="CN33" s="52">
        <v>-158745.79999999999</v>
      </c>
      <c r="CO33" s="52">
        <v>-175959.45</v>
      </c>
      <c r="CP33" s="52">
        <v>-245511.46</v>
      </c>
      <c r="CQ33" s="52">
        <v>-138154.51999999999</v>
      </c>
      <c r="CR33" s="52">
        <v>-183569.78</v>
      </c>
      <c r="CS33" s="52">
        <v>-249827.06</v>
      </c>
      <c r="CT33" s="52">
        <v>-615792.06999999995</v>
      </c>
      <c r="CU33" s="52">
        <v>-968871.81</v>
      </c>
      <c r="CV33" s="430">
        <f t="shared" si="1"/>
        <v>-4859636.49</v>
      </c>
    </row>
    <row r="34" spans="1:100">
      <c r="A34" s="540" t="str">
        <f t="shared" si="0"/>
        <v>4800042</v>
      </c>
      <c r="B34" s="541" t="s">
        <v>1879</v>
      </c>
      <c r="C34" s="463" t="s">
        <v>969</v>
      </c>
      <c r="D34" s="426">
        <v>-48981.08</v>
      </c>
      <c r="E34" s="426">
        <v>-36819.26</v>
      </c>
      <c r="F34" s="426">
        <v>-29328.83</v>
      </c>
      <c r="G34" s="426">
        <v>-27509.99</v>
      </c>
      <c r="H34" s="426">
        <v>-17054.79</v>
      </c>
      <c r="I34" s="426">
        <v>-14248.66</v>
      </c>
      <c r="J34" s="426">
        <v>-8234.14</v>
      </c>
      <c r="K34" s="426">
        <v>-10676.99</v>
      </c>
      <c r="L34" s="426">
        <v>-11878.51</v>
      </c>
      <c r="M34" s="426">
        <v>-14870.91</v>
      </c>
      <c r="N34" s="426">
        <v>-26855.61</v>
      </c>
      <c r="O34" s="427">
        <v>-36553.279999999999</v>
      </c>
      <c r="P34" s="52">
        <v>-34796.78</v>
      </c>
      <c r="Q34" s="52">
        <v>-38161.69</v>
      </c>
      <c r="R34" s="52">
        <v>-27411.47</v>
      </c>
      <c r="S34" s="52">
        <v>-15051.85</v>
      </c>
      <c r="T34" s="52">
        <v>-10864.66</v>
      </c>
      <c r="U34" s="52">
        <v>-10443.99</v>
      </c>
      <c r="V34" s="52">
        <v>-9186.17</v>
      </c>
      <c r="W34" s="52">
        <v>-9305.43</v>
      </c>
      <c r="X34" s="52">
        <v>-9077.2099999999991</v>
      </c>
      <c r="Y34" s="52">
        <v>-12476.38</v>
      </c>
      <c r="Z34" s="52">
        <v>-18153.39</v>
      </c>
      <c r="AA34" s="52">
        <v>-23160.53</v>
      </c>
      <c r="AB34" s="52">
        <v>-28369.49</v>
      </c>
      <c r="AC34" s="52">
        <v>-27811.46</v>
      </c>
      <c r="AD34" s="52">
        <v>-19752.900000000001</v>
      </c>
      <c r="AE34" s="52">
        <v>-16509.2</v>
      </c>
      <c r="AF34" s="52">
        <v>-11181.4</v>
      </c>
      <c r="AG34" s="52">
        <v>-5568.88</v>
      </c>
      <c r="AH34" s="52">
        <v>-6467.57</v>
      </c>
      <c r="AI34" s="52">
        <v>-6737.42</v>
      </c>
      <c r="AJ34" s="52">
        <v>-8462.8799999999992</v>
      </c>
      <c r="AK34" s="52">
        <v>-9261.8700000000008</v>
      </c>
      <c r="AL34" s="52">
        <v>-17949.509999999998</v>
      </c>
      <c r="AM34" s="52">
        <v>-19296.150000000001</v>
      </c>
      <c r="AN34" s="52">
        <v>-2462.8000000000002</v>
      </c>
      <c r="AO34" s="52">
        <v>-41036.620000000003</v>
      </c>
      <c r="AP34" s="52">
        <v>-15704.2</v>
      </c>
      <c r="AQ34" s="52">
        <v>-16080.89</v>
      </c>
      <c r="AR34" s="52">
        <v>-11478.17</v>
      </c>
      <c r="AS34" s="52">
        <v>-8639.82</v>
      </c>
      <c r="AT34" s="52">
        <v>-6896.48</v>
      </c>
      <c r="AU34" s="52">
        <v>-7819.82</v>
      </c>
      <c r="AV34" s="52">
        <v>-8047.37</v>
      </c>
      <c r="AW34" s="52">
        <v>-10461.799999999999</v>
      </c>
      <c r="AX34" s="52">
        <v>-11061.35</v>
      </c>
      <c r="AY34" s="52">
        <v>-16269.14</v>
      </c>
      <c r="AZ34" s="52">
        <v>-23812.53</v>
      </c>
      <c r="BA34" s="52">
        <v>-17439.060000000001</v>
      </c>
      <c r="BB34" s="52">
        <v>-14729.31</v>
      </c>
      <c r="BC34" s="52">
        <v>-11337.74</v>
      </c>
      <c r="BD34" s="52">
        <v>-10344.219999999999</v>
      </c>
      <c r="BE34" s="52">
        <v>-7540.16</v>
      </c>
      <c r="BF34" s="52">
        <v>-6166.76</v>
      </c>
      <c r="BG34" s="52">
        <v>-4184.83</v>
      </c>
      <c r="BH34" s="52">
        <v>-6733.99</v>
      </c>
      <c r="BI34" s="52">
        <v>-6581.46</v>
      </c>
      <c r="BJ34" s="52">
        <v>-14618.04</v>
      </c>
      <c r="BK34" s="52">
        <v>-12829.02</v>
      </c>
      <c r="BL34" s="52">
        <v>-16467.48</v>
      </c>
      <c r="BM34" s="52">
        <v>-11889.7</v>
      </c>
      <c r="BN34" s="52">
        <v>-11331.01</v>
      </c>
      <c r="BO34" s="52">
        <v>-10911.98</v>
      </c>
      <c r="BP34" s="52">
        <v>-8279.07</v>
      </c>
      <c r="BQ34" s="52">
        <v>-5567.53</v>
      </c>
      <c r="BR34" s="52">
        <v>-4173.87</v>
      </c>
      <c r="BS34" s="52">
        <v>-4410.83</v>
      </c>
      <c r="BT34" s="52">
        <v>-5633.67</v>
      </c>
      <c r="BU34" s="52">
        <v>-8786.06</v>
      </c>
      <c r="BV34" s="52">
        <v>-9614.76</v>
      </c>
      <c r="BW34" s="52">
        <v>-15527.95</v>
      </c>
      <c r="BX34" s="52">
        <v>-16512.330000000002</v>
      </c>
      <c r="BY34" s="52">
        <v>-13961.92</v>
      </c>
      <c r="BZ34" s="52">
        <v>-1028.1099999999999</v>
      </c>
      <c r="CA34" s="52">
        <v>-10018.44</v>
      </c>
      <c r="CB34" s="52">
        <v>-6131.34</v>
      </c>
      <c r="CC34" s="52">
        <v>-6972.28</v>
      </c>
      <c r="CD34" s="52">
        <v>-5023.49</v>
      </c>
      <c r="CE34" s="52">
        <v>-5884.21</v>
      </c>
      <c r="CF34" s="52">
        <v>-5301.44</v>
      </c>
      <c r="CG34" s="52">
        <v>-7814.74</v>
      </c>
      <c r="CH34" s="52">
        <v>-10709.32</v>
      </c>
      <c r="CI34" s="52">
        <v>-15573.7</v>
      </c>
      <c r="CJ34" s="52">
        <v>-21786.18</v>
      </c>
      <c r="CK34" s="52">
        <v>-12041.11</v>
      </c>
      <c r="CL34" s="52">
        <v>-12366.95</v>
      </c>
      <c r="CM34" s="52">
        <v>-12131.96</v>
      </c>
      <c r="CN34" s="52">
        <v>-8125.24</v>
      </c>
      <c r="CO34" s="52">
        <v>-7788.24</v>
      </c>
      <c r="CP34" s="52">
        <v>-12466.16</v>
      </c>
      <c r="CQ34" s="52">
        <v>-6931.91</v>
      </c>
      <c r="CR34" s="52">
        <v>-8443.17</v>
      </c>
      <c r="CS34" s="52">
        <v>-10100.280000000001</v>
      </c>
      <c r="CT34" s="52">
        <v>-19616.400000000001</v>
      </c>
      <c r="CU34" s="52">
        <v>-23576.49</v>
      </c>
      <c r="CV34" s="430">
        <f t="shared" si="1"/>
        <v>-155374.09</v>
      </c>
    </row>
    <row r="35" spans="1:100">
      <c r="A35" s="540" t="str">
        <f t="shared" si="0"/>
        <v>4800043</v>
      </c>
      <c r="B35" s="541" t="s">
        <v>1880</v>
      </c>
      <c r="C35" s="463" t="s">
        <v>970</v>
      </c>
      <c r="D35" s="428">
        <v>-181955.78</v>
      </c>
      <c r="E35" s="428">
        <v>-118952.69</v>
      </c>
      <c r="F35" s="428">
        <v>-86809.91</v>
      </c>
      <c r="G35" s="428">
        <v>-93462.17</v>
      </c>
      <c r="H35" s="428">
        <v>-45507.71</v>
      </c>
      <c r="I35" s="428">
        <v>-39796.980000000003</v>
      </c>
      <c r="J35" s="428">
        <v>-19994.599999999999</v>
      </c>
      <c r="K35" s="428">
        <v>-28341.25</v>
      </c>
      <c r="L35" s="428">
        <v>-31119.11</v>
      </c>
      <c r="M35" s="428">
        <v>-39983.769999999997</v>
      </c>
      <c r="N35" s="428">
        <v>-77598.84</v>
      </c>
      <c r="O35" s="429">
        <v>-110874.36</v>
      </c>
      <c r="P35" s="52">
        <v>-123434.14</v>
      </c>
      <c r="Q35" s="52">
        <v>-123498.75</v>
      </c>
      <c r="R35" s="52">
        <v>-70377.539999999994</v>
      </c>
      <c r="S35" s="52">
        <v>-42242.42</v>
      </c>
      <c r="T35" s="52">
        <v>-27958.85</v>
      </c>
      <c r="U35" s="52">
        <v>-28488.38</v>
      </c>
      <c r="V35" s="52">
        <v>-23309.94</v>
      </c>
      <c r="W35" s="52">
        <v>-24804.6</v>
      </c>
      <c r="X35" s="52">
        <v>-24197.22</v>
      </c>
      <c r="Y35" s="52">
        <v>-34343.03</v>
      </c>
      <c r="Z35" s="52">
        <v>-55324.3</v>
      </c>
      <c r="AA35" s="52">
        <v>-74907.25</v>
      </c>
      <c r="AB35" s="52">
        <v>-104143.06</v>
      </c>
      <c r="AC35" s="52">
        <v>-101305.88</v>
      </c>
      <c r="AD35" s="52">
        <v>-64328.03</v>
      </c>
      <c r="AE35" s="52">
        <v>-56748.800000000003</v>
      </c>
      <c r="AF35" s="52">
        <v>-35338.14</v>
      </c>
      <c r="AG35" s="52">
        <v>-12616.08</v>
      </c>
      <c r="AH35" s="52">
        <v>-16386.740000000002</v>
      </c>
      <c r="AI35" s="52">
        <v>-17495.330000000002</v>
      </c>
      <c r="AJ35" s="52">
        <v>-21744.68</v>
      </c>
      <c r="AK35" s="52">
        <v>-25359.68</v>
      </c>
      <c r="AL35" s="52">
        <v>-52030.19</v>
      </c>
      <c r="AM35" s="52">
        <v>-56706.31</v>
      </c>
      <c r="AN35" s="52">
        <v>-7723.56</v>
      </c>
      <c r="AO35" s="52">
        <v>-127308.26</v>
      </c>
      <c r="AP35" s="52">
        <v>-42925.09</v>
      </c>
      <c r="AQ35" s="52">
        <v>-43668.53</v>
      </c>
      <c r="AR35" s="52">
        <v>-24832.7</v>
      </c>
      <c r="AS35" s="52">
        <v>-22897.18</v>
      </c>
      <c r="AT35" s="52">
        <v>-14640.56</v>
      </c>
      <c r="AU35" s="52">
        <v>-18210.39</v>
      </c>
      <c r="AV35" s="52">
        <v>-20762.240000000002</v>
      </c>
      <c r="AW35" s="52">
        <v>-30816.65</v>
      </c>
      <c r="AX35" s="52">
        <v>-33680.22</v>
      </c>
      <c r="AY35" s="52">
        <v>-52558.8</v>
      </c>
      <c r="AZ35" s="52">
        <v>-88884</v>
      </c>
      <c r="BA35" s="52">
        <v>-62855.29</v>
      </c>
      <c r="BB35" s="52">
        <v>-44841.31</v>
      </c>
      <c r="BC35" s="52">
        <v>-33685.61</v>
      </c>
      <c r="BD35" s="52">
        <v>-28900.45</v>
      </c>
      <c r="BE35" s="52">
        <v>-19859.8</v>
      </c>
      <c r="BF35" s="52">
        <v>-18553.47</v>
      </c>
      <c r="BG35" s="52">
        <v>-11086.49</v>
      </c>
      <c r="BH35" s="52">
        <v>-17806.72</v>
      </c>
      <c r="BI35" s="52">
        <v>-16620.900000000001</v>
      </c>
      <c r="BJ35" s="52">
        <v>-44899.360000000001</v>
      </c>
      <c r="BK35" s="52">
        <v>-40588.65</v>
      </c>
      <c r="BL35" s="52">
        <v>-60524.36</v>
      </c>
      <c r="BM35" s="52">
        <v>-41180.120000000003</v>
      </c>
      <c r="BN35" s="52">
        <v>-42963.48</v>
      </c>
      <c r="BO35" s="52">
        <v>-44890.05</v>
      </c>
      <c r="BP35" s="52">
        <v>-31001.040000000001</v>
      </c>
      <c r="BQ35" s="52">
        <v>-18572.71</v>
      </c>
      <c r="BR35" s="52">
        <v>-12570.72</v>
      </c>
      <c r="BS35" s="52">
        <v>-10500.17</v>
      </c>
      <c r="BT35" s="52">
        <v>-16380.8</v>
      </c>
      <c r="BU35" s="52">
        <v>-26935.64</v>
      </c>
      <c r="BV35" s="52">
        <v>-31345.040000000001</v>
      </c>
      <c r="BW35" s="52">
        <v>-54590.03</v>
      </c>
      <c r="BX35" s="52">
        <v>-58689.57</v>
      </c>
      <c r="BY35" s="52">
        <v>-44070.31</v>
      </c>
      <c r="BZ35" s="52">
        <v>2015.58</v>
      </c>
      <c r="CA35" s="52">
        <v>-29949.17</v>
      </c>
      <c r="CB35" s="52">
        <v>-16005.24</v>
      </c>
      <c r="CC35" s="52">
        <v>-18539.32</v>
      </c>
      <c r="CD35" s="52">
        <v>-12310.58</v>
      </c>
      <c r="CE35" s="52">
        <v>-14721.16</v>
      </c>
      <c r="CF35" s="52">
        <v>-12483.41</v>
      </c>
      <c r="CG35" s="52">
        <v>-22652.48</v>
      </c>
      <c r="CH35" s="52">
        <v>-36054.75</v>
      </c>
      <c r="CI35" s="52">
        <v>-58086.67</v>
      </c>
      <c r="CJ35" s="52">
        <v>-55306.09</v>
      </c>
      <c r="CK35" s="52">
        <v>-30865.09</v>
      </c>
      <c r="CL35" s="52">
        <v>-39095.800000000003</v>
      </c>
      <c r="CM35" s="52">
        <v>-35466.68</v>
      </c>
      <c r="CN35" s="52">
        <v>-20204.75</v>
      </c>
      <c r="CO35" s="52">
        <v>-18923.41</v>
      </c>
      <c r="CP35" s="52">
        <v>-36579.660000000003</v>
      </c>
      <c r="CQ35" s="52">
        <v>-15505.44</v>
      </c>
      <c r="CR35" s="52">
        <v>-20621.43</v>
      </c>
      <c r="CS35" s="52">
        <v>-27378.27</v>
      </c>
      <c r="CT35" s="52">
        <v>-62664.41</v>
      </c>
      <c r="CU35" s="52">
        <v>-79135.11</v>
      </c>
      <c r="CV35" s="430">
        <f t="shared" si="1"/>
        <v>-441746.14</v>
      </c>
    </row>
    <row r="36" spans="1:100">
      <c r="A36" s="540" t="str">
        <f t="shared" si="0"/>
        <v>4800044</v>
      </c>
      <c r="B36" s="541" t="s">
        <v>1881</v>
      </c>
      <c r="C36" s="463" t="s">
        <v>971</v>
      </c>
      <c r="D36" s="426">
        <v>0</v>
      </c>
      <c r="E36" s="426">
        <v>0</v>
      </c>
      <c r="F36" s="426">
        <v>75</v>
      </c>
      <c r="G36" s="426">
        <v>0</v>
      </c>
      <c r="H36" s="426">
        <v>0</v>
      </c>
      <c r="I36" s="426">
        <v>-75</v>
      </c>
      <c r="J36" s="426">
        <v>-1183.26</v>
      </c>
      <c r="K36" s="426">
        <v>-704.1</v>
      </c>
      <c r="L36" s="426">
        <v>-832.6</v>
      </c>
      <c r="M36" s="426">
        <v>-253.7</v>
      </c>
      <c r="N36" s="426">
        <v>-708.66</v>
      </c>
      <c r="O36" s="427">
        <v>-1396.44</v>
      </c>
      <c r="P36" s="52">
        <v>-1232.75</v>
      </c>
      <c r="Q36" s="52">
        <v>-2995.95</v>
      </c>
      <c r="R36" s="52">
        <v>-161.72999999999999</v>
      </c>
      <c r="S36" s="52">
        <v>-1062.3499999999999</v>
      </c>
      <c r="T36" s="52">
        <v>395</v>
      </c>
      <c r="U36" s="52">
        <v>-75</v>
      </c>
      <c r="V36" s="52">
        <v>150</v>
      </c>
      <c r="W36" s="52">
        <v>0</v>
      </c>
      <c r="X36" s="52">
        <v>0</v>
      </c>
      <c r="Y36" s="52">
        <v>0</v>
      </c>
      <c r="Z36" s="52">
        <v>0</v>
      </c>
      <c r="AA36" s="52">
        <v>0</v>
      </c>
      <c r="AB36" s="52">
        <v>0</v>
      </c>
      <c r="AC36" s="52">
        <v>-150</v>
      </c>
      <c r="AD36" s="52">
        <v>0</v>
      </c>
      <c r="AE36" s="52">
        <v>-498.37</v>
      </c>
      <c r="AF36" s="52">
        <v>-215.61</v>
      </c>
      <c r="AG36" s="52">
        <v>-2433.2600000000002</v>
      </c>
      <c r="AH36" s="52">
        <v>-1552.28</v>
      </c>
      <c r="AI36" s="52">
        <v>-1223.99</v>
      </c>
      <c r="AJ36" s="52">
        <v>-1516.72</v>
      </c>
      <c r="AK36" s="52">
        <v>-1320.29</v>
      </c>
      <c r="AL36" s="52">
        <v>-1239.69</v>
      </c>
      <c r="AM36" s="52">
        <v>-1958.65</v>
      </c>
      <c r="AN36" s="52">
        <v>943</v>
      </c>
      <c r="AO36" s="52">
        <v>-8457.16</v>
      </c>
      <c r="AP36" s="52">
        <v>-15143.16</v>
      </c>
      <c r="AQ36" s="52">
        <v>-16131.44</v>
      </c>
      <c r="AR36" s="52">
        <v>-23237.82</v>
      </c>
      <c r="AS36" s="52">
        <v>-11139.26</v>
      </c>
      <c r="AT36" s="52">
        <v>3881.38</v>
      </c>
      <c r="AU36" s="52">
        <v>-7849.87</v>
      </c>
      <c r="AV36" s="52">
        <v>-12515.76</v>
      </c>
      <c r="AW36" s="52">
        <v>-5383.18</v>
      </c>
      <c r="AX36" s="52">
        <v>-7143.69</v>
      </c>
      <c r="AY36" s="52">
        <v>-9898.9599999999991</v>
      </c>
      <c r="AZ36" s="52">
        <v>22841.18</v>
      </c>
      <c r="BA36" s="52">
        <v>2545.1799999999998</v>
      </c>
      <c r="BB36" s="52">
        <v>-4813.54</v>
      </c>
      <c r="BC36" s="52">
        <v>-7124.74</v>
      </c>
      <c r="BD36" s="52">
        <v>-6639.76</v>
      </c>
      <c r="BE36" s="52">
        <v>-1550.59</v>
      </c>
      <c r="BF36" s="52">
        <v>-3017.81</v>
      </c>
      <c r="BG36" s="52">
        <v>-3386.88</v>
      </c>
      <c r="BH36" s="52">
        <v>-4224.7</v>
      </c>
      <c r="BI36" s="52">
        <v>-2936.59</v>
      </c>
      <c r="BJ36" s="52">
        <v>-3582.19</v>
      </c>
      <c r="BK36" s="52">
        <v>-1689.09</v>
      </c>
      <c r="BL36" s="52">
        <v>-733.68</v>
      </c>
      <c r="BM36" s="52">
        <v>-2917.87</v>
      </c>
      <c r="BN36" s="52">
        <v>-2942.58</v>
      </c>
      <c r="BO36" s="52">
        <v>-3066.76</v>
      </c>
      <c r="BP36" s="52">
        <v>-3061.1</v>
      </c>
      <c r="BQ36" s="52">
        <v>-3241.46</v>
      </c>
      <c r="BR36" s="52">
        <v>-1245.24</v>
      </c>
      <c r="BS36" s="52">
        <v>-680.02</v>
      </c>
      <c r="BT36" s="52">
        <v>-5281.6</v>
      </c>
      <c r="BU36" s="52">
        <v>413.64</v>
      </c>
      <c r="BV36" s="52">
        <v>-2414.91</v>
      </c>
      <c r="BW36" s="52">
        <v>-4571.57</v>
      </c>
      <c r="BX36" s="52">
        <v>-4758.22</v>
      </c>
      <c r="BY36" s="52">
        <v>-3827.73</v>
      </c>
      <c r="BZ36" s="52">
        <v>-4472.09</v>
      </c>
      <c r="CA36" s="52">
        <v>-3694.42</v>
      </c>
      <c r="CB36" s="52">
        <v>-3869.92</v>
      </c>
      <c r="CC36" s="52">
        <v>-3792.27</v>
      </c>
      <c r="CD36" s="52">
        <v>-4041.1</v>
      </c>
      <c r="CE36" s="52">
        <v>-4198.91</v>
      </c>
      <c r="CF36" s="52">
        <v>-3974.53</v>
      </c>
      <c r="CG36" s="52">
        <v>-4126.49</v>
      </c>
      <c r="CH36" s="52">
        <v>-4104.01</v>
      </c>
      <c r="CI36" s="52">
        <v>-4212.1499999999996</v>
      </c>
      <c r="CJ36" s="52">
        <v>28653.98</v>
      </c>
      <c r="CK36" s="52">
        <v>25566.81</v>
      </c>
      <c r="CL36" s="52">
        <v>-1465.57</v>
      </c>
      <c r="CM36" s="52">
        <v>-176</v>
      </c>
      <c r="CN36" s="52">
        <v>-420</v>
      </c>
      <c r="CO36" s="52">
        <v>-420</v>
      </c>
      <c r="CP36" s="52">
        <v>-210</v>
      </c>
      <c r="CQ36" s="52">
        <v>-39270.239999999998</v>
      </c>
      <c r="CR36" s="52">
        <v>-35070.720000000001</v>
      </c>
      <c r="CS36" s="52">
        <v>9235.7199999999993</v>
      </c>
      <c r="CT36" s="52">
        <v>3359.39</v>
      </c>
      <c r="CU36" s="52">
        <v>-293.38</v>
      </c>
      <c r="CV36" s="430">
        <f t="shared" si="1"/>
        <v>-10510.009999999998</v>
      </c>
    </row>
    <row r="37" spans="1:100">
      <c r="A37" s="540" t="str">
        <f t="shared" si="0"/>
        <v>4800045</v>
      </c>
      <c r="B37" s="541" t="s">
        <v>1882</v>
      </c>
      <c r="C37" s="463" t="s">
        <v>972</v>
      </c>
      <c r="D37" s="428">
        <v>0</v>
      </c>
      <c r="E37" s="428">
        <v>0</v>
      </c>
      <c r="F37" s="428">
        <v>0</v>
      </c>
      <c r="G37" s="428">
        <v>0</v>
      </c>
      <c r="H37" s="428">
        <v>0</v>
      </c>
      <c r="I37" s="428">
        <v>0</v>
      </c>
      <c r="J37" s="428">
        <v>-3109.49</v>
      </c>
      <c r="K37" s="428">
        <v>-1772.86</v>
      </c>
      <c r="L37" s="428">
        <v>-2498.94</v>
      </c>
      <c r="M37" s="428">
        <v>-1924.73</v>
      </c>
      <c r="N37" s="428">
        <v>-2376.98</v>
      </c>
      <c r="O37" s="429">
        <v>-4768.74</v>
      </c>
      <c r="P37" s="52">
        <v>-4835.84</v>
      </c>
      <c r="Q37" s="52">
        <v>-11229.51</v>
      </c>
      <c r="R37" s="52">
        <v>117.85</v>
      </c>
      <c r="S37" s="52">
        <v>-3793.57</v>
      </c>
      <c r="T37" s="52">
        <v>1727</v>
      </c>
      <c r="U37" s="52">
        <v>0</v>
      </c>
      <c r="V37" s="52">
        <v>0</v>
      </c>
      <c r="W37" s="52">
        <v>0</v>
      </c>
      <c r="X37" s="52">
        <v>0</v>
      </c>
      <c r="Y37" s="52">
        <v>0</v>
      </c>
      <c r="Z37" s="52">
        <v>0</v>
      </c>
      <c r="AA37" s="52">
        <v>0</v>
      </c>
      <c r="AB37" s="52">
        <v>0</v>
      </c>
      <c r="AC37" s="52">
        <v>0</v>
      </c>
      <c r="AD37" s="52">
        <v>0</v>
      </c>
      <c r="AE37" s="52">
        <v>-1212.67</v>
      </c>
      <c r="AF37" s="52">
        <v>-974.72</v>
      </c>
      <c r="AG37" s="52">
        <v>-9163.64</v>
      </c>
      <c r="AH37" s="52">
        <v>-6512.7</v>
      </c>
      <c r="AI37" s="52">
        <v>-4577.5200000000004</v>
      </c>
      <c r="AJ37" s="52">
        <v>-5027.83</v>
      </c>
      <c r="AK37" s="52">
        <v>-4392.58</v>
      </c>
      <c r="AL37" s="52">
        <v>-4605.9399999999996</v>
      </c>
      <c r="AM37" s="52">
        <v>-6577.72</v>
      </c>
      <c r="AN37" s="52">
        <v>2923</v>
      </c>
      <c r="AO37" s="52">
        <v>-22792.959999999999</v>
      </c>
      <c r="AP37" s="52">
        <v>-750.26</v>
      </c>
      <c r="AQ37" s="52">
        <v>262</v>
      </c>
      <c r="AR37" s="52">
        <v>-3473.38</v>
      </c>
      <c r="AS37" s="52">
        <v>-19554</v>
      </c>
      <c r="AT37" s="52">
        <v>-91.5</v>
      </c>
      <c r="AU37" s="52">
        <v>-6683.32</v>
      </c>
      <c r="AV37" s="52">
        <v>-5358.42</v>
      </c>
      <c r="AW37" s="52">
        <v>-5486.94</v>
      </c>
      <c r="AX37" s="52">
        <v>-7706.62</v>
      </c>
      <c r="AY37" s="52">
        <v>-7939.78</v>
      </c>
      <c r="AZ37" s="52">
        <v>-4573.5200000000004</v>
      </c>
      <c r="BA37" s="52">
        <v>-7851.39</v>
      </c>
      <c r="BB37" s="52">
        <v>-8538.93</v>
      </c>
      <c r="BC37" s="52">
        <v>-8591.5400000000009</v>
      </c>
      <c r="BD37" s="52">
        <v>-6713.16</v>
      </c>
      <c r="BE37" s="52">
        <v>11782.02</v>
      </c>
      <c r="BF37" s="52">
        <v>-2746.25</v>
      </c>
      <c r="BG37" s="52">
        <v>-53.62</v>
      </c>
      <c r="BH37" s="52">
        <v>-174.23</v>
      </c>
      <c r="BI37" s="52">
        <v>-44.41</v>
      </c>
      <c r="BJ37" s="52">
        <v>-234.91</v>
      </c>
      <c r="BK37" s="52">
        <v>-791.52</v>
      </c>
      <c r="BL37" s="52">
        <v>-1178.43</v>
      </c>
      <c r="BM37" s="52">
        <v>-323.12</v>
      </c>
      <c r="BN37" s="52">
        <v>-1182.5899999999999</v>
      </c>
      <c r="BO37" s="52">
        <v>-829.31</v>
      </c>
      <c r="BP37" s="52">
        <v>-753.91</v>
      </c>
      <c r="BQ37" s="52">
        <v>-953.67</v>
      </c>
      <c r="BR37" s="52">
        <v>-86.72</v>
      </c>
      <c r="BS37" s="52">
        <v>52.82</v>
      </c>
      <c r="BT37" s="52">
        <v>-236.68</v>
      </c>
      <c r="BU37" s="52">
        <v>-187.72</v>
      </c>
      <c r="BV37" s="52">
        <v>-284.61</v>
      </c>
      <c r="BW37" s="52">
        <v>-694.48</v>
      </c>
      <c r="BX37" s="52">
        <v>-1011.12</v>
      </c>
      <c r="BY37" s="52">
        <v>-346.1</v>
      </c>
      <c r="BZ37" s="52">
        <v>-798.15</v>
      </c>
      <c r="CA37" s="52">
        <v>-258.83</v>
      </c>
      <c r="CB37" s="52">
        <v>-388.65</v>
      </c>
      <c r="CC37" s="52">
        <v>-302.26</v>
      </c>
      <c r="CD37" s="52">
        <v>-212.56</v>
      </c>
      <c r="CE37" s="52">
        <v>-267.98</v>
      </c>
      <c r="CF37" s="52">
        <v>-228.74</v>
      </c>
      <c r="CG37" s="52">
        <v>-536.07000000000005</v>
      </c>
      <c r="CH37" s="52">
        <v>-547.73</v>
      </c>
      <c r="CI37" s="52">
        <v>-1077.69</v>
      </c>
      <c r="CJ37" s="52">
        <v>901.98</v>
      </c>
      <c r="CK37" s="52">
        <v>1378.33</v>
      </c>
      <c r="CL37" s="52">
        <v>-3881.7</v>
      </c>
      <c r="CM37" s="52">
        <v>1128</v>
      </c>
      <c r="CN37" s="52">
        <v>0</v>
      </c>
      <c r="CO37" s="52">
        <v>0</v>
      </c>
      <c r="CP37" s="52">
        <v>0</v>
      </c>
      <c r="CQ37" s="52">
        <v>-2.15</v>
      </c>
      <c r="CR37" s="52">
        <v>-4.45</v>
      </c>
      <c r="CS37" s="52">
        <v>-14</v>
      </c>
      <c r="CT37" s="52">
        <v>-6.75</v>
      </c>
      <c r="CU37" s="52">
        <v>-1390.29</v>
      </c>
      <c r="CV37" s="430">
        <f t="shared" si="1"/>
        <v>-1891.0299999999997</v>
      </c>
    </row>
    <row r="38" spans="1:100">
      <c r="A38" s="540" t="str">
        <f t="shared" si="0"/>
        <v>4810001</v>
      </c>
      <c r="B38" s="541" t="s">
        <v>1883</v>
      </c>
      <c r="C38" s="463" t="s">
        <v>973</v>
      </c>
      <c r="D38" s="428">
        <v>-683.2</v>
      </c>
      <c r="E38" s="428">
        <v>-1841.39</v>
      </c>
      <c r="F38" s="428">
        <v>-1189.25</v>
      </c>
      <c r="G38" s="428">
        <v>-1978.35</v>
      </c>
      <c r="H38" s="428">
        <v>-3762.37</v>
      </c>
      <c r="I38" s="428">
        <v>-6539.25</v>
      </c>
      <c r="J38" s="428">
        <v>-56.35</v>
      </c>
      <c r="K38" s="428">
        <v>-11451.61</v>
      </c>
      <c r="L38" s="428">
        <v>-6944.5</v>
      </c>
      <c r="M38" s="428">
        <v>-2620.15</v>
      </c>
      <c r="N38" s="428">
        <v>-985.59</v>
      </c>
      <c r="O38" s="429">
        <v>-917.96</v>
      </c>
      <c r="P38" s="52">
        <v>-2687.53</v>
      </c>
      <c r="Q38" s="52">
        <v>-1504.33</v>
      </c>
      <c r="R38" s="52">
        <v>332.11</v>
      </c>
      <c r="S38" s="52">
        <v>-119.28</v>
      </c>
      <c r="T38" s="52">
        <v>-136.79</v>
      </c>
      <c r="U38" s="52">
        <v>-143.86000000000001</v>
      </c>
      <c r="V38" s="52">
        <v>-2738.31</v>
      </c>
      <c r="W38" s="52">
        <v>-137.5</v>
      </c>
      <c r="X38" s="52">
        <v>-111.5</v>
      </c>
      <c r="Y38" s="52">
        <v>-67</v>
      </c>
      <c r="Z38" s="52">
        <v>-109.37</v>
      </c>
      <c r="AA38" s="52">
        <v>-147.04</v>
      </c>
      <c r="AB38" s="52">
        <v>-171.44</v>
      </c>
      <c r="AC38" s="52">
        <v>-458.78</v>
      </c>
      <c r="AD38" s="52">
        <v>-255.3</v>
      </c>
      <c r="AE38" s="52">
        <v>-310.75</v>
      </c>
      <c r="AF38" s="52">
        <v>2462.87</v>
      </c>
      <c r="AG38" s="52">
        <v>-131.53</v>
      </c>
      <c r="AH38" s="52">
        <v>-2</v>
      </c>
      <c r="AI38" s="52">
        <v>-45</v>
      </c>
      <c r="AJ38" s="52">
        <v>-45</v>
      </c>
      <c r="AK38" s="52">
        <v>-45</v>
      </c>
      <c r="AL38" s="52">
        <v>-45</v>
      </c>
      <c r="AM38" s="52">
        <v>-45</v>
      </c>
      <c r="AN38" s="52">
        <v>-45</v>
      </c>
      <c r="AO38" s="52">
        <v>-67.5</v>
      </c>
      <c r="AP38" s="52">
        <v>23</v>
      </c>
      <c r="AQ38" s="52">
        <v>0</v>
      </c>
      <c r="AR38" s="52">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-134.63</v>
      </c>
      <c r="CJ38" s="52">
        <v>-103.62</v>
      </c>
      <c r="CK38" s="52">
        <v>238.25</v>
      </c>
      <c r="CL38" s="52">
        <v>0</v>
      </c>
      <c r="CM38" s="52">
        <v>0</v>
      </c>
      <c r="CN38" s="52">
        <v>0</v>
      </c>
      <c r="CO38" s="52">
        <v>0</v>
      </c>
      <c r="CP38" s="52">
        <v>0</v>
      </c>
      <c r="CQ38" s="52">
        <v>0</v>
      </c>
      <c r="CR38" s="52">
        <v>0</v>
      </c>
      <c r="CS38" s="52">
        <v>0</v>
      </c>
      <c r="CT38" s="52">
        <v>0</v>
      </c>
      <c r="CU38" s="52">
        <v>0</v>
      </c>
      <c r="CV38" s="430">
        <f t="shared" si="1"/>
        <v>134.63</v>
      </c>
    </row>
    <row r="39" spans="1:100">
      <c r="A39" s="540" t="str">
        <f t="shared" si="0"/>
        <v>4810002</v>
      </c>
      <c r="B39" s="541" t="s">
        <v>1884</v>
      </c>
      <c r="C39" s="463" t="s">
        <v>974</v>
      </c>
      <c r="D39" s="426">
        <v>28.97</v>
      </c>
      <c r="E39" s="426">
        <v>-3484.71</v>
      </c>
      <c r="F39" s="426">
        <v>-93.06</v>
      </c>
      <c r="G39" s="426">
        <v>-2040.75</v>
      </c>
      <c r="H39" s="426">
        <v>-4887.21</v>
      </c>
      <c r="I39" s="426">
        <v>-6879.48</v>
      </c>
      <c r="J39" s="426">
        <v>3567.96</v>
      </c>
      <c r="K39" s="426">
        <v>-3955.6</v>
      </c>
      <c r="L39" s="426">
        <v>1376.58</v>
      </c>
      <c r="M39" s="426">
        <v>1724.83</v>
      </c>
      <c r="N39" s="426">
        <v>737.94</v>
      </c>
      <c r="O39" s="427">
        <v>78.95</v>
      </c>
      <c r="P39" s="52">
        <v>-665.11</v>
      </c>
      <c r="Q39" s="52">
        <v>-5666.72</v>
      </c>
      <c r="R39" s="52">
        <v>2181.62</v>
      </c>
      <c r="S39" s="52">
        <v>-48.37</v>
      </c>
      <c r="T39" s="52">
        <v>-91.67</v>
      </c>
      <c r="U39" s="52">
        <v>-39.020000000000003</v>
      </c>
      <c r="V39" s="52">
        <v>-0.38</v>
      </c>
      <c r="W39" s="52">
        <v>-4.83</v>
      </c>
      <c r="X39" s="52">
        <v>3</v>
      </c>
      <c r="Y39" s="52">
        <v>0</v>
      </c>
      <c r="Z39" s="52">
        <v>-87.7</v>
      </c>
      <c r="AA39" s="52">
        <v>-252.07</v>
      </c>
      <c r="AB39" s="52">
        <v>-186.65</v>
      </c>
      <c r="AC39" s="52">
        <v>-1349.64</v>
      </c>
      <c r="AD39" s="52">
        <v>-657.02</v>
      </c>
      <c r="AE39" s="52">
        <v>-640.79</v>
      </c>
      <c r="AF39" s="52">
        <v>-570.86</v>
      </c>
      <c r="AG39" s="52">
        <v>-290.33</v>
      </c>
      <c r="AH39" s="52">
        <v>195</v>
      </c>
      <c r="AI39" s="52">
        <v>0</v>
      </c>
      <c r="AJ39" s="52">
        <v>0</v>
      </c>
      <c r="AK39" s="52">
        <v>0</v>
      </c>
      <c r="AL39" s="52">
        <v>0</v>
      </c>
      <c r="AM39" s="52">
        <v>0</v>
      </c>
      <c r="AN39" s="52">
        <v>0</v>
      </c>
      <c r="AO39" s="52">
        <v>0</v>
      </c>
      <c r="AP39" s="52">
        <v>0</v>
      </c>
      <c r="AQ39" s="52">
        <v>0</v>
      </c>
      <c r="AR39" s="52">
        <v>0</v>
      </c>
      <c r="AS39" s="52">
        <v>0</v>
      </c>
      <c r="AT39" s="52">
        <v>0</v>
      </c>
      <c r="AU39" s="52">
        <v>0</v>
      </c>
      <c r="AV39" s="52">
        <v>0</v>
      </c>
      <c r="AW39" s="52"/>
      <c r="AX39" s="52"/>
      <c r="AY39" s="52"/>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-254.87</v>
      </c>
      <c r="CJ39" s="52">
        <v>-317.05</v>
      </c>
      <c r="CK39" s="52">
        <v>571.91999999999996</v>
      </c>
      <c r="CL39" s="52">
        <v>0</v>
      </c>
      <c r="CM39" s="52">
        <v>0</v>
      </c>
      <c r="CN39" s="52">
        <v>0</v>
      </c>
      <c r="CO39" s="52">
        <v>0</v>
      </c>
      <c r="CP39" s="52">
        <v>0</v>
      </c>
      <c r="CQ39" s="52">
        <v>0</v>
      </c>
      <c r="CR39" s="52">
        <v>0</v>
      </c>
      <c r="CS39" s="52">
        <v>0</v>
      </c>
      <c r="CT39" s="52">
        <v>0</v>
      </c>
      <c r="CU39" s="52">
        <v>0</v>
      </c>
      <c r="CV39" s="430">
        <f t="shared" si="1"/>
        <v>254.86999999999995</v>
      </c>
    </row>
    <row r="40" spans="1:100">
      <c r="A40" s="540" t="str">
        <f t="shared" si="0"/>
        <v>4810004</v>
      </c>
      <c r="B40" s="541" t="s">
        <v>1885</v>
      </c>
      <c r="C40" s="463" t="s">
        <v>975</v>
      </c>
      <c r="D40" s="428">
        <v>-1223.76</v>
      </c>
      <c r="E40" s="428">
        <v>-895.08</v>
      </c>
      <c r="F40" s="428">
        <v>-831.56</v>
      </c>
      <c r="G40" s="428">
        <v>-1021.13</v>
      </c>
      <c r="H40" s="428">
        <v>-997.63</v>
      </c>
      <c r="I40" s="428">
        <v>-924.03</v>
      </c>
      <c r="J40" s="428">
        <v>-886.3</v>
      </c>
      <c r="K40" s="428">
        <v>-899.27</v>
      </c>
      <c r="L40" s="428">
        <v>-839.12</v>
      </c>
      <c r="M40" s="428">
        <v>-867.7</v>
      </c>
      <c r="N40" s="428">
        <v>-774.96</v>
      </c>
      <c r="O40" s="429">
        <v>-986.8</v>
      </c>
      <c r="P40" s="52">
        <v>-893.89</v>
      </c>
      <c r="Q40" s="52">
        <v>-603.83000000000004</v>
      </c>
      <c r="R40" s="52">
        <v>-871.63</v>
      </c>
      <c r="S40" s="52">
        <v>-689.86</v>
      </c>
      <c r="T40" s="52">
        <v>-647.54999999999995</v>
      </c>
      <c r="U40" s="52">
        <v>-1029.8</v>
      </c>
      <c r="V40" s="52">
        <v>-682.48</v>
      </c>
      <c r="W40" s="52">
        <v>-849.22</v>
      </c>
      <c r="X40" s="52">
        <v>-827.66</v>
      </c>
      <c r="Y40" s="52">
        <v>-741.75</v>
      </c>
      <c r="Z40" s="52">
        <v>-696.62</v>
      </c>
      <c r="AA40" s="52">
        <v>-630.73</v>
      </c>
      <c r="AB40" s="52">
        <v>-632.44000000000005</v>
      </c>
      <c r="AC40" s="52">
        <v>-642.4</v>
      </c>
      <c r="AD40" s="52">
        <v>-564.58000000000004</v>
      </c>
      <c r="AE40" s="52">
        <v>-698.32</v>
      </c>
      <c r="AF40" s="52">
        <v>-590.44000000000005</v>
      </c>
      <c r="AG40" s="52">
        <v>-746.49</v>
      </c>
      <c r="AH40" s="52">
        <v>-660.01</v>
      </c>
      <c r="AI40" s="52">
        <v>-643.83000000000004</v>
      </c>
      <c r="AJ40" s="52">
        <v>-682.25</v>
      </c>
      <c r="AK40" s="52">
        <v>-470.05</v>
      </c>
      <c r="AL40" s="52">
        <v>-639.6</v>
      </c>
      <c r="AM40" s="52">
        <v>-702.68</v>
      </c>
      <c r="AN40" s="52">
        <v>-856.46</v>
      </c>
      <c r="AO40" s="52">
        <v>-477.01</v>
      </c>
      <c r="AP40" s="52">
        <v>-532.16999999999996</v>
      </c>
      <c r="AQ40" s="52">
        <v>-547.92999999999995</v>
      </c>
      <c r="AR40" s="52">
        <v>-539.19000000000005</v>
      </c>
      <c r="AS40" s="52">
        <v>-551.30999999999995</v>
      </c>
      <c r="AT40" s="52">
        <v>-568.12</v>
      </c>
      <c r="AU40" s="52">
        <v>-1040.5</v>
      </c>
      <c r="AV40" s="52">
        <v>-469.46</v>
      </c>
      <c r="AW40" s="52">
        <v>-524.49</v>
      </c>
      <c r="AX40" s="52">
        <v>-522.27</v>
      </c>
      <c r="AY40" s="52">
        <v>-466.63</v>
      </c>
      <c r="AZ40" s="52">
        <v>-566.66</v>
      </c>
      <c r="BA40" s="52">
        <v>-384.6</v>
      </c>
      <c r="BB40" s="52">
        <v>-514.36</v>
      </c>
      <c r="BC40" s="52">
        <v>-490.54</v>
      </c>
      <c r="BD40" s="52">
        <v>-473.95</v>
      </c>
      <c r="BE40" s="52">
        <v>-486.51</v>
      </c>
      <c r="BF40" s="52">
        <v>-580.71</v>
      </c>
      <c r="BG40" s="52">
        <v>-590.03</v>
      </c>
      <c r="BH40" s="52">
        <v>-614.64</v>
      </c>
      <c r="BI40" s="52">
        <v>-537.5</v>
      </c>
      <c r="BJ40" s="52">
        <v>-651.32000000000005</v>
      </c>
      <c r="BK40" s="52">
        <v>-594.70000000000005</v>
      </c>
      <c r="BL40" s="52">
        <v>-606.54</v>
      </c>
      <c r="BM40" s="52">
        <v>-531.01</v>
      </c>
      <c r="BN40" s="52">
        <v>-584.5</v>
      </c>
      <c r="BO40" s="52">
        <v>-542.98</v>
      </c>
      <c r="BP40" s="52">
        <v>-503.35</v>
      </c>
      <c r="BQ40" s="52">
        <v>-535.29</v>
      </c>
      <c r="BR40" s="52">
        <v>-493.3</v>
      </c>
      <c r="BS40" s="52">
        <v>-488.14</v>
      </c>
      <c r="BT40" s="52">
        <v>-549.41</v>
      </c>
      <c r="BU40" s="52">
        <v>-431.98</v>
      </c>
      <c r="BV40" s="52">
        <v>-551.88</v>
      </c>
      <c r="BW40" s="52">
        <v>-563.70000000000005</v>
      </c>
      <c r="BX40" s="52">
        <v>-563.61</v>
      </c>
      <c r="BY40" s="52">
        <v>-489.11</v>
      </c>
      <c r="BZ40" s="52">
        <v>-431.48</v>
      </c>
      <c r="CA40" s="52">
        <v>-450.35</v>
      </c>
      <c r="CB40" s="52">
        <v>-465.17</v>
      </c>
      <c r="CC40" s="52">
        <v>-468.61</v>
      </c>
      <c r="CD40" s="52">
        <v>-428.6</v>
      </c>
      <c r="CE40" s="52">
        <v>-428.27</v>
      </c>
      <c r="CF40" s="52">
        <v>-424.01</v>
      </c>
      <c r="CG40" s="52">
        <v>-389.5</v>
      </c>
      <c r="CH40" s="52">
        <v>-405.59</v>
      </c>
      <c r="CI40" s="52">
        <v>-594.28</v>
      </c>
      <c r="CJ40" s="52">
        <v>-1016.44</v>
      </c>
      <c r="CK40" s="52">
        <v>-656.41</v>
      </c>
      <c r="CL40" s="52">
        <v>-887.87</v>
      </c>
      <c r="CM40" s="52">
        <v>-750.47</v>
      </c>
      <c r="CN40" s="52">
        <v>-610.26</v>
      </c>
      <c r="CO40" s="52">
        <v>-706.95</v>
      </c>
      <c r="CP40" s="52">
        <v>-609.53</v>
      </c>
      <c r="CQ40" s="52">
        <v>-659.08</v>
      </c>
      <c r="CR40" s="52">
        <v>-795.86</v>
      </c>
      <c r="CS40" s="52">
        <v>-673.57</v>
      </c>
      <c r="CT40" s="52">
        <v>-825.26</v>
      </c>
      <c r="CU40" s="52">
        <v>-926.59</v>
      </c>
      <c r="CV40" s="430">
        <f t="shared" si="1"/>
        <v>-9118.2899999999991</v>
      </c>
    </row>
    <row r="41" spans="1:100">
      <c r="A41" s="540" t="str">
        <f t="shared" si="0"/>
        <v>4810005</v>
      </c>
      <c r="B41" s="541" t="s">
        <v>1886</v>
      </c>
      <c r="C41" s="463" t="s">
        <v>976</v>
      </c>
      <c r="D41" s="426">
        <v>-6012.12</v>
      </c>
      <c r="E41" s="426">
        <v>-3873.9</v>
      </c>
      <c r="F41" s="426">
        <v>-3411.97</v>
      </c>
      <c r="G41" s="426">
        <v>-4747.46</v>
      </c>
      <c r="H41" s="426">
        <v>-4179.24</v>
      </c>
      <c r="I41" s="426">
        <v>-4193.3100000000004</v>
      </c>
      <c r="J41" s="426">
        <v>-3961.03</v>
      </c>
      <c r="K41" s="426">
        <v>-4113.33</v>
      </c>
      <c r="L41" s="426">
        <v>-3574.25</v>
      </c>
      <c r="M41" s="426">
        <v>-3534.63</v>
      </c>
      <c r="N41" s="426">
        <v>-3022.48</v>
      </c>
      <c r="O41" s="427">
        <v>-3952.95</v>
      </c>
      <c r="P41" s="52">
        <v>-4182.41</v>
      </c>
      <c r="Q41" s="52">
        <v>-2543.2600000000002</v>
      </c>
      <c r="R41" s="52">
        <v>-3125.28</v>
      </c>
      <c r="S41" s="52">
        <v>-2793.83</v>
      </c>
      <c r="T41" s="52">
        <v>-2688.9</v>
      </c>
      <c r="U41" s="52">
        <v>-4440.2299999999996</v>
      </c>
      <c r="V41" s="52">
        <v>-2970.93</v>
      </c>
      <c r="W41" s="52">
        <v>-3789.16</v>
      </c>
      <c r="X41" s="52">
        <v>-3682.59</v>
      </c>
      <c r="Y41" s="52">
        <v>-3059.5</v>
      </c>
      <c r="Z41" s="52">
        <v>-3005.38</v>
      </c>
      <c r="AA41" s="52">
        <v>-2780.39</v>
      </c>
      <c r="AB41" s="52">
        <v>-3113.58</v>
      </c>
      <c r="AC41" s="52">
        <v>-3092.1</v>
      </c>
      <c r="AD41" s="52">
        <v>-2536.88</v>
      </c>
      <c r="AE41" s="52">
        <v>-3295.92</v>
      </c>
      <c r="AF41" s="52">
        <v>-2783.59</v>
      </c>
      <c r="AG41" s="52">
        <v>-3323.88</v>
      </c>
      <c r="AH41" s="52">
        <v>-2887.78</v>
      </c>
      <c r="AI41" s="52">
        <v>-2851.45</v>
      </c>
      <c r="AJ41" s="52">
        <v>-2770.09</v>
      </c>
      <c r="AK41" s="52">
        <v>-1975.55</v>
      </c>
      <c r="AL41" s="52">
        <v>-2479.17</v>
      </c>
      <c r="AM41" s="52">
        <v>-2783.57</v>
      </c>
      <c r="AN41" s="52">
        <v>-3402.35</v>
      </c>
      <c r="AO41" s="52">
        <v>-2093.36</v>
      </c>
      <c r="AP41" s="52">
        <v>-2226.56</v>
      </c>
      <c r="AQ41" s="52">
        <v>-2297.5300000000002</v>
      </c>
      <c r="AR41" s="52">
        <v>-2255.36</v>
      </c>
      <c r="AS41" s="52">
        <v>-2220.77</v>
      </c>
      <c r="AT41" s="52">
        <v>-2403.52</v>
      </c>
      <c r="AU41" s="52">
        <v>-4572.07</v>
      </c>
      <c r="AV41" s="52">
        <v>-2447.54</v>
      </c>
      <c r="AW41" s="52">
        <v>-2525.2399999999998</v>
      </c>
      <c r="AX41" s="52">
        <v>-2511.14</v>
      </c>
      <c r="AY41" s="52">
        <v>-2246.3200000000002</v>
      </c>
      <c r="AZ41" s="52">
        <v>-3085.46</v>
      </c>
      <c r="BA41" s="52">
        <v>-2053.81</v>
      </c>
      <c r="BB41" s="52">
        <v>-2420.75</v>
      </c>
      <c r="BC41" s="52">
        <v>-2344.52</v>
      </c>
      <c r="BD41" s="52">
        <v>-2271.52</v>
      </c>
      <c r="BE41" s="52">
        <v>-2194.54</v>
      </c>
      <c r="BF41" s="52">
        <v>-2678.39</v>
      </c>
      <c r="BG41" s="52">
        <v>-2720.19</v>
      </c>
      <c r="BH41" s="52">
        <v>-2834.77</v>
      </c>
      <c r="BI41" s="52">
        <v>-2257.94</v>
      </c>
      <c r="BJ41" s="52">
        <v>-2832.69</v>
      </c>
      <c r="BK41" s="52">
        <v>-2579.9</v>
      </c>
      <c r="BL41" s="52">
        <v>-3015.16</v>
      </c>
      <c r="BM41" s="52">
        <v>-2593.54</v>
      </c>
      <c r="BN41" s="52">
        <v>-3131.62</v>
      </c>
      <c r="BO41" s="52">
        <v>-3189.55</v>
      </c>
      <c r="BP41" s="52">
        <v>-2851.94</v>
      </c>
      <c r="BQ41" s="52">
        <v>-3017.86</v>
      </c>
      <c r="BR41" s="52">
        <v>-2794.82</v>
      </c>
      <c r="BS41" s="52">
        <v>-2150.84</v>
      </c>
      <c r="BT41" s="52">
        <v>-2638.8</v>
      </c>
      <c r="BU41" s="52">
        <v>-2094.42</v>
      </c>
      <c r="BV41" s="52">
        <v>-2637.35</v>
      </c>
      <c r="BW41" s="52">
        <v>-2720.7</v>
      </c>
      <c r="BX41" s="52">
        <v>-2708.26</v>
      </c>
      <c r="BY41" s="52">
        <v>-2140.2199999999998</v>
      </c>
      <c r="BZ41" s="52">
        <v>-1847.23</v>
      </c>
      <c r="CA41" s="52">
        <v>-1961.92</v>
      </c>
      <c r="CB41" s="52">
        <v>-2019.11</v>
      </c>
      <c r="CC41" s="52">
        <v>-2039.49</v>
      </c>
      <c r="CD41" s="52">
        <v>-1875.27</v>
      </c>
      <c r="CE41" s="52">
        <v>-1862.61</v>
      </c>
      <c r="CF41" s="52">
        <v>-1848.73</v>
      </c>
      <c r="CG41" s="52">
        <v>-1869.24</v>
      </c>
      <c r="CH41" s="52">
        <v>-2040.99</v>
      </c>
      <c r="CI41" s="52">
        <v>-3054.72</v>
      </c>
      <c r="CJ41" s="52">
        <v>-2827.85</v>
      </c>
      <c r="CK41" s="52">
        <v>-2184.65</v>
      </c>
      <c r="CL41" s="52">
        <v>-3524.35</v>
      </c>
      <c r="CM41" s="52">
        <v>-2857.97</v>
      </c>
      <c r="CN41" s="52">
        <v>-2330.62</v>
      </c>
      <c r="CO41" s="52">
        <v>-2685.05</v>
      </c>
      <c r="CP41" s="52">
        <v>-2323.9699999999998</v>
      </c>
      <c r="CQ41" s="52">
        <v>-2508.33</v>
      </c>
      <c r="CR41" s="52">
        <v>-3025.79</v>
      </c>
      <c r="CS41" s="52">
        <v>-2559.4</v>
      </c>
      <c r="CT41" s="52">
        <v>-3135.75</v>
      </c>
      <c r="CU41" s="52">
        <v>-3524.3</v>
      </c>
      <c r="CV41" s="430">
        <f t="shared" si="1"/>
        <v>-33488.030000000006</v>
      </c>
    </row>
    <row r="42" spans="1:100">
      <c r="A42" s="540" t="str">
        <f t="shared" si="0"/>
        <v>4810008</v>
      </c>
      <c r="B42" s="541" t="s">
        <v>1887</v>
      </c>
      <c r="C42" s="463" t="s">
        <v>977</v>
      </c>
      <c r="D42" s="428">
        <v>-427744.7</v>
      </c>
      <c r="E42" s="428">
        <v>-428746.82</v>
      </c>
      <c r="F42" s="428">
        <v>-347089.15</v>
      </c>
      <c r="G42" s="428">
        <v>-338523.72</v>
      </c>
      <c r="H42" s="428">
        <v>-314767.2</v>
      </c>
      <c r="I42" s="428">
        <v>-313600.05</v>
      </c>
      <c r="J42" s="428">
        <v>-298277.83</v>
      </c>
      <c r="K42" s="428">
        <v>-285995.21000000002</v>
      </c>
      <c r="L42" s="428">
        <v>-307859.01</v>
      </c>
      <c r="M42" s="428">
        <v>-303123.42</v>
      </c>
      <c r="N42" s="428">
        <v>-316036.01</v>
      </c>
      <c r="O42" s="429">
        <v>-371777.26</v>
      </c>
      <c r="P42" s="52">
        <v>-379536.13</v>
      </c>
      <c r="Q42" s="52">
        <v>-393481.42</v>
      </c>
      <c r="R42" s="52">
        <v>-376548.02</v>
      </c>
      <c r="S42" s="52">
        <v>-305252.15999999997</v>
      </c>
      <c r="T42" s="52">
        <v>-287186.7</v>
      </c>
      <c r="U42" s="52">
        <v>-313191.09000000003</v>
      </c>
      <c r="V42" s="52">
        <v>-286111.53000000003</v>
      </c>
      <c r="W42" s="52">
        <v>-296212.45</v>
      </c>
      <c r="X42" s="52">
        <v>-287623.42</v>
      </c>
      <c r="Y42" s="52">
        <v>-301128.14</v>
      </c>
      <c r="Z42" s="52">
        <v>-307092.65000000002</v>
      </c>
      <c r="AA42" s="52">
        <v>-331046.71000000002</v>
      </c>
      <c r="AB42" s="52">
        <v>-370625.01</v>
      </c>
      <c r="AC42" s="52">
        <v>-396280.57</v>
      </c>
      <c r="AD42" s="52">
        <v>-342217.73</v>
      </c>
      <c r="AE42" s="52">
        <v>-310966.46000000002</v>
      </c>
      <c r="AF42" s="52">
        <v>-302101.56</v>
      </c>
      <c r="AG42" s="52">
        <v>-294726.39</v>
      </c>
      <c r="AH42" s="52">
        <v>-275789.51</v>
      </c>
      <c r="AI42" s="52">
        <v>-278852.92</v>
      </c>
      <c r="AJ42" s="52">
        <v>-285377.42</v>
      </c>
      <c r="AK42" s="52">
        <v>-283351.03000000003</v>
      </c>
      <c r="AL42" s="52">
        <v>-299486.63</v>
      </c>
      <c r="AM42" s="52">
        <v>-327259.45</v>
      </c>
      <c r="AN42" s="52">
        <v>-342734.97</v>
      </c>
      <c r="AO42" s="52">
        <v>-329356.28000000003</v>
      </c>
      <c r="AP42" s="52">
        <v>-317465.06</v>
      </c>
      <c r="AQ42" s="52">
        <v>-311636.75</v>
      </c>
      <c r="AR42" s="52">
        <v>-290823.56</v>
      </c>
      <c r="AS42" s="52">
        <v>-283622.63</v>
      </c>
      <c r="AT42" s="52">
        <v>-277801.33</v>
      </c>
      <c r="AU42" s="52">
        <v>-278660.19</v>
      </c>
      <c r="AV42" s="52">
        <v>-386631.9</v>
      </c>
      <c r="AW42" s="52">
        <v>-164067.74</v>
      </c>
      <c r="AX42" s="52">
        <v>-343144.76</v>
      </c>
      <c r="AY42" s="52">
        <v>-361844.38</v>
      </c>
      <c r="AZ42" s="52">
        <v>-460618.68</v>
      </c>
      <c r="BA42" s="52">
        <v>-390713.59999999998</v>
      </c>
      <c r="BB42" s="52">
        <v>-304618.46999999997</v>
      </c>
      <c r="BC42" s="52">
        <v>-335179.86</v>
      </c>
      <c r="BD42" s="52">
        <v>-289866.95</v>
      </c>
      <c r="BE42" s="52">
        <v>-293450.18</v>
      </c>
      <c r="BF42" s="52">
        <v>-289550.89</v>
      </c>
      <c r="BG42" s="52">
        <v>-281826.5</v>
      </c>
      <c r="BH42" s="52">
        <v>-307560.73</v>
      </c>
      <c r="BI42" s="52">
        <v>-302892.65999999997</v>
      </c>
      <c r="BJ42" s="52">
        <v>-310698.96999999997</v>
      </c>
      <c r="BK42" s="52">
        <v>-319591.28999999998</v>
      </c>
      <c r="BL42" s="52">
        <v>-337807.41</v>
      </c>
      <c r="BM42" s="52">
        <v>-339255.68</v>
      </c>
      <c r="BN42" s="52">
        <v>-320061.96999999997</v>
      </c>
      <c r="BO42" s="52">
        <v>-302594.5</v>
      </c>
      <c r="BP42" s="52">
        <v>-290821.34999999998</v>
      </c>
      <c r="BQ42" s="52">
        <v>-280405.56</v>
      </c>
      <c r="BR42" s="52">
        <v>-249484.19</v>
      </c>
      <c r="BS42" s="52">
        <v>-261198.44</v>
      </c>
      <c r="BT42" s="52">
        <v>-276743.15999999997</v>
      </c>
      <c r="BU42" s="52">
        <v>-254104.24</v>
      </c>
      <c r="BV42" s="52">
        <v>-288688.33</v>
      </c>
      <c r="BW42" s="52">
        <v>-299825.84999999998</v>
      </c>
      <c r="BX42" s="52">
        <v>-324960.31</v>
      </c>
      <c r="BY42" s="52">
        <v>-318712.65000000002</v>
      </c>
      <c r="BZ42" s="52">
        <v>-294312.67</v>
      </c>
      <c r="CA42" s="52">
        <v>-253074.24</v>
      </c>
      <c r="CB42" s="52">
        <v>-249669.54</v>
      </c>
      <c r="CC42" s="52">
        <v>-267683.61</v>
      </c>
      <c r="CD42" s="52">
        <v>-253659.68</v>
      </c>
      <c r="CE42" s="52">
        <v>-259222.72</v>
      </c>
      <c r="CF42" s="52">
        <v>-254430.45</v>
      </c>
      <c r="CG42" s="52">
        <v>-263651.67</v>
      </c>
      <c r="CH42" s="52">
        <v>-274490.99</v>
      </c>
      <c r="CI42" s="52">
        <v>-312427.46000000002</v>
      </c>
      <c r="CJ42" s="52">
        <v>-456030.56</v>
      </c>
      <c r="CK42" s="52">
        <v>-382644.42</v>
      </c>
      <c r="CL42" s="52">
        <v>-376886.3</v>
      </c>
      <c r="CM42" s="52">
        <v>-367759.69</v>
      </c>
      <c r="CN42" s="52">
        <v>-339393.39</v>
      </c>
      <c r="CO42" s="52">
        <v>-335028.46999999997</v>
      </c>
      <c r="CP42" s="52">
        <v>-342380.14</v>
      </c>
      <c r="CQ42" s="52">
        <v>-333261.81</v>
      </c>
      <c r="CR42" s="52">
        <v>-470327.86</v>
      </c>
      <c r="CS42" s="52">
        <v>-176321.15</v>
      </c>
      <c r="CT42" s="52">
        <v>-398309.61</v>
      </c>
      <c r="CU42" s="52">
        <v>-405643.61</v>
      </c>
      <c r="CV42" s="430">
        <f t="shared" si="1"/>
        <v>-4383987.01</v>
      </c>
    </row>
    <row r="43" spans="1:100">
      <c r="A43" s="540" t="str">
        <f t="shared" si="0"/>
        <v>4810009</v>
      </c>
      <c r="B43" s="541" t="s">
        <v>1888</v>
      </c>
      <c r="C43" s="463" t="s">
        <v>978</v>
      </c>
      <c r="D43" s="426">
        <v>-629383.47</v>
      </c>
      <c r="E43" s="426">
        <v>-571235.17000000004</v>
      </c>
      <c r="F43" s="426">
        <v>-349287.87</v>
      </c>
      <c r="G43" s="426">
        <v>-380897.29</v>
      </c>
      <c r="H43" s="426">
        <v>-286213.93</v>
      </c>
      <c r="I43" s="426">
        <v>-309521.48</v>
      </c>
      <c r="J43" s="426">
        <v>-262200.7</v>
      </c>
      <c r="K43" s="426">
        <v>-242344.32000000001</v>
      </c>
      <c r="L43" s="426">
        <v>-279383.25</v>
      </c>
      <c r="M43" s="426">
        <v>-256871.96</v>
      </c>
      <c r="N43" s="426">
        <v>-274988.96999999997</v>
      </c>
      <c r="O43" s="427">
        <v>-403439.88</v>
      </c>
      <c r="P43" s="52">
        <v>-490375.53</v>
      </c>
      <c r="Q43" s="52">
        <v>-479035.44</v>
      </c>
      <c r="R43" s="52">
        <v>-369641.49</v>
      </c>
      <c r="S43" s="52">
        <v>-266559.95</v>
      </c>
      <c r="T43" s="52">
        <v>-232094.13</v>
      </c>
      <c r="U43" s="52">
        <v>-306542.5</v>
      </c>
      <c r="V43" s="52">
        <v>-230818.1</v>
      </c>
      <c r="W43" s="52">
        <v>-268749.94</v>
      </c>
      <c r="X43" s="52">
        <v>-250878.91</v>
      </c>
      <c r="Y43" s="52">
        <v>-260509.42</v>
      </c>
      <c r="Z43" s="52">
        <v>-296656.43</v>
      </c>
      <c r="AA43" s="52">
        <v>-345059.66</v>
      </c>
      <c r="AB43" s="52">
        <v>-497628.94</v>
      </c>
      <c r="AC43" s="52">
        <v>-558925.14</v>
      </c>
      <c r="AD43" s="52">
        <v>-385935.3</v>
      </c>
      <c r="AE43" s="52">
        <v>-337242.17</v>
      </c>
      <c r="AF43" s="52">
        <v>-308389.77</v>
      </c>
      <c r="AG43" s="52">
        <v>-276275.78000000003</v>
      </c>
      <c r="AH43" s="52">
        <v>-214287.78</v>
      </c>
      <c r="AI43" s="52">
        <v>-232312.45</v>
      </c>
      <c r="AJ43" s="52">
        <v>-229622.29</v>
      </c>
      <c r="AK43" s="52">
        <v>-230542.13</v>
      </c>
      <c r="AL43" s="52">
        <v>-251110.26</v>
      </c>
      <c r="AM43" s="52">
        <v>-314360.86</v>
      </c>
      <c r="AN43" s="52">
        <v>-355604.84</v>
      </c>
      <c r="AO43" s="52">
        <v>-347577.44</v>
      </c>
      <c r="AP43" s="52">
        <v>-313369.46000000002</v>
      </c>
      <c r="AQ43" s="52">
        <v>-305029.25</v>
      </c>
      <c r="AR43" s="52">
        <v>-251933.59</v>
      </c>
      <c r="AS43" s="52">
        <v>-229440.06</v>
      </c>
      <c r="AT43" s="52">
        <v>-215646.46</v>
      </c>
      <c r="AU43" s="52">
        <v>-239618.81</v>
      </c>
      <c r="AV43" s="52">
        <v>-541916.64</v>
      </c>
      <c r="AW43" s="52">
        <v>46926.53</v>
      </c>
      <c r="AX43" s="52">
        <v>-418441.59</v>
      </c>
      <c r="AY43" s="52">
        <v>-455906.44</v>
      </c>
      <c r="AZ43" s="52">
        <v>-811729.77</v>
      </c>
      <c r="BA43" s="52">
        <v>-606627.83999999997</v>
      </c>
      <c r="BB43" s="52">
        <v>-307416.95</v>
      </c>
      <c r="BC43" s="52">
        <v>-406831.82</v>
      </c>
      <c r="BD43" s="52">
        <v>-288257.63</v>
      </c>
      <c r="BE43" s="52">
        <v>-277192.25</v>
      </c>
      <c r="BF43" s="52">
        <v>-264752.46999999997</v>
      </c>
      <c r="BG43" s="52">
        <v>-252849.31</v>
      </c>
      <c r="BH43" s="52">
        <v>-316054.86</v>
      </c>
      <c r="BI43" s="52">
        <v>-281837.68</v>
      </c>
      <c r="BJ43" s="52">
        <v>-309509.2</v>
      </c>
      <c r="BK43" s="52">
        <v>-333702.94</v>
      </c>
      <c r="BL43" s="52">
        <v>-462712.08</v>
      </c>
      <c r="BM43" s="52">
        <v>-452040.11</v>
      </c>
      <c r="BN43" s="52">
        <v>-444503.92</v>
      </c>
      <c r="BO43" s="52">
        <v>-430016.99</v>
      </c>
      <c r="BP43" s="52">
        <v>-373860.01</v>
      </c>
      <c r="BQ43" s="52">
        <v>-352727.63</v>
      </c>
      <c r="BR43" s="52">
        <v>-258467.51</v>
      </c>
      <c r="BS43" s="52">
        <v>-227121.95</v>
      </c>
      <c r="BT43" s="52">
        <v>-286168.46000000002</v>
      </c>
      <c r="BU43" s="52">
        <v>-230887.63</v>
      </c>
      <c r="BV43" s="52">
        <v>-320531.32</v>
      </c>
      <c r="BW43" s="52">
        <v>-352382.59</v>
      </c>
      <c r="BX43" s="52">
        <v>-407826.69</v>
      </c>
      <c r="BY43" s="52">
        <v>-372106.28</v>
      </c>
      <c r="BZ43" s="52">
        <v>-303060.34000000003</v>
      </c>
      <c r="CA43" s="52">
        <v>-211291.28</v>
      </c>
      <c r="CB43" s="52">
        <v>-200168.6</v>
      </c>
      <c r="CC43" s="52">
        <v>-243330.7</v>
      </c>
      <c r="CD43" s="52">
        <v>-211906.81</v>
      </c>
      <c r="CE43" s="52">
        <v>-222282.64</v>
      </c>
      <c r="CF43" s="52">
        <v>-208996.44</v>
      </c>
      <c r="CG43" s="52">
        <v>-255967.33</v>
      </c>
      <c r="CH43" s="52">
        <v>-301029.96000000002</v>
      </c>
      <c r="CI43" s="52">
        <v>-416799.47</v>
      </c>
      <c r="CJ43" s="52">
        <v>-468534.66</v>
      </c>
      <c r="CK43" s="52">
        <v>-393033.29</v>
      </c>
      <c r="CL43" s="52">
        <v>-463685.05</v>
      </c>
      <c r="CM43" s="52">
        <v>-412246.02</v>
      </c>
      <c r="CN43" s="52">
        <v>-340158.92</v>
      </c>
      <c r="CO43" s="52">
        <v>-327697.23</v>
      </c>
      <c r="CP43" s="52">
        <v>-296359.56</v>
      </c>
      <c r="CQ43" s="52">
        <v>-287366.76</v>
      </c>
      <c r="CR43" s="52">
        <v>-654062.79</v>
      </c>
      <c r="CS43" s="52">
        <v>123257.36</v>
      </c>
      <c r="CT43" s="52">
        <v>-457334.98</v>
      </c>
      <c r="CU43" s="52">
        <v>-475629.01</v>
      </c>
      <c r="CV43" s="430">
        <f t="shared" si="1"/>
        <v>-4452850.91</v>
      </c>
    </row>
    <row r="44" spans="1:100">
      <c r="A44" s="540" t="str">
        <f>+B44</f>
        <v>4810033</v>
      </c>
      <c r="B44" s="541" t="s">
        <v>2378</v>
      </c>
      <c r="C44" s="463" t="s">
        <v>2379</v>
      </c>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v>0</v>
      </c>
      <c r="BV44" s="52">
        <v>-149.66999999999999</v>
      </c>
      <c r="BW44" s="52">
        <v>-36.51</v>
      </c>
      <c r="BX44" s="52">
        <v>-45</v>
      </c>
      <c r="BY44" s="52">
        <v>-64.040000000000006</v>
      </c>
      <c r="BZ44" s="52">
        <v>-73.47</v>
      </c>
      <c r="CA44" s="52">
        <v>-70.2</v>
      </c>
      <c r="CB44" s="52">
        <v>-85.66</v>
      </c>
      <c r="CC44" s="52">
        <v>-102.72</v>
      </c>
      <c r="CD44" s="52">
        <v>-92.06</v>
      </c>
      <c r="CE44" s="52">
        <v>-107.64</v>
      </c>
      <c r="CF44" s="52">
        <v>-94.82</v>
      </c>
      <c r="CG44" s="52">
        <v>-85.57</v>
      </c>
      <c r="CH44" s="52">
        <v>-113.73</v>
      </c>
      <c r="CI44" s="52">
        <v>-76.260000000000005</v>
      </c>
      <c r="CJ44" s="52">
        <v>-50.27</v>
      </c>
      <c r="CK44" s="52">
        <v>-58.02</v>
      </c>
      <c r="CL44" s="52">
        <v>-68.569999999999993</v>
      </c>
      <c r="CM44" s="52">
        <v>-75.09</v>
      </c>
      <c r="CN44" s="52">
        <v>-88.39</v>
      </c>
      <c r="CO44" s="52">
        <v>-110.56</v>
      </c>
      <c r="CP44" s="52">
        <v>-118.38</v>
      </c>
      <c r="CQ44" s="52">
        <v>-103.83</v>
      </c>
      <c r="CR44" s="52">
        <v>-74.66</v>
      </c>
      <c r="CS44" s="52">
        <v>-79.86</v>
      </c>
      <c r="CT44" s="52">
        <v>-45</v>
      </c>
      <c r="CU44" s="52">
        <v>-60.43</v>
      </c>
      <c r="CV44" s="430">
        <f t="shared" si="1"/>
        <v>-933.06</v>
      </c>
    </row>
    <row r="45" spans="1:100">
      <c r="A45" s="540" t="str">
        <f>+B45</f>
        <v>4810034</v>
      </c>
      <c r="B45" s="541" t="s">
        <v>2380</v>
      </c>
      <c r="C45" s="463" t="s">
        <v>2381</v>
      </c>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v>0</v>
      </c>
      <c r="BV45" s="52">
        <v>0</v>
      </c>
      <c r="BW45" s="52">
        <v>-14.03</v>
      </c>
      <c r="BX45" s="52">
        <v>-51.55</v>
      </c>
      <c r="BY45" s="52">
        <v>-127.26</v>
      </c>
      <c r="BZ45" s="52">
        <v>-160.09</v>
      </c>
      <c r="CA45" s="52">
        <v>-147.06</v>
      </c>
      <c r="CB45" s="52">
        <v>-209.31</v>
      </c>
      <c r="CC45" s="52">
        <v>-282.89999999999998</v>
      </c>
      <c r="CD45" s="52">
        <v>-238.63</v>
      </c>
      <c r="CE45" s="52">
        <v>-297.01</v>
      </c>
      <c r="CF45" s="52">
        <v>-233.76</v>
      </c>
      <c r="CG45" s="52">
        <v>-221.59</v>
      </c>
      <c r="CH45" s="52">
        <v>-212.04</v>
      </c>
      <c r="CI45" s="52">
        <v>-45.51</v>
      </c>
      <c r="CJ45" s="52">
        <v>-24.49</v>
      </c>
      <c r="CK45" s="52">
        <v>-60.46</v>
      </c>
      <c r="CL45" s="52">
        <v>-125.84</v>
      </c>
      <c r="CM45" s="52">
        <v>-160.71</v>
      </c>
      <c r="CN45" s="52">
        <v>-231.69</v>
      </c>
      <c r="CO45" s="52">
        <v>-350.1</v>
      </c>
      <c r="CP45" s="52">
        <v>-391.87</v>
      </c>
      <c r="CQ45" s="52">
        <v>-314.19</v>
      </c>
      <c r="CR45" s="52">
        <v>-158.4</v>
      </c>
      <c r="CS45" s="52">
        <v>-186.15</v>
      </c>
      <c r="CT45" s="52">
        <v>0</v>
      </c>
      <c r="CU45" s="52">
        <v>-82.39</v>
      </c>
      <c r="CV45" s="430">
        <f t="shared" si="1"/>
        <v>-2086.2900000000004</v>
      </c>
    </row>
    <row r="46" spans="1:100">
      <c r="A46" s="540" t="str">
        <f t="shared" si="0"/>
        <v>4810035</v>
      </c>
      <c r="B46" s="541" t="s">
        <v>1889</v>
      </c>
      <c r="C46" s="463" t="s">
        <v>979</v>
      </c>
      <c r="D46" s="428">
        <v>-33578.800000000003</v>
      </c>
      <c r="E46" s="428">
        <v>-31810.82</v>
      </c>
      <c r="F46" s="428">
        <v>-31323.78</v>
      </c>
      <c r="G46" s="428">
        <v>-31677.81</v>
      </c>
      <c r="H46" s="428">
        <v>-31438.35</v>
      </c>
      <c r="I46" s="428">
        <v>-30803.64</v>
      </c>
      <c r="J46" s="428">
        <v>-32243.88</v>
      </c>
      <c r="K46" s="428">
        <v>-31380.44</v>
      </c>
      <c r="L46" s="428">
        <v>-31160.62</v>
      </c>
      <c r="M46" s="428">
        <v>-30457.47</v>
      </c>
      <c r="N46" s="428">
        <v>-30982.69</v>
      </c>
      <c r="O46" s="429">
        <v>-31372.91</v>
      </c>
      <c r="P46" s="52">
        <v>-31809.23</v>
      </c>
      <c r="Q46" s="52">
        <v>-31830.42</v>
      </c>
      <c r="R46" s="52">
        <v>-32285.08</v>
      </c>
      <c r="S46" s="52">
        <v>-31753.91</v>
      </c>
      <c r="T46" s="52">
        <v>-31318.63</v>
      </c>
      <c r="U46" s="52">
        <v>-31992.89</v>
      </c>
      <c r="V46" s="52">
        <v>-30732.89</v>
      </c>
      <c r="W46" s="52">
        <v>-31388.35</v>
      </c>
      <c r="X46" s="52">
        <v>-33162.11</v>
      </c>
      <c r="Y46" s="52">
        <v>-34703.97</v>
      </c>
      <c r="Z46" s="52">
        <v>-30137.3</v>
      </c>
      <c r="AA46" s="52">
        <v>-30453.96</v>
      </c>
      <c r="AB46" s="52">
        <v>-33282.14</v>
      </c>
      <c r="AC46" s="52">
        <v>-30803.040000000001</v>
      </c>
      <c r="AD46" s="52">
        <v>-29854.06</v>
      </c>
      <c r="AE46" s="52">
        <v>-30220.18</v>
      </c>
      <c r="AF46" s="52">
        <v>-31544.959999999999</v>
      </c>
      <c r="AG46" s="52">
        <v>-35991.660000000003</v>
      </c>
      <c r="AH46" s="52">
        <v>-30360.26</v>
      </c>
      <c r="AI46" s="52">
        <v>-31706.720000000001</v>
      </c>
      <c r="AJ46" s="52">
        <v>-31537.16</v>
      </c>
      <c r="AK46" s="52">
        <v>-30974.74</v>
      </c>
      <c r="AL46" s="52">
        <v>-30374</v>
      </c>
      <c r="AM46" s="52">
        <v>-30283.3</v>
      </c>
      <c r="AN46" s="52">
        <v>-29767.67</v>
      </c>
      <c r="AO46" s="52">
        <v>-30246.73</v>
      </c>
      <c r="AP46" s="52">
        <v>-30316.16</v>
      </c>
      <c r="AQ46" s="52">
        <v>-30224.94</v>
      </c>
      <c r="AR46" s="52">
        <v>-30215.66</v>
      </c>
      <c r="AS46" s="52">
        <v>-30509.49</v>
      </c>
      <c r="AT46" s="52">
        <v>-30247.07</v>
      </c>
      <c r="AU46" s="52">
        <v>-31082.49</v>
      </c>
      <c r="AV46" s="52">
        <v>-40314.57</v>
      </c>
      <c r="AW46" s="52">
        <v>-42276.42</v>
      </c>
      <c r="AX46" s="52">
        <v>-42406.55</v>
      </c>
      <c r="AY46" s="52">
        <v>-31622.51</v>
      </c>
      <c r="AZ46" s="52">
        <v>-32297.360000000001</v>
      </c>
      <c r="BA46" s="52">
        <v>-33184.519999999997</v>
      </c>
      <c r="BB46" s="52">
        <v>-33816.36</v>
      </c>
      <c r="BC46" s="52">
        <v>-31785.86</v>
      </c>
      <c r="BD46" s="52">
        <v>-31545.69</v>
      </c>
      <c r="BE46" s="52">
        <v>-32872.239999999998</v>
      </c>
      <c r="BF46" s="52">
        <v>-31708.03</v>
      </c>
      <c r="BG46" s="52">
        <v>-32027.91</v>
      </c>
      <c r="BH46" s="52">
        <v>-33220.21</v>
      </c>
      <c r="BI46" s="52">
        <v>-32810.480000000003</v>
      </c>
      <c r="BJ46" s="52">
        <v>-37515.42</v>
      </c>
      <c r="BK46" s="52">
        <v>-35524.43</v>
      </c>
      <c r="BL46" s="52">
        <v>-32288.67</v>
      </c>
      <c r="BM46" s="52">
        <v>-31027.67</v>
      </c>
      <c r="BN46" s="52">
        <v>-31742.880000000001</v>
      </c>
      <c r="BO46" s="52">
        <v>-32776.71</v>
      </c>
      <c r="BP46" s="52">
        <v>-31696.38</v>
      </c>
      <c r="BQ46" s="52">
        <v>-31617.46</v>
      </c>
      <c r="BR46" s="52">
        <v>-32326.13</v>
      </c>
      <c r="BS46" s="52">
        <v>-32170.99</v>
      </c>
      <c r="BT46" s="52">
        <v>-34513.69</v>
      </c>
      <c r="BU46" s="52">
        <v>-35577.269999999997</v>
      </c>
      <c r="BV46" s="52">
        <v>-35289.870000000003</v>
      </c>
      <c r="BW46" s="52">
        <v>-35345.870000000003</v>
      </c>
      <c r="BX46" s="52">
        <v>-34910.050000000003</v>
      </c>
      <c r="BY46" s="52">
        <v>-35994.39</v>
      </c>
      <c r="BZ46" s="52">
        <v>-35953.449999999997</v>
      </c>
      <c r="CA46" s="52">
        <v>-34022.639999999999</v>
      </c>
      <c r="CB46" s="52">
        <v>-33264.519999999997</v>
      </c>
      <c r="CC46" s="52">
        <v>-34566.839999999997</v>
      </c>
      <c r="CD46" s="52">
        <v>-34208.46</v>
      </c>
      <c r="CE46" s="52">
        <v>-34551.96</v>
      </c>
      <c r="CF46" s="52">
        <v>-34661.839999999997</v>
      </c>
      <c r="CG46" s="52">
        <v>-35552.300000000003</v>
      </c>
      <c r="CH46" s="52">
        <v>-36038.29</v>
      </c>
      <c r="CI46" s="52">
        <v>-35661.69</v>
      </c>
      <c r="CJ46" s="52">
        <v>-49657.19</v>
      </c>
      <c r="CK46" s="52">
        <v>-48347.05</v>
      </c>
      <c r="CL46" s="52">
        <v>-49743.46</v>
      </c>
      <c r="CM46" s="52">
        <v>-49420.26</v>
      </c>
      <c r="CN46" s="52">
        <v>-48063.519999999997</v>
      </c>
      <c r="CO46" s="52">
        <v>-49764.92</v>
      </c>
      <c r="CP46" s="52">
        <v>-47157.35</v>
      </c>
      <c r="CQ46" s="52">
        <v>-48443.199999999997</v>
      </c>
      <c r="CR46" s="52">
        <v>-48899.53</v>
      </c>
      <c r="CS46" s="52">
        <v>-49523.45</v>
      </c>
      <c r="CT46" s="52">
        <v>-50595.53</v>
      </c>
      <c r="CU46" s="52">
        <v>-49034.63</v>
      </c>
      <c r="CV46" s="430">
        <f t="shared" si="1"/>
        <v>-588650.09</v>
      </c>
    </row>
    <row r="47" spans="1:100">
      <c r="A47" s="540" t="str">
        <f t="shared" si="0"/>
        <v>4810036</v>
      </c>
      <c r="B47" s="541" t="s">
        <v>1890</v>
      </c>
      <c r="C47" s="463" t="s">
        <v>980</v>
      </c>
      <c r="D47" s="426">
        <v>-8497.65</v>
      </c>
      <c r="E47" s="426">
        <v>-7445.92</v>
      </c>
      <c r="F47" s="426">
        <v>-6342.15</v>
      </c>
      <c r="G47" s="426">
        <v>-7047.43</v>
      </c>
      <c r="H47" s="426">
        <v>-5749.5</v>
      </c>
      <c r="I47" s="426">
        <v>-6608.48</v>
      </c>
      <c r="J47" s="426">
        <v>-8919.74</v>
      </c>
      <c r="K47" s="426">
        <v>-7053.2</v>
      </c>
      <c r="L47" s="426">
        <v>-6922.81</v>
      </c>
      <c r="M47" s="426">
        <v>-4944.2299999999996</v>
      </c>
      <c r="N47" s="426">
        <v>-5135.38</v>
      </c>
      <c r="O47" s="427">
        <v>-5722.67</v>
      </c>
      <c r="P47" s="52">
        <v>-7486.43</v>
      </c>
      <c r="Q47" s="52">
        <v>-7031.26</v>
      </c>
      <c r="R47" s="52">
        <v>-6370</v>
      </c>
      <c r="S47" s="52">
        <v>-6566.88</v>
      </c>
      <c r="T47" s="52">
        <v>-5949.62</v>
      </c>
      <c r="U47" s="52">
        <v>-7198.06</v>
      </c>
      <c r="V47" s="52">
        <v>-4298.22</v>
      </c>
      <c r="W47" s="52">
        <v>-5459.77</v>
      </c>
      <c r="X47" s="52">
        <v>-11717.28</v>
      </c>
      <c r="Y47" s="52">
        <v>-6730.51</v>
      </c>
      <c r="Z47" s="52">
        <v>-5751.63</v>
      </c>
      <c r="AA47" s="52">
        <v>-4599.1000000000004</v>
      </c>
      <c r="AB47" s="52">
        <v>-13917.34</v>
      </c>
      <c r="AC47" s="52">
        <v>-7155.62</v>
      </c>
      <c r="AD47" s="52">
        <v>-4967.62</v>
      </c>
      <c r="AE47" s="52">
        <v>-6455.74</v>
      </c>
      <c r="AF47" s="52">
        <v>-9266.99</v>
      </c>
      <c r="AG47" s="52">
        <v>-12763.13</v>
      </c>
      <c r="AH47" s="52">
        <v>-6185.13</v>
      </c>
      <c r="AI47" s="52">
        <v>-7719.86</v>
      </c>
      <c r="AJ47" s="52">
        <v>-8944.44</v>
      </c>
      <c r="AK47" s="52">
        <v>-6525.97</v>
      </c>
      <c r="AL47" s="52">
        <v>-5156.84</v>
      </c>
      <c r="AM47" s="52">
        <v>-3988.99</v>
      </c>
      <c r="AN47" s="52">
        <v>-4137.57</v>
      </c>
      <c r="AO47" s="52">
        <v>-5592.35</v>
      </c>
      <c r="AP47" s="52">
        <v>-4999.3599999999997</v>
      </c>
      <c r="AQ47" s="52">
        <v>-6690.22</v>
      </c>
      <c r="AR47" s="52">
        <v>-4745.29</v>
      </c>
      <c r="AS47" s="52">
        <v>-5263.11</v>
      </c>
      <c r="AT47" s="52">
        <v>-7425.33</v>
      </c>
      <c r="AU47" s="52">
        <v>-6868.21</v>
      </c>
      <c r="AV47" s="52">
        <v>-33758.53</v>
      </c>
      <c r="AW47" s="52">
        <v>-41459.57</v>
      </c>
      <c r="AX47" s="52">
        <v>-39413.58</v>
      </c>
      <c r="AY47" s="52">
        <v>-6321.98</v>
      </c>
      <c r="AZ47" s="52">
        <v>-9112.17</v>
      </c>
      <c r="BA47" s="52">
        <v>-13370.81</v>
      </c>
      <c r="BB47" s="52">
        <v>-12282.37</v>
      </c>
      <c r="BC47" s="52">
        <v>-8131.96</v>
      </c>
      <c r="BD47" s="52">
        <v>-10203.75</v>
      </c>
      <c r="BE47" s="52">
        <v>-10526.12</v>
      </c>
      <c r="BF47" s="52">
        <v>-6183.54</v>
      </c>
      <c r="BG47" s="52">
        <v>-7128.79</v>
      </c>
      <c r="BH47" s="52">
        <v>-8504.6299999999992</v>
      </c>
      <c r="BI47" s="52">
        <v>-8146.05</v>
      </c>
      <c r="BJ47" s="52">
        <v>-19448.18</v>
      </c>
      <c r="BK47" s="52">
        <v>-10254.52</v>
      </c>
      <c r="BL47" s="52">
        <v>-10012.11</v>
      </c>
      <c r="BM47" s="52">
        <v>-10148.959999999999</v>
      </c>
      <c r="BN47" s="52">
        <v>-11130.13</v>
      </c>
      <c r="BO47" s="52">
        <v>-11415.81</v>
      </c>
      <c r="BP47" s="52">
        <v>-11693.3</v>
      </c>
      <c r="BQ47" s="52">
        <v>-10564.4</v>
      </c>
      <c r="BR47" s="52">
        <v>-11494.5</v>
      </c>
      <c r="BS47" s="52">
        <v>-9471.9699999999993</v>
      </c>
      <c r="BT47" s="52">
        <v>-11396.47</v>
      </c>
      <c r="BU47" s="52">
        <v>-10238.1</v>
      </c>
      <c r="BV47" s="52">
        <v>-11935.43</v>
      </c>
      <c r="BW47" s="52">
        <v>-11555.68</v>
      </c>
      <c r="BX47" s="52">
        <v>-11285.71</v>
      </c>
      <c r="BY47" s="52">
        <v>-11449.19</v>
      </c>
      <c r="BZ47" s="52">
        <v>-11549.33</v>
      </c>
      <c r="CA47" s="52">
        <v>-8276.64</v>
      </c>
      <c r="CB47" s="52">
        <v>-5934.78</v>
      </c>
      <c r="CC47" s="52">
        <v>-8221.0300000000007</v>
      </c>
      <c r="CD47" s="52">
        <v>-7936.38</v>
      </c>
      <c r="CE47" s="52">
        <v>-9480.7900000000009</v>
      </c>
      <c r="CF47" s="52">
        <v>-9446.0300000000007</v>
      </c>
      <c r="CG47" s="52">
        <v>-10759.51</v>
      </c>
      <c r="CH47" s="52">
        <v>-13188.52</v>
      </c>
      <c r="CI47" s="52">
        <v>-12994.66</v>
      </c>
      <c r="CJ47" s="52">
        <v>-13373.64</v>
      </c>
      <c r="CK47" s="52">
        <v>-13395.21</v>
      </c>
      <c r="CL47" s="52">
        <v>-16399.400000000001</v>
      </c>
      <c r="CM47" s="52">
        <v>-15934.4</v>
      </c>
      <c r="CN47" s="52">
        <v>-14455.51</v>
      </c>
      <c r="CO47" s="52">
        <v>-13585</v>
      </c>
      <c r="CP47" s="52">
        <v>-13199.18</v>
      </c>
      <c r="CQ47" s="52">
        <v>-13707.52</v>
      </c>
      <c r="CR47" s="52">
        <v>-13449.98</v>
      </c>
      <c r="CS47" s="52">
        <v>-15218.32</v>
      </c>
      <c r="CT47" s="52">
        <v>-14609.31</v>
      </c>
      <c r="CU47" s="52">
        <v>-14787.73</v>
      </c>
      <c r="CV47" s="430">
        <f t="shared" si="1"/>
        <v>-172115.20000000001</v>
      </c>
    </row>
    <row r="48" spans="1:100">
      <c r="A48" s="540" t="str">
        <f t="shared" si="0"/>
        <v>4810050</v>
      </c>
      <c r="B48" s="541" t="s">
        <v>1891</v>
      </c>
      <c r="C48" s="463" t="s">
        <v>981</v>
      </c>
      <c r="D48" s="428">
        <v>-619018.44999999995</v>
      </c>
      <c r="E48" s="428">
        <v>-572101.93000000005</v>
      </c>
      <c r="F48" s="428">
        <v>-492344.06</v>
      </c>
      <c r="G48" s="428">
        <v>-496938.94</v>
      </c>
      <c r="H48" s="428">
        <v>-428869.08</v>
      </c>
      <c r="I48" s="428">
        <v>-439232.25</v>
      </c>
      <c r="J48" s="428">
        <v>-409937.04</v>
      </c>
      <c r="K48" s="428">
        <v>-388666.61</v>
      </c>
      <c r="L48" s="428">
        <v>-432645.12</v>
      </c>
      <c r="M48" s="428">
        <v>-419023.66</v>
      </c>
      <c r="N48" s="428">
        <v>-429086.11</v>
      </c>
      <c r="O48" s="429">
        <v>-517949.4</v>
      </c>
      <c r="P48" s="52">
        <v>-551319.48</v>
      </c>
      <c r="Q48" s="52">
        <v>-551138.07999999996</v>
      </c>
      <c r="R48" s="52">
        <v>-517466.72</v>
      </c>
      <c r="S48" s="52">
        <v>-407729.54</v>
      </c>
      <c r="T48" s="52">
        <v>-362377.06</v>
      </c>
      <c r="U48" s="52">
        <v>-546809.30000000005</v>
      </c>
      <c r="V48" s="52">
        <v>-299701.59000000003</v>
      </c>
      <c r="W48" s="52">
        <v>-362568.86</v>
      </c>
      <c r="X48" s="52">
        <v>-344496.04</v>
      </c>
      <c r="Y48" s="52">
        <v>-357919.41</v>
      </c>
      <c r="Z48" s="52">
        <v>-362258.45</v>
      </c>
      <c r="AA48" s="52">
        <v>-438186.17</v>
      </c>
      <c r="AB48" s="52">
        <v>-494599.18</v>
      </c>
      <c r="AC48" s="52">
        <v>-493995.57</v>
      </c>
      <c r="AD48" s="52">
        <v>-428147.59</v>
      </c>
      <c r="AE48" s="52">
        <v>-408596.34</v>
      </c>
      <c r="AF48" s="52">
        <v>-360585.41</v>
      </c>
      <c r="AG48" s="52">
        <v>-341291.81</v>
      </c>
      <c r="AH48" s="52">
        <v>-320350.95</v>
      </c>
      <c r="AI48" s="52">
        <v>-329169.55</v>
      </c>
      <c r="AJ48" s="52">
        <v>-338724.26</v>
      </c>
      <c r="AK48" s="52">
        <v>-315806.95</v>
      </c>
      <c r="AL48" s="52">
        <v>-373091.23</v>
      </c>
      <c r="AM48" s="52">
        <v>-431427.21</v>
      </c>
      <c r="AN48" s="52">
        <v>-437552.21</v>
      </c>
      <c r="AO48" s="52">
        <v>-419468.64</v>
      </c>
      <c r="AP48" s="52">
        <v>-409163.93</v>
      </c>
      <c r="AQ48" s="52">
        <v>-409706.27</v>
      </c>
      <c r="AR48" s="52">
        <v>-384356.47</v>
      </c>
      <c r="AS48" s="52">
        <v>-375859.35</v>
      </c>
      <c r="AT48" s="52">
        <v>-283756.45</v>
      </c>
      <c r="AU48" s="52">
        <v>-330326.84000000003</v>
      </c>
      <c r="AV48" s="52">
        <v>-365108.2</v>
      </c>
      <c r="AW48" s="52">
        <v>-340297.54</v>
      </c>
      <c r="AX48" s="52">
        <v>-367903.54</v>
      </c>
      <c r="AY48" s="52">
        <v>-567930.56999999995</v>
      </c>
      <c r="AZ48" s="52">
        <v>-453852.51</v>
      </c>
      <c r="BA48" s="52">
        <v>-462722.67</v>
      </c>
      <c r="BB48" s="52">
        <v>-432857.45</v>
      </c>
      <c r="BC48" s="52">
        <v>-429482.19</v>
      </c>
      <c r="BD48" s="52">
        <v>-376525.62</v>
      </c>
      <c r="BE48" s="52">
        <v>-371302.84</v>
      </c>
      <c r="BF48" s="52">
        <v>-359816.74</v>
      </c>
      <c r="BG48" s="52">
        <v>-352971.65</v>
      </c>
      <c r="BH48" s="52">
        <v>-383840.87</v>
      </c>
      <c r="BI48" s="52">
        <v>-368672.33</v>
      </c>
      <c r="BJ48" s="52">
        <v>-394106.68</v>
      </c>
      <c r="BK48" s="52">
        <v>-449997.77</v>
      </c>
      <c r="BL48" s="52">
        <v>-450541.91</v>
      </c>
      <c r="BM48" s="52">
        <v>-413483.83</v>
      </c>
      <c r="BN48" s="52">
        <v>-443998.64</v>
      </c>
      <c r="BO48" s="52">
        <v>-426712.35</v>
      </c>
      <c r="BP48" s="52">
        <v>-358483.21</v>
      </c>
      <c r="BQ48" s="52">
        <v>-372043.02</v>
      </c>
      <c r="BR48" s="52">
        <v>-335248.63</v>
      </c>
      <c r="BS48" s="52">
        <v>-342980.7</v>
      </c>
      <c r="BT48" s="52">
        <v>-369421.81</v>
      </c>
      <c r="BU48" s="52">
        <v>-344739.61</v>
      </c>
      <c r="BV48" s="52">
        <v>-425531.07</v>
      </c>
      <c r="BW48" s="52">
        <v>-444415.5</v>
      </c>
      <c r="BX48" s="52">
        <v>-494880.85</v>
      </c>
      <c r="BY48" s="52">
        <v>-461203.63</v>
      </c>
      <c r="BZ48" s="52">
        <v>-420381.54</v>
      </c>
      <c r="CA48" s="52">
        <v>-301408.61</v>
      </c>
      <c r="CB48" s="52">
        <v>-292824.45</v>
      </c>
      <c r="CC48" s="52">
        <v>-372316.1</v>
      </c>
      <c r="CD48" s="52">
        <v>-348702.89</v>
      </c>
      <c r="CE48" s="52">
        <v>-371351.58</v>
      </c>
      <c r="CF48" s="52">
        <v>-387776.95</v>
      </c>
      <c r="CG48" s="52">
        <v>-350305.53</v>
      </c>
      <c r="CH48" s="52">
        <v>-435209.18</v>
      </c>
      <c r="CI48" s="52">
        <v>-500600.82</v>
      </c>
      <c r="CJ48" s="52">
        <v>-722318.24</v>
      </c>
      <c r="CK48" s="52">
        <v>-582107.81999999995</v>
      </c>
      <c r="CL48" s="52">
        <v>-622228.31999999995</v>
      </c>
      <c r="CM48" s="52">
        <v>-607742.31000000006</v>
      </c>
      <c r="CN48" s="52">
        <v>-553260.51</v>
      </c>
      <c r="CO48" s="52">
        <v>-532537.62</v>
      </c>
      <c r="CP48" s="52">
        <v>-557505.32999999996</v>
      </c>
      <c r="CQ48" s="52">
        <v>-525395.55000000005</v>
      </c>
      <c r="CR48" s="52">
        <v>-566536.68999999994</v>
      </c>
      <c r="CS48" s="52">
        <v>-512652.89</v>
      </c>
      <c r="CT48" s="52">
        <v>-564108.14</v>
      </c>
      <c r="CU48" s="52">
        <v>-683968.06</v>
      </c>
      <c r="CV48" s="430">
        <f t="shared" si="1"/>
        <v>-7030361.4800000004</v>
      </c>
    </row>
    <row r="49" spans="1:100">
      <c r="A49" s="540" t="str">
        <f t="shared" si="0"/>
        <v>4810051</v>
      </c>
      <c r="B49" s="541" t="s">
        <v>1892</v>
      </c>
      <c r="C49" s="463" t="s">
        <v>982</v>
      </c>
      <c r="D49" s="426">
        <v>-1675890.12</v>
      </c>
      <c r="E49" s="426">
        <v>-1349822.34</v>
      </c>
      <c r="F49" s="426">
        <v>-1044824.94</v>
      </c>
      <c r="G49" s="426">
        <v>-1212610.51</v>
      </c>
      <c r="H49" s="426">
        <v>-884320.71</v>
      </c>
      <c r="I49" s="426">
        <v>-993146.4</v>
      </c>
      <c r="J49" s="426">
        <v>-901728.9</v>
      </c>
      <c r="K49" s="426">
        <v>-853799.45</v>
      </c>
      <c r="L49" s="426">
        <v>-932244.91</v>
      </c>
      <c r="M49" s="426">
        <v>-851257.32</v>
      </c>
      <c r="N49" s="426">
        <v>-843499.1</v>
      </c>
      <c r="O49" s="427">
        <v>-1114399.77</v>
      </c>
      <c r="P49" s="52">
        <v>-1399803.3</v>
      </c>
      <c r="Q49" s="52">
        <v>-1274621.81</v>
      </c>
      <c r="R49" s="52">
        <v>-987233.65</v>
      </c>
      <c r="S49" s="52">
        <v>-832573.52</v>
      </c>
      <c r="T49" s="52">
        <v>-721102.32</v>
      </c>
      <c r="U49" s="52">
        <v>-1308773.08</v>
      </c>
      <c r="V49" s="52">
        <v>-597024.97</v>
      </c>
      <c r="W49" s="52">
        <v>-799105.44</v>
      </c>
      <c r="X49" s="52">
        <v>-742367.59</v>
      </c>
      <c r="Y49" s="52">
        <v>-727027.4</v>
      </c>
      <c r="Z49" s="52">
        <v>-820631.65</v>
      </c>
      <c r="AA49" s="52">
        <v>-972391.32</v>
      </c>
      <c r="AB49" s="52">
        <v>-1323826.69</v>
      </c>
      <c r="AC49" s="52">
        <v>-1302433.31</v>
      </c>
      <c r="AD49" s="52">
        <v>-1007751.17</v>
      </c>
      <c r="AE49" s="52">
        <v>-1006387.22</v>
      </c>
      <c r="AF49" s="52">
        <v>-839592.33</v>
      </c>
      <c r="AG49" s="52">
        <v>-739668.88</v>
      </c>
      <c r="AH49" s="52">
        <v>-672593.35</v>
      </c>
      <c r="AI49" s="52">
        <v>-706111.86</v>
      </c>
      <c r="AJ49" s="52">
        <v>-674654.3</v>
      </c>
      <c r="AK49" s="52">
        <v>-631530.98</v>
      </c>
      <c r="AL49" s="52">
        <v>-738349.33</v>
      </c>
      <c r="AM49" s="52">
        <v>-917845.07</v>
      </c>
      <c r="AN49" s="52">
        <v>-945021.31</v>
      </c>
      <c r="AO49" s="52">
        <v>-945889.26</v>
      </c>
      <c r="AP49" s="52">
        <v>-887544.48</v>
      </c>
      <c r="AQ49" s="52">
        <v>-890567.65</v>
      </c>
      <c r="AR49" s="52">
        <v>-795343.81</v>
      </c>
      <c r="AS49" s="52">
        <v>-742168.47</v>
      </c>
      <c r="AT49" s="52">
        <v>-580112.72</v>
      </c>
      <c r="AU49" s="52">
        <v>-740521.83</v>
      </c>
      <c r="AV49" s="52">
        <v>-914106.88</v>
      </c>
      <c r="AW49" s="52">
        <v>-806944.24</v>
      </c>
      <c r="AX49" s="52">
        <v>-886955.32</v>
      </c>
      <c r="AY49" s="52">
        <v>-1467633.14</v>
      </c>
      <c r="AZ49" s="52">
        <v>-1318168.04</v>
      </c>
      <c r="BA49" s="52">
        <v>-1328191.54</v>
      </c>
      <c r="BB49" s="52">
        <v>-1060003.1599999999</v>
      </c>
      <c r="BC49" s="52">
        <v>-1077285.1599999999</v>
      </c>
      <c r="BD49" s="52">
        <v>-910873.39</v>
      </c>
      <c r="BE49" s="52">
        <v>-835826.31</v>
      </c>
      <c r="BF49" s="52">
        <v>-830196.81</v>
      </c>
      <c r="BG49" s="52">
        <v>-797054.28</v>
      </c>
      <c r="BH49" s="52">
        <v>-886253.25</v>
      </c>
      <c r="BI49" s="52">
        <v>-764519.57</v>
      </c>
      <c r="BJ49" s="52">
        <v>-865712.24</v>
      </c>
      <c r="BK49" s="52">
        <v>-1033331.81</v>
      </c>
      <c r="BL49" s="52">
        <v>-1210111.8899999999</v>
      </c>
      <c r="BM49" s="52">
        <v>-1050827.17</v>
      </c>
      <c r="BN49" s="52">
        <v>-1272507.6599999999</v>
      </c>
      <c r="BO49" s="52">
        <v>-1304969.27</v>
      </c>
      <c r="BP49" s="52">
        <v>-1008152.37</v>
      </c>
      <c r="BQ49" s="52">
        <v>-1044020.27</v>
      </c>
      <c r="BR49" s="52">
        <v>-922520.88</v>
      </c>
      <c r="BS49" s="52">
        <v>-738480.06</v>
      </c>
      <c r="BT49" s="52">
        <v>-880216.6</v>
      </c>
      <c r="BU49" s="52">
        <v>-797882.19</v>
      </c>
      <c r="BV49" s="52">
        <v>-1058590.82</v>
      </c>
      <c r="BW49" s="52">
        <v>-1124268.48</v>
      </c>
      <c r="BX49" s="52">
        <v>-1281209.52</v>
      </c>
      <c r="BY49" s="52">
        <v>-1073689.72</v>
      </c>
      <c r="BZ49" s="52">
        <v>-918962.76</v>
      </c>
      <c r="CA49" s="52">
        <v>-572056.75</v>
      </c>
      <c r="CB49" s="52">
        <v>-538626.02</v>
      </c>
      <c r="CC49" s="52">
        <v>-770135.98</v>
      </c>
      <c r="CD49" s="52">
        <v>-698796.45</v>
      </c>
      <c r="CE49" s="52">
        <v>-761868.27</v>
      </c>
      <c r="CF49" s="52">
        <v>-804387.54</v>
      </c>
      <c r="CG49" s="52">
        <v>-761136.23</v>
      </c>
      <c r="CH49" s="52">
        <v>-1088796.8899999999</v>
      </c>
      <c r="CI49" s="52">
        <v>-1360044.9</v>
      </c>
      <c r="CJ49" s="52">
        <v>-1389458.23</v>
      </c>
      <c r="CK49" s="52">
        <v>-1195580.5900000001</v>
      </c>
      <c r="CL49" s="52">
        <v>-1591808.95</v>
      </c>
      <c r="CM49" s="52">
        <v>-1457542.99</v>
      </c>
      <c r="CN49" s="52">
        <v>-1264723.5</v>
      </c>
      <c r="CO49" s="52">
        <v>-1202940.21</v>
      </c>
      <c r="CP49" s="52">
        <v>-1344273.35</v>
      </c>
      <c r="CQ49" s="52">
        <v>-1214170.3799999999</v>
      </c>
      <c r="CR49" s="52">
        <v>-1349048.18</v>
      </c>
      <c r="CS49" s="52">
        <v>-1165052.1000000001</v>
      </c>
      <c r="CT49" s="52">
        <v>-1331961.77</v>
      </c>
      <c r="CU49" s="52">
        <v>-1726476.56</v>
      </c>
      <c r="CV49" s="430">
        <f t="shared" si="1"/>
        <v>-16233036.809999999</v>
      </c>
    </row>
    <row r="50" spans="1:100">
      <c r="A50" s="540" t="str">
        <f t="shared" si="0"/>
        <v>4810052</v>
      </c>
      <c r="B50" s="541" t="s">
        <v>1893</v>
      </c>
      <c r="C50" s="463" t="s">
        <v>983</v>
      </c>
      <c r="D50" s="428">
        <v>-336652.22</v>
      </c>
      <c r="E50" s="428">
        <v>-310869.46000000002</v>
      </c>
      <c r="F50" s="428">
        <v>-259738.13</v>
      </c>
      <c r="G50" s="428">
        <v>-249733.88</v>
      </c>
      <c r="H50" s="428">
        <v>-204175.47</v>
      </c>
      <c r="I50" s="428">
        <v>-217637.23</v>
      </c>
      <c r="J50" s="428">
        <v>-207765.34</v>
      </c>
      <c r="K50" s="428">
        <v>-179200</v>
      </c>
      <c r="L50" s="428">
        <v>-211255.63</v>
      </c>
      <c r="M50" s="428">
        <v>-199895.36</v>
      </c>
      <c r="N50" s="428">
        <v>-223111.66</v>
      </c>
      <c r="O50" s="429">
        <v>-268054.65999999997</v>
      </c>
      <c r="P50" s="52">
        <v>-282875.92</v>
      </c>
      <c r="Q50" s="52">
        <v>-279159.8</v>
      </c>
      <c r="R50" s="52">
        <v>-255545.85</v>
      </c>
      <c r="S50" s="52">
        <v>-207350.53</v>
      </c>
      <c r="T50" s="52">
        <v>-166151.04000000001</v>
      </c>
      <c r="U50" s="52">
        <v>-204278.89</v>
      </c>
      <c r="V50" s="52">
        <v>-179821.49</v>
      </c>
      <c r="W50" s="52">
        <v>-179523.97</v>
      </c>
      <c r="X50" s="52">
        <v>-164993.49</v>
      </c>
      <c r="Y50" s="52">
        <v>-172629.87</v>
      </c>
      <c r="Z50" s="52">
        <v>-179974.08</v>
      </c>
      <c r="AA50" s="52">
        <v>-226009.57</v>
      </c>
      <c r="AB50" s="52">
        <v>-242098.53</v>
      </c>
      <c r="AC50" s="52">
        <v>-231533.86</v>
      </c>
      <c r="AD50" s="52">
        <v>-210031.91</v>
      </c>
      <c r="AE50" s="52">
        <v>-249560.31</v>
      </c>
      <c r="AF50" s="52">
        <v>-121974.18</v>
      </c>
      <c r="AG50" s="52">
        <v>-139107.96</v>
      </c>
      <c r="AH50" s="52">
        <v>-154810.82999999999</v>
      </c>
      <c r="AI50" s="52">
        <v>-151611.59</v>
      </c>
      <c r="AJ50" s="52">
        <v>-151135.94</v>
      </c>
      <c r="AK50" s="52">
        <v>-146911.1</v>
      </c>
      <c r="AL50" s="52">
        <v>-163257.04</v>
      </c>
      <c r="AM50" s="52">
        <v>-195914.61</v>
      </c>
      <c r="AN50" s="52">
        <v>-217357.78</v>
      </c>
      <c r="AO50" s="52">
        <v>-198283.25</v>
      </c>
      <c r="AP50" s="52">
        <v>-187932.6</v>
      </c>
      <c r="AQ50" s="52">
        <v>-174383.6</v>
      </c>
      <c r="AR50" s="52">
        <v>-173844.86</v>
      </c>
      <c r="AS50" s="52">
        <v>-151004.07999999999</v>
      </c>
      <c r="AT50" s="52">
        <v>-150435.18</v>
      </c>
      <c r="AU50" s="52">
        <v>-146474.23999999999</v>
      </c>
      <c r="AV50" s="52">
        <v>-182930.46</v>
      </c>
      <c r="AW50" s="52">
        <v>-149866.37</v>
      </c>
      <c r="AX50" s="52">
        <v>-212633.01</v>
      </c>
      <c r="AY50" s="52">
        <v>-256680.66</v>
      </c>
      <c r="AZ50" s="52">
        <v>-307926.31</v>
      </c>
      <c r="BA50" s="52">
        <v>-229388.68</v>
      </c>
      <c r="BB50" s="52">
        <v>-176641.71</v>
      </c>
      <c r="BC50" s="52">
        <v>-200101.41</v>
      </c>
      <c r="BD50" s="52">
        <v>-181418.73</v>
      </c>
      <c r="BE50" s="52">
        <v>-181546.25</v>
      </c>
      <c r="BF50" s="52">
        <v>-165454.01999999999</v>
      </c>
      <c r="BG50" s="52">
        <v>-150216.99</v>
      </c>
      <c r="BH50" s="52">
        <v>-176120.09</v>
      </c>
      <c r="BI50" s="52">
        <v>-157723.32999999999</v>
      </c>
      <c r="BJ50" s="52">
        <v>-182277.82</v>
      </c>
      <c r="BK50" s="52">
        <v>-238303.95</v>
      </c>
      <c r="BL50" s="52">
        <v>-207137.95</v>
      </c>
      <c r="BM50" s="52">
        <v>-215007.16</v>
      </c>
      <c r="BN50" s="52">
        <v>-210733.22</v>
      </c>
      <c r="BO50" s="52">
        <v>-212619.53</v>
      </c>
      <c r="BP50" s="52">
        <v>-158122.26</v>
      </c>
      <c r="BQ50" s="52">
        <v>-156686.96</v>
      </c>
      <c r="BR50" s="52">
        <v>-195217.08</v>
      </c>
      <c r="BS50" s="52">
        <v>-122521</v>
      </c>
      <c r="BT50" s="52">
        <v>-200887.78</v>
      </c>
      <c r="BU50" s="52">
        <v>-160743.39000000001</v>
      </c>
      <c r="BV50" s="52">
        <v>-232860.81</v>
      </c>
      <c r="BW50" s="52">
        <v>-242929.08</v>
      </c>
      <c r="BX50" s="52">
        <v>-284043.11</v>
      </c>
      <c r="BY50" s="52">
        <v>-238675.36</v>
      </c>
      <c r="BZ50" s="52">
        <v>-230342.57</v>
      </c>
      <c r="CA50" s="52">
        <v>-130655.91</v>
      </c>
      <c r="CB50" s="52">
        <v>-116417.85</v>
      </c>
      <c r="CC50" s="52">
        <v>-174184.71</v>
      </c>
      <c r="CD50" s="52">
        <v>-169340.53</v>
      </c>
      <c r="CE50" s="52">
        <v>-171220.83</v>
      </c>
      <c r="CF50" s="52">
        <v>-181914.72</v>
      </c>
      <c r="CG50" s="52">
        <v>-185274.83</v>
      </c>
      <c r="CH50" s="52">
        <v>-218619.24</v>
      </c>
      <c r="CI50" s="52">
        <v>-294851.14</v>
      </c>
      <c r="CJ50" s="52">
        <v>-445148.63</v>
      </c>
      <c r="CK50" s="52">
        <v>-351189.59</v>
      </c>
      <c r="CL50" s="52">
        <v>-342525.03</v>
      </c>
      <c r="CM50" s="52">
        <v>-346089</v>
      </c>
      <c r="CN50" s="52">
        <v>-283532.59000000003</v>
      </c>
      <c r="CO50" s="52">
        <v>-293155.44</v>
      </c>
      <c r="CP50" s="52">
        <v>-280938.39</v>
      </c>
      <c r="CQ50" s="52">
        <v>-267543.27</v>
      </c>
      <c r="CR50" s="52">
        <v>-264872.12</v>
      </c>
      <c r="CS50" s="52">
        <v>-264608.51</v>
      </c>
      <c r="CT50" s="52">
        <v>-306436.82</v>
      </c>
      <c r="CU50" s="52">
        <v>-384647.9</v>
      </c>
      <c r="CV50" s="430">
        <f t="shared" si="1"/>
        <v>-3830687.29</v>
      </c>
    </row>
    <row r="51" spans="1:100">
      <c r="A51" s="540" t="str">
        <f t="shared" si="0"/>
        <v>4810053</v>
      </c>
      <c r="B51" s="541" t="s">
        <v>1894</v>
      </c>
      <c r="C51" s="463" t="s">
        <v>984</v>
      </c>
      <c r="D51" s="426">
        <v>-1228261.3</v>
      </c>
      <c r="E51" s="426">
        <v>-1002180.76</v>
      </c>
      <c r="F51" s="426">
        <v>-772167.43</v>
      </c>
      <c r="G51" s="426">
        <v>-847108.63</v>
      </c>
      <c r="H51" s="426">
        <v>-595852.78</v>
      </c>
      <c r="I51" s="426">
        <v>-698182.22</v>
      </c>
      <c r="J51" s="426">
        <v>-661025.98</v>
      </c>
      <c r="K51" s="426">
        <v>-570756.75</v>
      </c>
      <c r="L51" s="426">
        <v>-643519.54</v>
      </c>
      <c r="M51" s="426">
        <v>-573520.17000000004</v>
      </c>
      <c r="N51" s="426">
        <v>-627897.39</v>
      </c>
      <c r="O51" s="427">
        <v>-794798.51</v>
      </c>
      <c r="P51" s="52">
        <v>-977693.73</v>
      </c>
      <c r="Q51" s="52">
        <v>-874036.04</v>
      </c>
      <c r="R51" s="52">
        <v>-666124.21</v>
      </c>
      <c r="S51" s="52">
        <v>-605273.47</v>
      </c>
      <c r="T51" s="52">
        <v>-479876.88</v>
      </c>
      <c r="U51" s="52">
        <v>-637147.19999999995</v>
      </c>
      <c r="V51" s="52">
        <v>-551299.31999999995</v>
      </c>
      <c r="W51" s="52">
        <v>-569422.54</v>
      </c>
      <c r="X51" s="52">
        <v>-516977.3</v>
      </c>
      <c r="Y51" s="52">
        <v>-504083.56</v>
      </c>
      <c r="Z51" s="52">
        <v>-581627.22</v>
      </c>
      <c r="AA51" s="52">
        <v>-695496.48</v>
      </c>
      <c r="AB51" s="52">
        <v>-872549.06</v>
      </c>
      <c r="AC51" s="52">
        <v>-819495.3</v>
      </c>
      <c r="AD51" s="52">
        <v>-682651.45</v>
      </c>
      <c r="AE51" s="52">
        <v>-869169.03</v>
      </c>
      <c r="AF51" s="52">
        <v>-378848.1</v>
      </c>
      <c r="AG51" s="52">
        <v>-423512.75</v>
      </c>
      <c r="AH51" s="52">
        <v>-480616.43</v>
      </c>
      <c r="AI51" s="52">
        <v>-470666.43</v>
      </c>
      <c r="AJ51" s="52">
        <v>-429091.72</v>
      </c>
      <c r="AK51" s="52">
        <v>-429493.91</v>
      </c>
      <c r="AL51" s="52">
        <v>-450044.19</v>
      </c>
      <c r="AM51" s="52">
        <v>-564316.13</v>
      </c>
      <c r="AN51" s="52">
        <v>-644634.88</v>
      </c>
      <c r="AO51" s="52">
        <v>-612098.99</v>
      </c>
      <c r="AP51" s="52">
        <v>-560465.71</v>
      </c>
      <c r="AQ51" s="52">
        <v>-516498.47</v>
      </c>
      <c r="AR51" s="52">
        <v>-505110.22</v>
      </c>
      <c r="AS51" s="52">
        <v>-416712.9</v>
      </c>
      <c r="AT51" s="52">
        <v>-450875.24</v>
      </c>
      <c r="AU51" s="52">
        <v>-461539.88</v>
      </c>
      <c r="AV51" s="52">
        <v>-638153.07999999996</v>
      </c>
      <c r="AW51" s="52">
        <v>-496579.45</v>
      </c>
      <c r="AX51" s="52">
        <v>-726107.63</v>
      </c>
      <c r="AY51" s="52">
        <v>-879051.57</v>
      </c>
      <c r="AZ51" s="52">
        <v>-1231480.3899999999</v>
      </c>
      <c r="BA51" s="52">
        <v>-884776.46</v>
      </c>
      <c r="BB51" s="52">
        <v>-578951.71</v>
      </c>
      <c r="BC51" s="52">
        <v>-689867.06</v>
      </c>
      <c r="BD51" s="52">
        <v>-607981.09</v>
      </c>
      <c r="BE51" s="52">
        <v>-578771.07999999996</v>
      </c>
      <c r="BF51" s="52">
        <v>-528192.93999999994</v>
      </c>
      <c r="BG51" s="52">
        <v>-480571.87</v>
      </c>
      <c r="BH51" s="52">
        <v>-567044.43999999994</v>
      </c>
      <c r="BI51" s="52">
        <v>-454915.1</v>
      </c>
      <c r="BJ51" s="52">
        <v>-557755.82999999996</v>
      </c>
      <c r="BK51" s="52">
        <v>-758436.63</v>
      </c>
      <c r="BL51" s="52">
        <v>-754248.87</v>
      </c>
      <c r="BM51" s="52">
        <v>-757027.07</v>
      </c>
      <c r="BN51" s="52">
        <v>-819824.29</v>
      </c>
      <c r="BO51" s="52">
        <v>-841510.25</v>
      </c>
      <c r="BP51" s="52">
        <v>-667597.51</v>
      </c>
      <c r="BQ51" s="52">
        <v>-604805.12</v>
      </c>
      <c r="BR51" s="52">
        <v>-781483.47</v>
      </c>
      <c r="BS51" s="52">
        <v>-310650.45</v>
      </c>
      <c r="BT51" s="52">
        <v>-679445.26</v>
      </c>
      <c r="BU51" s="52">
        <v>-524612.38</v>
      </c>
      <c r="BV51" s="52">
        <v>-801690.28</v>
      </c>
      <c r="BW51" s="52">
        <v>-846791.31</v>
      </c>
      <c r="BX51" s="52">
        <v>-1004279.72</v>
      </c>
      <c r="BY51" s="52">
        <v>-762476.54</v>
      </c>
      <c r="BZ51" s="52">
        <v>-710142.55</v>
      </c>
      <c r="CA51" s="52">
        <v>-361786.79</v>
      </c>
      <c r="CB51" s="52">
        <v>-308499.07</v>
      </c>
      <c r="CC51" s="52">
        <v>-502104.74</v>
      </c>
      <c r="CD51" s="52">
        <v>-480792.85</v>
      </c>
      <c r="CE51" s="52">
        <v>-484371.04</v>
      </c>
      <c r="CF51" s="52">
        <v>-518225.91</v>
      </c>
      <c r="CG51" s="52">
        <v>-583354.25</v>
      </c>
      <c r="CH51" s="52">
        <v>-746783.25</v>
      </c>
      <c r="CI51" s="52">
        <v>-1094298.01</v>
      </c>
      <c r="CJ51" s="52">
        <v>-1130879.04</v>
      </c>
      <c r="CK51" s="52">
        <v>-971693.29</v>
      </c>
      <c r="CL51" s="52">
        <v>-1148802.0900000001</v>
      </c>
      <c r="CM51" s="52">
        <v>-1090347.4099999999</v>
      </c>
      <c r="CN51" s="52">
        <v>-855983.22</v>
      </c>
      <c r="CO51" s="52">
        <v>-882985.05</v>
      </c>
      <c r="CP51" s="52">
        <v>-883659.27</v>
      </c>
      <c r="CQ51" s="52">
        <v>-813415.47</v>
      </c>
      <c r="CR51" s="52">
        <v>-810183.49</v>
      </c>
      <c r="CS51" s="52">
        <v>-799977.08</v>
      </c>
      <c r="CT51" s="52">
        <v>-960808.24</v>
      </c>
      <c r="CU51" s="52">
        <v>-1264192.82</v>
      </c>
      <c r="CV51" s="430">
        <f t="shared" si="1"/>
        <v>-11612926.469999999</v>
      </c>
    </row>
    <row r="52" spans="1:100">
      <c r="A52" s="540" t="str">
        <f t="shared" si="0"/>
        <v>4810054</v>
      </c>
      <c r="B52" s="541" t="s">
        <v>1895</v>
      </c>
      <c r="C52" s="463" t="s">
        <v>985</v>
      </c>
      <c r="D52" s="428">
        <v>-90938.86</v>
      </c>
      <c r="E52" s="428">
        <v>-75128.7</v>
      </c>
      <c r="F52" s="428">
        <v>-68514.649999999994</v>
      </c>
      <c r="G52" s="428">
        <v>-54286.71</v>
      </c>
      <c r="H52" s="428">
        <v>-27577.53</v>
      </c>
      <c r="I52" s="428">
        <v>-51102.83</v>
      </c>
      <c r="J52" s="428">
        <v>-64304.65</v>
      </c>
      <c r="K52" s="428">
        <v>-43973.279999999999</v>
      </c>
      <c r="L52" s="428">
        <v>-53488.14</v>
      </c>
      <c r="M52" s="428">
        <v>-45022.21</v>
      </c>
      <c r="N52" s="428">
        <v>-69797.039999999994</v>
      </c>
      <c r="O52" s="429">
        <v>-69353.509999999995</v>
      </c>
      <c r="P52" s="52">
        <v>-84412.05</v>
      </c>
      <c r="Q52" s="52">
        <v>-95393.34</v>
      </c>
      <c r="R52" s="52">
        <v>-83336.81</v>
      </c>
      <c r="S52" s="52">
        <v>-46759.54</v>
      </c>
      <c r="T52" s="52">
        <v>-41521.72</v>
      </c>
      <c r="U52" s="52">
        <v>-55811.360000000001</v>
      </c>
      <c r="V52" s="52">
        <v>-64091.47</v>
      </c>
      <c r="W52" s="52">
        <v>-39302.839999999997</v>
      </c>
      <c r="X52" s="52">
        <v>-48795.81</v>
      </c>
      <c r="Y52" s="52">
        <v>-45166.57</v>
      </c>
      <c r="Z52" s="52">
        <v>-35022.449999999997</v>
      </c>
      <c r="AA52" s="52">
        <v>-59090.82</v>
      </c>
      <c r="AB52" s="52">
        <v>-70908.12</v>
      </c>
      <c r="AC52" s="52">
        <v>-77797.33</v>
      </c>
      <c r="AD52" s="52">
        <v>-56812.2</v>
      </c>
      <c r="AE52" s="52">
        <v>-52101.46</v>
      </c>
      <c r="AF52" s="52">
        <v>-36364.879999999997</v>
      </c>
      <c r="AG52" s="52">
        <v>-38533.089999999997</v>
      </c>
      <c r="AH52" s="52">
        <v>-43764.4</v>
      </c>
      <c r="AI52" s="52">
        <v>-49089.39</v>
      </c>
      <c r="AJ52" s="52">
        <v>-45116.46</v>
      </c>
      <c r="AK52" s="52">
        <v>-42361.98</v>
      </c>
      <c r="AL52" s="52">
        <v>-58618.83</v>
      </c>
      <c r="AM52" s="52">
        <v>-56477.06</v>
      </c>
      <c r="AN52" s="52">
        <v>-74295.73</v>
      </c>
      <c r="AO52" s="52">
        <v>-79164.479999999996</v>
      </c>
      <c r="AP52" s="52">
        <v>-29697.73</v>
      </c>
      <c r="AQ52" s="52">
        <v>-66487.91</v>
      </c>
      <c r="AR52" s="52">
        <v>-88955.57</v>
      </c>
      <c r="AS52" s="52">
        <v>-54004.41</v>
      </c>
      <c r="AT52" s="52">
        <v>-64674.91</v>
      </c>
      <c r="AU52" s="52">
        <v>-35227.129999999997</v>
      </c>
      <c r="AV52" s="52">
        <v>-70885.39</v>
      </c>
      <c r="AW52" s="52">
        <v>-54286.11</v>
      </c>
      <c r="AX52" s="52">
        <v>-111041.62</v>
      </c>
      <c r="AY52" s="52">
        <v>-43606.34</v>
      </c>
      <c r="AZ52" s="52">
        <v>-98780.29</v>
      </c>
      <c r="BA52" s="52">
        <v>-48579.26</v>
      </c>
      <c r="BB52" s="52">
        <v>-52066.34</v>
      </c>
      <c r="BC52" s="52">
        <v>-91688.18</v>
      </c>
      <c r="BD52" s="52">
        <v>-29982.92</v>
      </c>
      <c r="BE52" s="52">
        <v>-102221.43</v>
      </c>
      <c r="BF52" s="52">
        <v>-43036.28</v>
      </c>
      <c r="BG52" s="52">
        <v>-51609.64</v>
      </c>
      <c r="BH52" s="52">
        <v>-47711.23</v>
      </c>
      <c r="BI52" s="52">
        <v>-61517.85</v>
      </c>
      <c r="BJ52" s="52">
        <v>-61374.51</v>
      </c>
      <c r="BK52" s="52">
        <v>-55502.38</v>
      </c>
      <c r="BL52" s="52">
        <v>-56489.96</v>
      </c>
      <c r="BM52" s="52">
        <v>-95634.66</v>
      </c>
      <c r="BN52" s="52">
        <v>-82092.62</v>
      </c>
      <c r="BO52" s="52">
        <v>-15504.96</v>
      </c>
      <c r="BP52" s="52">
        <v>-70581.8</v>
      </c>
      <c r="BQ52" s="52">
        <v>8522</v>
      </c>
      <c r="BR52" s="52">
        <v>-43872.91</v>
      </c>
      <c r="BS52" s="52">
        <v>-55906.01</v>
      </c>
      <c r="BT52" s="52">
        <v>-21881.67</v>
      </c>
      <c r="BU52" s="52">
        <v>-63070.17</v>
      </c>
      <c r="BV52" s="52">
        <v>-35694.589999999997</v>
      </c>
      <c r="BW52" s="52">
        <v>-76599.12</v>
      </c>
      <c r="BX52" s="52">
        <v>-77290.13</v>
      </c>
      <c r="BY52" s="52">
        <v>-73344.38</v>
      </c>
      <c r="BZ52" s="52">
        <v>-53376.07</v>
      </c>
      <c r="CA52" s="52">
        <v>-27169.68</v>
      </c>
      <c r="CB52" s="52">
        <v>-30895.93</v>
      </c>
      <c r="CC52" s="52">
        <v>-26352.09</v>
      </c>
      <c r="CD52" s="52">
        <v>-35371.1</v>
      </c>
      <c r="CE52" s="52">
        <v>-42699.28</v>
      </c>
      <c r="CF52" s="52">
        <v>-27859.13</v>
      </c>
      <c r="CG52" s="52">
        <v>-36403.56</v>
      </c>
      <c r="CH52" s="52">
        <v>-45018.720000000001</v>
      </c>
      <c r="CI52" s="52">
        <v>39822.29</v>
      </c>
      <c r="CJ52" s="52">
        <v>-134905.99</v>
      </c>
      <c r="CK52" s="52">
        <v>-72075.179999999993</v>
      </c>
      <c r="CL52" s="52">
        <v>-68332.36</v>
      </c>
      <c r="CM52" s="52">
        <v>-73726.899999999994</v>
      </c>
      <c r="CN52" s="52">
        <v>-56320.959999999999</v>
      </c>
      <c r="CO52" s="52">
        <v>-53135.69</v>
      </c>
      <c r="CP52" s="52">
        <v>-68005.08</v>
      </c>
      <c r="CQ52" s="52">
        <v>-51565.32</v>
      </c>
      <c r="CR52" s="52">
        <v>-65039.56</v>
      </c>
      <c r="CS52" s="52">
        <v>-64169.95</v>
      </c>
      <c r="CT52" s="52">
        <v>-81730.710000000006</v>
      </c>
      <c r="CU52" s="52">
        <v>-112714.14</v>
      </c>
      <c r="CV52" s="430">
        <f t="shared" si="1"/>
        <v>-901721.83999999973</v>
      </c>
    </row>
    <row r="53" spans="1:100">
      <c r="A53" s="540" t="str">
        <f t="shared" si="0"/>
        <v>4810055</v>
      </c>
      <c r="B53" s="541" t="s">
        <v>1896</v>
      </c>
      <c r="C53" s="463" t="s">
        <v>986</v>
      </c>
      <c r="D53" s="426">
        <v>-389235.69</v>
      </c>
      <c r="E53" s="426">
        <v>-279755.15999999997</v>
      </c>
      <c r="F53" s="426">
        <v>-240136.47</v>
      </c>
      <c r="G53" s="426">
        <v>-214225.97</v>
      </c>
      <c r="H53" s="426">
        <v>-77303.48</v>
      </c>
      <c r="I53" s="426">
        <v>-186793.36</v>
      </c>
      <c r="J53" s="426">
        <v>-211922.79</v>
      </c>
      <c r="K53" s="426">
        <v>-166724.94</v>
      </c>
      <c r="L53" s="426">
        <v>-194499.68</v>
      </c>
      <c r="M53" s="426">
        <v>-154155.25</v>
      </c>
      <c r="N53" s="426">
        <v>-237185.67</v>
      </c>
      <c r="O53" s="427">
        <v>-244190.95</v>
      </c>
      <c r="P53" s="52">
        <v>-347324.41</v>
      </c>
      <c r="Q53" s="52">
        <v>-351714.83</v>
      </c>
      <c r="R53" s="52">
        <v>-262073.66</v>
      </c>
      <c r="S53" s="52">
        <v>-162380.10999999999</v>
      </c>
      <c r="T53" s="52">
        <v>-142221.93</v>
      </c>
      <c r="U53" s="52">
        <v>-198425.19</v>
      </c>
      <c r="V53" s="52">
        <v>-232133.97</v>
      </c>
      <c r="W53" s="52">
        <v>-141041.62</v>
      </c>
      <c r="X53" s="52">
        <v>-183779.95</v>
      </c>
      <c r="Y53" s="52">
        <v>-153075.73000000001</v>
      </c>
      <c r="Z53" s="52">
        <v>-127192.53</v>
      </c>
      <c r="AA53" s="52">
        <v>-209810.31</v>
      </c>
      <c r="AB53" s="52">
        <v>-299911.46999999997</v>
      </c>
      <c r="AC53" s="52">
        <v>-322746.77</v>
      </c>
      <c r="AD53" s="52">
        <v>-215976.05</v>
      </c>
      <c r="AE53" s="52">
        <v>-207975.75</v>
      </c>
      <c r="AF53" s="52">
        <v>-143604.99</v>
      </c>
      <c r="AG53" s="52">
        <v>-137249.17000000001</v>
      </c>
      <c r="AH53" s="52">
        <v>-166661.81</v>
      </c>
      <c r="AI53" s="52">
        <v>-175880.88</v>
      </c>
      <c r="AJ53" s="52">
        <v>-153579.46</v>
      </c>
      <c r="AK53" s="52">
        <v>-148029.04</v>
      </c>
      <c r="AL53" s="52">
        <v>-199643.84</v>
      </c>
      <c r="AM53" s="52">
        <v>-195165.21</v>
      </c>
      <c r="AN53" s="52">
        <v>-210390.31</v>
      </c>
      <c r="AO53" s="52">
        <v>-298738.42</v>
      </c>
      <c r="AP53" s="52">
        <v>-95987.16</v>
      </c>
      <c r="AQ53" s="52">
        <v>-241350.32</v>
      </c>
      <c r="AR53" s="52">
        <v>-322816.44</v>
      </c>
      <c r="AS53" s="52">
        <v>-179860.05</v>
      </c>
      <c r="AT53" s="52">
        <v>-230149.16</v>
      </c>
      <c r="AU53" s="52">
        <v>-139229.06</v>
      </c>
      <c r="AV53" s="52">
        <v>-292359.69</v>
      </c>
      <c r="AW53" s="52">
        <v>-229061.45</v>
      </c>
      <c r="AX53" s="52">
        <v>-474125.93</v>
      </c>
      <c r="AY53" s="52">
        <v>-160821.15</v>
      </c>
      <c r="AZ53" s="52">
        <v>-467151.53</v>
      </c>
      <c r="BA53" s="52">
        <v>-211667.55</v>
      </c>
      <c r="BB53" s="52">
        <v>-204606.1</v>
      </c>
      <c r="BC53" s="52">
        <v>-385447.77</v>
      </c>
      <c r="BD53" s="52">
        <v>-109595.88</v>
      </c>
      <c r="BE53" s="52">
        <v>-423836.8</v>
      </c>
      <c r="BF53" s="52">
        <v>-168184.83</v>
      </c>
      <c r="BG53" s="52">
        <v>-204807.52</v>
      </c>
      <c r="BH53" s="52">
        <v>-188289.1</v>
      </c>
      <c r="BI53" s="52">
        <v>-229425.98</v>
      </c>
      <c r="BJ53" s="52">
        <v>-226618.91</v>
      </c>
      <c r="BK53" s="52">
        <v>-194363.4</v>
      </c>
      <c r="BL53" s="52">
        <v>-248808.94</v>
      </c>
      <c r="BM53" s="52">
        <v>-408057.05</v>
      </c>
      <c r="BN53" s="52">
        <v>-392023.4</v>
      </c>
      <c r="BO53" s="52">
        <v>-76657.960000000006</v>
      </c>
      <c r="BP53" s="52">
        <v>-343037.16</v>
      </c>
      <c r="BQ53" s="52">
        <v>53478.12</v>
      </c>
      <c r="BR53" s="52">
        <v>-219529.60000000001</v>
      </c>
      <c r="BS53" s="52">
        <v>-220861.19</v>
      </c>
      <c r="BT53" s="52">
        <v>-65992.39</v>
      </c>
      <c r="BU53" s="52">
        <v>-254385.66</v>
      </c>
      <c r="BV53" s="52">
        <v>-137205.85</v>
      </c>
      <c r="BW53" s="52">
        <v>-312889.46000000002</v>
      </c>
      <c r="BX53" s="52">
        <v>-318441.01</v>
      </c>
      <c r="BY53" s="52">
        <v>-275499.25</v>
      </c>
      <c r="BZ53" s="52">
        <v>-188551.7</v>
      </c>
      <c r="CA53" s="52">
        <v>-81707.179999999993</v>
      </c>
      <c r="CB53" s="52">
        <v>-99929.600000000006</v>
      </c>
      <c r="CC53" s="52">
        <v>-81581.070000000007</v>
      </c>
      <c r="CD53" s="52">
        <v>-116176.97</v>
      </c>
      <c r="CE53" s="52">
        <v>-135794.25</v>
      </c>
      <c r="CF53" s="52">
        <v>-81781.990000000005</v>
      </c>
      <c r="CG53" s="52">
        <v>-127388.18</v>
      </c>
      <c r="CH53" s="52">
        <v>-174165.36</v>
      </c>
      <c r="CI53" s="52">
        <v>198208.78</v>
      </c>
      <c r="CJ53" s="52">
        <v>-430055.79</v>
      </c>
      <c r="CK53" s="52">
        <v>-185739.09</v>
      </c>
      <c r="CL53" s="52">
        <v>-232601.32</v>
      </c>
      <c r="CM53" s="52">
        <v>-230731.56</v>
      </c>
      <c r="CN53" s="52">
        <v>-158534.47</v>
      </c>
      <c r="CO53" s="52">
        <v>-143837.04999999999</v>
      </c>
      <c r="CP53" s="52">
        <v>-244966.11</v>
      </c>
      <c r="CQ53" s="52">
        <v>-154773.25</v>
      </c>
      <c r="CR53" s="52">
        <v>-209421.87</v>
      </c>
      <c r="CS53" s="52">
        <v>-209392.79</v>
      </c>
      <c r="CT53" s="52">
        <v>-291815.90999999997</v>
      </c>
      <c r="CU53" s="52">
        <v>-435570.93</v>
      </c>
      <c r="CV53" s="430">
        <f t="shared" si="1"/>
        <v>-2927440.1400000006</v>
      </c>
    </row>
    <row r="54" spans="1:100">
      <c r="A54" s="540" t="str">
        <f t="shared" si="0"/>
        <v>4810056</v>
      </c>
      <c r="B54" s="541" t="s">
        <v>1897</v>
      </c>
      <c r="C54" s="463" t="s">
        <v>987</v>
      </c>
      <c r="D54" s="428">
        <v>-4811.1099999999997</v>
      </c>
      <c r="E54" s="428">
        <v>-4735.33</v>
      </c>
      <c r="F54" s="428">
        <v>-8284.2000000000007</v>
      </c>
      <c r="G54" s="428">
        <v>-11401.26</v>
      </c>
      <c r="H54" s="428">
        <v>-9491.98</v>
      </c>
      <c r="I54" s="428">
        <v>-10712.02</v>
      </c>
      <c r="J54" s="428">
        <v>-12202.71</v>
      </c>
      <c r="K54" s="428">
        <v>-4803.49</v>
      </c>
      <c r="L54" s="428">
        <v>-13258.45</v>
      </c>
      <c r="M54" s="428">
        <v>-13705.09</v>
      </c>
      <c r="N54" s="428">
        <v>-13058.87</v>
      </c>
      <c r="O54" s="429">
        <v>-18011.47</v>
      </c>
      <c r="P54" s="52">
        <v>-19784.61</v>
      </c>
      <c r="Q54" s="52">
        <v>-24933.58</v>
      </c>
      <c r="R54" s="52">
        <v>-20626.72</v>
      </c>
      <c r="S54" s="52">
        <v>-21539.65</v>
      </c>
      <c r="T54" s="52">
        <v>-23951.08</v>
      </c>
      <c r="U54" s="52">
        <v>-25507.32</v>
      </c>
      <c r="V54" s="52">
        <v>-12683.62</v>
      </c>
      <c r="W54" s="52">
        <v>-14189.79</v>
      </c>
      <c r="X54" s="52">
        <v>-13371.53</v>
      </c>
      <c r="Y54" s="52">
        <v>-13344.03</v>
      </c>
      <c r="Z54" s="52">
        <v>-12858.07</v>
      </c>
      <c r="AA54" s="52">
        <v>-17201.900000000001</v>
      </c>
      <c r="AB54" s="52">
        <v>-18790.3</v>
      </c>
      <c r="AC54" s="52">
        <v>-21207.52</v>
      </c>
      <c r="AD54" s="52">
        <v>-24151.17</v>
      </c>
      <c r="AE54" s="52">
        <v>-19818.63</v>
      </c>
      <c r="AF54" s="52">
        <v>-23217.4</v>
      </c>
      <c r="AG54" s="52">
        <v>-19094.490000000002</v>
      </c>
      <c r="AH54" s="52">
        <v>-17710.86</v>
      </c>
      <c r="AI54" s="52">
        <v>-17706.560000000001</v>
      </c>
      <c r="AJ54" s="52">
        <v>-17684.16</v>
      </c>
      <c r="AK54" s="52">
        <v>-20208.759999999998</v>
      </c>
      <c r="AL54" s="52">
        <v>-19050.490000000002</v>
      </c>
      <c r="AM54" s="52">
        <v>-20151.45</v>
      </c>
      <c r="AN54" s="52">
        <v>-23862.01</v>
      </c>
      <c r="AO54" s="52">
        <v>-28029.57</v>
      </c>
      <c r="AP54" s="52">
        <v>-21777.16</v>
      </c>
      <c r="AQ54" s="52">
        <v>-26416.52</v>
      </c>
      <c r="AR54" s="52">
        <v>-22373.279999999999</v>
      </c>
      <c r="AS54" s="52">
        <v>-31241.1</v>
      </c>
      <c r="AT54" s="52">
        <v>-17335.8</v>
      </c>
      <c r="AU54" s="52">
        <v>0</v>
      </c>
      <c r="AV54" s="52">
        <v>-5288.21</v>
      </c>
      <c r="AW54" s="52">
        <v>-5413.21</v>
      </c>
      <c r="AX54" s="52">
        <v>5256</v>
      </c>
      <c r="AY54" s="52">
        <v>-2258.13</v>
      </c>
      <c r="AZ54" s="52">
        <v>0</v>
      </c>
      <c r="BA54" s="52">
        <v>-594.41</v>
      </c>
      <c r="BB54" s="52">
        <v>0</v>
      </c>
      <c r="BC54" s="52">
        <v>0</v>
      </c>
      <c r="BD54" s="52">
        <v>-250</v>
      </c>
      <c r="BE54" s="52">
        <v>-301.20999999999998</v>
      </c>
      <c r="BF54" s="52">
        <v>-8200.81</v>
      </c>
      <c r="BG54" s="52">
        <v>-1529.28</v>
      </c>
      <c r="BH54" s="52">
        <v>-251.58</v>
      </c>
      <c r="BI54" s="52">
        <v>-500</v>
      </c>
      <c r="BJ54" s="52">
        <v>-14799.18</v>
      </c>
      <c r="BK54" s="52">
        <v>-5856.22</v>
      </c>
      <c r="BL54" s="52">
        <v>-2837.6</v>
      </c>
      <c r="BM54" s="52">
        <v>-4803.3500000000004</v>
      </c>
      <c r="BN54" s="52">
        <v>-2924.52</v>
      </c>
      <c r="BO54" s="52">
        <v>-21547.4</v>
      </c>
      <c r="BP54" s="52">
        <v>-421.28</v>
      </c>
      <c r="BQ54" s="52">
        <v>-283.33</v>
      </c>
      <c r="BR54" s="52">
        <v>-3248.73</v>
      </c>
      <c r="BS54" s="52">
        <v>208.44</v>
      </c>
      <c r="BT54" s="52">
        <v>-1460.05</v>
      </c>
      <c r="BU54" s="52">
        <v>-2704.85</v>
      </c>
      <c r="BV54" s="52">
        <v>-13747.47</v>
      </c>
      <c r="BW54" s="52">
        <v>-9293.77</v>
      </c>
      <c r="BX54" s="52">
        <v>-20776.2</v>
      </c>
      <c r="BY54" s="52">
        <v>-17713.29</v>
      </c>
      <c r="BZ54" s="52">
        <v>-18029.900000000001</v>
      </c>
      <c r="CA54" s="52">
        <v>-17244.02</v>
      </c>
      <c r="CB54" s="52">
        <v>-16945.150000000001</v>
      </c>
      <c r="CC54" s="52">
        <v>-5387.37</v>
      </c>
      <c r="CD54" s="52">
        <v>-9602.86</v>
      </c>
      <c r="CE54" s="52">
        <v>-10635.59</v>
      </c>
      <c r="CF54" s="52">
        <v>-7411.54</v>
      </c>
      <c r="CG54" s="52">
        <v>-8912.1200000000008</v>
      </c>
      <c r="CH54" s="52">
        <v>-23354.55</v>
      </c>
      <c r="CI54" s="52">
        <v>-16856.95</v>
      </c>
      <c r="CJ54" s="52">
        <v>-2319.7800000000002</v>
      </c>
      <c r="CK54" s="52">
        <v>-7992.95</v>
      </c>
      <c r="CL54" s="52">
        <v>-34684.04</v>
      </c>
      <c r="CM54" s="52">
        <v>-9129</v>
      </c>
      <c r="CN54" s="52">
        <v>-8863.8700000000008</v>
      </c>
      <c r="CO54" s="52">
        <v>-7372.7</v>
      </c>
      <c r="CP54" s="52">
        <v>-1984.3</v>
      </c>
      <c r="CQ54" s="52">
        <v>-1751.14</v>
      </c>
      <c r="CR54" s="52">
        <v>-12194.51</v>
      </c>
      <c r="CS54" s="52">
        <v>-2450.09</v>
      </c>
      <c r="CT54" s="52">
        <v>-1780.47</v>
      </c>
      <c r="CU54" s="52">
        <v>-5802.17</v>
      </c>
      <c r="CV54" s="430">
        <f t="shared" si="1"/>
        <v>-96325.02</v>
      </c>
    </row>
    <row r="55" spans="1:100">
      <c r="A55" s="540" t="str">
        <f t="shared" si="0"/>
        <v>4810057</v>
      </c>
      <c r="B55" s="541" t="s">
        <v>1898</v>
      </c>
      <c r="C55" s="463" t="s">
        <v>988</v>
      </c>
      <c r="D55" s="426">
        <v>-24938.13</v>
      </c>
      <c r="E55" s="426">
        <v>-24133</v>
      </c>
      <c r="F55" s="426">
        <v>-37417.589999999997</v>
      </c>
      <c r="G55" s="426">
        <v>-58371.48</v>
      </c>
      <c r="H55" s="426">
        <v>-44602.6</v>
      </c>
      <c r="I55" s="426">
        <v>-54315.98</v>
      </c>
      <c r="J55" s="426">
        <v>-63054.14</v>
      </c>
      <c r="K55" s="426">
        <v>-23407.26</v>
      </c>
      <c r="L55" s="426">
        <v>-68942.899999999994</v>
      </c>
      <c r="M55" s="426">
        <v>-66368.92</v>
      </c>
      <c r="N55" s="426">
        <v>-60407.8</v>
      </c>
      <c r="O55" s="427">
        <v>-86168</v>
      </c>
      <c r="P55" s="52">
        <v>-105150.91</v>
      </c>
      <c r="Q55" s="52">
        <v>-116650.97</v>
      </c>
      <c r="R55" s="52">
        <v>-94528.4</v>
      </c>
      <c r="S55" s="52">
        <v>-101709.41</v>
      </c>
      <c r="T55" s="52">
        <v>-117212.68</v>
      </c>
      <c r="U55" s="52">
        <v>-132297.97</v>
      </c>
      <c r="V55" s="52">
        <v>-65727.929999999993</v>
      </c>
      <c r="W55" s="52">
        <v>-74943.38</v>
      </c>
      <c r="X55" s="52">
        <v>-71525.77</v>
      </c>
      <c r="Y55" s="52">
        <v>-68703.42</v>
      </c>
      <c r="Z55" s="52">
        <v>-67567.7</v>
      </c>
      <c r="AA55" s="52">
        <v>-88284.36</v>
      </c>
      <c r="AB55" s="52">
        <v>-107356.8</v>
      </c>
      <c r="AC55" s="52">
        <v>-119119.05</v>
      </c>
      <c r="AD55" s="52">
        <v>-124214.64</v>
      </c>
      <c r="AE55" s="52">
        <v>-110932.65</v>
      </c>
      <c r="AF55" s="52">
        <v>-128523.56</v>
      </c>
      <c r="AG55" s="52">
        <v>-101697.86</v>
      </c>
      <c r="AH55" s="52">
        <v>-91112.16</v>
      </c>
      <c r="AI55" s="52">
        <v>-92387.19</v>
      </c>
      <c r="AJ55" s="52">
        <v>-87672.52</v>
      </c>
      <c r="AK55" s="52">
        <v>-99514.6</v>
      </c>
      <c r="AL55" s="52">
        <v>-90050.71</v>
      </c>
      <c r="AM55" s="52">
        <v>-94956.97</v>
      </c>
      <c r="AN55" s="52">
        <v>-114100.27</v>
      </c>
      <c r="AO55" s="52">
        <v>-130681.14</v>
      </c>
      <c r="AP55" s="52">
        <v>-109086.95</v>
      </c>
      <c r="AQ55" s="52">
        <v>-121661.9</v>
      </c>
      <c r="AR55" s="52">
        <v>-112088.8</v>
      </c>
      <c r="AS55" s="52">
        <v>-148144.20000000001</v>
      </c>
      <c r="AT55" s="52">
        <v>-86116.15</v>
      </c>
      <c r="AU55" s="52">
        <v>0</v>
      </c>
      <c r="AV55" s="52">
        <v>-28463.33</v>
      </c>
      <c r="AW55" s="52">
        <v>-28463.33</v>
      </c>
      <c r="AX55" s="52">
        <v>28372.02</v>
      </c>
      <c r="AY55" s="52">
        <v>-8923.0499999999993</v>
      </c>
      <c r="AZ55" s="52">
        <v>0</v>
      </c>
      <c r="BA55" s="52">
        <v>-2392.7399999999998</v>
      </c>
      <c r="BB55" s="52">
        <v>0</v>
      </c>
      <c r="BC55" s="52">
        <v>0</v>
      </c>
      <c r="BD55" s="52">
        <v>0</v>
      </c>
      <c r="BE55" s="52">
        <v>-292.54000000000002</v>
      </c>
      <c r="BF55" s="52">
        <v>-43988.52</v>
      </c>
      <c r="BG55" s="52">
        <v>-7307.48</v>
      </c>
      <c r="BH55" s="52">
        <v>-6.25</v>
      </c>
      <c r="BI55" s="52">
        <v>0</v>
      </c>
      <c r="BJ55" s="52">
        <v>-15957.27</v>
      </c>
      <c r="BK55" s="52">
        <v>-48291.9</v>
      </c>
      <c r="BL55" s="52">
        <v>-12681.57</v>
      </c>
      <c r="BM55" s="52">
        <v>-19078.810000000001</v>
      </c>
      <c r="BN55" s="52">
        <v>-11953.74</v>
      </c>
      <c r="BO55" s="52">
        <v>-17354.72</v>
      </c>
      <c r="BP55" s="52">
        <v>-66.489999999999995</v>
      </c>
      <c r="BQ55" s="52">
        <v>-977.53</v>
      </c>
      <c r="BR55" s="52">
        <v>17007.63</v>
      </c>
      <c r="BS55" s="52">
        <v>4856.72</v>
      </c>
      <c r="BT55" s="52">
        <v>-3753.94</v>
      </c>
      <c r="BU55" s="52">
        <v>-11898.2</v>
      </c>
      <c r="BV55" s="52">
        <v>-71042.8</v>
      </c>
      <c r="BW55" s="52">
        <v>-47701.22</v>
      </c>
      <c r="BX55" s="52">
        <v>-112814.03</v>
      </c>
      <c r="BY55" s="52">
        <v>-90313.62</v>
      </c>
      <c r="BZ55" s="52">
        <v>-89936.06</v>
      </c>
      <c r="CA55" s="52">
        <v>-84753.06</v>
      </c>
      <c r="CB55" s="52">
        <v>-69877.5</v>
      </c>
      <c r="CC55" s="52">
        <v>-22546.560000000001</v>
      </c>
      <c r="CD55" s="52">
        <v>-29398.34</v>
      </c>
      <c r="CE55" s="52">
        <v>-43815.25</v>
      </c>
      <c r="CF55" s="52">
        <v>-32956.22</v>
      </c>
      <c r="CG55" s="52">
        <v>-39859.82</v>
      </c>
      <c r="CH55" s="52">
        <v>-109195.82</v>
      </c>
      <c r="CI55" s="52">
        <v>-81091.98</v>
      </c>
      <c r="CJ55" s="52">
        <v>46282.6</v>
      </c>
      <c r="CK55" s="52">
        <v>-28210.79</v>
      </c>
      <c r="CL55" s="52">
        <v>-124654.11</v>
      </c>
      <c r="CM55" s="52">
        <v>-33677.339999999997</v>
      </c>
      <c r="CN55" s="52">
        <v>-35266.74</v>
      </c>
      <c r="CO55" s="52">
        <v>-30448.6</v>
      </c>
      <c r="CP55" s="52">
        <v>-3792.75</v>
      </c>
      <c r="CQ55" s="52">
        <v>-2420.21</v>
      </c>
      <c r="CR55" s="52">
        <v>-40066.449999999997</v>
      </c>
      <c r="CS55" s="52">
        <v>-4765.0200000000004</v>
      </c>
      <c r="CT55" s="52">
        <v>-2592.85</v>
      </c>
      <c r="CU55" s="52">
        <v>-16980.150000000001</v>
      </c>
      <c r="CV55" s="430">
        <f t="shared" si="1"/>
        <v>-276592.41000000003</v>
      </c>
    </row>
    <row r="56" spans="1:100">
      <c r="A56" s="540" t="str">
        <f t="shared" si="0"/>
        <v>4810058</v>
      </c>
      <c r="B56" s="541" t="s">
        <v>1899</v>
      </c>
      <c r="C56" s="463" t="s">
        <v>989</v>
      </c>
      <c r="D56" s="428">
        <v>-3669.97</v>
      </c>
      <c r="E56" s="428">
        <v>-3595.61</v>
      </c>
      <c r="F56" s="428">
        <v>-3329.02</v>
      </c>
      <c r="G56" s="428">
        <v>-5372</v>
      </c>
      <c r="H56" s="428">
        <v>-2247.1999999999998</v>
      </c>
      <c r="I56" s="428">
        <v>-2786.77</v>
      </c>
      <c r="J56" s="428">
        <v>-2519.61</v>
      </c>
      <c r="K56" s="428">
        <v>-5494.08</v>
      </c>
      <c r="L56" s="428">
        <v>-2817.53</v>
      </c>
      <c r="M56" s="428">
        <v>0</v>
      </c>
      <c r="N56" s="428">
        <v>-6589.65</v>
      </c>
      <c r="O56" s="429">
        <v>-8227.4500000000007</v>
      </c>
      <c r="P56" s="52">
        <v>-7011.7</v>
      </c>
      <c r="Q56" s="52">
        <v>-4298.9399999999996</v>
      </c>
      <c r="R56" s="52">
        <v>-3964.99</v>
      </c>
      <c r="S56" s="52">
        <v>-2420.17</v>
      </c>
      <c r="T56" s="52">
        <v>-5507.13</v>
      </c>
      <c r="U56" s="52">
        <v>-2714.7</v>
      </c>
      <c r="V56" s="52">
        <v>-24975.5</v>
      </c>
      <c r="W56" s="52">
        <v>-8503.86</v>
      </c>
      <c r="X56" s="52">
        <v>-9100.35</v>
      </c>
      <c r="Y56" s="52">
        <v>-11566.56</v>
      </c>
      <c r="Z56" s="52">
        <v>-15079.25</v>
      </c>
      <c r="AA56" s="52">
        <v>-18217.41</v>
      </c>
      <c r="AB56" s="52">
        <v>-14329.62</v>
      </c>
      <c r="AC56" s="52">
        <v>-13469.93</v>
      </c>
      <c r="AD56" s="52">
        <v>-11065.4</v>
      </c>
      <c r="AE56" s="52">
        <v>-2211.25</v>
      </c>
      <c r="AF56" s="52">
        <v>-3774.53</v>
      </c>
      <c r="AG56" s="52">
        <v>-4595.49</v>
      </c>
      <c r="AH56" s="52">
        <v>-5519.99</v>
      </c>
      <c r="AI56" s="52">
        <v>-2692.64</v>
      </c>
      <c r="AJ56" s="52">
        <v>0</v>
      </c>
      <c r="AK56" s="52">
        <v>-7766.28</v>
      </c>
      <c r="AL56" s="52">
        <v>-3943.64</v>
      </c>
      <c r="AM56" s="52">
        <v>-4062.18</v>
      </c>
      <c r="AN56" s="52">
        <v>-3551.55</v>
      </c>
      <c r="AO56" s="52">
        <v>-4656.6099999999997</v>
      </c>
      <c r="AP56" s="52">
        <v>-4803.6499999999996</v>
      </c>
      <c r="AQ56" s="52">
        <v>-6969.46</v>
      </c>
      <c r="AR56" s="52">
        <v>-2644.61</v>
      </c>
      <c r="AS56" s="52">
        <v>-2647.92</v>
      </c>
      <c r="AT56" s="52">
        <v>-6052.49</v>
      </c>
      <c r="AU56" s="52">
        <v>-15321.8</v>
      </c>
      <c r="AV56" s="52">
        <v>-14898.17</v>
      </c>
      <c r="AW56" s="52">
        <v>-17578.509999999998</v>
      </c>
      <c r="AX56" s="52">
        <v>-33407.83</v>
      </c>
      <c r="AY56" s="52">
        <v>-49647.1</v>
      </c>
      <c r="AZ56" s="52">
        <v>5035.26</v>
      </c>
      <c r="BA56" s="52">
        <v>-19422.27</v>
      </c>
      <c r="BB56" s="52">
        <v>-18335.13</v>
      </c>
      <c r="BC56" s="52">
        <v>-19578.169999999998</v>
      </c>
      <c r="BD56" s="52">
        <v>-27626.880000000001</v>
      </c>
      <c r="BE56" s="52">
        <v>-5732.15</v>
      </c>
      <c r="BF56" s="52">
        <v>-2707.46</v>
      </c>
      <c r="BG56" s="52">
        <v>-3395.06</v>
      </c>
      <c r="BH56" s="52">
        <v>-437.19</v>
      </c>
      <c r="BI56" s="52">
        <v>-385.65</v>
      </c>
      <c r="BJ56" s="52">
        <v>-2955.46</v>
      </c>
      <c r="BK56" s="52">
        <v>-21762.42</v>
      </c>
      <c r="BL56" s="52">
        <v>-4315.05</v>
      </c>
      <c r="BM56" s="52">
        <v>-3675.9</v>
      </c>
      <c r="BN56" s="52">
        <v>-6521.56</v>
      </c>
      <c r="BO56" s="52">
        <v>-4329.57</v>
      </c>
      <c r="BP56" s="52">
        <v>-296.36</v>
      </c>
      <c r="BQ56" s="52">
        <v>-2685.06</v>
      </c>
      <c r="BR56" s="52">
        <v>-7055.58</v>
      </c>
      <c r="BS56" s="52">
        <v>-328.99</v>
      </c>
      <c r="BT56" s="52">
        <v>-17982.23</v>
      </c>
      <c r="BU56" s="52">
        <v>-4462</v>
      </c>
      <c r="BV56" s="52">
        <v>-7088.93</v>
      </c>
      <c r="BW56" s="52">
        <v>-11295.2</v>
      </c>
      <c r="BX56" s="52">
        <v>-15026.47</v>
      </c>
      <c r="BY56" s="52">
        <v>-21012.66</v>
      </c>
      <c r="BZ56" s="52">
        <v>-17619.009999999998</v>
      </c>
      <c r="CA56" s="52">
        <v>-18963.060000000001</v>
      </c>
      <c r="CB56" s="52">
        <v>-19589.23</v>
      </c>
      <c r="CC56" s="52">
        <v>-24569.01</v>
      </c>
      <c r="CD56" s="52">
        <v>-19851.13</v>
      </c>
      <c r="CE56" s="52">
        <v>-19268.560000000001</v>
      </c>
      <c r="CF56" s="52">
        <v>-15870.46</v>
      </c>
      <c r="CG56" s="52">
        <v>-17174.560000000001</v>
      </c>
      <c r="CH56" s="52">
        <v>-18484.36</v>
      </c>
      <c r="CI56" s="52">
        <v>-9004.18</v>
      </c>
      <c r="CJ56" s="52">
        <v>-66451.08</v>
      </c>
      <c r="CK56" s="52">
        <v>-83318.25</v>
      </c>
      <c r="CL56" s="52">
        <v>-67469.899999999994</v>
      </c>
      <c r="CM56" s="52">
        <v>-62184.4</v>
      </c>
      <c r="CN56" s="52">
        <v>-55039.57</v>
      </c>
      <c r="CO56" s="52">
        <v>-49382.49</v>
      </c>
      <c r="CP56" s="52">
        <v>-49729.57</v>
      </c>
      <c r="CQ56" s="52">
        <v>-44175.199999999997</v>
      </c>
      <c r="CR56" s="52">
        <v>-63635.95</v>
      </c>
      <c r="CS56" s="52">
        <v>-57157.85</v>
      </c>
      <c r="CT56" s="52">
        <v>-34556.17</v>
      </c>
      <c r="CU56" s="52">
        <v>-48308.28</v>
      </c>
      <c r="CV56" s="430">
        <f t="shared" si="1"/>
        <v>-681408.71000000008</v>
      </c>
    </row>
    <row r="57" spans="1:100">
      <c r="A57" s="540" t="str">
        <f t="shared" si="0"/>
        <v>4810059</v>
      </c>
      <c r="B57" s="541" t="s">
        <v>1900</v>
      </c>
      <c r="C57" s="463" t="s">
        <v>990</v>
      </c>
      <c r="D57" s="426">
        <v>-28349.75</v>
      </c>
      <c r="E57" s="426">
        <v>-25919.71</v>
      </c>
      <c r="F57" s="426">
        <v>-23077.94</v>
      </c>
      <c r="G57" s="426">
        <v>-34664.5</v>
      </c>
      <c r="H57" s="426">
        <v>-15065.79</v>
      </c>
      <c r="I57" s="426">
        <v>-19548.560000000001</v>
      </c>
      <c r="J57" s="426">
        <v>-17869.59</v>
      </c>
      <c r="K57" s="426">
        <v>-35586.14</v>
      </c>
      <c r="L57" s="426">
        <v>-19779.55</v>
      </c>
      <c r="M57" s="426">
        <v>0</v>
      </c>
      <c r="N57" s="426">
        <v>-40747.410000000003</v>
      </c>
      <c r="O57" s="427">
        <v>-52175.199999999997</v>
      </c>
      <c r="P57" s="52">
        <v>-44021.88</v>
      </c>
      <c r="Q57" s="52">
        <v>-31153.91</v>
      </c>
      <c r="R57" s="52">
        <v>-24135.75</v>
      </c>
      <c r="S57" s="52">
        <v>-15182.64</v>
      </c>
      <c r="T57" s="52">
        <v>-34838.74</v>
      </c>
      <c r="U57" s="52">
        <v>-17168.669999999998</v>
      </c>
      <c r="V57" s="52">
        <v>-173361.5</v>
      </c>
      <c r="W57" s="52">
        <v>-49249.27</v>
      </c>
      <c r="X57" s="52">
        <v>-73978.75</v>
      </c>
      <c r="Y57" s="52">
        <v>-77719.63</v>
      </c>
      <c r="Z57" s="52">
        <v>-102059.06</v>
      </c>
      <c r="AA57" s="52">
        <v>-106660.81</v>
      </c>
      <c r="AB57" s="52">
        <v>-101836.36</v>
      </c>
      <c r="AC57" s="52">
        <v>-99553.18</v>
      </c>
      <c r="AD57" s="52">
        <v>-77262.8</v>
      </c>
      <c r="AE57" s="52">
        <v>-16646.47</v>
      </c>
      <c r="AF57" s="52">
        <v>-11691.14</v>
      </c>
      <c r="AG57" s="52">
        <v>-24982.75</v>
      </c>
      <c r="AH57" s="52">
        <v>-35174.89</v>
      </c>
      <c r="AI57" s="52">
        <v>-17640.98</v>
      </c>
      <c r="AJ57" s="52">
        <v>0</v>
      </c>
      <c r="AK57" s="52">
        <v>-44042.61</v>
      </c>
      <c r="AL57" s="52">
        <v>-21049.55</v>
      </c>
      <c r="AM57" s="52">
        <v>-22096.03</v>
      </c>
      <c r="AN57" s="52">
        <v>-19301.13</v>
      </c>
      <c r="AO57" s="52">
        <v>-26721.040000000001</v>
      </c>
      <c r="AP57" s="52">
        <v>-29219.08</v>
      </c>
      <c r="AQ57" s="52">
        <v>-34321.39</v>
      </c>
      <c r="AR57" s="52">
        <v>-15962.09</v>
      </c>
      <c r="AS57" s="52">
        <v>-15649.53</v>
      </c>
      <c r="AT57" s="52">
        <v>-30775.13</v>
      </c>
      <c r="AU57" s="52">
        <v>-108467.5</v>
      </c>
      <c r="AV57" s="52">
        <v>-113687.82</v>
      </c>
      <c r="AW57" s="52">
        <v>-133643.32999999999</v>
      </c>
      <c r="AX57" s="52">
        <v>-209694.74</v>
      </c>
      <c r="AY57" s="52">
        <v>-310950.90999999997</v>
      </c>
      <c r="AZ57" s="52">
        <v>-38084.68</v>
      </c>
      <c r="BA57" s="52">
        <v>-158031.63</v>
      </c>
      <c r="BB57" s="52">
        <v>-138858.66</v>
      </c>
      <c r="BC57" s="52">
        <v>-151095.10999999999</v>
      </c>
      <c r="BD57" s="52">
        <v>-215338.92</v>
      </c>
      <c r="BE57" s="52">
        <v>-35516.89</v>
      </c>
      <c r="BF57" s="52">
        <v>-15641.6</v>
      </c>
      <c r="BG57" s="52">
        <v>-14819.91</v>
      </c>
      <c r="BH57" s="52">
        <v>-1136.69</v>
      </c>
      <c r="BI57" s="52">
        <v>-345.21</v>
      </c>
      <c r="BJ57" s="52">
        <v>-12038.11</v>
      </c>
      <c r="BK57" s="52">
        <v>-128743.62</v>
      </c>
      <c r="BL57" s="52">
        <v>-26477.17</v>
      </c>
      <c r="BM57" s="52">
        <v>-9626.27</v>
      </c>
      <c r="BN57" s="52">
        <v>-45638.94</v>
      </c>
      <c r="BO57" s="52">
        <v>-70292.31</v>
      </c>
      <c r="BP57" s="52">
        <v>-1356.15</v>
      </c>
      <c r="BQ57" s="52">
        <v>-10884.1</v>
      </c>
      <c r="BR57" s="52">
        <v>-28009.27</v>
      </c>
      <c r="BS57" s="52">
        <v>-352.43</v>
      </c>
      <c r="BT57" s="52">
        <v>-144427.99</v>
      </c>
      <c r="BU57" s="52">
        <v>-31241.32</v>
      </c>
      <c r="BV57" s="52">
        <v>-45168.62</v>
      </c>
      <c r="BW57" s="52">
        <v>-70161.33</v>
      </c>
      <c r="BX57" s="52">
        <v>-88543.15</v>
      </c>
      <c r="BY57" s="52">
        <v>-149068.54999999999</v>
      </c>
      <c r="BZ57" s="52">
        <v>-119561.29</v>
      </c>
      <c r="CA57" s="52">
        <v>-129313.09</v>
      </c>
      <c r="CB57" s="52">
        <v>-131787.99</v>
      </c>
      <c r="CC57" s="52">
        <v>-161332.46</v>
      </c>
      <c r="CD57" s="52">
        <v>-132029.51999999999</v>
      </c>
      <c r="CE57" s="52">
        <v>-109928.41</v>
      </c>
      <c r="CF57" s="52">
        <v>-104268.86</v>
      </c>
      <c r="CG57" s="52">
        <v>-119698.18</v>
      </c>
      <c r="CH57" s="52">
        <v>-130293.01</v>
      </c>
      <c r="CI57" s="52">
        <v>-39545.58</v>
      </c>
      <c r="CJ57" s="52">
        <v>-367436.11</v>
      </c>
      <c r="CK57" s="52">
        <v>-506615.34</v>
      </c>
      <c r="CL57" s="52">
        <v>-489984.36</v>
      </c>
      <c r="CM57" s="52">
        <v>-425273.78</v>
      </c>
      <c r="CN57" s="52">
        <v>-309068.88</v>
      </c>
      <c r="CO57" s="52">
        <v>-361411.72</v>
      </c>
      <c r="CP57" s="52">
        <v>-296723.52</v>
      </c>
      <c r="CQ57" s="52">
        <v>-328492.40999999997</v>
      </c>
      <c r="CR57" s="52">
        <v>-466885.97</v>
      </c>
      <c r="CS57" s="52">
        <v>-397354.72</v>
      </c>
      <c r="CT57" s="52">
        <v>-255304.72</v>
      </c>
      <c r="CU57" s="52">
        <v>-359323.55</v>
      </c>
      <c r="CV57" s="430">
        <f t="shared" si="1"/>
        <v>-4563875.08</v>
      </c>
    </row>
    <row r="58" spans="1:100">
      <c r="A58" s="540" t="str">
        <f t="shared" si="0"/>
        <v>4810060</v>
      </c>
      <c r="B58" s="541" t="s">
        <v>1901</v>
      </c>
      <c r="C58" s="463" t="s">
        <v>991</v>
      </c>
      <c r="D58" s="426">
        <v>-3565.88</v>
      </c>
      <c r="E58" s="426">
        <v>-7376.13</v>
      </c>
      <c r="F58" s="426">
        <v>-4169.6499999999996</v>
      </c>
      <c r="G58" s="426">
        <v>-6643.39</v>
      </c>
      <c r="H58" s="426">
        <v>-304.7</v>
      </c>
      <c r="I58" s="426">
        <v>0</v>
      </c>
      <c r="J58" s="426">
        <v>-4081.91</v>
      </c>
      <c r="K58" s="426">
        <v>0</v>
      </c>
      <c r="L58" s="426">
        <v>-6048.42</v>
      </c>
      <c r="M58" s="426">
        <v>-300</v>
      </c>
      <c r="N58" s="426">
        <v>-113.03</v>
      </c>
      <c r="O58" s="427">
        <v>-8802.81</v>
      </c>
      <c r="P58" s="52">
        <v>-1498.17</v>
      </c>
      <c r="Q58" s="52">
        <v>-2430.37</v>
      </c>
      <c r="R58" s="52">
        <v>-12239.28</v>
      </c>
      <c r="S58" s="52">
        <v>-3180.92</v>
      </c>
      <c r="T58" s="52">
        <v>-2573.15</v>
      </c>
      <c r="U58" s="52">
        <v>-466.98</v>
      </c>
      <c r="V58" s="52">
        <v>-6667.96</v>
      </c>
      <c r="W58" s="52">
        <v>-3629.1</v>
      </c>
      <c r="X58" s="52">
        <v>-1057.43</v>
      </c>
      <c r="Y58" s="52">
        <v>-300</v>
      </c>
      <c r="Z58" s="52">
        <v>-1167.18</v>
      </c>
      <c r="AA58" s="52">
        <v>-307.24</v>
      </c>
      <c r="AB58" s="52">
        <v>-1478.15</v>
      </c>
      <c r="AC58" s="52">
        <v>-9730.94</v>
      </c>
      <c r="AD58" s="52">
        <v>-2484.04</v>
      </c>
      <c r="AE58" s="52">
        <v>-2836.03</v>
      </c>
      <c r="AF58" s="52">
        <v>0</v>
      </c>
      <c r="AG58" s="52">
        <v>-2671.51</v>
      </c>
      <c r="AH58" s="52">
        <v>-9163.34</v>
      </c>
      <c r="AI58" s="52">
        <v>-18612.89</v>
      </c>
      <c r="AJ58" s="52">
        <v>-87.86</v>
      </c>
      <c r="AK58" s="52">
        <v>-3931.39</v>
      </c>
      <c r="AL58" s="52">
        <v>-8297.9</v>
      </c>
      <c r="AM58" s="52">
        <v>-6805.8</v>
      </c>
      <c r="AN58" s="52">
        <v>-7956.87</v>
      </c>
      <c r="AO58" s="52">
        <v>-3460.37</v>
      </c>
      <c r="AP58" s="52">
        <v>-4860.3500000000004</v>
      </c>
      <c r="AQ58" s="52">
        <v>-3657.85</v>
      </c>
      <c r="AR58" s="52">
        <v>-2373.5100000000002</v>
      </c>
      <c r="AS58" s="52">
        <v>-300</v>
      </c>
      <c r="AT58" s="52">
        <v>-1065.58</v>
      </c>
      <c r="AU58" s="52">
        <v>-2814.13</v>
      </c>
      <c r="AV58" s="52">
        <v>-1674.43</v>
      </c>
      <c r="AW58" s="52">
        <v>-14905.45</v>
      </c>
      <c r="AX58" s="52">
        <v>-6791.85</v>
      </c>
      <c r="AY58" s="52">
        <v>-3858.31</v>
      </c>
      <c r="AZ58" s="52">
        <v>-4556.78</v>
      </c>
      <c r="BA58" s="52">
        <v>-908.83</v>
      </c>
      <c r="BB58" s="52">
        <v>-304.43</v>
      </c>
      <c r="BC58" s="52">
        <v>-799.34</v>
      </c>
      <c r="BD58" s="52">
        <v>-1575.7</v>
      </c>
      <c r="BE58" s="52">
        <v>-318.01</v>
      </c>
      <c r="BF58" s="52">
        <v>-308.58</v>
      </c>
      <c r="BG58" s="52">
        <v>-36.340000000000003</v>
      </c>
      <c r="BH58" s="52">
        <v>0</v>
      </c>
      <c r="BI58" s="52">
        <v>-93.86</v>
      </c>
      <c r="BJ58" s="52">
        <v>-357.83</v>
      </c>
      <c r="BK58" s="52">
        <v>-14223.88</v>
      </c>
      <c r="BL58" s="52">
        <v>-633.22</v>
      </c>
      <c r="BM58" s="52">
        <v>-1422.89</v>
      </c>
      <c r="BN58" s="52">
        <v>0</v>
      </c>
      <c r="BO58" s="52">
        <v>-1025.94</v>
      </c>
      <c r="BP58" s="52">
        <v>0</v>
      </c>
      <c r="BQ58" s="52">
        <v>0</v>
      </c>
      <c r="BR58" s="52">
        <v>-437.35</v>
      </c>
      <c r="BS58" s="52">
        <v>0</v>
      </c>
      <c r="BT58" s="52">
        <v>0</v>
      </c>
      <c r="BU58" s="52">
        <v>0</v>
      </c>
      <c r="BV58" s="52">
        <v>0</v>
      </c>
      <c r="BW58" s="52">
        <v>-2302.5500000000002</v>
      </c>
      <c r="BX58" s="52">
        <v>0</v>
      </c>
      <c r="BY58" s="52">
        <v>0</v>
      </c>
      <c r="BZ58" s="52">
        <v>0</v>
      </c>
      <c r="CA58" s="52">
        <v>0</v>
      </c>
      <c r="CB58" s="52">
        <v>0</v>
      </c>
      <c r="CC58" s="52">
        <v>0</v>
      </c>
      <c r="CD58" s="52">
        <v>0</v>
      </c>
      <c r="CE58" s="52">
        <v>0</v>
      </c>
      <c r="CF58" s="52">
        <v>0</v>
      </c>
      <c r="CG58" s="52">
        <v>0</v>
      </c>
      <c r="CH58" s="52">
        <v>-3336.05</v>
      </c>
      <c r="CI58" s="52">
        <v>0</v>
      </c>
      <c r="CJ58" s="52">
        <v>-3083.7</v>
      </c>
      <c r="CK58" s="52">
        <v>0</v>
      </c>
      <c r="CL58" s="52">
        <v>0</v>
      </c>
      <c r="CM58" s="52">
        <v>0</v>
      </c>
      <c r="CN58" s="52">
        <v>-449.53</v>
      </c>
      <c r="CO58" s="52">
        <v>0</v>
      </c>
      <c r="CP58" s="52">
        <v>-157.44999999999999</v>
      </c>
      <c r="CQ58" s="52">
        <v>157.44999999999999</v>
      </c>
      <c r="CR58" s="52">
        <v>-2144.85</v>
      </c>
      <c r="CS58" s="52">
        <v>-4701.42</v>
      </c>
      <c r="CT58" s="52">
        <v>-456.73</v>
      </c>
      <c r="CU58" s="52">
        <v>-3535.43</v>
      </c>
      <c r="CV58" s="430">
        <f t="shared" si="1"/>
        <v>-14371.66</v>
      </c>
    </row>
    <row r="59" spans="1:100">
      <c r="A59" s="540" t="str">
        <f t="shared" si="0"/>
        <v>4810061</v>
      </c>
      <c r="B59" s="541" t="s">
        <v>1902</v>
      </c>
      <c r="C59" s="463" t="s">
        <v>992</v>
      </c>
      <c r="D59" s="428">
        <v>-40522.01</v>
      </c>
      <c r="E59" s="428">
        <v>-69973.929999999993</v>
      </c>
      <c r="F59" s="428">
        <v>-43225.49</v>
      </c>
      <c r="G59" s="428">
        <v>-56383.199999999997</v>
      </c>
      <c r="H59" s="428">
        <v>-53.45</v>
      </c>
      <c r="I59" s="428">
        <v>0</v>
      </c>
      <c r="J59" s="428">
        <v>-41098.65</v>
      </c>
      <c r="K59" s="428">
        <v>0</v>
      </c>
      <c r="L59" s="428">
        <v>-62760.35</v>
      </c>
      <c r="M59" s="428">
        <v>-3524.86</v>
      </c>
      <c r="N59" s="428">
        <v>-708.26</v>
      </c>
      <c r="O59" s="429">
        <v>-71054.59</v>
      </c>
      <c r="P59" s="52">
        <v>-14143.17</v>
      </c>
      <c r="Q59" s="52">
        <v>-24224.62</v>
      </c>
      <c r="R59" s="52">
        <v>-82533.81</v>
      </c>
      <c r="S59" s="52">
        <v>-30119.55</v>
      </c>
      <c r="T59" s="52">
        <v>-24487.59</v>
      </c>
      <c r="U59" s="52">
        <v>-1882.01</v>
      </c>
      <c r="V59" s="52">
        <v>-48851.18</v>
      </c>
      <c r="W59" s="52">
        <v>-32339.97</v>
      </c>
      <c r="X59" s="52">
        <v>-16800.37</v>
      </c>
      <c r="Y59" s="52">
        <v>0</v>
      </c>
      <c r="Z59" s="52">
        <v>-4249.54</v>
      </c>
      <c r="AA59" s="52">
        <v>-76.92</v>
      </c>
      <c r="AB59" s="52">
        <v>-14017.64</v>
      </c>
      <c r="AC59" s="52">
        <v>-65974.03</v>
      </c>
      <c r="AD59" s="52">
        <v>-28328.59</v>
      </c>
      <c r="AE59" s="52">
        <v>-31478.59</v>
      </c>
      <c r="AF59" s="52">
        <v>0</v>
      </c>
      <c r="AG59" s="52">
        <v>-79822.48</v>
      </c>
      <c r="AH59" s="52">
        <v>-93360.71</v>
      </c>
      <c r="AI59" s="52">
        <v>-99240.39</v>
      </c>
      <c r="AJ59" s="52">
        <v>-432.74</v>
      </c>
      <c r="AK59" s="52">
        <v>-40113.85</v>
      </c>
      <c r="AL59" s="52">
        <v>-76067.94</v>
      </c>
      <c r="AM59" s="52">
        <v>-34268.28</v>
      </c>
      <c r="AN59" s="52">
        <v>-70497.81</v>
      </c>
      <c r="AO59" s="52">
        <v>-132775.82</v>
      </c>
      <c r="AP59" s="52">
        <v>-32584.74</v>
      </c>
      <c r="AQ59" s="52">
        <v>-34609.300000000003</v>
      </c>
      <c r="AR59" s="52">
        <v>-22951.98</v>
      </c>
      <c r="AS59" s="52">
        <v>0</v>
      </c>
      <c r="AT59" s="52">
        <v>-8474.2800000000007</v>
      </c>
      <c r="AU59" s="52">
        <v>-29407.63</v>
      </c>
      <c r="AV59" s="52">
        <v>-16713.3</v>
      </c>
      <c r="AW59" s="52">
        <v>-2812.38</v>
      </c>
      <c r="AX59" s="52">
        <v>-58351.7</v>
      </c>
      <c r="AY59" s="52">
        <v>-31247.1</v>
      </c>
      <c r="AZ59" s="52">
        <v>-51036.959999999999</v>
      </c>
      <c r="BA59" s="52">
        <v>-9769.34</v>
      </c>
      <c r="BB59" s="52">
        <v>-56.11</v>
      </c>
      <c r="BC59" s="52">
        <v>-2551.98</v>
      </c>
      <c r="BD59" s="52">
        <v>-16136.51</v>
      </c>
      <c r="BE59" s="52">
        <v>-219.45</v>
      </c>
      <c r="BF59" s="52">
        <v>-104.55</v>
      </c>
      <c r="BG59" s="52">
        <v>-296.31</v>
      </c>
      <c r="BH59" s="52">
        <v>0</v>
      </c>
      <c r="BI59" s="52">
        <v>-599.42999999999995</v>
      </c>
      <c r="BJ59" s="52">
        <v>-2986.47</v>
      </c>
      <c r="BK59" s="52">
        <v>-104716.09</v>
      </c>
      <c r="BL59" s="52">
        <v>-5238.54</v>
      </c>
      <c r="BM59" s="52">
        <v>-9905.57</v>
      </c>
      <c r="BN59" s="52">
        <v>0</v>
      </c>
      <c r="BO59" s="52">
        <v>-7243.21</v>
      </c>
      <c r="BP59" s="52">
        <v>0</v>
      </c>
      <c r="BQ59" s="52">
        <v>0</v>
      </c>
      <c r="BR59" s="52">
        <v>-2630.6</v>
      </c>
      <c r="BS59" s="52">
        <v>0</v>
      </c>
      <c r="BT59" s="52">
        <v>0</v>
      </c>
      <c r="BU59" s="52">
        <v>0</v>
      </c>
      <c r="BV59" s="52">
        <v>0</v>
      </c>
      <c r="BW59" s="52">
        <v>-15055.62</v>
      </c>
      <c r="BX59" s="52">
        <v>0</v>
      </c>
      <c r="BY59" s="52">
        <v>0</v>
      </c>
      <c r="BZ59" s="52">
        <v>0</v>
      </c>
      <c r="CA59" s="52">
        <v>0</v>
      </c>
      <c r="CB59" s="52">
        <v>0</v>
      </c>
      <c r="CC59" s="52">
        <v>-0.02</v>
      </c>
      <c r="CD59" s="52">
        <v>0</v>
      </c>
      <c r="CE59" s="52">
        <v>0</v>
      </c>
      <c r="CF59" s="52">
        <v>0</v>
      </c>
      <c r="CG59" s="52">
        <v>0</v>
      </c>
      <c r="CH59" s="52">
        <v>-18808</v>
      </c>
      <c r="CI59" s="52">
        <v>0</v>
      </c>
      <c r="CJ59" s="52">
        <v>-19220.259999999998</v>
      </c>
      <c r="CK59" s="52">
        <v>0</v>
      </c>
      <c r="CL59" s="52">
        <v>0</v>
      </c>
      <c r="CM59" s="52">
        <v>0</v>
      </c>
      <c r="CN59" s="52">
        <v>-2174.3200000000002</v>
      </c>
      <c r="CO59" s="52">
        <v>0</v>
      </c>
      <c r="CP59" s="52">
        <v>-1194.78</v>
      </c>
      <c r="CQ59" s="52">
        <v>1194.78</v>
      </c>
      <c r="CR59" s="52">
        <v>-13395.81</v>
      </c>
      <c r="CS59" s="52">
        <v>-43093.33</v>
      </c>
      <c r="CT59" s="52">
        <v>-3888.07</v>
      </c>
      <c r="CU59" s="52">
        <v>-33660.43</v>
      </c>
      <c r="CV59" s="430">
        <f t="shared" si="1"/>
        <v>-115432.22</v>
      </c>
    </row>
    <row r="60" spans="1:100">
      <c r="A60" s="540" t="str">
        <f t="shared" si="0"/>
        <v>4810070</v>
      </c>
      <c r="B60" s="541" t="s">
        <v>1903</v>
      </c>
      <c r="C60" s="463" t="s">
        <v>993</v>
      </c>
      <c r="D60" s="426">
        <v>0</v>
      </c>
      <c r="E60" s="426">
        <v>0</v>
      </c>
      <c r="F60" s="426">
        <v>-179.43</v>
      </c>
      <c r="G60" s="426">
        <v>-872.06</v>
      </c>
      <c r="H60" s="426">
        <v>-2714.57</v>
      </c>
      <c r="I60" s="426">
        <v>0</v>
      </c>
      <c r="J60" s="426">
        <v>-386.85</v>
      </c>
      <c r="K60" s="426">
        <v>-2495.41</v>
      </c>
      <c r="L60" s="426">
        <v>0</v>
      </c>
      <c r="M60" s="426">
        <v>-3764.32</v>
      </c>
      <c r="N60" s="426">
        <v>-250.39</v>
      </c>
      <c r="O60" s="427">
        <v>-8166.58</v>
      </c>
      <c r="P60" s="52">
        <v>0</v>
      </c>
      <c r="Q60" s="52">
        <v>0</v>
      </c>
      <c r="R60" s="52">
        <v>-5046.88</v>
      </c>
      <c r="S60" s="52">
        <v>5046.88</v>
      </c>
      <c r="T60" s="52">
        <v>0</v>
      </c>
      <c r="U60" s="52">
        <v>-3066.06</v>
      </c>
      <c r="V60" s="52">
        <v>-119.83</v>
      </c>
      <c r="W60" s="52">
        <v>0</v>
      </c>
      <c r="X60" s="52">
        <v>0</v>
      </c>
      <c r="Y60" s="52">
        <v>-2689.08</v>
      </c>
      <c r="Z60" s="52">
        <v>0</v>
      </c>
      <c r="AA60" s="52">
        <v>-1135.8599999999999</v>
      </c>
      <c r="AB60" s="52">
        <v>-51</v>
      </c>
      <c r="AC60" s="52">
        <v>0</v>
      </c>
      <c r="AD60" s="52">
        <v>-77.040000000000006</v>
      </c>
      <c r="AE60" s="52">
        <v>-1484.3</v>
      </c>
      <c r="AF60" s="52">
        <v>-347.14</v>
      </c>
      <c r="AG60" s="52">
        <v>-6376.31</v>
      </c>
      <c r="AH60" s="52">
        <v>-673.67</v>
      </c>
      <c r="AI60" s="52">
        <v>-5438.06</v>
      </c>
      <c r="AJ60" s="52">
        <v>0</v>
      </c>
      <c r="AK60" s="52">
        <v>-3677.17</v>
      </c>
      <c r="AL60" s="52">
        <v>-990.64</v>
      </c>
      <c r="AM60" s="52">
        <v>-8120.17</v>
      </c>
      <c r="AN60" s="52">
        <v>0</v>
      </c>
      <c r="AO60" s="52">
        <v>-7444.03</v>
      </c>
      <c r="AP60" s="52">
        <v>-331.12</v>
      </c>
      <c r="AQ60" s="52">
        <v>-4711.2700000000004</v>
      </c>
      <c r="AR60" s="52">
        <v>-649.04</v>
      </c>
      <c r="AS60" s="52">
        <v>-1031.83</v>
      </c>
      <c r="AT60" s="52">
        <v>-1709.06</v>
      </c>
      <c r="AU60" s="52">
        <v>-227.63</v>
      </c>
      <c r="AV60" s="52">
        <v>-1098.0999999999999</v>
      </c>
      <c r="AW60" s="52">
        <v>4154.5200000000004</v>
      </c>
      <c r="AX60" s="52">
        <v>-2056.19</v>
      </c>
      <c r="AY60" s="52">
        <v>-7217.55</v>
      </c>
      <c r="AZ60" s="52">
        <v>-11655.37</v>
      </c>
      <c r="BA60" s="52">
        <v>-1677.72</v>
      </c>
      <c r="BB60" s="52">
        <v>-537.29999999999995</v>
      </c>
      <c r="BC60" s="52">
        <v>-4793.24</v>
      </c>
      <c r="BD60" s="52">
        <v>-5931.54</v>
      </c>
      <c r="BE60" s="52">
        <v>0</v>
      </c>
      <c r="BF60" s="52">
        <v>0</v>
      </c>
      <c r="BG60" s="52">
        <v>-1482.3</v>
      </c>
      <c r="BH60" s="52">
        <v>-3464.92</v>
      </c>
      <c r="BI60" s="52">
        <v>-4844.83</v>
      </c>
      <c r="BJ60" s="52">
        <v>-11042.32</v>
      </c>
      <c r="BK60" s="52">
        <v>-580.37</v>
      </c>
      <c r="BL60" s="52">
        <v>-2700.66</v>
      </c>
      <c r="BM60" s="52">
        <v>0</v>
      </c>
      <c r="BN60" s="52">
        <v>-246.66</v>
      </c>
      <c r="BO60" s="52">
        <v>449.67</v>
      </c>
      <c r="BP60" s="52">
        <v>-846.91</v>
      </c>
      <c r="BQ60" s="52">
        <v>-1087.94</v>
      </c>
      <c r="BR60" s="52">
        <v>0</v>
      </c>
      <c r="BS60" s="52">
        <v>-228.35</v>
      </c>
      <c r="BT60" s="52">
        <v>0</v>
      </c>
      <c r="BU60" s="52">
        <v>0</v>
      </c>
      <c r="BV60" s="52">
        <v>-443.01</v>
      </c>
      <c r="BW60" s="52">
        <v>-1942.57</v>
      </c>
      <c r="BX60" s="52">
        <v>-0.2</v>
      </c>
      <c r="BY60" s="52">
        <v>-7088.86</v>
      </c>
      <c r="BZ60" s="52">
        <v>-12632.28</v>
      </c>
      <c r="CA60" s="52">
        <v>0</v>
      </c>
      <c r="CB60" s="52">
        <v>0</v>
      </c>
      <c r="CC60" s="52">
        <v>0</v>
      </c>
      <c r="CD60" s="52">
        <v>-2003.92</v>
      </c>
      <c r="CE60" s="52">
        <v>0</v>
      </c>
      <c r="CF60" s="52">
        <v>-870.92</v>
      </c>
      <c r="CG60" s="52">
        <v>-764.29</v>
      </c>
      <c r="CH60" s="52">
        <v>-305</v>
      </c>
      <c r="CI60" s="52">
        <v>-21.72</v>
      </c>
      <c r="CJ60" s="52">
        <v>-13469.96</v>
      </c>
      <c r="CK60" s="52">
        <v>-4555.75</v>
      </c>
      <c r="CL60" s="52">
        <v>-0.13</v>
      </c>
      <c r="CM60" s="52">
        <v>0</v>
      </c>
      <c r="CN60" s="52">
        <v>-1054.5</v>
      </c>
      <c r="CO60" s="52">
        <v>-1477.51</v>
      </c>
      <c r="CP60" s="52">
        <v>-1763.71</v>
      </c>
      <c r="CQ60" s="52">
        <v>-234.36</v>
      </c>
      <c r="CR60" s="52">
        <v>-7253.03</v>
      </c>
      <c r="CS60" s="52">
        <v>-5210.3100000000004</v>
      </c>
      <c r="CT60" s="52">
        <v>-8568.68</v>
      </c>
      <c r="CU60" s="52">
        <v>-3011.88</v>
      </c>
      <c r="CV60" s="430">
        <f t="shared" si="1"/>
        <v>-46599.819999999992</v>
      </c>
    </row>
    <row r="61" spans="1:100">
      <c r="A61" s="540" t="str">
        <f t="shared" si="0"/>
        <v>4810071</v>
      </c>
      <c r="B61" s="541" t="s">
        <v>1904</v>
      </c>
      <c r="C61" s="463" t="s">
        <v>994</v>
      </c>
      <c r="D61" s="428">
        <v>0</v>
      </c>
      <c r="E61" s="428">
        <v>0</v>
      </c>
      <c r="F61" s="428">
        <v>-3471.48</v>
      </c>
      <c r="G61" s="428">
        <v>-13965.47</v>
      </c>
      <c r="H61" s="428">
        <v>-41269.629999999997</v>
      </c>
      <c r="I61" s="428">
        <v>6088.25</v>
      </c>
      <c r="J61" s="428">
        <v>-5931.58</v>
      </c>
      <c r="K61" s="428">
        <v>-34382.25</v>
      </c>
      <c r="L61" s="428">
        <v>-17285.27</v>
      </c>
      <c r="M61" s="428">
        <v>-33965.72</v>
      </c>
      <c r="N61" s="428">
        <v>-3245.42</v>
      </c>
      <c r="O61" s="429">
        <v>-113221.29</v>
      </c>
      <c r="P61" s="52">
        <v>0</v>
      </c>
      <c r="Q61" s="52">
        <v>0</v>
      </c>
      <c r="R61" s="52">
        <v>0</v>
      </c>
      <c r="S61" s="52">
        <v>0</v>
      </c>
      <c r="T61" s="52">
        <v>0</v>
      </c>
      <c r="U61" s="52">
        <v>-32618.71</v>
      </c>
      <c r="V61" s="52">
        <v>-1227.99</v>
      </c>
      <c r="W61" s="52">
        <v>0</v>
      </c>
      <c r="X61" s="52">
        <v>0</v>
      </c>
      <c r="Y61" s="52">
        <v>-26131.65</v>
      </c>
      <c r="Z61" s="52">
        <v>0</v>
      </c>
      <c r="AA61" s="52">
        <v>-8931.91</v>
      </c>
      <c r="AB61" s="52">
        <v>-432.91</v>
      </c>
      <c r="AC61" s="52">
        <v>0</v>
      </c>
      <c r="AD61" s="52">
        <v>-604.49</v>
      </c>
      <c r="AE61" s="52">
        <v>-10316.719999999999</v>
      </c>
      <c r="AF61" s="52">
        <v>-2523.91</v>
      </c>
      <c r="AG61" s="52">
        <v>0</v>
      </c>
      <c r="AH61" s="52">
        <v>-2437.6</v>
      </c>
      <c r="AI61" s="52">
        <v>-61228.78</v>
      </c>
      <c r="AJ61" s="52">
        <v>0</v>
      </c>
      <c r="AK61" s="52">
        <v>-42694.79</v>
      </c>
      <c r="AL61" s="52">
        <v>0</v>
      </c>
      <c r="AM61" s="52">
        <v>-69406.19</v>
      </c>
      <c r="AN61" s="52">
        <v>0</v>
      </c>
      <c r="AO61" s="52">
        <v>-7143.27</v>
      </c>
      <c r="AP61" s="52">
        <v>-4007.77</v>
      </c>
      <c r="AQ61" s="52">
        <v>-63835.86</v>
      </c>
      <c r="AR61" s="52">
        <v>-8472.49</v>
      </c>
      <c r="AS61" s="52">
        <v>-13723.54</v>
      </c>
      <c r="AT61" s="52">
        <v>-22484.560000000001</v>
      </c>
      <c r="AU61" s="52">
        <v>-2932.82</v>
      </c>
      <c r="AV61" s="52">
        <v>-13813.57</v>
      </c>
      <c r="AW61" s="52">
        <v>-38440.230000000003</v>
      </c>
      <c r="AX61" s="52">
        <v>-27104.69</v>
      </c>
      <c r="AY61" s="52">
        <v>-97993.63</v>
      </c>
      <c r="AZ61" s="52">
        <v>-151996.53</v>
      </c>
      <c r="BA61" s="52">
        <v>-27649.24</v>
      </c>
      <c r="BB61" s="52">
        <v>-7783.33</v>
      </c>
      <c r="BC61" s="52">
        <v>-64969.62</v>
      </c>
      <c r="BD61" s="52">
        <v>-77277.960000000006</v>
      </c>
      <c r="BE61" s="52">
        <v>0</v>
      </c>
      <c r="BF61" s="52">
        <v>0</v>
      </c>
      <c r="BG61" s="52">
        <v>-19658.169999999998</v>
      </c>
      <c r="BH61" s="52">
        <v>-46377.01</v>
      </c>
      <c r="BI61" s="52">
        <v>-64469.05</v>
      </c>
      <c r="BJ61" s="52">
        <v>-166704.07999999999</v>
      </c>
      <c r="BK61" s="52">
        <v>-9536.83</v>
      </c>
      <c r="BL61" s="52">
        <v>-47954.46</v>
      </c>
      <c r="BM61" s="52">
        <v>0</v>
      </c>
      <c r="BN61" s="52">
        <v>-3081.29</v>
      </c>
      <c r="BO61" s="52">
        <v>-6065.5</v>
      </c>
      <c r="BP61" s="52">
        <v>-23838.42</v>
      </c>
      <c r="BQ61" s="52">
        <v>10425.370000000001</v>
      </c>
      <c r="BR61" s="52">
        <v>0</v>
      </c>
      <c r="BS61" s="52">
        <v>-1819.32</v>
      </c>
      <c r="BT61" s="52">
        <v>-803.29</v>
      </c>
      <c r="BU61" s="52">
        <v>0</v>
      </c>
      <c r="BV61" s="52">
        <v>-5133.91</v>
      </c>
      <c r="BW61" s="52">
        <v>-24327.55</v>
      </c>
      <c r="BX61" s="52">
        <v>0</v>
      </c>
      <c r="BY61" s="52">
        <v>-79051.039999999994</v>
      </c>
      <c r="BZ61" s="52">
        <v>-136633.73000000001</v>
      </c>
      <c r="CA61" s="52">
        <v>0</v>
      </c>
      <c r="CB61" s="52">
        <v>0</v>
      </c>
      <c r="CC61" s="52">
        <v>0</v>
      </c>
      <c r="CD61" s="52">
        <v>-18273.189999999999</v>
      </c>
      <c r="CE61" s="52">
        <v>0</v>
      </c>
      <c r="CF61" s="52">
        <v>-9709.17</v>
      </c>
      <c r="CG61" s="52">
        <v>-8520.4699999999993</v>
      </c>
      <c r="CH61" s="52">
        <v>-3316.11</v>
      </c>
      <c r="CI61" s="52">
        <v>-236.16</v>
      </c>
      <c r="CJ61" s="52">
        <v>-204143.41</v>
      </c>
      <c r="CK61" s="52">
        <v>-44954.52</v>
      </c>
      <c r="CL61" s="52">
        <v>-4.2699999999999996</v>
      </c>
      <c r="CM61" s="52">
        <v>0</v>
      </c>
      <c r="CN61" s="52">
        <v>-9875.9</v>
      </c>
      <c r="CO61" s="52">
        <v>-13793.61</v>
      </c>
      <c r="CP61" s="52">
        <v>-18697.57</v>
      </c>
      <c r="CQ61" s="52">
        <v>-2862.56</v>
      </c>
      <c r="CR61" s="52">
        <v>-98615.84</v>
      </c>
      <c r="CS61" s="52">
        <v>-75999.81</v>
      </c>
      <c r="CT61" s="52">
        <v>-149584.63</v>
      </c>
      <c r="CU61" s="52">
        <v>-45090.05</v>
      </c>
      <c r="CV61" s="430">
        <f t="shared" si="1"/>
        <v>-663622.16999999993</v>
      </c>
    </row>
    <row r="62" spans="1:100">
      <c r="A62" s="540" t="str">
        <f t="shared" si="0"/>
        <v>4810080</v>
      </c>
      <c r="B62" s="541" t="s">
        <v>1905</v>
      </c>
      <c r="C62" s="463" t="s">
        <v>995</v>
      </c>
      <c r="D62" s="426">
        <v>-895.72</v>
      </c>
      <c r="E62" s="426">
        <v>0</v>
      </c>
      <c r="F62" s="426">
        <v>-304.75</v>
      </c>
      <c r="G62" s="426">
        <v>0</v>
      </c>
      <c r="H62" s="426">
        <v>-1088.24</v>
      </c>
      <c r="I62" s="426">
        <v>0</v>
      </c>
      <c r="J62" s="426">
        <v>-585.04999999999995</v>
      </c>
      <c r="K62" s="426">
        <v>0</v>
      </c>
      <c r="L62" s="426">
        <v>0</v>
      </c>
      <c r="M62" s="426">
        <v>-57.19</v>
      </c>
      <c r="N62" s="426">
        <v>0</v>
      </c>
      <c r="O62" s="427">
        <v>0</v>
      </c>
      <c r="P62" s="52">
        <v>0</v>
      </c>
      <c r="Q62" s="52">
        <v>0</v>
      </c>
      <c r="R62" s="52">
        <v>-175.93</v>
      </c>
      <c r="S62" s="52">
        <v>-1168.42</v>
      </c>
      <c r="T62" s="52">
        <v>0</v>
      </c>
      <c r="U62" s="52">
        <v>0</v>
      </c>
      <c r="V62" s="52">
        <v>-2357.4699999999998</v>
      </c>
      <c r="W62" s="52">
        <v>0</v>
      </c>
      <c r="X62" s="52">
        <v>-232.82</v>
      </c>
      <c r="Y62" s="52">
        <v>-1063.1300000000001</v>
      </c>
      <c r="Z62" s="52">
        <v>0</v>
      </c>
      <c r="AA62" s="52">
        <v>-392.44</v>
      </c>
      <c r="AB62" s="52">
        <v>-538.05999999999995</v>
      </c>
      <c r="AC62" s="52">
        <v>-2660.61</v>
      </c>
      <c r="AD62" s="52">
        <v>-1511.43</v>
      </c>
      <c r="AE62" s="52">
        <v>-18.23</v>
      </c>
      <c r="AF62" s="52">
        <v>0</v>
      </c>
      <c r="AG62" s="52">
        <v>0</v>
      </c>
      <c r="AH62" s="52">
        <v>0</v>
      </c>
      <c r="AI62" s="52">
        <v>0</v>
      </c>
      <c r="AJ62" s="52">
        <v>0</v>
      </c>
      <c r="AK62" s="52">
        <v>-49.45</v>
      </c>
      <c r="AL62" s="52">
        <v>0</v>
      </c>
      <c r="AM62" s="52">
        <v>0</v>
      </c>
      <c r="AN62" s="52">
        <v>-138.05000000000001</v>
      </c>
      <c r="AO62" s="52">
        <v>0</v>
      </c>
      <c r="AP62" s="52">
        <v>0</v>
      </c>
      <c r="AQ62" s="52">
        <v>0</v>
      </c>
      <c r="AR62" s="52">
        <v>0</v>
      </c>
      <c r="AS62" s="52">
        <v>0</v>
      </c>
      <c r="AT62" s="52">
        <v>0</v>
      </c>
      <c r="AU62" s="52">
        <v>-2387.61</v>
      </c>
      <c r="AV62" s="52">
        <v>-890.39</v>
      </c>
      <c r="AW62" s="52">
        <v>2387.61</v>
      </c>
      <c r="AX62" s="52">
        <v>-1980.84</v>
      </c>
      <c r="AY62" s="52">
        <v>1980.84</v>
      </c>
      <c r="AZ62" s="52">
        <v>0</v>
      </c>
      <c r="BA62" s="52">
        <v>-120.91</v>
      </c>
      <c r="BB62" s="52">
        <v>0</v>
      </c>
      <c r="BC62" s="52">
        <v>0</v>
      </c>
      <c r="BD62" s="52">
        <v>0</v>
      </c>
      <c r="BE62" s="52">
        <v>0</v>
      </c>
      <c r="BF62" s="52">
        <v>0</v>
      </c>
      <c r="BG62" s="52">
        <v>0</v>
      </c>
      <c r="BH62" s="52">
        <v>0</v>
      </c>
      <c r="BI62" s="52">
        <v>0</v>
      </c>
      <c r="BJ62" s="52">
        <v>-465.16</v>
      </c>
      <c r="BK62" s="52">
        <v>-216.06</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430">
        <f t="shared" si="1"/>
        <v>0</v>
      </c>
    </row>
    <row r="63" spans="1:100">
      <c r="A63" s="540" t="str">
        <f t="shared" si="0"/>
        <v>4810081</v>
      </c>
      <c r="B63" s="541" t="s">
        <v>1906</v>
      </c>
      <c r="C63" s="463" t="s">
        <v>996</v>
      </c>
      <c r="D63" s="428">
        <v>10022.32</v>
      </c>
      <c r="E63" s="428">
        <v>55000</v>
      </c>
      <c r="F63" s="428">
        <v>34407.19</v>
      </c>
      <c r="G63" s="428">
        <v>55000</v>
      </c>
      <c r="H63" s="428">
        <v>-2785.72</v>
      </c>
      <c r="I63" s="428">
        <v>55000</v>
      </c>
      <c r="J63" s="428">
        <v>23668.45</v>
      </c>
      <c r="K63" s="428">
        <v>55000</v>
      </c>
      <c r="L63" s="428">
        <v>55000</v>
      </c>
      <c r="M63" s="428">
        <v>52378.55</v>
      </c>
      <c r="N63" s="428">
        <v>55000</v>
      </c>
      <c r="O63" s="429">
        <v>55000</v>
      </c>
      <c r="P63" s="52">
        <v>55000</v>
      </c>
      <c r="Q63" s="52">
        <v>55000</v>
      </c>
      <c r="R63" s="52">
        <v>48416.23</v>
      </c>
      <c r="S63" s="52">
        <v>14477.73</v>
      </c>
      <c r="T63" s="52">
        <v>55000</v>
      </c>
      <c r="U63" s="52">
        <v>55000</v>
      </c>
      <c r="V63" s="52">
        <v>-36415.94</v>
      </c>
      <c r="W63" s="52">
        <v>55000</v>
      </c>
      <c r="X63" s="52">
        <v>46608.4</v>
      </c>
      <c r="Y63" s="52">
        <v>18915.669999999998</v>
      </c>
      <c r="Z63" s="52">
        <v>55000</v>
      </c>
      <c r="AA63" s="52">
        <v>44221.43</v>
      </c>
      <c r="AB63" s="52">
        <v>39047.69</v>
      </c>
      <c r="AC63" s="52">
        <v>-30037.759999999998</v>
      </c>
      <c r="AD63" s="52">
        <v>13576.61</v>
      </c>
      <c r="AE63" s="52">
        <v>54557.46</v>
      </c>
      <c r="AF63" s="52">
        <v>55000</v>
      </c>
      <c r="AG63" s="52">
        <v>55000</v>
      </c>
      <c r="AH63" s="52">
        <v>55000</v>
      </c>
      <c r="AI63" s="52">
        <v>55000</v>
      </c>
      <c r="AJ63" s="52">
        <v>55000</v>
      </c>
      <c r="AK63" s="52">
        <v>53147.75</v>
      </c>
      <c r="AL63" s="52">
        <v>55000</v>
      </c>
      <c r="AM63" s="52">
        <v>55000</v>
      </c>
      <c r="AN63" s="52">
        <v>3085.86</v>
      </c>
      <c r="AO63" s="52">
        <v>16914.14</v>
      </c>
      <c r="AP63" s="52">
        <v>10000</v>
      </c>
      <c r="AQ63" s="52">
        <v>10000</v>
      </c>
      <c r="AR63" s="52">
        <v>10000</v>
      </c>
      <c r="AS63" s="52">
        <v>10000</v>
      </c>
      <c r="AT63" s="52">
        <v>10000</v>
      </c>
      <c r="AU63" s="52">
        <v>10000</v>
      </c>
      <c r="AV63" s="52">
        <v>10000</v>
      </c>
      <c r="AW63" s="52">
        <v>10000</v>
      </c>
      <c r="AX63" s="52">
        <v>10000</v>
      </c>
      <c r="AY63" s="52">
        <v>10000</v>
      </c>
      <c r="AZ63" s="52">
        <v>10000</v>
      </c>
      <c r="BA63" s="52">
        <v>1946.82</v>
      </c>
      <c r="BB63" s="52">
        <v>10000</v>
      </c>
      <c r="BC63" s="52">
        <v>10000</v>
      </c>
      <c r="BD63" s="52">
        <v>10000</v>
      </c>
      <c r="BE63" s="52">
        <v>10000</v>
      </c>
      <c r="BF63" s="52">
        <v>10000</v>
      </c>
      <c r="BG63" s="52">
        <v>10000</v>
      </c>
      <c r="BH63" s="52">
        <v>10000</v>
      </c>
      <c r="BI63" s="52">
        <v>10000</v>
      </c>
      <c r="BJ63" s="52">
        <v>-12446.53</v>
      </c>
      <c r="BK63" s="52">
        <v>-2443.84</v>
      </c>
      <c r="BL63" s="52">
        <v>10000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430">
        <f t="shared" si="1"/>
        <v>0</v>
      </c>
    </row>
    <row r="64" spans="1:100">
      <c r="A64" s="540" t="str">
        <f t="shared" si="0"/>
        <v>4810090</v>
      </c>
      <c r="B64" s="541" t="s">
        <v>1907</v>
      </c>
      <c r="C64" s="463" t="s">
        <v>1839</v>
      </c>
      <c r="D64" s="52">
        <v>0</v>
      </c>
      <c r="E64" s="52">
        <v>0</v>
      </c>
      <c r="F64" s="52">
        <v>0</v>
      </c>
      <c r="G64" s="52">
        <v>0</v>
      </c>
      <c r="H64" s="52">
        <v>0</v>
      </c>
      <c r="I64" s="52">
        <v>0</v>
      </c>
      <c r="J64" s="52">
        <v>0</v>
      </c>
      <c r="K64" s="52">
        <v>0</v>
      </c>
      <c r="L64" s="52">
        <v>0</v>
      </c>
      <c r="M64" s="52">
        <v>0</v>
      </c>
      <c r="N64" s="52">
        <v>0</v>
      </c>
      <c r="O64" s="52">
        <v>0</v>
      </c>
      <c r="P64" s="52">
        <v>0</v>
      </c>
      <c r="Q64" s="52">
        <v>0</v>
      </c>
      <c r="R64" s="52">
        <v>0</v>
      </c>
      <c r="S64" s="52">
        <v>0</v>
      </c>
      <c r="T64" s="52">
        <v>0</v>
      </c>
      <c r="U64" s="52">
        <v>0</v>
      </c>
      <c r="V64" s="52">
        <v>0</v>
      </c>
      <c r="W64" s="52">
        <v>0</v>
      </c>
      <c r="X64" s="52">
        <v>0</v>
      </c>
      <c r="Y64" s="52">
        <v>0</v>
      </c>
      <c r="Z64" s="52">
        <v>0</v>
      </c>
      <c r="AA64" s="52">
        <v>0</v>
      </c>
      <c r="AB64" s="52">
        <v>0</v>
      </c>
      <c r="AC64" s="52">
        <v>0</v>
      </c>
      <c r="AD64" s="52">
        <v>0</v>
      </c>
      <c r="AE64" s="52">
        <v>0</v>
      </c>
      <c r="AF64" s="52">
        <v>0</v>
      </c>
      <c r="AG64" s="52">
        <v>0</v>
      </c>
      <c r="AH64" s="52">
        <v>0</v>
      </c>
      <c r="AI64" s="52">
        <v>0</v>
      </c>
      <c r="AJ64" s="52">
        <v>0</v>
      </c>
      <c r="AK64" s="52">
        <v>0</v>
      </c>
      <c r="AL64" s="52">
        <v>0</v>
      </c>
      <c r="AM64" s="52">
        <v>0</v>
      </c>
      <c r="AN64" s="52">
        <v>0</v>
      </c>
      <c r="AO64" s="52">
        <v>0</v>
      </c>
      <c r="AP64" s="52">
        <v>0</v>
      </c>
      <c r="AQ64" s="52">
        <v>0</v>
      </c>
      <c r="AR64" s="52">
        <v>0</v>
      </c>
      <c r="AS64" s="52">
        <v>0</v>
      </c>
      <c r="AT64" s="52">
        <v>0</v>
      </c>
      <c r="AU64" s="52">
        <v>0</v>
      </c>
      <c r="AV64" s="52">
        <v>0</v>
      </c>
      <c r="AW64" s="52">
        <v>-1519.7</v>
      </c>
      <c r="AX64" s="52">
        <v>0</v>
      </c>
      <c r="AY64" s="52">
        <v>-2824.45</v>
      </c>
      <c r="AZ64" s="52">
        <v>0</v>
      </c>
      <c r="BA64" s="52">
        <v>0</v>
      </c>
      <c r="BB64" s="52">
        <v>0</v>
      </c>
      <c r="BC64" s="52">
        <v>0</v>
      </c>
      <c r="BD64" s="52">
        <v>0</v>
      </c>
      <c r="BE64" s="52">
        <v>0</v>
      </c>
      <c r="BF64" s="52">
        <v>-574.19000000000005</v>
      </c>
      <c r="BG64" s="52">
        <v>0</v>
      </c>
      <c r="BH64" s="52">
        <v>0</v>
      </c>
      <c r="BI64" s="52">
        <v>-242.03</v>
      </c>
      <c r="BJ64" s="52">
        <v>0</v>
      </c>
      <c r="BK64" s="52">
        <v>-6257.7</v>
      </c>
      <c r="BL64" s="52">
        <v>-2118.4899999999998</v>
      </c>
      <c r="BM64" s="52">
        <v>-93.82</v>
      </c>
      <c r="BN64" s="52">
        <v>-3854.33</v>
      </c>
      <c r="BO64" s="52">
        <v>-2634.32</v>
      </c>
      <c r="BP64" s="52">
        <v>0</v>
      </c>
      <c r="BQ64" s="52">
        <v>-386.95</v>
      </c>
      <c r="BR64" s="52">
        <v>-1.94</v>
      </c>
      <c r="BS64" s="52">
        <v>-42464.1</v>
      </c>
      <c r="BT64" s="52">
        <v>-8818.6299999999992</v>
      </c>
      <c r="BU64" s="52">
        <v>23801.759999999998</v>
      </c>
      <c r="BV64" s="52">
        <v>-2346.81</v>
      </c>
      <c r="BW64" s="52">
        <v>-1049.69</v>
      </c>
      <c r="BX64" s="52">
        <v>-381.94</v>
      </c>
      <c r="BY64" s="52">
        <v>-19000.39</v>
      </c>
      <c r="BZ64" s="52">
        <v>-895.75</v>
      </c>
      <c r="CA64" s="52">
        <v>0</v>
      </c>
      <c r="CB64" s="52">
        <v>-112.97</v>
      </c>
      <c r="CC64" s="52">
        <v>-84.55</v>
      </c>
      <c r="CD64" s="52">
        <v>-27299.07</v>
      </c>
      <c r="CE64" s="52">
        <v>-1416.84</v>
      </c>
      <c r="CF64" s="52">
        <v>-2438.7800000000002</v>
      </c>
      <c r="CG64" s="52">
        <v>-748.78</v>
      </c>
      <c r="CH64" s="52">
        <v>-197.7</v>
      </c>
      <c r="CI64" s="52">
        <v>-1987.7</v>
      </c>
      <c r="CJ64" s="52">
        <v>-13695.05</v>
      </c>
      <c r="CK64" s="52">
        <v>0</v>
      </c>
      <c r="CL64" s="52">
        <v>0</v>
      </c>
      <c r="CM64" s="52">
        <v>0</v>
      </c>
      <c r="CN64" s="52">
        <v>0</v>
      </c>
      <c r="CO64" s="52">
        <v>-486.59</v>
      </c>
      <c r="CP64" s="52">
        <v>0</v>
      </c>
      <c r="CQ64" s="52">
        <v>0</v>
      </c>
      <c r="CR64" s="52">
        <v>0</v>
      </c>
      <c r="CS64" s="52">
        <v>-1448.13</v>
      </c>
      <c r="CT64" s="52">
        <v>-907.54</v>
      </c>
      <c r="CU64" s="52">
        <v>-230.08</v>
      </c>
      <c r="CV64" s="430">
        <f t="shared" si="1"/>
        <v>-16767.390000000003</v>
      </c>
    </row>
    <row r="65" spans="1:100">
      <c r="A65" s="540" t="str">
        <f t="shared" si="0"/>
        <v>4810091</v>
      </c>
      <c r="B65" s="541" t="s">
        <v>1779</v>
      </c>
      <c r="C65" s="463" t="s">
        <v>1766</v>
      </c>
      <c r="D65" s="428"/>
      <c r="E65" s="428"/>
      <c r="F65" s="428"/>
      <c r="G65" s="428"/>
      <c r="H65" s="428"/>
      <c r="I65" s="428"/>
      <c r="J65" s="428"/>
      <c r="K65" s="428"/>
      <c r="L65" s="428"/>
      <c r="M65" s="428"/>
      <c r="N65" s="428"/>
      <c r="O65" s="429"/>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v>53786.91</v>
      </c>
      <c r="AO65" s="52">
        <v>103333.35</v>
      </c>
      <c r="AP65" s="52">
        <v>103333.34</v>
      </c>
      <c r="AQ65" s="52">
        <v>100313.86</v>
      </c>
      <c r="AR65" s="52">
        <v>103333.34</v>
      </c>
      <c r="AS65" s="52">
        <v>103333.34</v>
      </c>
      <c r="AT65" s="52">
        <v>103333.34</v>
      </c>
      <c r="AU65" s="52">
        <v>-12228.4</v>
      </c>
      <c r="AV65" s="52">
        <v>64212.04</v>
      </c>
      <c r="AW65" s="52">
        <v>144999.64000000001</v>
      </c>
      <c r="AX65" s="52">
        <v>17849.91</v>
      </c>
      <c r="AY65" s="52">
        <v>65703.19</v>
      </c>
      <c r="AZ65" s="52">
        <v>103333.34</v>
      </c>
      <c r="BA65" s="52">
        <v>103333.34</v>
      </c>
      <c r="BB65" s="52">
        <v>103333.34</v>
      </c>
      <c r="BC65" s="52">
        <v>103333.34</v>
      </c>
      <c r="BD65" s="52">
        <v>103333.34</v>
      </c>
      <c r="BE65" s="52">
        <v>103333.34</v>
      </c>
      <c r="BF65" s="52">
        <v>77679.740000000005</v>
      </c>
      <c r="BG65" s="52">
        <v>103333.34</v>
      </c>
      <c r="BH65" s="52">
        <v>103333.34</v>
      </c>
      <c r="BI65" s="52">
        <v>92305.15</v>
      </c>
      <c r="BJ65" s="52">
        <v>103333.34</v>
      </c>
      <c r="BK65" s="52">
        <v>-311751.57</v>
      </c>
      <c r="BL65" s="52">
        <v>-20389.11</v>
      </c>
      <c r="BM65" s="52">
        <v>98513.919999999998</v>
      </c>
      <c r="BN65" s="52">
        <v>-66166.62</v>
      </c>
      <c r="BO65" s="52">
        <v>-19761.810000000001</v>
      </c>
      <c r="BP65" s="52">
        <v>123333.34</v>
      </c>
      <c r="BQ65" s="52">
        <v>110997.65</v>
      </c>
      <c r="BR65" s="52">
        <v>113328.1</v>
      </c>
      <c r="BS65" s="52">
        <v>-155716.6</v>
      </c>
      <c r="BT65" s="52">
        <v>76535.67</v>
      </c>
      <c r="BU65" s="52">
        <v>340717.09</v>
      </c>
      <c r="BV65" s="52">
        <v>100018.02</v>
      </c>
      <c r="BW65" s="52">
        <v>106924.86</v>
      </c>
      <c r="BX65" s="52">
        <v>111230.37</v>
      </c>
      <c r="BY65" s="52">
        <v>77622.679999999993</v>
      </c>
      <c r="BZ65" s="52">
        <v>65429.33</v>
      </c>
      <c r="CA65" s="52">
        <v>148704.6</v>
      </c>
      <c r="CB65" s="52">
        <v>109736.15</v>
      </c>
      <c r="CC65" s="52">
        <v>110533.32</v>
      </c>
      <c r="CD65" s="52">
        <v>68130.78</v>
      </c>
      <c r="CE65" s="52">
        <v>106123.87</v>
      </c>
      <c r="CF65" s="52">
        <v>87320.02</v>
      </c>
      <c r="CG65" s="52">
        <v>84072.61</v>
      </c>
      <c r="CH65" s="52">
        <v>112818.27</v>
      </c>
      <c r="CI65" s="52">
        <v>109016.23</v>
      </c>
      <c r="CJ65" s="52">
        <v>104008.58</v>
      </c>
      <c r="CK65" s="52">
        <v>87538.559999999998</v>
      </c>
      <c r="CL65" s="52">
        <v>106292.24</v>
      </c>
      <c r="CM65" s="52">
        <v>103333.34</v>
      </c>
      <c r="CN65" s="52">
        <v>103333.34</v>
      </c>
      <c r="CO65" s="52">
        <v>101560.72</v>
      </c>
      <c r="CP65" s="52">
        <v>97219.85</v>
      </c>
      <c r="CQ65" s="52">
        <v>103333.34</v>
      </c>
      <c r="CR65" s="52">
        <v>103333.34</v>
      </c>
      <c r="CS65" s="52">
        <v>11371.54</v>
      </c>
      <c r="CT65" s="52">
        <v>11893.84</v>
      </c>
      <c r="CU65" s="52">
        <v>90687.72</v>
      </c>
      <c r="CV65" s="430">
        <f t="shared" si="1"/>
        <v>1023906.4099999998</v>
      </c>
    </row>
    <row r="66" spans="1:100">
      <c r="A66" s="540" t="str">
        <f t="shared" si="0"/>
        <v>4810500</v>
      </c>
      <c r="B66" s="541" t="s">
        <v>1908</v>
      </c>
      <c r="C66" s="463" t="s">
        <v>997</v>
      </c>
      <c r="D66" s="426">
        <v>-697975.33</v>
      </c>
      <c r="E66" s="426">
        <v>-31668.17</v>
      </c>
      <c r="F66" s="426">
        <v>-356025</v>
      </c>
      <c r="G66" s="426">
        <v>-1909918.9</v>
      </c>
      <c r="H66" s="426">
        <v>-1070387.6599999999</v>
      </c>
      <c r="I66" s="426">
        <v>-1219047.94</v>
      </c>
      <c r="J66" s="426">
        <v>-1128094.53</v>
      </c>
      <c r="K66" s="426">
        <v>-1513926.17</v>
      </c>
      <c r="L66" s="426">
        <v>-18488.150000000001</v>
      </c>
      <c r="M66" s="426">
        <v>10318.5</v>
      </c>
      <c r="N66" s="426">
        <v>0</v>
      </c>
      <c r="O66" s="427">
        <v>0</v>
      </c>
      <c r="P66" s="52">
        <v>-3110.04</v>
      </c>
      <c r="Q66" s="52">
        <v>-10726.8</v>
      </c>
      <c r="R66" s="52">
        <v>-744.75</v>
      </c>
      <c r="S66" s="52">
        <v>-20792.34</v>
      </c>
      <c r="T66" s="52">
        <v>2.68</v>
      </c>
      <c r="U66" s="52">
        <v>-357029.05</v>
      </c>
      <c r="V66" s="52">
        <v>25875</v>
      </c>
      <c r="W66" s="52">
        <v>0</v>
      </c>
      <c r="X66" s="52">
        <v>-33650.660000000003</v>
      </c>
      <c r="Y66" s="52">
        <v>0</v>
      </c>
      <c r="Z66" s="52">
        <v>0</v>
      </c>
      <c r="AA66" s="52">
        <v>0</v>
      </c>
      <c r="AB66" s="52">
        <v>-170477.75</v>
      </c>
      <c r="AC66" s="52">
        <v>-20496</v>
      </c>
      <c r="AD66" s="52">
        <v>0</v>
      </c>
      <c r="AE66" s="52">
        <v>0</v>
      </c>
      <c r="AF66" s="52">
        <v>-34410</v>
      </c>
      <c r="AG66" s="52">
        <v>-69916.289999999994</v>
      </c>
      <c r="AH66" s="52">
        <v>-42928.26</v>
      </c>
      <c r="AI66" s="52">
        <v>-87752.37</v>
      </c>
      <c r="AJ66" s="52">
        <v>0</v>
      </c>
      <c r="AK66" s="52">
        <v>0</v>
      </c>
      <c r="AL66" s="52">
        <v>0</v>
      </c>
      <c r="AM66" s="52">
        <v>0</v>
      </c>
      <c r="AN66" s="52">
        <v>0</v>
      </c>
      <c r="AO66" s="52">
        <v>-392257.45</v>
      </c>
      <c r="AP66" s="52">
        <v>-11780.03</v>
      </c>
      <c r="AQ66" s="52">
        <v>0</v>
      </c>
      <c r="AR66" s="52">
        <v>-97310.05</v>
      </c>
      <c r="AS66" s="52">
        <v>0</v>
      </c>
      <c r="AT66" s="52">
        <v>-11906.4</v>
      </c>
      <c r="AU66" s="52">
        <v>0</v>
      </c>
      <c r="AV66" s="52">
        <v>-62986.11</v>
      </c>
      <c r="AW66" s="52">
        <v>-139738.5</v>
      </c>
      <c r="AX66" s="52">
        <v>-794169.76</v>
      </c>
      <c r="AY66" s="52">
        <v>-3668.96</v>
      </c>
      <c r="AZ66" s="52">
        <v>0</v>
      </c>
      <c r="BA66" s="52">
        <v>-1212.96</v>
      </c>
      <c r="BB66" s="52">
        <v>0</v>
      </c>
      <c r="BC66" s="52">
        <v>-1183.5999999999999</v>
      </c>
      <c r="BD66" s="52">
        <v>0</v>
      </c>
      <c r="BE66" s="52">
        <v>-975</v>
      </c>
      <c r="BF66" s="52">
        <v>-316924.71000000002</v>
      </c>
      <c r="BG66" s="52">
        <v>-40874.730000000003</v>
      </c>
      <c r="BH66" s="52">
        <v>0</v>
      </c>
      <c r="BI66" s="52">
        <v>0</v>
      </c>
      <c r="BJ66" s="52">
        <v>0</v>
      </c>
      <c r="BK66" s="52">
        <v>0</v>
      </c>
      <c r="BL66" s="52">
        <v>-440000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-939847.09</v>
      </c>
      <c r="CC66" s="52">
        <v>-462368.03</v>
      </c>
      <c r="CD66" s="52">
        <v>-890245.97</v>
      </c>
      <c r="CE66" s="52">
        <v>0</v>
      </c>
      <c r="CF66" s="52">
        <v>0</v>
      </c>
      <c r="CG66" s="52">
        <v>-16453.16</v>
      </c>
      <c r="CH66" s="52">
        <v>0</v>
      </c>
      <c r="CI66" s="52">
        <v>0</v>
      </c>
      <c r="CJ66" s="52">
        <v>0</v>
      </c>
      <c r="CK66" s="52">
        <v>-284314.19</v>
      </c>
      <c r="CL66" s="52">
        <v>-13501.6</v>
      </c>
      <c r="CM66" s="52">
        <v>-25465</v>
      </c>
      <c r="CN66" s="52">
        <v>0</v>
      </c>
      <c r="CO66" s="52">
        <v>0</v>
      </c>
      <c r="CP66" s="52">
        <v>0</v>
      </c>
      <c r="CQ66" s="52">
        <v>0</v>
      </c>
      <c r="CR66" s="52">
        <v>-204155.14</v>
      </c>
      <c r="CS66" s="52">
        <v>0</v>
      </c>
      <c r="CT66" s="52">
        <v>0</v>
      </c>
      <c r="CU66" s="52">
        <v>0</v>
      </c>
      <c r="CV66" s="430">
        <f t="shared" si="1"/>
        <v>-527435.92999999993</v>
      </c>
    </row>
    <row r="67" spans="1:100">
      <c r="A67" s="540" t="str">
        <f t="shared" si="0"/>
        <v>4810600</v>
      </c>
      <c r="B67" s="541" t="s">
        <v>1363</v>
      </c>
      <c r="C67" s="463" t="s">
        <v>998</v>
      </c>
      <c r="D67" s="426">
        <v>-2960101.84</v>
      </c>
      <c r="E67" s="426">
        <v>-1006812.2</v>
      </c>
      <c r="F67" s="426">
        <v>-2100955.4300000002</v>
      </c>
      <c r="G67" s="426">
        <v>-3847841.15</v>
      </c>
      <c r="H67" s="426">
        <v>569043.78</v>
      </c>
      <c r="I67" s="426">
        <v>192166.28</v>
      </c>
      <c r="J67" s="426">
        <v>-2488342.86</v>
      </c>
      <c r="K67" s="426">
        <v>-4551295.17</v>
      </c>
      <c r="L67" s="426">
        <v>-2729809.2</v>
      </c>
      <c r="M67" s="426">
        <v>-3286319.65</v>
      </c>
      <c r="N67" s="426">
        <v>-2685982.12</v>
      </c>
      <c r="O67" s="427">
        <v>6884389.1200000001</v>
      </c>
      <c r="P67" s="52">
        <v>-1192954.74</v>
      </c>
      <c r="Q67" s="52">
        <v>-1463246.26</v>
      </c>
      <c r="R67" s="52">
        <v>-880261.24</v>
      </c>
      <c r="S67" s="52">
        <v>-5458941.4199999999</v>
      </c>
      <c r="T67" s="52">
        <v>1210999.5900000001</v>
      </c>
      <c r="U67" s="52">
        <v>-3602090.94</v>
      </c>
      <c r="V67" s="52">
        <v>-1642659.8400000001</v>
      </c>
      <c r="W67" s="52">
        <v>-4710306.9400000004</v>
      </c>
      <c r="X67" s="52">
        <v>-874199.14</v>
      </c>
      <c r="Y67" s="52">
        <v>-2270685.38</v>
      </c>
      <c r="Z67" s="52">
        <v>-5054804.8600000003</v>
      </c>
      <c r="AA67" s="52">
        <v>2526459.5499999998</v>
      </c>
      <c r="AB67" s="52">
        <v>-3143793.38</v>
      </c>
      <c r="AC67" s="52">
        <v>-3303712.4</v>
      </c>
      <c r="AD67" s="52">
        <v>-4147901.99</v>
      </c>
      <c r="AE67" s="52">
        <v>-4952470.47</v>
      </c>
      <c r="AF67" s="52">
        <v>-512821.38</v>
      </c>
      <c r="AG67" s="52">
        <v>-2886229.81</v>
      </c>
      <c r="AH67" s="52">
        <v>-5567031.8799999999</v>
      </c>
      <c r="AI67" s="52">
        <v>-995251.71</v>
      </c>
      <c r="AJ67" s="52">
        <v>-918980.19</v>
      </c>
      <c r="AK67" s="52">
        <v>-1960396.63</v>
      </c>
      <c r="AL67" s="52">
        <v>1692219.78</v>
      </c>
      <c r="AM67" s="52">
        <v>-2336523.15</v>
      </c>
      <c r="AN67" s="52">
        <v>-3136818.11</v>
      </c>
      <c r="AO67" s="52">
        <v>-1806265.82</v>
      </c>
      <c r="AP67" s="52">
        <v>-2524413.23</v>
      </c>
      <c r="AQ67" s="52">
        <v>-4898465.49</v>
      </c>
      <c r="AR67" s="52">
        <v>-4217242.3499999996</v>
      </c>
      <c r="AS67" s="52">
        <v>-2168530.61</v>
      </c>
      <c r="AT67" s="52">
        <v>-5110199.37</v>
      </c>
      <c r="AU67" s="52">
        <v>-9367992.5500000007</v>
      </c>
      <c r="AV67" s="52">
        <v>-7142139.79</v>
      </c>
      <c r="AW67" s="52">
        <v>-2385673.9900000002</v>
      </c>
      <c r="AX67" s="52">
        <v>-1318042.05</v>
      </c>
      <c r="AY67" s="52">
        <v>-4010891.38</v>
      </c>
      <c r="AZ67" s="52">
        <v>-7235523.1100000003</v>
      </c>
      <c r="BA67" s="52">
        <v>-1551145.2</v>
      </c>
      <c r="BB67" s="52">
        <v>-2477322.9700000002</v>
      </c>
      <c r="BC67" s="52">
        <v>-3167035.4</v>
      </c>
      <c r="BD67" s="52">
        <v>-4290901.74</v>
      </c>
      <c r="BE67" s="52">
        <v>-6203315.8899999997</v>
      </c>
      <c r="BF67" s="52">
        <v>-7298364.5899999999</v>
      </c>
      <c r="BG67" s="52">
        <v>-2220540.2200000002</v>
      </c>
      <c r="BH67" s="52">
        <v>-5079355.62</v>
      </c>
      <c r="BI67" s="52">
        <v>-8476893.8699999992</v>
      </c>
      <c r="BJ67" s="52">
        <v>-3994055.83</v>
      </c>
      <c r="BK67" s="52">
        <v>-2892368.16</v>
      </c>
      <c r="BL67" s="52">
        <v>-4718673.55</v>
      </c>
      <c r="BM67" s="52">
        <v>-2365626.79</v>
      </c>
      <c r="BN67" s="52">
        <v>-3742122.22</v>
      </c>
      <c r="BO67" s="52">
        <v>-3628534.08</v>
      </c>
      <c r="BP67" s="52">
        <v>-5516300.9699999997</v>
      </c>
      <c r="BQ67" s="52">
        <v>-1930938.51</v>
      </c>
      <c r="BR67" s="52">
        <v>-1995341.15</v>
      </c>
      <c r="BS67" s="52">
        <v>-2780807.59</v>
      </c>
      <c r="BT67" s="52">
        <v>-5757290.1799999997</v>
      </c>
      <c r="BU67" s="52">
        <v>-3646795.87</v>
      </c>
      <c r="BV67" s="52">
        <v>-1772617.2</v>
      </c>
      <c r="BW67" s="52">
        <v>-1681102.87</v>
      </c>
      <c r="BX67" s="52">
        <v>-3750683.19</v>
      </c>
      <c r="BY67" s="52">
        <v>-2230016.41</v>
      </c>
      <c r="BZ67" s="52">
        <v>-2585747.5099999998</v>
      </c>
      <c r="CA67" s="52">
        <v>-1286578.3400000001</v>
      </c>
      <c r="CB67" s="52">
        <v>-1668.67</v>
      </c>
      <c r="CC67" s="52">
        <v>-1889489.61</v>
      </c>
      <c r="CD67" s="52">
        <v>-1209050.73</v>
      </c>
      <c r="CE67" s="52">
        <v>-73981.100000000006</v>
      </c>
      <c r="CF67" s="52">
        <v>-1903661.84</v>
      </c>
      <c r="CG67" s="52">
        <v>-890394.53</v>
      </c>
      <c r="CH67" s="52">
        <v>-1499788.72</v>
      </c>
      <c r="CI67" s="52">
        <v>-2024936.52</v>
      </c>
      <c r="CJ67" s="52">
        <v>-1384063.25</v>
      </c>
      <c r="CK67" s="52">
        <v>-1699253.1</v>
      </c>
      <c r="CL67" s="52">
        <v>-1373227.09</v>
      </c>
      <c r="CM67" s="52">
        <v>-536911.77</v>
      </c>
      <c r="CN67" s="52">
        <v>-1048843.8</v>
      </c>
      <c r="CO67" s="52">
        <v>-691384.48</v>
      </c>
      <c r="CP67" s="52">
        <v>-2358873.1800000002</v>
      </c>
      <c r="CQ67" s="52">
        <v>-2519350.4700000002</v>
      </c>
      <c r="CR67" s="52">
        <v>-1183878.04</v>
      </c>
      <c r="CS67" s="52">
        <v>-4844834.05</v>
      </c>
      <c r="CT67" s="52">
        <v>3032790.76</v>
      </c>
      <c r="CU67" s="52">
        <v>-27435.7</v>
      </c>
      <c r="CV67" s="430">
        <f t="shared" si="1"/>
        <v>-14635264.17</v>
      </c>
    </row>
    <row r="68" spans="1:100">
      <c r="A68" s="540" t="str">
        <f t="shared" si="0"/>
        <v>4810601</v>
      </c>
      <c r="B68" s="541" t="s">
        <v>1364</v>
      </c>
      <c r="C68" s="463" t="s">
        <v>999</v>
      </c>
      <c r="D68" s="428">
        <v>0</v>
      </c>
      <c r="E68" s="428">
        <v>-1100618.1100000001</v>
      </c>
      <c r="F68" s="428">
        <v>0</v>
      </c>
      <c r="G68" s="428">
        <v>-42589.16</v>
      </c>
      <c r="H68" s="428">
        <v>-1370351.33</v>
      </c>
      <c r="I68" s="428">
        <v>0</v>
      </c>
      <c r="J68" s="428">
        <v>-246032.92</v>
      </c>
      <c r="K68" s="428">
        <v>0</v>
      </c>
      <c r="L68" s="428">
        <v>0</v>
      </c>
      <c r="M68" s="428">
        <v>0</v>
      </c>
      <c r="N68" s="428">
        <v>0</v>
      </c>
      <c r="O68" s="429">
        <v>-8786642.0899999999</v>
      </c>
      <c r="P68" s="52">
        <v>-919239.31</v>
      </c>
      <c r="Q68" s="52">
        <v>-1242955.5900000001</v>
      </c>
      <c r="R68" s="52">
        <v>-943938.54</v>
      </c>
      <c r="S68" s="52">
        <v>-18503.650000000001</v>
      </c>
      <c r="T68" s="52">
        <v>-4417517.07</v>
      </c>
      <c r="U68" s="52">
        <v>-1109691.9099999999</v>
      </c>
      <c r="V68" s="52">
        <v>-1456089.48</v>
      </c>
      <c r="W68" s="52">
        <v>-1069964.6200000001</v>
      </c>
      <c r="X68" s="52">
        <v>-3357849.47</v>
      </c>
      <c r="Y68" s="52">
        <v>-2267449.5299999998</v>
      </c>
      <c r="Z68" s="52">
        <v>-2084395.7</v>
      </c>
      <c r="AA68" s="52">
        <v>-4507608.57</v>
      </c>
      <c r="AB68" s="52">
        <v>-628417.53</v>
      </c>
      <c r="AC68" s="52">
        <v>-475110.38</v>
      </c>
      <c r="AD68" s="52">
        <v>-580176.25</v>
      </c>
      <c r="AE68" s="52">
        <v>-1797717.79</v>
      </c>
      <c r="AF68" s="52">
        <v>-4033798.23</v>
      </c>
      <c r="AG68" s="52">
        <v>-3318090.06</v>
      </c>
      <c r="AH68" s="52">
        <v>-4605756.21</v>
      </c>
      <c r="AI68" s="52">
        <v>-7897457.46</v>
      </c>
      <c r="AJ68" s="52">
        <v>-6539169.9699999997</v>
      </c>
      <c r="AK68" s="52">
        <v>-5803758.0999999996</v>
      </c>
      <c r="AL68" s="52">
        <v>-4304687.46</v>
      </c>
      <c r="AM68" s="52">
        <v>-623602.86</v>
      </c>
      <c r="AN68" s="52">
        <v>-624123.12</v>
      </c>
      <c r="AO68" s="52">
        <v>-907239.75</v>
      </c>
      <c r="AP68" s="52">
        <v>-525942.62</v>
      </c>
      <c r="AQ68" s="52">
        <v>-519468.45</v>
      </c>
      <c r="AR68" s="52">
        <v>-2023226.36</v>
      </c>
      <c r="AS68" s="52">
        <v>-2387836.81</v>
      </c>
      <c r="AT68" s="52">
        <v>-1745048.69</v>
      </c>
      <c r="AU68" s="52">
        <v>-2487358.96</v>
      </c>
      <c r="AV68" s="52">
        <v>-2025158.98</v>
      </c>
      <c r="AW68" s="52">
        <v>-2078420.95</v>
      </c>
      <c r="AX68" s="52">
        <v>-1536882.3</v>
      </c>
      <c r="AY68" s="52">
        <v>-1492422.08</v>
      </c>
      <c r="AZ68" s="52">
        <v>-884711.27</v>
      </c>
      <c r="BA68" s="52">
        <v>-2245333.0499999998</v>
      </c>
      <c r="BB68" s="52">
        <v>0</v>
      </c>
      <c r="BC68" s="52">
        <v>-112321.46</v>
      </c>
      <c r="BD68" s="52">
        <v>-448281.99</v>
      </c>
      <c r="BE68" s="52">
        <v>-1603135.15</v>
      </c>
      <c r="BF68" s="52">
        <v>-2160233.2999999998</v>
      </c>
      <c r="BG68" s="52">
        <v>-4608732.4000000004</v>
      </c>
      <c r="BH68" s="52">
        <v>-3041675.1</v>
      </c>
      <c r="BI68" s="52">
        <v>-2035339.21</v>
      </c>
      <c r="BJ68" s="52">
        <v>-2743306.74</v>
      </c>
      <c r="BK68" s="52">
        <v>-983535.89</v>
      </c>
      <c r="BL68" s="52">
        <v>-476081.36</v>
      </c>
      <c r="BM68" s="52">
        <v>-584373.06000000006</v>
      </c>
      <c r="BN68" s="52">
        <v>0</v>
      </c>
      <c r="BO68" s="52">
        <v>-226101.28</v>
      </c>
      <c r="BP68" s="52">
        <v>-965912.7</v>
      </c>
      <c r="BQ68" s="52">
        <v>-2020746.46</v>
      </c>
      <c r="BR68" s="52">
        <v>-1603333.36</v>
      </c>
      <c r="BS68" s="52">
        <v>-1062501.24</v>
      </c>
      <c r="BT68" s="52">
        <v>-1231996.04</v>
      </c>
      <c r="BU68" s="52">
        <v>-2429141.4500000002</v>
      </c>
      <c r="BV68" s="52">
        <v>-1936601.4</v>
      </c>
      <c r="BW68" s="52">
        <v>-1417597.66</v>
      </c>
      <c r="BX68" s="52">
        <v>-199010.44</v>
      </c>
      <c r="BY68" s="52">
        <v>-193144.94</v>
      </c>
      <c r="BZ68" s="52">
        <v>-318370.65999999997</v>
      </c>
      <c r="CA68" s="52">
        <v>-767481.33</v>
      </c>
      <c r="CB68" s="52">
        <v>-1019898</v>
      </c>
      <c r="CC68" s="52">
        <v>-885211.04</v>
      </c>
      <c r="CD68" s="52">
        <v>-1444712.59</v>
      </c>
      <c r="CE68" s="52">
        <v>-1607795.18</v>
      </c>
      <c r="CF68" s="52">
        <v>-161435.69</v>
      </c>
      <c r="CG68" s="52">
        <v>-554884.9</v>
      </c>
      <c r="CH68" s="52">
        <v>-174565.93</v>
      </c>
      <c r="CI68" s="52">
        <v>-0.43</v>
      </c>
      <c r="CJ68" s="52">
        <v>-257332.47</v>
      </c>
      <c r="CK68" s="52">
        <v>-194793.88</v>
      </c>
      <c r="CL68" s="52">
        <v>-339288.73</v>
      </c>
      <c r="CM68" s="52">
        <v>-13170</v>
      </c>
      <c r="CN68" s="52">
        <v>-406157.37</v>
      </c>
      <c r="CO68" s="52">
        <v>-966677.15</v>
      </c>
      <c r="CP68" s="52">
        <v>-164416.32999999999</v>
      </c>
      <c r="CQ68" s="52">
        <v>0</v>
      </c>
      <c r="CR68" s="52">
        <v>-179135.51</v>
      </c>
      <c r="CS68" s="52">
        <v>-218918.45</v>
      </c>
      <c r="CT68" s="52">
        <v>-3449897.36</v>
      </c>
      <c r="CU68" s="52">
        <v>-202767</v>
      </c>
      <c r="CV68" s="430">
        <f t="shared" si="1"/>
        <v>-6392554.25</v>
      </c>
    </row>
    <row r="69" spans="1:100">
      <c r="A69" s="540" t="str">
        <f t="shared" si="0"/>
        <v>4810602</v>
      </c>
      <c r="B69" s="541" t="s">
        <v>1365</v>
      </c>
      <c r="C69" s="463" t="s">
        <v>1000</v>
      </c>
      <c r="D69" s="428">
        <v>0</v>
      </c>
      <c r="E69" s="428">
        <v>-34438.94</v>
      </c>
      <c r="F69" s="428">
        <v>0</v>
      </c>
      <c r="G69" s="428">
        <v>0</v>
      </c>
      <c r="H69" s="428">
        <v>-10255.25</v>
      </c>
      <c r="I69" s="428">
        <v>-629850</v>
      </c>
      <c r="J69" s="428">
        <v>0</v>
      </c>
      <c r="K69" s="428">
        <v>-154572.67000000001</v>
      </c>
      <c r="L69" s="428">
        <v>-12759.64</v>
      </c>
      <c r="M69" s="428">
        <v>0</v>
      </c>
      <c r="N69" s="428">
        <v>-319290.15999999997</v>
      </c>
      <c r="O69" s="429">
        <v>-269035.38</v>
      </c>
      <c r="P69" s="52">
        <v>-331941.21999999997</v>
      </c>
      <c r="Q69" s="52">
        <v>-341092.52</v>
      </c>
      <c r="R69" s="52">
        <v>-245638.21</v>
      </c>
      <c r="S69" s="52">
        <v>-90214.84</v>
      </c>
      <c r="T69" s="52">
        <v>0</v>
      </c>
      <c r="U69" s="52">
        <v>-22376.38</v>
      </c>
      <c r="V69" s="52">
        <v>0</v>
      </c>
      <c r="W69" s="52">
        <v>0</v>
      </c>
      <c r="X69" s="52">
        <v>0</v>
      </c>
      <c r="Y69" s="52">
        <v>0</v>
      </c>
      <c r="Z69" s="52">
        <v>0</v>
      </c>
      <c r="AA69" s="52">
        <v>0</v>
      </c>
      <c r="AB69" s="52">
        <v>0</v>
      </c>
      <c r="AC69" s="52">
        <v>0</v>
      </c>
      <c r="AD69" s="52">
        <v>0</v>
      </c>
      <c r="AE69" s="52">
        <v>0</v>
      </c>
      <c r="AF69" s="52">
        <v>0</v>
      </c>
      <c r="AG69" s="52">
        <v>0</v>
      </c>
      <c r="AH69" s="52">
        <v>0</v>
      </c>
      <c r="AI69" s="52">
        <v>0</v>
      </c>
      <c r="AJ69" s="52">
        <v>0</v>
      </c>
      <c r="AK69" s="52">
        <v>0</v>
      </c>
      <c r="AL69" s="52">
        <v>0</v>
      </c>
      <c r="AM69" s="52">
        <v>0</v>
      </c>
      <c r="AN69" s="52">
        <v>0</v>
      </c>
      <c r="AO69" s="52">
        <v>0</v>
      </c>
      <c r="AP69" s="52">
        <v>0</v>
      </c>
      <c r="AQ69" s="52">
        <v>-45700.52</v>
      </c>
      <c r="AR69" s="52">
        <v>0</v>
      </c>
      <c r="AS69" s="52">
        <v>0</v>
      </c>
      <c r="AT69" s="52">
        <v>0</v>
      </c>
      <c r="AU69" s="52">
        <v>0</v>
      </c>
      <c r="AV69" s="52">
        <v>0</v>
      </c>
      <c r="AW69" s="52">
        <v>0</v>
      </c>
      <c r="AX69" s="52">
        <v>0</v>
      </c>
      <c r="AY69" s="52">
        <v>0</v>
      </c>
      <c r="AZ69" s="52">
        <v>0</v>
      </c>
      <c r="BA69" s="52">
        <v>-54521.53</v>
      </c>
      <c r="BB69" s="52">
        <v>0</v>
      </c>
      <c r="BC69" s="52">
        <v>0</v>
      </c>
      <c r="BD69" s="52">
        <v>0</v>
      </c>
      <c r="BE69" s="52">
        <v>0</v>
      </c>
      <c r="BF69" s="52">
        <v>0</v>
      </c>
      <c r="BG69" s="52">
        <v>0</v>
      </c>
      <c r="BH69" s="52">
        <v>0</v>
      </c>
      <c r="BI69" s="52">
        <v>-15077.56</v>
      </c>
      <c r="BJ69" s="52">
        <v>0</v>
      </c>
      <c r="BK69" s="52">
        <v>-96.52</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430">
        <f t="shared" si="1"/>
        <v>0</v>
      </c>
    </row>
    <row r="70" spans="1:100">
      <c r="A70" s="540" t="str">
        <f t="shared" si="0"/>
        <v>4810610</v>
      </c>
      <c r="B70" s="541" t="s">
        <v>1366</v>
      </c>
      <c r="C70" s="463" t="s">
        <v>1001</v>
      </c>
      <c r="D70" s="426">
        <v>-79762.490000000005</v>
      </c>
      <c r="E70" s="426">
        <v>-22325.69</v>
      </c>
      <c r="F70" s="426">
        <v>-33190.81</v>
      </c>
      <c r="G70" s="426">
        <v>-35887.61</v>
      </c>
      <c r="H70" s="426">
        <v>21720.17</v>
      </c>
      <c r="I70" s="426">
        <v>-341.14</v>
      </c>
      <c r="J70" s="426">
        <v>-40951.94</v>
      </c>
      <c r="K70" s="426">
        <v>-83223.02</v>
      </c>
      <c r="L70" s="426">
        <v>-28235.919999999998</v>
      </c>
      <c r="M70" s="426">
        <v>-31409.53</v>
      </c>
      <c r="N70" s="426">
        <v>-29777.79</v>
      </c>
      <c r="O70" s="427">
        <v>75488.53</v>
      </c>
      <c r="P70" s="52">
        <v>-36665.870000000003</v>
      </c>
      <c r="Q70" s="52">
        <v>-66069.69</v>
      </c>
      <c r="R70" s="52">
        <v>9336.91</v>
      </c>
      <c r="S70" s="52">
        <v>-192674.69</v>
      </c>
      <c r="T70" s="52">
        <v>88452.15</v>
      </c>
      <c r="U70" s="52">
        <v>-192179.07</v>
      </c>
      <c r="V70" s="52">
        <v>-34270.629999999997</v>
      </c>
      <c r="W70" s="52">
        <v>-156225.5</v>
      </c>
      <c r="X70" s="52">
        <v>-58836.56</v>
      </c>
      <c r="Y70" s="52">
        <v>-41409.24</v>
      </c>
      <c r="Z70" s="52">
        <v>-268875.36</v>
      </c>
      <c r="AA70" s="52">
        <v>150686.18</v>
      </c>
      <c r="AB70" s="52">
        <v>-96563.13</v>
      </c>
      <c r="AC70" s="52">
        <v>-118517.79</v>
      </c>
      <c r="AD70" s="52">
        <v>-161934.60999999999</v>
      </c>
      <c r="AE70" s="52">
        <v>-191345.68</v>
      </c>
      <c r="AF70" s="52">
        <v>-83402.399999999994</v>
      </c>
      <c r="AG70" s="52">
        <v>-158601.09</v>
      </c>
      <c r="AH70" s="52">
        <v>-240429.32</v>
      </c>
      <c r="AI70" s="52">
        <v>-17627.48</v>
      </c>
      <c r="AJ70" s="52">
        <v>50339.05</v>
      </c>
      <c r="AK70" s="52">
        <v>-57307.79</v>
      </c>
      <c r="AL70" s="52">
        <v>37409.129999999997</v>
      </c>
      <c r="AM70" s="52">
        <v>-61994.11</v>
      </c>
      <c r="AN70" s="52">
        <v>-106230.12</v>
      </c>
      <c r="AO70" s="52">
        <v>-81512</v>
      </c>
      <c r="AP70" s="52">
        <v>-87399.12</v>
      </c>
      <c r="AQ70" s="52">
        <v>-106188.93</v>
      </c>
      <c r="AR70" s="52">
        <v>-145275.15</v>
      </c>
      <c r="AS70" s="52">
        <v>-74552.929999999993</v>
      </c>
      <c r="AT70" s="52">
        <v>-134915.99</v>
      </c>
      <c r="AU70" s="52">
        <v>-228125.6</v>
      </c>
      <c r="AV70" s="52">
        <v>-165703.92000000001</v>
      </c>
      <c r="AW70" s="52">
        <v>-106773.92</v>
      </c>
      <c r="AX70" s="52">
        <v>-19630.61</v>
      </c>
      <c r="AY70" s="52">
        <v>-132013.9</v>
      </c>
      <c r="AZ70" s="52">
        <v>-443321.58</v>
      </c>
      <c r="BA70" s="52">
        <v>13367.43</v>
      </c>
      <c r="BB70" s="52">
        <v>-74617.91</v>
      </c>
      <c r="BC70" s="52">
        <v>-75802.91</v>
      </c>
      <c r="BD70" s="52">
        <v>-120529.23</v>
      </c>
      <c r="BE70" s="52">
        <v>-165561.26999999999</v>
      </c>
      <c r="BF70" s="52">
        <v>-205041.79</v>
      </c>
      <c r="BG70" s="52">
        <v>-96156.67</v>
      </c>
      <c r="BH70" s="52">
        <v>-206455.6</v>
      </c>
      <c r="BI70" s="52">
        <v>-236894.72</v>
      </c>
      <c r="BJ70" s="52">
        <v>17124.71</v>
      </c>
      <c r="BK70" s="52">
        <v>-51906.39</v>
      </c>
      <c r="BL70" s="52">
        <v>-79679.06</v>
      </c>
      <c r="BM70" s="52">
        <v>-50769.53</v>
      </c>
      <c r="BN70" s="52">
        <v>-75137.490000000005</v>
      </c>
      <c r="BO70" s="52">
        <v>-71912.490000000005</v>
      </c>
      <c r="BP70" s="52">
        <v>-173857.47</v>
      </c>
      <c r="BQ70" s="52">
        <v>-74509.66</v>
      </c>
      <c r="BR70" s="52">
        <v>-58902.2</v>
      </c>
      <c r="BS70" s="52">
        <v>-50547.24</v>
      </c>
      <c r="BT70" s="52">
        <v>-137057.75</v>
      </c>
      <c r="BU70" s="52">
        <v>-97155.08</v>
      </c>
      <c r="BV70" s="52">
        <v>-36407.19</v>
      </c>
      <c r="BW70" s="52">
        <v>-89735.98</v>
      </c>
      <c r="BX70" s="52">
        <v>-87654.94</v>
      </c>
      <c r="BY70" s="52">
        <v>-80933.53</v>
      </c>
      <c r="BZ70" s="52">
        <v>-62951.839999999997</v>
      </c>
      <c r="CA70" s="52">
        <v>-46665.9</v>
      </c>
      <c r="CB70" s="52">
        <v>-56972.17</v>
      </c>
      <c r="CC70" s="52">
        <v>-102829.58</v>
      </c>
      <c r="CD70" s="52">
        <v>-40303.68</v>
      </c>
      <c r="CE70" s="52">
        <v>-42611.82</v>
      </c>
      <c r="CF70" s="52">
        <v>-97756.77</v>
      </c>
      <c r="CG70" s="52">
        <v>-69689.81</v>
      </c>
      <c r="CH70" s="52">
        <v>-105608.9</v>
      </c>
      <c r="CI70" s="52">
        <v>-119559.55</v>
      </c>
      <c r="CJ70" s="52">
        <v>-84356.3</v>
      </c>
      <c r="CK70" s="52">
        <v>-121443.33</v>
      </c>
      <c r="CL70" s="52">
        <v>-97206.86</v>
      </c>
      <c r="CM70" s="52">
        <v>-60487.39</v>
      </c>
      <c r="CN70" s="52">
        <v>-68703.47</v>
      </c>
      <c r="CO70" s="52">
        <v>-62842.81</v>
      </c>
      <c r="CP70" s="52">
        <v>-82875.039999999994</v>
      </c>
      <c r="CQ70" s="52">
        <v>-89557.81</v>
      </c>
      <c r="CR70" s="52">
        <v>-79649.570000000007</v>
      </c>
      <c r="CS70" s="52">
        <v>-121428.09</v>
      </c>
      <c r="CT70" s="52">
        <v>-48627.46</v>
      </c>
      <c r="CU70" s="52">
        <v>-59742.71</v>
      </c>
      <c r="CV70" s="430">
        <f t="shared" ref="CV70:CV133" si="2">SUM(CJ70:CU70)</f>
        <v>-976920.84</v>
      </c>
    </row>
    <row r="71" spans="1:100">
      <c r="A71" s="540" t="str">
        <f t="shared" si="0"/>
        <v>4810611</v>
      </c>
      <c r="B71" s="541" t="s">
        <v>1367</v>
      </c>
      <c r="C71" s="463" t="s">
        <v>1002</v>
      </c>
      <c r="D71" s="428">
        <v>0</v>
      </c>
      <c r="E71" s="428">
        <v>-25481.89</v>
      </c>
      <c r="F71" s="428">
        <v>0</v>
      </c>
      <c r="G71" s="428">
        <v>-387.08</v>
      </c>
      <c r="H71" s="428">
        <v>-23375.17</v>
      </c>
      <c r="I71" s="428">
        <v>0</v>
      </c>
      <c r="J71" s="428">
        <v>-979.58</v>
      </c>
      <c r="K71" s="428">
        <v>0</v>
      </c>
      <c r="L71" s="428">
        <v>0</v>
      </c>
      <c r="M71" s="428">
        <v>0</v>
      </c>
      <c r="N71" s="428">
        <v>0</v>
      </c>
      <c r="O71" s="429">
        <v>-93253.77</v>
      </c>
      <c r="P71" s="52">
        <v>-53670.74</v>
      </c>
      <c r="Q71" s="52">
        <v>-32452.89</v>
      </c>
      <c r="R71" s="52">
        <v>-46636.27</v>
      </c>
      <c r="S71" s="52">
        <v>-288.35000000000002</v>
      </c>
      <c r="T71" s="52">
        <v>-169372.38</v>
      </c>
      <c r="U71" s="52">
        <v>-23660.98</v>
      </c>
      <c r="V71" s="52">
        <v>-40020.53</v>
      </c>
      <c r="W71" s="52">
        <v>-13450.21</v>
      </c>
      <c r="X71" s="52">
        <v>-97678.48</v>
      </c>
      <c r="Y71" s="52">
        <v>-83068.320000000007</v>
      </c>
      <c r="Z71" s="52">
        <v>-67487.42</v>
      </c>
      <c r="AA71" s="52">
        <v>-154896.95999999999</v>
      </c>
      <c r="AB71" s="52">
        <v>-11399</v>
      </c>
      <c r="AC71" s="52">
        <v>-8838.27</v>
      </c>
      <c r="AD71" s="52">
        <v>-14957.36</v>
      </c>
      <c r="AE71" s="52">
        <v>-62125.93</v>
      </c>
      <c r="AF71" s="52">
        <v>-137469.35</v>
      </c>
      <c r="AG71" s="52">
        <v>-154242.60999999999</v>
      </c>
      <c r="AH71" s="52">
        <v>-218013.41</v>
      </c>
      <c r="AI71" s="52">
        <v>-361209.47</v>
      </c>
      <c r="AJ71" s="52">
        <v>-256102.94</v>
      </c>
      <c r="AK71" s="52">
        <v>-169100.02</v>
      </c>
      <c r="AL71" s="52">
        <v>-126300.92</v>
      </c>
      <c r="AM71" s="52">
        <v>-16687.14</v>
      </c>
      <c r="AN71" s="52">
        <v>-13436.88</v>
      </c>
      <c r="AO71" s="52">
        <v>-19494.55</v>
      </c>
      <c r="AP71" s="52">
        <v>-14597.38</v>
      </c>
      <c r="AQ71" s="52">
        <v>-18383.55</v>
      </c>
      <c r="AR71" s="52">
        <v>-30220.97</v>
      </c>
      <c r="AS71" s="52">
        <v>-60618.7</v>
      </c>
      <c r="AT71" s="52">
        <v>-47376.23</v>
      </c>
      <c r="AU71" s="52">
        <v>-58032.07</v>
      </c>
      <c r="AV71" s="52">
        <v>-37632.93</v>
      </c>
      <c r="AW71" s="52">
        <v>-36464.699999999997</v>
      </c>
      <c r="AX71" s="52">
        <v>-49050.44</v>
      </c>
      <c r="AY71" s="52">
        <v>-20827.919999999998</v>
      </c>
      <c r="AZ71" s="52">
        <v>-23238.73</v>
      </c>
      <c r="BA71" s="52">
        <v>-118246.12</v>
      </c>
      <c r="BB71" s="52">
        <v>0</v>
      </c>
      <c r="BC71" s="52">
        <v>-1778.54</v>
      </c>
      <c r="BD71" s="52">
        <v>-4159.55</v>
      </c>
      <c r="BE71" s="52">
        <v>-17005.259999999998</v>
      </c>
      <c r="BF71" s="52">
        <v>-37272.03</v>
      </c>
      <c r="BG71" s="52">
        <v>-84479.41</v>
      </c>
      <c r="BH71" s="52">
        <v>-60345.71</v>
      </c>
      <c r="BI71" s="52">
        <v>-63467.4</v>
      </c>
      <c r="BJ71" s="52">
        <v>-93810.62</v>
      </c>
      <c r="BK71" s="52">
        <v>-7563.86</v>
      </c>
      <c r="BL71" s="52">
        <v>-6076.39</v>
      </c>
      <c r="BM71" s="52">
        <v>-8999.1299999999992</v>
      </c>
      <c r="BN71" s="52">
        <v>0</v>
      </c>
      <c r="BO71" s="52">
        <v>-2822.23</v>
      </c>
      <c r="BP71" s="52">
        <v>-12301.22</v>
      </c>
      <c r="BQ71" s="52">
        <v>-59896.22</v>
      </c>
      <c r="BR71" s="52">
        <v>-51816.09</v>
      </c>
      <c r="BS71" s="52">
        <v>-28979.48</v>
      </c>
      <c r="BT71" s="52">
        <v>-21806.14</v>
      </c>
      <c r="BU71" s="52">
        <v>-61399.78</v>
      </c>
      <c r="BV71" s="52">
        <v>-44642.22</v>
      </c>
      <c r="BW71" s="52">
        <v>-18303.63</v>
      </c>
      <c r="BX71" s="52">
        <v>-2243.56</v>
      </c>
      <c r="BY71" s="52">
        <v>-3322.44</v>
      </c>
      <c r="BZ71" s="52">
        <v>-2935.72</v>
      </c>
      <c r="CA71" s="52">
        <v>-4232.8999999999996</v>
      </c>
      <c r="CB71" s="52">
        <v>-9360.67</v>
      </c>
      <c r="CC71" s="52">
        <v>-6938.97</v>
      </c>
      <c r="CD71" s="52">
        <v>-45157.63</v>
      </c>
      <c r="CE71" s="52">
        <v>-42181.56</v>
      </c>
      <c r="CF71" s="52">
        <v>-3060.04</v>
      </c>
      <c r="CG71" s="52">
        <v>-6091.77</v>
      </c>
      <c r="CH71" s="52">
        <v>-1169.28</v>
      </c>
      <c r="CI71" s="52">
        <v>0.43</v>
      </c>
      <c r="CJ71" s="52">
        <v>-1753.17</v>
      </c>
      <c r="CK71" s="52">
        <v>-4676.12</v>
      </c>
      <c r="CL71" s="52">
        <v>-2966.67</v>
      </c>
      <c r="CM71" s="52">
        <v>-130</v>
      </c>
      <c r="CN71" s="52">
        <v>-3126.98</v>
      </c>
      <c r="CO71" s="52">
        <v>-7778.58</v>
      </c>
      <c r="CP71" s="52">
        <v>-2083.67</v>
      </c>
      <c r="CQ71" s="52">
        <v>0</v>
      </c>
      <c r="CR71" s="52">
        <v>-944.76</v>
      </c>
      <c r="CS71" s="52">
        <v>-456.55</v>
      </c>
      <c r="CT71" s="52">
        <v>-18830.61</v>
      </c>
      <c r="CU71" s="52">
        <v>-1043</v>
      </c>
      <c r="CV71" s="430">
        <f t="shared" si="2"/>
        <v>-43790.109999999993</v>
      </c>
    </row>
    <row r="72" spans="1:100">
      <c r="A72" s="540" t="str">
        <f t="shared" si="0"/>
        <v>4810612</v>
      </c>
      <c r="B72" s="541" t="s">
        <v>1368</v>
      </c>
      <c r="C72" s="463" t="s">
        <v>1003</v>
      </c>
      <c r="D72" s="426">
        <v>0</v>
      </c>
      <c r="E72" s="426">
        <v>-1214.31</v>
      </c>
      <c r="F72" s="426">
        <v>0</v>
      </c>
      <c r="G72" s="426">
        <v>0</v>
      </c>
      <c r="H72" s="426">
        <v>-4.75</v>
      </c>
      <c r="I72" s="426">
        <v>-1300</v>
      </c>
      <c r="J72" s="426">
        <v>0</v>
      </c>
      <c r="K72" s="426">
        <v>-53.33</v>
      </c>
      <c r="L72" s="426">
        <v>-12.36</v>
      </c>
      <c r="M72" s="426">
        <v>0</v>
      </c>
      <c r="N72" s="426">
        <v>-349.91</v>
      </c>
      <c r="O72" s="427">
        <v>-101.28</v>
      </c>
      <c r="P72" s="52">
        <v>-97.73</v>
      </c>
      <c r="Q72" s="52">
        <v>-267.61</v>
      </c>
      <c r="R72" s="52">
        <v>-641.11</v>
      </c>
      <c r="S72" s="52">
        <v>-271.24</v>
      </c>
      <c r="T72" s="52">
        <v>0</v>
      </c>
      <c r="U72" s="52">
        <v>-10.89</v>
      </c>
      <c r="V72" s="52">
        <v>0</v>
      </c>
      <c r="W72" s="52">
        <v>0</v>
      </c>
      <c r="X72" s="52">
        <v>0</v>
      </c>
      <c r="Y72" s="52">
        <v>0</v>
      </c>
      <c r="Z72" s="52">
        <v>0</v>
      </c>
      <c r="AA72" s="52">
        <v>0</v>
      </c>
      <c r="AB72" s="52">
        <v>0</v>
      </c>
      <c r="AC72" s="52">
        <v>0</v>
      </c>
      <c r="AD72" s="52">
        <v>0</v>
      </c>
      <c r="AE72" s="52">
        <v>0</v>
      </c>
      <c r="AF72" s="52">
        <v>0</v>
      </c>
      <c r="AG72" s="52">
        <v>0</v>
      </c>
      <c r="AH72" s="52">
        <v>0</v>
      </c>
      <c r="AI72" s="52">
        <v>0</v>
      </c>
      <c r="AJ72" s="52">
        <v>0</v>
      </c>
      <c r="AK72" s="52">
        <v>0</v>
      </c>
      <c r="AL72" s="52">
        <v>0</v>
      </c>
      <c r="AM72" s="52">
        <v>0</v>
      </c>
      <c r="AN72" s="52">
        <v>0</v>
      </c>
      <c r="AO72" s="52">
        <v>0</v>
      </c>
      <c r="AP72" s="52">
        <v>0</v>
      </c>
      <c r="AQ72" s="52">
        <v>-49.48</v>
      </c>
      <c r="AR72" s="52">
        <v>0</v>
      </c>
      <c r="AS72" s="52">
        <v>0</v>
      </c>
      <c r="AT72" s="52">
        <v>0</v>
      </c>
      <c r="AU72" s="52">
        <v>0</v>
      </c>
      <c r="AV72" s="52">
        <v>0</v>
      </c>
      <c r="AW72" s="52">
        <v>0</v>
      </c>
      <c r="AX72" s="52">
        <v>0</v>
      </c>
      <c r="AY72" s="52">
        <v>0</v>
      </c>
      <c r="AZ72" s="52">
        <v>0</v>
      </c>
      <c r="BA72" s="52">
        <v>-9.9499999999999993</v>
      </c>
      <c r="BB72" s="52">
        <v>0</v>
      </c>
      <c r="BC72" s="52">
        <v>0</v>
      </c>
      <c r="BD72" s="52">
        <v>0</v>
      </c>
      <c r="BE72" s="52">
        <v>0</v>
      </c>
      <c r="BF72" s="52">
        <v>0</v>
      </c>
      <c r="BG72" s="52">
        <v>0</v>
      </c>
      <c r="BH72" s="52">
        <v>0</v>
      </c>
      <c r="BI72" s="52">
        <v>-33.14</v>
      </c>
      <c r="BJ72" s="52">
        <v>0</v>
      </c>
      <c r="BK72" s="52">
        <v>-0.98</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430">
        <f t="shared" si="2"/>
        <v>0</v>
      </c>
    </row>
    <row r="73" spans="1:100">
      <c r="A73" s="540" t="str">
        <f t="shared" si="0"/>
        <v>4830091</v>
      </c>
      <c r="B73" s="541" t="s">
        <v>1909</v>
      </c>
      <c r="C73" s="463" t="s">
        <v>1004</v>
      </c>
      <c r="D73" s="428">
        <v>-21717.45</v>
      </c>
      <c r="E73" s="428">
        <v>-22831.200000000001</v>
      </c>
      <c r="F73" s="428">
        <v>-16632.11</v>
      </c>
      <c r="G73" s="428">
        <v>-14818.73</v>
      </c>
      <c r="H73" s="428">
        <v>-11830.95</v>
      </c>
      <c r="I73" s="428">
        <v>-13421.83</v>
      </c>
      <c r="J73" s="428">
        <v>-10372.18</v>
      </c>
      <c r="K73" s="428">
        <v>-9677.58</v>
      </c>
      <c r="L73" s="428">
        <v>-10937.04</v>
      </c>
      <c r="M73" s="428">
        <v>-9949.44</v>
      </c>
      <c r="N73" s="428">
        <v>-11966.81</v>
      </c>
      <c r="O73" s="429">
        <v>-18629.82</v>
      </c>
      <c r="P73" s="52">
        <v>-21372.05</v>
      </c>
      <c r="Q73" s="52">
        <v>-23403.08</v>
      </c>
      <c r="R73" s="52">
        <v>-22368.32</v>
      </c>
      <c r="S73" s="52">
        <v>-13395.28</v>
      </c>
      <c r="T73" s="52">
        <v>-7623.44</v>
      </c>
      <c r="U73" s="52">
        <v>-8296.82</v>
      </c>
      <c r="V73" s="52">
        <v>-8301.4699999999993</v>
      </c>
      <c r="W73" s="52">
        <v>-15477.14</v>
      </c>
      <c r="X73" s="52">
        <v>-9442.3700000000008</v>
      </c>
      <c r="Y73" s="52">
        <v>-12352.09</v>
      </c>
      <c r="Z73" s="52">
        <v>-10668.59</v>
      </c>
      <c r="AA73" s="52">
        <v>-13801.37</v>
      </c>
      <c r="AB73" s="52">
        <v>-19903.990000000002</v>
      </c>
      <c r="AC73" s="52">
        <v>-24880.41</v>
      </c>
      <c r="AD73" s="52">
        <v>-17784.04</v>
      </c>
      <c r="AE73" s="52">
        <v>-16215.14</v>
      </c>
      <c r="AF73" s="52">
        <v>-14635.46</v>
      </c>
      <c r="AG73" s="52">
        <v>-10694.15</v>
      </c>
      <c r="AH73" s="52">
        <v>-9689.64</v>
      </c>
      <c r="AI73" s="52">
        <v>-12211.45</v>
      </c>
      <c r="AJ73" s="52">
        <v>-12941.36</v>
      </c>
      <c r="AK73" s="52">
        <v>-16319.19</v>
      </c>
      <c r="AL73" s="52">
        <v>-11871.12</v>
      </c>
      <c r="AM73" s="52">
        <v>-12111.75</v>
      </c>
      <c r="AN73" s="52">
        <v>-30366.21</v>
      </c>
      <c r="AO73" s="52">
        <v>-1906.51</v>
      </c>
      <c r="AP73" s="52">
        <v>-26330.47</v>
      </c>
      <c r="AQ73" s="52">
        <v>-10320.209999999999</v>
      </c>
      <c r="AR73" s="52">
        <v>-10552.95</v>
      </c>
      <c r="AS73" s="52">
        <v>-10291.58</v>
      </c>
      <c r="AT73" s="52">
        <v>-23841.98</v>
      </c>
      <c r="AU73" s="52">
        <v>38562.379999999997</v>
      </c>
      <c r="AV73" s="52">
        <v>-51133.35</v>
      </c>
      <c r="AW73" s="52">
        <v>-10419.81</v>
      </c>
      <c r="AX73" s="52">
        <v>-15829.37</v>
      </c>
      <c r="AY73" s="52">
        <v>-18632.55</v>
      </c>
      <c r="AZ73" s="52">
        <v>-35718.699999999997</v>
      </c>
      <c r="BA73" s="52">
        <v>-24685.360000000001</v>
      </c>
      <c r="BB73" s="52">
        <v>-14417.56</v>
      </c>
      <c r="BC73" s="52">
        <v>-19440.55</v>
      </c>
      <c r="BD73" s="52">
        <v>-14692.28</v>
      </c>
      <c r="BE73" s="52">
        <v>-13649.38</v>
      </c>
      <c r="BF73" s="52">
        <v>-11404.46</v>
      </c>
      <c r="BG73" s="52">
        <v>-2664</v>
      </c>
      <c r="BH73" s="52">
        <v>-8620.6299999999992</v>
      </c>
      <c r="BI73" s="52">
        <v>-7887.7</v>
      </c>
      <c r="BJ73" s="52">
        <v>-296.38</v>
      </c>
      <c r="BK73" s="52">
        <v>-35035.870000000003</v>
      </c>
      <c r="BL73" s="52">
        <v>-18947.37</v>
      </c>
      <c r="BM73" s="52">
        <v>-22529.38</v>
      </c>
      <c r="BN73" s="52">
        <v>-11598.88</v>
      </c>
      <c r="BO73" s="52">
        <v>-11314.5</v>
      </c>
      <c r="BP73" s="52">
        <v>-9508.84</v>
      </c>
      <c r="BQ73" s="52">
        <v>-7911.68</v>
      </c>
      <c r="BR73" s="52">
        <v>-7227.45</v>
      </c>
      <c r="BS73" s="52">
        <v>-6546.7</v>
      </c>
      <c r="BT73" s="52">
        <v>-11602.69</v>
      </c>
      <c r="BU73" s="52">
        <v>-7679.78</v>
      </c>
      <c r="BV73" s="52">
        <v>-9417.41</v>
      </c>
      <c r="BW73" s="52">
        <v>-40019.72</v>
      </c>
      <c r="BX73" s="52">
        <v>-23403.69</v>
      </c>
      <c r="BY73" s="52">
        <v>-31655.54</v>
      </c>
      <c r="BZ73" s="52">
        <v>-24297.25</v>
      </c>
      <c r="CA73" s="52">
        <v>-15616.06</v>
      </c>
      <c r="CB73" s="52">
        <v>-15655.27</v>
      </c>
      <c r="CC73" s="52">
        <v>-13872.08</v>
      </c>
      <c r="CD73" s="52">
        <v>-13565.74</v>
      </c>
      <c r="CE73" s="52">
        <v>-13841.94</v>
      </c>
      <c r="CF73" s="52">
        <v>-15568.16</v>
      </c>
      <c r="CG73" s="52">
        <v>-16398.41</v>
      </c>
      <c r="CH73" s="52">
        <v>-23805.57</v>
      </c>
      <c r="CI73" s="52">
        <v>-26258.18</v>
      </c>
      <c r="CJ73" s="52">
        <v>-53387.94</v>
      </c>
      <c r="CK73" s="52">
        <v>-48066.67</v>
      </c>
      <c r="CL73" s="52">
        <v>-29713.65</v>
      </c>
      <c r="CM73" s="52">
        <v>-37203.32</v>
      </c>
      <c r="CN73" s="52">
        <v>-31498.02</v>
      </c>
      <c r="CO73" s="52">
        <v>-26319.69</v>
      </c>
      <c r="CP73" s="52">
        <v>-18917.419999999998</v>
      </c>
      <c r="CQ73" s="52">
        <v>-32849.089999999997</v>
      </c>
      <c r="CR73" s="52">
        <v>-27587.54</v>
      </c>
      <c r="CS73" s="52">
        <v>-27818.66</v>
      </c>
      <c r="CT73" s="52">
        <v>-29404.71</v>
      </c>
      <c r="CU73" s="52">
        <v>-33557.86</v>
      </c>
      <c r="CV73" s="430">
        <f t="shared" si="2"/>
        <v>-396324.57</v>
      </c>
    </row>
    <row r="74" spans="1:100">
      <c r="A74" s="540" t="str">
        <f t="shared" si="0"/>
        <v>4830092</v>
      </c>
      <c r="B74" s="541" t="s">
        <v>1910</v>
      </c>
      <c r="C74" s="463" t="s">
        <v>1005</v>
      </c>
      <c r="D74" s="426">
        <v>-122347.1</v>
      </c>
      <c r="E74" s="426">
        <v>-125397.66</v>
      </c>
      <c r="F74" s="426">
        <v>-83613.06</v>
      </c>
      <c r="G74" s="426">
        <v>-79399.5</v>
      </c>
      <c r="H74" s="426">
        <v>-59284.84</v>
      </c>
      <c r="I74" s="426">
        <v>-84221.96</v>
      </c>
      <c r="J74" s="426">
        <v>-53577.79</v>
      </c>
      <c r="K74" s="426">
        <v>-50639.37</v>
      </c>
      <c r="L74" s="426">
        <v>-55870.14</v>
      </c>
      <c r="M74" s="426">
        <v>-47384.88</v>
      </c>
      <c r="N74" s="426">
        <v>-55759.08</v>
      </c>
      <c r="O74" s="427">
        <v>-89565.43</v>
      </c>
      <c r="P74" s="52">
        <v>-115388.95</v>
      </c>
      <c r="Q74" s="52">
        <v>-122429.48</v>
      </c>
      <c r="R74" s="52">
        <v>-103381.17</v>
      </c>
      <c r="S74" s="52">
        <v>-62557.89</v>
      </c>
      <c r="T74" s="52">
        <v>-34815.08</v>
      </c>
      <c r="U74" s="52">
        <v>-40163.93</v>
      </c>
      <c r="V74" s="52">
        <v>-40173.25</v>
      </c>
      <c r="W74" s="52">
        <v>-81254.820000000007</v>
      </c>
      <c r="X74" s="52">
        <v>-47758.73</v>
      </c>
      <c r="Y74" s="52">
        <v>-61015.22</v>
      </c>
      <c r="Z74" s="52">
        <v>-52655.68</v>
      </c>
      <c r="AA74" s="52">
        <v>-70834.47</v>
      </c>
      <c r="AB74" s="52">
        <v>-112861.47</v>
      </c>
      <c r="AC74" s="52">
        <v>-144487.29999999999</v>
      </c>
      <c r="AD74" s="52">
        <v>-97359.34</v>
      </c>
      <c r="AE74" s="52">
        <v>-90351.69</v>
      </c>
      <c r="AF74" s="52">
        <v>-80688.27</v>
      </c>
      <c r="AG74" s="52">
        <v>-55803.75</v>
      </c>
      <c r="AH74" s="52">
        <v>-48909.17</v>
      </c>
      <c r="AI74" s="52">
        <v>-62932.57</v>
      </c>
      <c r="AJ74" s="52">
        <v>-63198.98</v>
      </c>
      <c r="AK74" s="52">
        <v>-80931.289999999994</v>
      </c>
      <c r="AL74" s="52">
        <v>-54733.84</v>
      </c>
      <c r="AM74" s="52">
        <v>-54630.92</v>
      </c>
      <c r="AN74" s="52">
        <v>-145513.70000000001</v>
      </c>
      <c r="AO74" s="52">
        <v>-10002.1</v>
      </c>
      <c r="AP74" s="52">
        <v>-130908.62</v>
      </c>
      <c r="AQ74" s="52">
        <v>-51360.15</v>
      </c>
      <c r="AR74" s="52">
        <v>-52185.55</v>
      </c>
      <c r="AS74" s="52">
        <v>-48094.59</v>
      </c>
      <c r="AT74" s="52">
        <v>-121049.34</v>
      </c>
      <c r="AU74" s="52">
        <v>191292.34</v>
      </c>
      <c r="AV74" s="52">
        <v>-259208.07</v>
      </c>
      <c r="AW74" s="52">
        <v>-57389.38</v>
      </c>
      <c r="AX74" s="52">
        <v>-89283.89</v>
      </c>
      <c r="AY74" s="52">
        <v>-106218.25</v>
      </c>
      <c r="AZ74" s="52">
        <v>-227660.9</v>
      </c>
      <c r="BA74" s="52">
        <v>-160197.32</v>
      </c>
      <c r="BB74" s="52">
        <v>-81327.55</v>
      </c>
      <c r="BC74" s="52">
        <v>-110521.77</v>
      </c>
      <c r="BD74" s="52">
        <v>-81986.16</v>
      </c>
      <c r="BE74" s="52">
        <v>-72924.350000000006</v>
      </c>
      <c r="BF74" s="52">
        <v>-59920.74</v>
      </c>
      <c r="BG74" s="52">
        <v>-10214.56</v>
      </c>
      <c r="BH74" s="52">
        <v>-42969.5</v>
      </c>
      <c r="BI74" s="52">
        <v>-37316.04</v>
      </c>
      <c r="BJ74" s="52">
        <v>-1881.49</v>
      </c>
      <c r="BK74" s="52">
        <v>-187698.16</v>
      </c>
      <c r="BL74" s="52">
        <v>-111874.25</v>
      </c>
      <c r="BM74" s="52">
        <v>-133724.71</v>
      </c>
      <c r="BN74" s="52">
        <v>-72573.84</v>
      </c>
      <c r="BO74" s="52">
        <v>-76351.73</v>
      </c>
      <c r="BP74" s="52">
        <v>-63016.02</v>
      </c>
      <c r="BQ74" s="52">
        <v>-52170.54</v>
      </c>
      <c r="BR74" s="52">
        <v>-47308.06</v>
      </c>
      <c r="BS74" s="52">
        <v>-36185.31</v>
      </c>
      <c r="BT74" s="52">
        <v>-56479.09</v>
      </c>
      <c r="BU74" s="52">
        <v>-41885.65</v>
      </c>
      <c r="BV74" s="52">
        <v>-53566.38</v>
      </c>
      <c r="BW74" s="52">
        <v>-237125.17</v>
      </c>
      <c r="BX74" s="52">
        <v>-136259.73000000001</v>
      </c>
      <c r="BY74" s="52">
        <v>-175838.86</v>
      </c>
      <c r="BZ74" s="52">
        <v>-129063.36</v>
      </c>
      <c r="CA74" s="52">
        <v>-81269.73</v>
      </c>
      <c r="CB74" s="52">
        <v>-81771.11</v>
      </c>
      <c r="CC74" s="52">
        <v>-71804.86</v>
      </c>
      <c r="CD74" s="52">
        <v>-70492.429999999993</v>
      </c>
      <c r="CE74" s="52">
        <v>-71847.97</v>
      </c>
      <c r="CF74" s="52">
        <v>-81294.41</v>
      </c>
      <c r="CG74" s="52">
        <v>-91336.26</v>
      </c>
      <c r="CH74" s="52">
        <v>-133473.60000000001</v>
      </c>
      <c r="CI74" s="52">
        <v>-163603.73000000001</v>
      </c>
      <c r="CJ74" s="52">
        <v>-272469.07</v>
      </c>
      <c r="CK74" s="52">
        <v>-244199.62</v>
      </c>
      <c r="CL74" s="52">
        <v>-168670.92</v>
      </c>
      <c r="CM74" s="52">
        <v>-214419.68</v>
      </c>
      <c r="CN74" s="52">
        <v>-171019.38</v>
      </c>
      <c r="CO74" s="52">
        <v>-138628.84</v>
      </c>
      <c r="CP74" s="52">
        <v>-100986.53</v>
      </c>
      <c r="CQ74" s="52">
        <v>-187822.88</v>
      </c>
      <c r="CR74" s="52">
        <v>-155655.59</v>
      </c>
      <c r="CS74" s="52">
        <v>-157095.85999999999</v>
      </c>
      <c r="CT74" s="52">
        <v>-166783.76</v>
      </c>
      <c r="CU74" s="52">
        <v>-192152.4</v>
      </c>
      <c r="CV74" s="430">
        <f t="shared" si="2"/>
        <v>-2169904.5300000003</v>
      </c>
    </row>
    <row r="75" spans="1:100">
      <c r="A75" s="540" t="str">
        <f t="shared" si="0"/>
        <v>4833091</v>
      </c>
      <c r="B75" s="541" t="s">
        <v>1911</v>
      </c>
      <c r="C75" s="463" t="s">
        <v>1006</v>
      </c>
      <c r="D75" s="428">
        <v>-21883.94</v>
      </c>
      <c r="E75" s="428">
        <v>-18653.25</v>
      </c>
      <c r="F75" s="428">
        <v>-21064.37</v>
      </c>
      <c r="G75" s="428">
        <v>-18023.66</v>
      </c>
      <c r="H75" s="428">
        <v>-16939.95</v>
      </c>
      <c r="I75" s="428">
        <v>-15589.49</v>
      </c>
      <c r="J75" s="428">
        <v>-15668.39</v>
      </c>
      <c r="K75" s="428">
        <v>-15255.51</v>
      </c>
      <c r="L75" s="428">
        <v>-14564.19</v>
      </c>
      <c r="M75" s="428">
        <v>-17293.3</v>
      </c>
      <c r="N75" s="428">
        <v>-19693.8</v>
      </c>
      <c r="O75" s="429">
        <v>-20331.84</v>
      </c>
      <c r="P75" s="52">
        <v>-22601.96</v>
      </c>
      <c r="Q75" s="52">
        <v>-21078.83</v>
      </c>
      <c r="R75" s="52">
        <v>-20184.12</v>
      </c>
      <c r="S75" s="52">
        <v>-17822.34</v>
      </c>
      <c r="T75" s="52">
        <v>-17403.689999999999</v>
      </c>
      <c r="U75" s="52">
        <v>-15810.03</v>
      </c>
      <c r="V75" s="52">
        <v>-16304.6</v>
      </c>
      <c r="W75" s="52">
        <v>-16134.22</v>
      </c>
      <c r="X75" s="52">
        <v>-15611.63</v>
      </c>
      <c r="Y75" s="52">
        <v>-18169.47</v>
      </c>
      <c r="Z75" s="52">
        <v>-18110.89</v>
      </c>
      <c r="AA75" s="52">
        <v>-19573.169999999998</v>
      </c>
      <c r="AB75" s="52">
        <v>-24128.63</v>
      </c>
      <c r="AC75" s="52">
        <v>-22204.05</v>
      </c>
      <c r="AD75" s="52">
        <v>-20705.21</v>
      </c>
      <c r="AE75" s="52">
        <v>-19513.43</v>
      </c>
      <c r="AF75" s="52">
        <v>-18266.14</v>
      </c>
      <c r="AG75" s="52">
        <v>-16656.59</v>
      </c>
      <c r="AH75" s="52">
        <v>-16731.45</v>
      </c>
      <c r="AI75" s="52">
        <v>-16264.15</v>
      </c>
      <c r="AJ75" s="52">
        <v>-15910.62</v>
      </c>
      <c r="AK75" s="52">
        <v>-16984.830000000002</v>
      </c>
      <c r="AL75" s="52">
        <v>-19334.95</v>
      </c>
      <c r="AM75" s="52">
        <v>-20919.55</v>
      </c>
      <c r="AN75" s="52">
        <v>-22685.19</v>
      </c>
      <c r="AO75" s="52">
        <v>-19221.09</v>
      </c>
      <c r="AP75" s="52">
        <v>-22663.53</v>
      </c>
      <c r="AQ75" s="52">
        <v>-18990.38</v>
      </c>
      <c r="AR75" s="52">
        <v>-17901.71</v>
      </c>
      <c r="AS75" s="52">
        <v>-16661.64</v>
      </c>
      <c r="AT75" s="52">
        <v>-18374.669999999998</v>
      </c>
      <c r="AU75" s="52">
        <v>-15617.18</v>
      </c>
      <c r="AV75" s="52">
        <v>-14843.49</v>
      </c>
      <c r="AW75" s="52">
        <v>-19111.46</v>
      </c>
      <c r="AX75" s="52">
        <v>-20227.91</v>
      </c>
      <c r="AY75" s="52">
        <v>-24379.42</v>
      </c>
      <c r="AZ75" s="52">
        <v>-25354.05</v>
      </c>
      <c r="BA75" s="52">
        <v>-19653.240000000002</v>
      </c>
      <c r="BB75" s="52">
        <v>-23521.52</v>
      </c>
      <c r="BC75" s="52">
        <v>-20175.22</v>
      </c>
      <c r="BD75" s="52">
        <v>-18808.150000000001</v>
      </c>
      <c r="BE75" s="52">
        <v>-17332.580000000002</v>
      </c>
      <c r="BF75" s="52">
        <v>-17791.14</v>
      </c>
      <c r="BG75" s="52">
        <v>-16456.59</v>
      </c>
      <c r="BH75" s="52">
        <v>-16115.17</v>
      </c>
      <c r="BI75" s="52">
        <v>-18339.5</v>
      </c>
      <c r="BJ75" s="52">
        <v>-26818.400000000001</v>
      </c>
      <c r="BK75" s="52">
        <v>-29473.200000000001</v>
      </c>
      <c r="BL75" s="52">
        <v>-30389.88</v>
      </c>
      <c r="BM75" s="52">
        <v>-26515.14</v>
      </c>
      <c r="BN75" s="52">
        <v>-28336.85</v>
      </c>
      <c r="BO75" s="52">
        <v>-25632.959999999999</v>
      </c>
      <c r="BP75" s="52">
        <v>-23177.8</v>
      </c>
      <c r="BQ75" s="52">
        <v>-22277.919999999998</v>
      </c>
      <c r="BR75" s="52">
        <v>-22006.6</v>
      </c>
      <c r="BS75" s="52">
        <v>-21749.7</v>
      </c>
      <c r="BT75" s="52">
        <v>-20855.490000000002</v>
      </c>
      <c r="BU75" s="52">
        <v>-22983.360000000001</v>
      </c>
      <c r="BV75" s="52">
        <v>-24254.95</v>
      </c>
      <c r="BW75" s="52">
        <v>-29401.4</v>
      </c>
      <c r="BX75" s="52">
        <v>-28762.09</v>
      </c>
      <c r="BY75" s="52">
        <v>-26980.71</v>
      </c>
      <c r="BZ75" s="52">
        <v>-22578.97</v>
      </c>
      <c r="CA75" s="52">
        <v>-17452.13</v>
      </c>
      <c r="CB75" s="52">
        <v>-19436.509999999998</v>
      </c>
      <c r="CC75" s="52">
        <v>-19704.009999999998</v>
      </c>
      <c r="CD75" s="52">
        <v>-18783.560000000001</v>
      </c>
      <c r="CE75" s="52">
        <v>-19300.73</v>
      </c>
      <c r="CF75" s="52">
        <v>-19422.32</v>
      </c>
      <c r="CG75" s="52">
        <v>-22695.58</v>
      </c>
      <c r="CH75" s="52">
        <v>-20343.810000000001</v>
      </c>
      <c r="CI75" s="52">
        <v>-33321.230000000003</v>
      </c>
      <c r="CJ75" s="52">
        <v>-23913.52</v>
      </c>
      <c r="CK75" s="52">
        <v>-30235.87</v>
      </c>
      <c r="CL75" s="52">
        <v>-32172.63</v>
      </c>
      <c r="CM75" s="52">
        <v>-33513.31</v>
      </c>
      <c r="CN75" s="52">
        <v>-27958.95</v>
      </c>
      <c r="CO75" s="52">
        <v>-18843.16</v>
      </c>
      <c r="CP75" s="52">
        <v>-20378.8</v>
      </c>
      <c r="CQ75" s="52">
        <v>-21184.400000000001</v>
      </c>
      <c r="CR75" s="52">
        <v>-19744.060000000001</v>
      </c>
      <c r="CS75" s="52">
        <v>-21823.15</v>
      </c>
      <c r="CT75" s="52">
        <v>-25095.11</v>
      </c>
      <c r="CU75" s="52">
        <v>-25768.59</v>
      </c>
      <c r="CV75" s="430">
        <f t="shared" si="2"/>
        <v>-300631.55</v>
      </c>
    </row>
    <row r="76" spans="1:100">
      <c r="A76" s="540" t="str">
        <f t="shared" si="0"/>
        <v>4870000</v>
      </c>
      <c r="B76" s="541" t="s">
        <v>1912</v>
      </c>
      <c r="C76" s="463" t="s">
        <v>1007</v>
      </c>
      <c r="D76" s="428">
        <v>-87247.01</v>
      </c>
      <c r="E76" s="428">
        <v>-96255.7</v>
      </c>
      <c r="F76" s="428">
        <v>-92056.61</v>
      </c>
      <c r="G76" s="428">
        <v>-89213.83</v>
      </c>
      <c r="H76" s="428">
        <v>-77492.5</v>
      </c>
      <c r="I76" s="428">
        <v>-61370.03</v>
      </c>
      <c r="J76" s="428">
        <v>-83041.899999999994</v>
      </c>
      <c r="K76" s="428">
        <v>-63714.47</v>
      </c>
      <c r="L76" s="428">
        <v>-66933.72</v>
      </c>
      <c r="M76" s="428">
        <v>-65930.600000000006</v>
      </c>
      <c r="N76" s="428">
        <v>-55364.42</v>
      </c>
      <c r="O76" s="429">
        <v>-84632.61</v>
      </c>
      <c r="P76" s="52">
        <v>-87423.9</v>
      </c>
      <c r="Q76" s="52">
        <v>-89152.35</v>
      </c>
      <c r="R76" s="52">
        <v>-84691.04</v>
      </c>
      <c r="S76" s="52">
        <v>-80392.259999999995</v>
      </c>
      <c r="T76" s="52">
        <v>-72940.820000000007</v>
      </c>
      <c r="U76" s="52">
        <v>-61978.98</v>
      </c>
      <c r="V76" s="52">
        <v>-67374.3</v>
      </c>
      <c r="W76" s="52">
        <v>-65541.210000000006</v>
      </c>
      <c r="X76" s="52">
        <v>-64531.85</v>
      </c>
      <c r="Y76" s="52">
        <v>-67554.8</v>
      </c>
      <c r="Z76" s="52">
        <v>-55547.86</v>
      </c>
      <c r="AA76" s="52">
        <v>-85259.37</v>
      </c>
      <c r="AB76" s="52">
        <v>-83397.03</v>
      </c>
      <c r="AC76" s="52">
        <v>-83231.009999999995</v>
      </c>
      <c r="AD76" s="52">
        <v>-101891.83</v>
      </c>
      <c r="AE76" s="52">
        <v>-82907.240000000005</v>
      </c>
      <c r="AF76" s="52">
        <v>-74399.78</v>
      </c>
      <c r="AG76" s="52">
        <v>-88287.29</v>
      </c>
      <c r="AH76" s="52">
        <v>-71623.55</v>
      </c>
      <c r="AI76" s="52">
        <v>-67213.05</v>
      </c>
      <c r="AJ76" s="52">
        <v>-66750.03</v>
      </c>
      <c r="AK76" s="52">
        <v>-72295.350000000006</v>
      </c>
      <c r="AL76" s="52">
        <v>-72659.210000000006</v>
      </c>
      <c r="AM76" s="52">
        <v>-77624.399999999994</v>
      </c>
      <c r="AN76" s="52">
        <v>-59316.46</v>
      </c>
      <c r="AO76" s="52">
        <v>-151333.35999999999</v>
      </c>
      <c r="AP76" s="52">
        <v>-128907.76</v>
      </c>
      <c r="AQ76" s="52">
        <v>-124259.41</v>
      </c>
      <c r="AR76" s="52">
        <v>-124490.84</v>
      </c>
      <c r="AS76" s="52">
        <v>-113303.96</v>
      </c>
      <c r="AT76" s="52">
        <v>-96809.73</v>
      </c>
      <c r="AU76" s="52">
        <v>-85436.47</v>
      </c>
      <c r="AV76" s="52">
        <v>-58089.18</v>
      </c>
      <c r="AW76" s="52">
        <v>-87568.86</v>
      </c>
      <c r="AX76" s="52">
        <v>-92341.759999999995</v>
      </c>
      <c r="AY76" s="52">
        <v>-100712.94</v>
      </c>
      <c r="AZ76" s="52">
        <v>-136915.21</v>
      </c>
      <c r="BA76" s="52">
        <v>-152350.26</v>
      </c>
      <c r="BB76" s="52">
        <v>-135306.41</v>
      </c>
      <c r="BC76" s="52">
        <v>-120362.92</v>
      </c>
      <c r="BD76" s="52">
        <v>-107479.67999999999</v>
      </c>
      <c r="BE76" s="52">
        <v>-108178.03</v>
      </c>
      <c r="BF76" s="52">
        <v>-81021.48</v>
      </c>
      <c r="BG76" s="52">
        <v>-93145.66</v>
      </c>
      <c r="BH76" s="52">
        <v>-93797.8</v>
      </c>
      <c r="BI76" s="52">
        <v>-92860.57</v>
      </c>
      <c r="BJ76" s="52">
        <v>-92318.16</v>
      </c>
      <c r="BK76" s="52">
        <v>-102418.29</v>
      </c>
      <c r="BL76" s="52">
        <v>-122474.71</v>
      </c>
      <c r="BM76" s="52">
        <v>-104745.17</v>
      </c>
      <c r="BN76" s="52">
        <v>-101191.82</v>
      </c>
      <c r="BO76" s="52">
        <v>-90192.52</v>
      </c>
      <c r="BP76" s="52">
        <v>-95436.56</v>
      </c>
      <c r="BQ76" s="52">
        <v>-81788.81</v>
      </c>
      <c r="BR76" s="52">
        <v>-79095.179999999993</v>
      </c>
      <c r="BS76" s="52">
        <v>-82562.100000000006</v>
      </c>
      <c r="BT76" s="52">
        <v>-80215.199999999997</v>
      </c>
      <c r="BU76" s="52">
        <v>-78789.2</v>
      </c>
      <c r="BV76" s="52">
        <v>-75675.8</v>
      </c>
      <c r="BW76" s="52">
        <v>-86066.92</v>
      </c>
      <c r="BX76" s="52">
        <v>-109351.41</v>
      </c>
      <c r="BY76" s="52">
        <v>-96150.71</v>
      </c>
      <c r="BZ76" s="52">
        <v>-95243.34</v>
      </c>
      <c r="CA76" s="52">
        <v>-125154.01</v>
      </c>
      <c r="CB76" s="52">
        <v>-125404.42</v>
      </c>
      <c r="CC76" s="52">
        <v>-118230.31</v>
      </c>
      <c r="CD76" s="52">
        <v>-111280.65</v>
      </c>
      <c r="CE76" s="52">
        <v>-107101.89</v>
      </c>
      <c r="CF76" s="52">
        <v>-77071.8</v>
      </c>
      <c r="CG76" s="52">
        <v>-100031.24</v>
      </c>
      <c r="CH76" s="52">
        <v>-96374.31</v>
      </c>
      <c r="CI76" s="52">
        <v>-96654.77</v>
      </c>
      <c r="CJ76" s="52">
        <v>-119228.77</v>
      </c>
      <c r="CK76" s="52">
        <v>-130606.05</v>
      </c>
      <c r="CL76" s="52">
        <v>-133259.43</v>
      </c>
      <c r="CM76" s="52">
        <v>-103588.7</v>
      </c>
      <c r="CN76" s="52">
        <v>-116765.87</v>
      </c>
      <c r="CO76" s="52">
        <v>-114304.89</v>
      </c>
      <c r="CP76" s="52">
        <v>-88348.87</v>
      </c>
      <c r="CQ76" s="52">
        <v>-97463.65</v>
      </c>
      <c r="CR76" s="52">
        <v>-98512.4</v>
      </c>
      <c r="CS76" s="52">
        <v>-86061.9</v>
      </c>
      <c r="CT76" s="52">
        <v>-95425.25</v>
      </c>
      <c r="CU76" s="52">
        <v>-112683.27</v>
      </c>
      <c r="CV76" s="430">
        <f t="shared" si="2"/>
        <v>-1296249.05</v>
      </c>
    </row>
    <row r="77" spans="1:100">
      <c r="A77" s="540" t="str">
        <f t="shared" ref="A77:A148" si="3">+B77</f>
        <v>4880101</v>
      </c>
      <c r="B77" s="541" t="s">
        <v>1913</v>
      </c>
      <c r="C77" s="463" t="s">
        <v>1008</v>
      </c>
      <c r="D77" s="428">
        <v>-168080</v>
      </c>
      <c r="E77" s="428">
        <v>-178935</v>
      </c>
      <c r="F77" s="428">
        <v>-161149</v>
      </c>
      <c r="G77" s="428">
        <v>-149500</v>
      </c>
      <c r="H77" s="428">
        <v>-133854</v>
      </c>
      <c r="I77" s="428">
        <v>-156498</v>
      </c>
      <c r="J77" s="428">
        <v>-156827</v>
      </c>
      <c r="K77" s="428">
        <v>-156588</v>
      </c>
      <c r="L77" s="428">
        <v>-164014</v>
      </c>
      <c r="M77" s="428">
        <v>-184115</v>
      </c>
      <c r="N77" s="428">
        <v>-194620</v>
      </c>
      <c r="O77" s="429">
        <v>-167467</v>
      </c>
      <c r="P77" s="52">
        <v>-148441</v>
      </c>
      <c r="Q77" s="52">
        <v>-172306</v>
      </c>
      <c r="R77" s="52">
        <v>-151190</v>
      </c>
      <c r="S77" s="52">
        <v>-133400</v>
      </c>
      <c r="T77" s="52">
        <v>-134342</v>
      </c>
      <c r="U77" s="52">
        <v>-148043</v>
      </c>
      <c r="V77" s="52">
        <v>-144408</v>
      </c>
      <c r="W77" s="52">
        <v>-159878.5</v>
      </c>
      <c r="X77" s="52">
        <v>-147367</v>
      </c>
      <c r="Y77" s="52">
        <v>-168114</v>
      </c>
      <c r="Z77" s="52">
        <v>-165254</v>
      </c>
      <c r="AA77" s="52">
        <v>-159111</v>
      </c>
      <c r="AB77" s="52">
        <v>-140982</v>
      </c>
      <c r="AC77" s="52">
        <v>-152279</v>
      </c>
      <c r="AD77" s="52">
        <v>-144915</v>
      </c>
      <c r="AE77" s="52">
        <v>-126819</v>
      </c>
      <c r="AF77" s="52">
        <v>-140271</v>
      </c>
      <c r="AG77" s="52">
        <v>-139381</v>
      </c>
      <c r="AH77" s="52">
        <v>-147642.12</v>
      </c>
      <c r="AI77" s="52">
        <v>-152780</v>
      </c>
      <c r="AJ77" s="52">
        <v>-142345</v>
      </c>
      <c r="AK77" s="52">
        <v>-147621</v>
      </c>
      <c r="AL77" s="52">
        <v>-168511</v>
      </c>
      <c r="AM77" s="52">
        <v>-166487.95000000001</v>
      </c>
      <c r="AN77" s="52">
        <v>-183513.75</v>
      </c>
      <c r="AO77" s="52">
        <v>-200948</v>
      </c>
      <c r="AP77" s="52">
        <v>-297045</v>
      </c>
      <c r="AQ77" s="52">
        <v>-290126</v>
      </c>
      <c r="AR77" s="52">
        <v>-343949</v>
      </c>
      <c r="AS77" s="52">
        <v>-360254</v>
      </c>
      <c r="AT77" s="52">
        <v>-312453.46999999997</v>
      </c>
      <c r="AU77" s="52">
        <v>-339317</v>
      </c>
      <c r="AV77" s="52">
        <v>-212107.83</v>
      </c>
      <c r="AW77" s="52">
        <v>-304069</v>
      </c>
      <c r="AX77" s="52">
        <v>-305808</v>
      </c>
      <c r="AY77" s="52">
        <v>-288234</v>
      </c>
      <c r="AZ77" s="52">
        <v>-293501</v>
      </c>
      <c r="BA77" s="52">
        <v>-300335</v>
      </c>
      <c r="BB77" s="52">
        <v>-357282</v>
      </c>
      <c r="BC77" s="52">
        <v>-326040</v>
      </c>
      <c r="BD77" s="52">
        <v>-337061</v>
      </c>
      <c r="BE77" s="52">
        <v>-348710</v>
      </c>
      <c r="BF77" s="52">
        <v>-353783</v>
      </c>
      <c r="BG77" s="52">
        <v>-371700</v>
      </c>
      <c r="BH77" s="52">
        <v>-285574.34000000003</v>
      </c>
      <c r="BI77" s="52">
        <v>-321772.44</v>
      </c>
      <c r="BJ77" s="52">
        <v>-306494</v>
      </c>
      <c r="BK77" s="52">
        <v>-287027.34000000003</v>
      </c>
      <c r="BL77" s="52">
        <v>-363135.5</v>
      </c>
      <c r="BM77" s="52">
        <v>-346695</v>
      </c>
      <c r="BN77" s="52">
        <v>-377137</v>
      </c>
      <c r="BO77" s="52">
        <v>-347337</v>
      </c>
      <c r="BP77" s="52">
        <v>-352342</v>
      </c>
      <c r="BQ77" s="52">
        <v>-248049</v>
      </c>
      <c r="BR77" s="52">
        <v>-261755</v>
      </c>
      <c r="BS77" s="52">
        <v>-269635</v>
      </c>
      <c r="BT77" s="52">
        <v>-220137</v>
      </c>
      <c r="BU77" s="52">
        <v>-272617</v>
      </c>
      <c r="BV77" s="52">
        <v>-237675</v>
      </c>
      <c r="BW77" s="52">
        <v>-221017</v>
      </c>
      <c r="BX77" s="52">
        <v>-231138.39</v>
      </c>
      <c r="BY77" s="52">
        <v>-243915</v>
      </c>
      <c r="BZ77" s="52">
        <v>-235889</v>
      </c>
      <c r="CA77" s="52">
        <v>-159902</v>
      </c>
      <c r="CB77" s="52">
        <v>-158420</v>
      </c>
      <c r="CC77" s="52">
        <v>-167550</v>
      </c>
      <c r="CD77" s="52">
        <v>-172082</v>
      </c>
      <c r="CE77" s="52">
        <v>-166410</v>
      </c>
      <c r="CF77" s="52">
        <v>-182935</v>
      </c>
      <c r="CG77" s="52">
        <v>-216865</v>
      </c>
      <c r="CH77" s="52">
        <v>-179693.35</v>
      </c>
      <c r="CI77" s="52">
        <v>-209355</v>
      </c>
      <c r="CJ77" s="52">
        <v>-250411</v>
      </c>
      <c r="CK77" s="52">
        <v>-268527.94</v>
      </c>
      <c r="CL77" s="52">
        <v>-301065</v>
      </c>
      <c r="CM77" s="52">
        <v>-257501.5</v>
      </c>
      <c r="CN77" s="52">
        <v>-255770</v>
      </c>
      <c r="CO77" s="52">
        <v>-272964.5</v>
      </c>
      <c r="CP77" s="52">
        <v>-252084</v>
      </c>
      <c r="CQ77" s="52">
        <v>-281769</v>
      </c>
      <c r="CR77" s="52">
        <v>-267606.5</v>
      </c>
      <c r="CS77" s="52">
        <v>-285745</v>
      </c>
      <c r="CT77" s="52">
        <v>-290448.5</v>
      </c>
      <c r="CU77" s="52">
        <v>-247672</v>
      </c>
      <c r="CV77" s="430">
        <f t="shared" si="2"/>
        <v>-3231564.94</v>
      </c>
    </row>
    <row r="78" spans="1:100">
      <c r="A78" s="540" t="str">
        <f t="shared" si="3"/>
        <v>4880102</v>
      </c>
      <c r="B78" s="541" t="s">
        <v>1914</v>
      </c>
      <c r="C78" s="463" t="s">
        <v>1009</v>
      </c>
      <c r="D78" s="426">
        <v>-17516.5</v>
      </c>
      <c r="E78" s="426">
        <v>-15855</v>
      </c>
      <c r="F78" s="426">
        <v>-14550</v>
      </c>
      <c r="G78" s="426">
        <v>-17670</v>
      </c>
      <c r="H78" s="426">
        <v>-14250</v>
      </c>
      <c r="I78" s="426">
        <v>-17025</v>
      </c>
      <c r="J78" s="426">
        <v>-13380</v>
      </c>
      <c r="K78" s="426">
        <v>-16117.5</v>
      </c>
      <c r="L78" s="426">
        <v>-18187.5</v>
      </c>
      <c r="M78" s="426">
        <v>-19042.5</v>
      </c>
      <c r="N78" s="426">
        <v>-21075</v>
      </c>
      <c r="O78" s="427">
        <v>-14730</v>
      </c>
      <c r="P78" s="52">
        <v>-13980</v>
      </c>
      <c r="Q78" s="52">
        <v>-15862.5</v>
      </c>
      <c r="R78" s="52">
        <v>-12984.5</v>
      </c>
      <c r="S78" s="52">
        <v>-12375</v>
      </c>
      <c r="T78" s="52">
        <v>-13155</v>
      </c>
      <c r="U78" s="52">
        <v>-12797</v>
      </c>
      <c r="V78" s="52">
        <v>-14212.5</v>
      </c>
      <c r="W78" s="52">
        <v>-13930</v>
      </c>
      <c r="X78" s="52">
        <v>-14947.5</v>
      </c>
      <c r="Y78" s="52">
        <v>-17850</v>
      </c>
      <c r="Z78" s="52">
        <v>-16935</v>
      </c>
      <c r="AA78" s="52">
        <v>-14180</v>
      </c>
      <c r="AB78" s="52">
        <v>-14647.5</v>
      </c>
      <c r="AC78" s="52">
        <v>-14212.5</v>
      </c>
      <c r="AD78" s="52">
        <v>-12669.5</v>
      </c>
      <c r="AE78" s="52">
        <v>-12337.5</v>
      </c>
      <c r="AF78" s="52">
        <v>-13887.5</v>
      </c>
      <c r="AG78" s="52">
        <v>-15191.5</v>
      </c>
      <c r="AH78" s="52">
        <v>-14337</v>
      </c>
      <c r="AI78" s="52">
        <v>-14110</v>
      </c>
      <c r="AJ78" s="52">
        <v>-12405</v>
      </c>
      <c r="AK78" s="52">
        <v>-15862.5</v>
      </c>
      <c r="AL78" s="52">
        <v>-17732</v>
      </c>
      <c r="AM78" s="52">
        <v>-16761</v>
      </c>
      <c r="AN78" s="52">
        <v>-13188</v>
      </c>
      <c r="AO78" s="52">
        <v>-15778</v>
      </c>
      <c r="AP78" s="52">
        <v>-27329.5</v>
      </c>
      <c r="AQ78" s="52">
        <v>-23577.5</v>
      </c>
      <c r="AR78" s="52">
        <v>-24875.5</v>
      </c>
      <c r="AS78" s="52">
        <v>-28866.5</v>
      </c>
      <c r="AT78" s="52">
        <v>-24171</v>
      </c>
      <c r="AU78" s="52">
        <v>-29294.5</v>
      </c>
      <c r="AV78" s="52">
        <v>-12828</v>
      </c>
      <c r="AW78" s="52">
        <v>-27715</v>
      </c>
      <c r="AX78" s="52">
        <v>-18998</v>
      </c>
      <c r="AY78" s="52">
        <v>-21020</v>
      </c>
      <c r="AZ78" s="52">
        <v>-31608.5</v>
      </c>
      <c r="BA78" s="52">
        <v>-20799</v>
      </c>
      <c r="BB78" s="52">
        <v>-28179.5</v>
      </c>
      <c r="BC78" s="52">
        <v>-27918.5</v>
      </c>
      <c r="BD78" s="52">
        <v>-23689</v>
      </c>
      <c r="BE78" s="52">
        <v>-22846.5</v>
      </c>
      <c r="BF78" s="52">
        <v>-24395</v>
      </c>
      <c r="BG78" s="52">
        <v>-26008</v>
      </c>
      <c r="BH78" s="52">
        <v>-22683.5</v>
      </c>
      <c r="BI78" s="52">
        <v>-25803</v>
      </c>
      <c r="BJ78" s="52">
        <v>-22844</v>
      </c>
      <c r="BK78" s="52">
        <v>-23790.5</v>
      </c>
      <c r="BL78" s="52">
        <v>-61154</v>
      </c>
      <c r="BM78" s="52">
        <v>-40440</v>
      </c>
      <c r="BN78" s="52">
        <v>-43447.5</v>
      </c>
      <c r="BO78" s="52">
        <v>-38340.5</v>
      </c>
      <c r="BP78" s="52">
        <v>-34620.5</v>
      </c>
      <c r="BQ78" s="52">
        <v>-26237</v>
      </c>
      <c r="BR78" s="52">
        <v>-24429.5</v>
      </c>
      <c r="BS78" s="52">
        <v>-26019</v>
      </c>
      <c r="BT78" s="52">
        <v>-25670</v>
      </c>
      <c r="BU78" s="52">
        <v>-30997.5</v>
      </c>
      <c r="BV78" s="52">
        <v>-29567.5</v>
      </c>
      <c r="BW78" s="52">
        <v>-24460</v>
      </c>
      <c r="BX78" s="52">
        <v>-22442.5</v>
      </c>
      <c r="BY78" s="52">
        <v>-24205</v>
      </c>
      <c r="BZ78" s="52">
        <v>-17322.5</v>
      </c>
      <c r="CA78" s="52">
        <v>-10350</v>
      </c>
      <c r="CB78" s="52">
        <v>-16550</v>
      </c>
      <c r="CC78" s="52">
        <v>-16727.5</v>
      </c>
      <c r="CD78" s="52">
        <v>-14140</v>
      </c>
      <c r="CE78" s="52">
        <v>-15180</v>
      </c>
      <c r="CF78" s="52">
        <v>-20555</v>
      </c>
      <c r="CG78" s="52">
        <v>-30920</v>
      </c>
      <c r="CH78" s="52">
        <v>-24545</v>
      </c>
      <c r="CI78" s="52">
        <v>-23605</v>
      </c>
      <c r="CJ78" s="52">
        <v>-25530</v>
      </c>
      <c r="CK78" s="52">
        <v>-22975</v>
      </c>
      <c r="CL78" s="52">
        <v>-28900</v>
      </c>
      <c r="CM78" s="52">
        <v>-19210</v>
      </c>
      <c r="CN78" s="52">
        <v>-22975</v>
      </c>
      <c r="CO78" s="52">
        <v>-29920</v>
      </c>
      <c r="CP78" s="52">
        <v>-25168</v>
      </c>
      <c r="CQ78" s="52">
        <v>-28715</v>
      </c>
      <c r="CR78" s="52">
        <v>-28615</v>
      </c>
      <c r="CS78" s="52">
        <v>-28840</v>
      </c>
      <c r="CT78" s="52">
        <v>-23448</v>
      </c>
      <c r="CU78" s="52">
        <v>-23415</v>
      </c>
      <c r="CV78" s="430">
        <f t="shared" si="2"/>
        <v>-307711</v>
      </c>
    </row>
    <row r="79" spans="1:100">
      <c r="A79" s="540" t="str">
        <f t="shared" si="3"/>
        <v>4880103</v>
      </c>
      <c r="B79" s="541" t="s">
        <v>1915</v>
      </c>
      <c r="C79" s="463" t="s">
        <v>1010</v>
      </c>
      <c r="D79" s="428">
        <v>-55046</v>
      </c>
      <c r="E79" s="428">
        <v>-58632</v>
      </c>
      <c r="F79" s="428">
        <v>-68043</v>
      </c>
      <c r="G79" s="428">
        <v>-67928</v>
      </c>
      <c r="H79" s="428">
        <v>-66640</v>
      </c>
      <c r="I79" s="428">
        <v>-77989</v>
      </c>
      <c r="J79" s="428">
        <v>-77028</v>
      </c>
      <c r="K79" s="428">
        <v>-72091</v>
      </c>
      <c r="L79" s="428">
        <v>-69972</v>
      </c>
      <c r="M79" s="428">
        <v>-75273</v>
      </c>
      <c r="N79" s="428">
        <v>-60711.95</v>
      </c>
      <c r="O79" s="429">
        <v>-65668</v>
      </c>
      <c r="P79" s="52">
        <v>-54294.05</v>
      </c>
      <c r="Q79" s="52">
        <v>-62698</v>
      </c>
      <c r="R79" s="52">
        <v>-74730</v>
      </c>
      <c r="S79" s="52">
        <v>-70448</v>
      </c>
      <c r="T79" s="52">
        <v>-82731.22</v>
      </c>
      <c r="U79" s="52">
        <v>-89855</v>
      </c>
      <c r="V79" s="52">
        <v>-82793</v>
      </c>
      <c r="W79" s="52">
        <v>-85635</v>
      </c>
      <c r="X79" s="52">
        <v>-72514</v>
      </c>
      <c r="Y79" s="52">
        <v>-67458</v>
      </c>
      <c r="Z79" s="52">
        <v>-67623</v>
      </c>
      <c r="AA79" s="52">
        <v>-70778.210000000006</v>
      </c>
      <c r="AB79" s="52">
        <v>-57969</v>
      </c>
      <c r="AC79" s="52">
        <v>-68695.47</v>
      </c>
      <c r="AD79" s="52">
        <v>-87086</v>
      </c>
      <c r="AE79" s="52">
        <v>-79492</v>
      </c>
      <c r="AF79" s="52">
        <v>-89186</v>
      </c>
      <c r="AG79" s="52">
        <v>-90160</v>
      </c>
      <c r="AH79" s="52">
        <v>-98396.77</v>
      </c>
      <c r="AI79" s="52">
        <v>-84289</v>
      </c>
      <c r="AJ79" s="52">
        <v>-80548</v>
      </c>
      <c r="AK79" s="52">
        <v>-75740</v>
      </c>
      <c r="AL79" s="52">
        <v>-77694</v>
      </c>
      <c r="AM79" s="52">
        <v>-71459</v>
      </c>
      <c r="AN79" s="52">
        <v>0</v>
      </c>
      <c r="AO79" s="52">
        <v>0</v>
      </c>
      <c r="AP79" s="52">
        <v>0</v>
      </c>
      <c r="AQ79" s="52">
        <v>0</v>
      </c>
      <c r="AR79" s="52">
        <v>0</v>
      </c>
      <c r="AS79" s="52">
        <v>0</v>
      </c>
      <c r="AT79" s="52">
        <v>0</v>
      </c>
      <c r="AU79" s="52">
        <v>0</v>
      </c>
      <c r="AV79" s="52">
        <v>0</v>
      </c>
      <c r="AW79" s="52"/>
      <c r="AX79" s="52"/>
      <c r="AY79" s="52"/>
      <c r="AZ79" s="52">
        <v>0</v>
      </c>
      <c r="BA79" s="52">
        <v>0</v>
      </c>
      <c r="BB79" s="52">
        <v>0</v>
      </c>
      <c r="BC79" s="52">
        <v>0</v>
      </c>
      <c r="BD79" s="52">
        <v>0</v>
      </c>
      <c r="BE79" s="52">
        <v>0</v>
      </c>
      <c r="BF79" s="52">
        <v>0</v>
      </c>
      <c r="BG79" s="52">
        <v>0</v>
      </c>
      <c r="BH79" s="52">
        <v>0</v>
      </c>
      <c r="BI79" s="52">
        <v>0</v>
      </c>
      <c r="BJ79" s="52">
        <v>-29736</v>
      </c>
      <c r="BK79" s="52">
        <v>224</v>
      </c>
      <c r="BL79" s="52">
        <v>56</v>
      </c>
      <c r="BM79" s="52">
        <v>28</v>
      </c>
      <c r="BN79" s="52">
        <v>0</v>
      </c>
      <c r="BO79" s="52">
        <v>0</v>
      </c>
      <c r="BP79" s="52">
        <v>-18424</v>
      </c>
      <c r="BQ79" s="52">
        <v>-100128</v>
      </c>
      <c r="BR79" s="52">
        <v>-105896</v>
      </c>
      <c r="BS79" s="52">
        <v>-104356</v>
      </c>
      <c r="BT79" s="52">
        <v>-80396</v>
      </c>
      <c r="BU79" s="52">
        <v>-89516</v>
      </c>
      <c r="BV79" s="52">
        <v>-82320</v>
      </c>
      <c r="BW79" s="52">
        <v>-94388</v>
      </c>
      <c r="BX79" s="52">
        <v>-80024</v>
      </c>
      <c r="BY79" s="52">
        <v>-78456</v>
      </c>
      <c r="BZ79" s="52">
        <v>-95088</v>
      </c>
      <c r="CA79" s="52">
        <v>-85288</v>
      </c>
      <c r="CB79" s="52">
        <v>-88291.13</v>
      </c>
      <c r="CC79" s="52">
        <v>-116256</v>
      </c>
      <c r="CD79" s="52">
        <v>-141260</v>
      </c>
      <c r="CE79" s="52">
        <v>-125272</v>
      </c>
      <c r="CF79" s="52">
        <v>-121100</v>
      </c>
      <c r="CG79" s="52">
        <v>-124768</v>
      </c>
      <c r="CH79" s="52">
        <v>-110796</v>
      </c>
      <c r="CI79" s="52">
        <v>-132216</v>
      </c>
      <c r="CJ79" s="52">
        <v>-79856</v>
      </c>
      <c r="CK79" s="52">
        <v>-90984</v>
      </c>
      <c r="CL79" s="52">
        <v>-113412</v>
      </c>
      <c r="CM79" s="52">
        <v>-118918.68</v>
      </c>
      <c r="CN79" s="52">
        <v>-115248</v>
      </c>
      <c r="CO79" s="52">
        <v>-128152</v>
      </c>
      <c r="CP79" s="52">
        <v>-105236</v>
      </c>
      <c r="CQ79" s="52">
        <v>-110816</v>
      </c>
      <c r="CR79" s="52">
        <v>-95776</v>
      </c>
      <c r="CS79" s="52">
        <v>-99836</v>
      </c>
      <c r="CT79" s="52">
        <v>-97440</v>
      </c>
      <c r="CU79" s="52">
        <v>-110616</v>
      </c>
      <c r="CV79" s="430">
        <f t="shared" si="2"/>
        <v>-1266290.68</v>
      </c>
    </row>
    <row r="80" spans="1:100">
      <c r="A80" s="540" t="str">
        <f t="shared" si="3"/>
        <v>4880104</v>
      </c>
      <c r="B80" s="541" t="s">
        <v>1916</v>
      </c>
      <c r="C80" s="463" t="s">
        <v>1011</v>
      </c>
      <c r="D80" s="426">
        <v>-109140</v>
      </c>
      <c r="E80" s="426">
        <v>-148320</v>
      </c>
      <c r="F80" s="426">
        <v>-154795</v>
      </c>
      <c r="G80" s="426">
        <v>-121001.05</v>
      </c>
      <c r="H80" s="426">
        <v>-131550</v>
      </c>
      <c r="I80" s="426">
        <v>-140074</v>
      </c>
      <c r="J80" s="426">
        <v>-105727</v>
      </c>
      <c r="K80" s="426">
        <v>-113990</v>
      </c>
      <c r="L80" s="426">
        <v>-114040</v>
      </c>
      <c r="M80" s="426">
        <v>-107714.5</v>
      </c>
      <c r="N80" s="426">
        <v>-78074.5</v>
      </c>
      <c r="O80" s="427">
        <v>-80359.149999999994</v>
      </c>
      <c r="P80" s="52">
        <v>-133237</v>
      </c>
      <c r="Q80" s="52">
        <v>-127717.5</v>
      </c>
      <c r="R80" s="52">
        <v>-116206</v>
      </c>
      <c r="S80" s="52">
        <v>-116226</v>
      </c>
      <c r="T80" s="52">
        <v>-125200.55</v>
      </c>
      <c r="U80" s="52">
        <v>-102492</v>
      </c>
      <c r="V80" s="52">
        <v>-102033</v>
      </c>
      <c r="W80" s="52">
        <v>-95900</v>
      </c>
      <c r="X80" s="52">
        <v>-81298</v>
      </c>
      <c r="Y80" s="52">
        <v>-93501</v>
      </c>
      <c r="Z80" s="52">
        <v>-79369</v>
      </c>
      <c r="AA80" s="52">
        <v>-65750.5</v>
      </c>
      <c r="AB80" s="52">
        <v>-80515</v>
      </c>
      <c r="AC80" s="52">
        <v>-78733.5</v>
      </c>
      <c r="AD80" s="52">
        <v>-97792</v>
      </c>
      <c r="AE80" s="52">
        <v>-96841.59</v>
      </c>
      <c r="AF80" s="52">
        <v>-82624</v>
      </c>
      <c r="AG80" s="52">
        <v>-80754</v>
      </c>
      <c r="AH80" s="52">
        <v>-84057</v>
      </c>
      <c r="AI80" s="52">
        <v>-87145</v>
      </c>
      <c r="AJ80" s="52">
        <v>-71674</v>
      </c>
      <c r="AK80" s="52">
        <v>-71195</v>
      </c>
      <c r="AL80" s="52">
        <v>-76887</v>
      </c>
      <c r="AM80" s="52">
        <v>-39625</v>
      </c>
      <c r="AN80" s="52">
        <v>40</v>
      </c>
      <c r="AO80" s="52">
        <v>0</v>
      </c>
      <c r="AP80" s="52">
        <v>-1480</v>
      </c>
      <c r="AQ80" s="52">
        <v>-2000</v>
      </c>
      <c r="AR80" s="52">
        <v>-5040</v>
      </c>
      <c r="AS80" s="52">
        <v>-6260</v>
      </c>
      <c r="AT80" s="52">
        <v>-4180</v>
      </c>
      <c r="AU80" s="52">
        <v>-6340</v>
      </c>
      <c r="AV80" s="52">
        <v>-360</v>
      </c>
      <c r="AW80" s="52">
        <v>-2660</v>
      </c>
      <c r="AX80" s="52">
        <v>-1220</v>
      </c>
      <c r="AY80" s="52">
        <v>-780</v>
      </c>
      <c r="AZ80" s="52">
        <v>-2760</v>
      </c>
      <c r="BA80" s="52">
        <v>-2560</v>
      </c>
      <c r="BB80" s="52">
        <v>-3440</v>
      </c>
      <c r="BC80" s="52">
        <v>-2900</v>
      </c>
      <c r="BD80" s="52">
        <v>-3800</v>
      </c>
      <c r="BE80" s="52">
        <v>-3840</v>
      </c>
      <c r="BF80" s="52">
        <v>-2860</v>
      </c>
      <c r="BG80" s="52">
        <v>-2640</v>
      </c>
      <c r="BH80" s="52">
        <v>-3300</v>
      </c>
      <c r="BI80" s="52">
        <v>-2580</v>
      </c>
      <c r="BJ80" s="52">
        <v>-1320</v>
      </c>
      <c r="BK80" s="52">
        <v>-2200</v>
      </c>
      <c r="BL80" s="52">
        <v>-8060</v>
      </c>
      <c r="BM80" s="52">
        <v>-8980</v>
      </c>
      <c r="BN80" s="52">
        <v>-6460</v>
      </c>
      <c r="BO80" s="52">
        <v>-6580</v>
      </c>
      <c r="BP80" s="52">
        <v>-6700</v>
      </c>
      <c r="BQ80" s="52">
        <v>-4480</v>
      </c>
      <c r="BR80" s="52">
        <v>-2260</v>
      </c>
      <c r="BS80" s="52">
        <v>-2500</v>
      </c>
      <c r="BT80" s="52">
        <v>-2360</v>
      </c>
      <c r="BU80" s="52">
        <v>-4420</v>
      </c>
      <c r="BV80" s="52">
        <v>-2320</v>
      </c>
      <c r="BW80" s="52">
        <v>-3680</v>
      </c>
      <c r="BX80" s="52">
        <v>-2840</v>
      </c>
      <c r="BY80" s="52">
        <v>-6320</v>
      </c>
      <c r="BZ80" s="52">
        <v>-1360</v>
      </c>
      <c r="CA80" s="52">
        <v>60</v>
      </c>
      <c r="CB80" s="52">
        <v>0</v>
      </c>
      <c r="CC80" s="52">
        <v>0</v>
      </c>
      <c r="CD80" s="52">
        <v>0</v>
      </c>
      <c r="CE80" s="52">
        <v>0</v>
      </c>
      <c r="CF80" s="52">
        <v>-480</v>
      </c>
      <c r="CG80" s="52">
        <v>-240</v>
      </c>
      <c r="CH80" s="52">
        <v>-640</v>
      </c>
      <c r="CI80" s="52">
        <v>-300</v>
      </c>
      <c r="CJ80" s="52">
        <v>-875</v>
      </c>
      <c r="CK80" s="52">
        <v>-1050</v>
      </c>
      <c r="CL80" s="52">
        <v>-1530</v>
      </c>
      <c r="CM80" s="52">
        <v>-675</v>
      </c>
      <c r="CN80" s="52">
        <v>-1325</v>
      </c>
      <c r="CO80" s="52">
        <v>-1825</v>
      </c>
      <c r="CP80" s="52">
        <v>-1375</v>
      </c>
      <c r="CQ80" s="52">
        <v>-1100</v>
      </c>
      <c r="CR80" s="52">
        <v>-1800</v>
      </c>
      <c r="CS80" s="52">
        <v>-2325</v>
      </c>
      <c r="CT80" s="52">
        <v>-1725</v>
      </c>
      <c r="CU80" s="52">
        <v>-980</v>
      </c>
      <c r="CV80" s="430">
        <f t="shared" si="2"/>
        <v>-16585</v>
      </c>
    </row>
    <row r="81" spans="1:100">
      <c r="A81" s="540" t="str">
        <f t="shared" si="3"/>
        <v>4880105</v>
      </c>
      <c r="B81" s="541" t="s">
        <v>1917</v>
      </c>
      <c r="C81" s="463" t="s">
        <v>1012</v>
      </c>
      <c r="D81" s="426">
        <v>-18777.830000000002</v>
      </c>
      <c r="E81" s="426">
        <v>-18166.349999999999</v>
      </c>
      <c r="F81" s="426">
        <v>-15035.4</v>
      </c>
      <c r="G81" s="426">
        <v>-16875.23</v>
      </c>
      <c r="H81" s="426">
        <v>-16193.32</v>
      </c>
      <c r="I81" s="426">
        <v>-18991.64</v>
      </c>
      <c r="J81" s="426">
        <v>-17500.71</v>
      </c>
      <c r="K81" s="426">
        <v>-19087.32</v>
      </c>
      <c r="L81" s="426">
        <v>-19321.560000000001</v>
      </c>
      <c r="M81" s="426">
        <v>-19248.7</v>
      </c>
      <c r="N81" s="426">
        <v>-18749.3</v>
      </c>
      <c r="O81" s="427">
        <v>-19966.099999999999</v>
      </c>
      <c r="P81" s="52">
        <v>-18845.849999999999</v>
      </c>
      <c r="Q81" s="52">
        <v>-18656.330000000002</v>
      </c>
      <c r="R81" s="52">
        <v>-18485.240000000002</v>
      </c>
      <c r="S81" s="52">
        <v>-17388.52</v>
      </c>
      <c r="T81" s="52">
        <v>-15709.4</v>
      </c>
      <c r="U81" s="52">
        <v>-17152.79</v>
      </c>
      <c r="V81" s="52">
        <v>-17676.84</v>
      </c>
      <c r="W81" s="52">
        <v>-17067.97</v>
      </c>
      <c r="X81" s="52">
        <v>-19544.16</v>
      </c>
      <c r="Y81" s="52">
        <v>-18756.66</v>
      </c>
      <c r="Z81" s="52">
        <v>-19905.72</v>
      </c>
      <c r="AA81" s="52">
        <v>-19733.84</v>
      </c>
      <c r="AB81" s="52">
        <v>-21853.9</v>
      </c>
      <c r="AC81" s="52">
        <v>-19058.71</v>
      </c>
      <c r="AD81" s="52">
        <v>-18778.05</v>
      </c>
      <c r="AE81" s="52">
        <v>-16710.560000000001</v>
      </c>
      <c r="AF81" s="52">
        <v>-17469.86</v>
      </c>
      <c r="AG81" s="52">
        <v>-20207.060000000001</v>
      </c>
      <c r="AH81" s="52">
        <v>-17938.57</v>
      </c>
      <c r="AI81" s="52">
        <v>-20711.23</v>
      </c>
      <c r="AJ81" s="52">
        <v>-20405.330000000002</v>
      </c>
      <c r="AK81" s="52">
        <v>-17596.54</v>
      </c>
      <c r="AL81" s="52">
        <v>-19380.240000000002</v>
      </c>
      <c r="AM81" s="52">
        <v>-26086.14</v>
      </c>
      <c r="AN81" s="52">
        <v>-21363</v>
      </c>
      <c r="AO81" s="52">
        <v>-15040.64</v>
      </c>
      <c r="AP81" s="52">
        <v>-9411.41</v>
      </c>
      <c r="AQ81" s="52">
        <v>-13341.25</v>
      </c>
      <c r="AR81" s="52">
        <v>-13699.85</v>
      </c>
      <c r="AS81" s="52">
        <v>-17195.39</v>
      </c>
      <c r="AT81" s="52">
        <v>-16052.34</v>
      </c>
      <c r="AU81" s="52">
        <v>-14922.44</v>
      </c>
      <c r="AV81" s="52">
        <v>-11911.87</v>
      </c>
      <c r="AW81" s="52">
        <v>-14980.95</v>
      </c>
      <c r="AX81" s="52">
        <v>-17140.05</v>
      </c>
      <c r="AY81" s="52">
        <v>-7175.06</v>
      </c>
      <c r="AZ81" s="52">
        <v>-16507.080000000002</v>
      </c>
      <c r="BA81" s="52">
        <v>-15825.7</v>
      </c>
      <c r="BB81" s="52">
        <v>-16037.63</v>
      </c>
      <c r="BC81" s="52">
        <v>-13416.9</v>
      </c>
      <c r="BD81" s="52">
        <v>-17107.650000000001</v>
      </c>
      <c r="BE81" s="52">
        <v>-14521.51</v>
      </c>
      <c r="BF81" s="52">
        <v>-17082.05</v>
      </c>
      <c r="BG81" s="52">
        <v>-16848.29</v>
      </c>
      <c r="BH81" s="52">
        <v>-15027.48</v>
      </c>
      <c r="BI81" s="52">
        <v>-18418.95</v>
      </c>
      <c r="BJ81" s="52">
        <v>-12486.04</v>
      </c>
      <c r="BK81" s="52">
        <v>-15140.78</v>
      </c>
      <c r="BL81" s="52">
        <v>-18595.259999999998</v>
      </c>
      <c r="BM81" s="52">
        <v>-17093.14</v>
      </c>
      <c r="BN81" s="52">
        <v>-12896.52</v>
      </c>
      <c r="BO81" s="52">
        <v>-12843.94</v>
      </c>
      <c r="BP81" s="52">
        <v>-15596.65</v>
      </c>
      <c r="BQ81" s="52">
        <v>-15654.17</v>
      </c>
      <c r="BR81" s="52">
        <v>-18864.54</v>
      </c>
      <c r="BS81" s="52">
        <v>-15242.28</v>
      </c>
      <c r="BT81" s="52">
        <v>-15403.24</v>
      </c>
      <c r="BU81" s="52">
        <v>-19309.38</v>
      </c>
      <c r="BV81" s="52">
        <v>-14429.89</v>
      </c>
      <c r="BW81" s="52">
        <v>-20890.91</v>
      </c>
      <c r="BX81" s="52">
        <v>-19362.68</v>
      </c>
      <c r="BY81" s="52">
        <v>-16902.810000000001</v>
      </c>
      <c r="BZ81" s="52">
        <v>-15658.44</v>
      </c>
      <c r="CA81" s="52">
        <v>-15000.56</v>
      </c>
      <c r="CB81" s="52">
        <v>-9837.09</v>
      </c>
      <c r="CC81" s="52">
        <v>-9094.69</v>
      </c>
      <c r="CD81" s="52">
        <v>-11052.97</v>
      </c>
      <c r="CE81" s="52">
        <v>-8229.6299999999992</v>
      </c>
      <c r="CF81" s="52">
        <v>-11184.87</v>
      </c>
      <c r="CG81" s="52">
        <v>-13906.26</v>
      </c>
      <c r="CH81" s="52">
        <v>-14102.69</v>
      </c>
      <c r="CI81" s="52">
        <v>-16740.11</v>
      </c>
      <c r="CJ81" s="52">
        <v>-13290.81</v>
      </c>
      <c r="CK81" s="52">
        <v>-13374.89</v>
      </c>
      <c r="CL81" s="52">
        <v>-14618.87</v>
      </c>
      <c r="CM81" s="52">
        <v>-13548.39</v>
      </c>
      <c r="CN81" s="52">
        <v>-12712.41</v>
      </c>
      <c r="CO81" s="52">
        <v>-15053.43</v>
      </c>
      <c r="CP81" s="52">
        <v>-14449.93</v>
      </c>
      <c r="CQ81" s="52">
        <v>-16590</v>
      </c>
      <c r="CR81" s="52">
        <v>-16221.17</v>
      </c>
      <c r="CS81" s="52">
        <v>-16417.099999999999</v>
      </c>
      <c r="CT81" s="52">
        <v>-17005.490000000002</v>
      </c>
      <c r="CU81" s="52">
        <v>-19413.47</v>
      </c>
      <c r="CV81" s="430">
        <f t="shared" si="2"/>
        <v>-182695.95999999996</v>
      </c>
    </row>
    <row r="82" spans="1:100">
      <c r="A82" s="540" t="str">
        <f t="shared" si="3"/>
        <v>4880106</v>
      </c>
      <c r="B82" s="541" t="s">
        <v>1918</v>
      </c>
      <c r="C82" s="463" t="s">
        <v>1013</v>
      </c>
      <c r="D82" s="426">
        <v>-5750</v>
      </c>
      <c r="E82" s="426">
        <v>-7460</v>
      </c>
      <c r="F82" s="426">
        <v>-6655</v>
      </c>
      <c r="G82" s="426">
        <v>-5710</v>
      </c>
      <c r="H82" s="426">
        <v>-7250</v>
      </c>
      <c r="I82" s="426">
        <v>-8250</v>
      </c>
      <c r="J82" s="426">
        <v>-7405</v>
      </c>
      <c r="K82" s="426">
        <v>-8375</v>
      </c>
      <c r="L82" s="426">
        <v>-6575</v>
      </c>
      <c r="M82" s="426">
        <v>-8175</v>
      </c>
      <c r="N82" s="426">
        <v>-6150</v>
      </c>
      <c r="O82" s="427">
        <v>-7450</v>
      </c>
      <c r="P82" s="52">
        <v>-6225</v>
      </c>
      <c r="Q82" s="52">
        <v>-8275</v>
      </c>
      <c r="R82" s="52">
        <v>-7825</v>
      </c>
      <c r="S82" s="52">
        <v>-5925</v>
      </c>
      <c r="T82" s="52">
        <v>-6580</v>
      </c>
      <c r="U82" s="52">
        <v>-5935</v>
      </c>
      <c r="V82" s="52">
        <v>-5900</v>
      </c>
      <c r="W82" s="52">
        <v>-6350</v>
      </c>
      <c r="X82" s="52">
        <v>-6925</v>
      </c>
      <c r="Y82" s="52">
        <v>-8010</v>
      </c>
      <c r="Z82" s="52">
        <v>-6100</v>
      </c>
      <c r="AA82" s="52">
        <v>-6000</v>
      </c>
      <c r="AB82" s="52">
        <v>-5925</v>
      </c>
      <c r="AC82" s="52">
        <v>-6700</v>
      </c>
      <c r="AD82" s="52">
        <v>-6875</v>
      </c>
      <c r="AE82" s="52">
        <v>-6025</v>
      </c>
      <c r="AF82" s="52">
        <v>-6150</v>
      </c>
      <c r="AG82" s="52">
        <v>-7247</v>
      </c>
      <c r="AH82" s="52">
        <v>-5645</v>
      </c>
      <c r="AI82" s="52">
        <v>-7715</v>
      </c>
      <c r="AJ82" s="52">
        <v>-6415</v>
      </c>
      <c r="AK82" s="52">
        <v>-6375</v>
      </c>
      <c r="AL82" s="52">
        <v>-7250</v>
      </c>
      <c r="AM82" s="52">
        <v>-7030</v>
      </c>
      <c r="AN82" s="52">
        <v>-7550</v>
      </c>
      <c r="AO82" s="52">
        <v>-6575</v>
      </c>
      <c r="AP82" s="52">
        <v>-6800</v>
      </c>
      <c r="AQ82" s="52">
        <v>-4625</v>
      </c>
      <c r="AR82" s="52">
        <v>-6475</v>
      </c>
      <c r="AS82" s="52">
        <v>-5675</v>
      </c>
      <c r="AT82" s="52">
        <v>-4875</v>
      </c>
      <c r="AU82" s="52">
        <v>-6300</v>
      </c>
      <c r="AV82" s="52">
        <v>-5450</v>
      </c>
      <c r="AW82" s="52">
        <v>-5300</v>
      </c>
      <c r="AX82" s="52">
        <v>-4625</v>
      </c>
      <c r="AY82" s="52">
        <v>-4425</v>
      </c>
      <c r="AZ82" s="52">
        <v>-4825</v>
      </c>
      <c r="BA82" s="52">
        <v>-5875</v>
      </c>
      <c r="BB82" s="52">
        <v>-6725</v>
      </c>
      <c r="BC82" s="52">
        <v>-6075</v>
      </c>
      <c r="BD82" s="52">
        <v>-5975</v>
      </c>
      <c r="BE82" s="52">
        <v>-6500</v>
      </c>
      <c r="BF82" s="52">
        <v>-6350</v>
      </c>
      <c r="BG82" s="52">
        <v>-7050</v>
      </c>
      <c r="BH82" s="52">
        <v>-5925</v>
      </c>
      <c r="BI82" s="52">
        <v>-6350</v>
      </c>
      <c r="BJ82" s="52">
        <v>-6275</v>
      </c>
      <c r="BK82" s="52">
        <v>-5050</v>
      </c>
      <c r="BL82" s="52">
        <v>-4600</v>
      </c>
      <c r="BM82" s="52">
        <v>-5300</v>
      </c>
      <c r="BN82" s="52">
        <v>-6500</v>
      </c>
      <c r="BO82" s="52">
        <v>-6250</v>
      </c>
      <c r="BP82" s="52">
        <v>-6825</v>
      </c>
      <c r="BQ82" s="52">
        <v>-5300</v>
      </c>
      <c r="BR82" s="52">
        <v>-6950</v>
      </c>
      <c r="BS82" s="52">
        <v>-6750</v>
      </c>
      <c r="BT82" s="52">
        <v>-5925</v>
      </c>
      <c r="BU82" s="52">
        <v>-5675</v>
      </c>
      <c r="BV82" s="52">
        <v>-5925</v>
      </c>
      <c r="BW82" s="52">
        <v>-5700</v>
      </c>
      <c r="BX82" s="52">
        <v>-5200</v>
      </c>
      <c r="BY82" s="52">
        <v>-4625</v>
      </c>
      <c r="BZ82" s="52">
        <v>-5000</v>
      </c>
      <c r="CA82" s="52">
        <v>-2300</v>
      </c>
      <c r="CB82" s="52">
        <v>-2500</v>
      </c>
      <c r="CC82" s="52">
        <v>-3075</v>
      </c>
      <c r="CD82" s="52">
        <v>-3275</v>
      </c>
      <c r="CE82" s="52">
        <v>-2700</v>
      </c>
      <c r="CF82" s="52">
        <v>-3175</v>
      </c>
      <c r="CG82" s="52">
        <v>-3375</v>
      </c>
      <c r="CH82" s="52">
        <v>-3300</v>
      </c>
      <c r="CI82" s="52">
        <v>-3250</v>
      </c>
      <c r="CJ82" s="52">
        <v>-2575</v>
      </c>
      <c r="CK82" s="52">
        <v>-3350</v>
      </c>
      <c r="CL82" s="52">
        <v>-4125</v>
      </c>
      <c r="CM82" s="52">
        <v>-4800</v>
      </c>
      <c r="CN82" s="52">
        <v>-3700</v>
      </c>
      <c r="CO82" s="52">
        <v>-4275</v>
      </c>
      <c r="CP82" s="52">
        <v>-3950</v>
      </c>
      <c r="CQ82" s="52">
        <v>-4725</v>
      </c>
      <c r="CR82" s="52">
        <v>-3800</v>
      </c>
      <c r="CS82" s="52">
        <v>-4050</v>
      </c>
      <c r="CT82" s="52">
        <v>-3675</v>
      </c>
      <c r="CU82" s="52">
        <v>-3475</v>
      </c>
      <c r="CV82" s="430">
        <f t="shared" si="2"/>
        <v>-46500</v>
      </c>
    </row>
    <row r="83" spans="1:100">
      <c r="A83" s="540" t="str">
        <f t="shared" si="3"/>
        <v>4880107</v>
      </c>
      <c r="B83" s="541" t="s">
        <v>1919</v>
      </c>
      <c r="C83" s="463" t="s">
        <v>1014</v>
      </c>
      <c r="D83" s="428">
        <v>-1780</v>
      </c>
      <c r="E83" s="428">
        <v>-1760</v>
      </c>
      <c r="F83" s="428">
        <v>-5195</v>
      </c>
      <c r="G83" s="428">
        <v>-13200</v>
      </c>
      <c r="H83" s="428">
        <v>-7740</v>
      </c>
      <c r="I83" s="428">
        <v>-4975</v>
      </c>
      <c r="J83" s="428">
        <v>-4738.49</v>
      </c>
      <c r="K83" s="428">
        <v>-3040</v>
      </c>
      <c r="L83" s="428">
        <v>-2600</v>
      </c>
      <c r="M83" s="428">
        <v>-2680</v>
      </c>
      <c r="N83" s="428">
        <v>-2130</v>
      </c>
      <c r="O83" s="429">
        <v>-1050</v>
      </c>
      <c r="P83" s="52">
        <v>-1120</v>
      </c>
      <c r="Q83" s="52">
        <v>-1800</v>
      </c>
      <c r="R83" s="52">
        <v>-6880</v>
      </c>
      <c r="S83" s="52">
        <v>-11500</v>
      </c>
      <c r="T83" s="52">
        <v>-7970</v>
      </c>
      <c r="U83" s="52">
        <v>-7510</v>
      </c>
      <c r="V83" s="52">
        <v>-3470</v>
      </c>
      <c r="W83" s="52">
        <v>-3385</v>
      </c>
      <c r="X83" s="52">
        <v>-2851.22</v>
      </c>
      <c r="Y83" s="52">
        <v>-2240</v>
      </c>
      <c r="Z83" s="52">
        <v>-2260</v>
      </c>
      <c r="AA83" s="52">
        <v>-1700</v>
      </c>
      <c r="AB83" s="52">
        <v>-1895</v>
      </c>
      <c r="AC83" s="52">
        <v>-1950</v>
      </c>
      <c r="AD83" s="52">
        <v>-5660</v>
      </c>
      <c r="AE83" s="52">
        <v>-10155</v>
      </c>
      <c r="AF83" s="52">
        <v>-7530</v>
      </c>
      <c r="AG83" s="52">
        <v>-5255</v>
      </c>
      <c r="AH83" s="52">
        <v>-4680</v>
      </c>
      <c r="AI83" s="52">
        <v>-4440</v>
      </c>
      <c r="AJ83" s="52">
        <v>-3819.18</v>
      </c>
      <c r="AK83" s="52">
        <v>-3260</v>
      </c>
      <c r="AL83" s="52">
        <v>-2534.4499999999998</v>
      </c>
      <c r="AM83" s="52">
        <v>-1320</v>
      </c>
      <c r="AN83" s="52">
        <v>-300</v>
      </c>
      <c r="AO83" s="52">
        <v>-320</v>
      </c>
      <c r="AP83" s="52">
        <v>-760</v>
      </c>
      <c r="AQ83" s="52">
        <v>-1160</v>
      </c>
      <c r="AR83" s="52">
        <v>-1300</v>
      </c>
      <c r="AS83" s="52">
        <v>-1060</v>
      </c>
      <c r="AT83" s="52">
        <v>-920</v>
      </c>
      <c r="AU83" s="52">
        <v>-800</v>
      </c>
      <c r="AV83" s="52">
        <v>-460</v>
      </c>
      <c r="AW83" s="52">
        <v>-440</v>
      </c>
      <c r="AX83" s="52">
        <v>-360</v>
      </c>
      <c r="AY83" s="52">
        <v>-160</v>
      </c>
      <c r="AZ83" s="52">
        <v>-300</v>
      </c>
      <c r="BA83" s="52">
        <v>-280</v>
      </c>
      <c r="BB83" s="52">
        <v>-400</v>
      </c>
      <c r="BC83" s="52">
        <v>-1200</v>
      </c>
      <c r="BD83" s="52">
        <v>-780</v>
      </c>
      <c r="BE83" s="52">
        <v>-580</v>
      </c>
      <c r="BF83" s="52">
        <v>-620</v>
      </c>
      <c r="BG83" s="52">
        <v>-680</v>
      </c>
      <c r="BH83" s="52">
        <v>-320</v>
      </c>
      <c r="BI83" s="52">
        <v>-600</v>
      </c>
      <c r="BJ83" s="52">
        <v>-240</v>
      </c>
      <c r="BK83" s="52">
        <v>-140</v>
      </c>
      <c r="BL83" s="52">
        <v>-180</v>
      </c>
      <c r="BM83" s="52">
        <v>-160</v>
      </c>
      <c r="BN83" s="52">
        <v>-260</v>
      </c>
      <c r="BO83" s="52">
        <v>-880</v>
      </c>
      <c r="BP83" s="52">
        <v>-840</v>
      </c>
      <c r="BQ83" s="52">
        <v>-480</v>
      </c>
      <c r="BR83" s="52">
        <v>-300</v>
      </c>
      <c r="BS83" s="52">
        <v>-320</v>
      </c>
      <c r="BT83" s="52">
        <v>-220</v>
      </c>
      <c r="BU83" s="52">
        <v>-400</v>
      </c>
      <c r="BV83" s="52">
        <v>-220</v>
      </c>
      <c r="BW83" s="52">
        <v>-160</v>
      </c>
      <c r="BX83" s="52">
        <v>-160</v>
      </c>
      <c r="BY83" s="52">
        <v>-180</v>
      </c>
      <c r="BZ83" s="52">
        <v>-580</v>
      </c>
      <c r="CA83" s="52">
        <v>-300</v>
      </c>
      <c r="CB83" s="52">
        <v>-540</v>
      </c>
      <c r="CC83" s="52">
        <v>-620</v>
      </c>
      <c r="CD83" s="52">
        <v>-1580</v>
      </c>
      <c r="CE83" s="52">
        <v>-1240</v>
      </c>
      <c r="CF83" s="52">
        <v>-1020</v>
      </c>
      <c r="CG83" s="52">
        <v>-880</v>
      </c>
      <c r="CH83" s="52">
        <v>-1240</v>
      </c>
      <c r="CI83" s="52">
        <v>-700</v>
      </c>
      <c r="CJ83" s="52">
        <v>-1200</v>
      </c>
      <c r="CK83" s="52">
        <v>-810</v>
      </c>
      <c r="CL83" s="52">
        <v>-1230</v>
      </c>
      <c r="CM83" s="52">
        <v>-1710</v>
      </c>
      <c r="CN83" s="52">
        <v>-2204</v>
      </c>
      <c r="CO83" s="52">
        <v>-2920</v>
      </c>
      <c r="CP83" s="52">
        <v>-2160</v>
      </c>
      <c r="CQ83" s="52">
        <v>-3170</v>
      </c>
      <c r="CR83" s="52">
        <v>-2635</v>
      </c>
      <c r="CS83" s="52">
        <v>-2010</v>
      </c>
      <c r="CT83" s="52">
        <v>-1155</v>
      </c>
      <c r="CU83" s="52">
        <v>-1740</v>
      </c>
      <c r="CV83" s="430">
        <f t="shared" si="2"/>
        <v>-22944</v>
      </c>
    </row>
    <row r="84" spans="1:100">
      <c r="A84" s="540" t="str">
        <f t="shared" si="3"/>
        <v>4880108</v>
      </c>
      <c r="B84" s="541" t="s">
        <v>1780</v>
      </c>
      <c r="C84" s="463" t="s">
        <v>1767</v>
      </c>
      <c r="D84" s="428"/>
      <c r="E84" s="428"/>
      <c r="F84" s="428"/>
      <c r="G84" s="428"/>
      <c r="H84" s="428"/>
      <c r="I84" s="428"/>
      <c r="J84" s="428"/>
      <c r="K84" s="428"/>
      <c r="L84" s="428"/>
      <c r="M84" s="428"/>
      <c r="N84" s="428"/>
      <c r="O84" s="429"/>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v>43141.08</v>
      </c>
      <c r="AO84" s="52">
        <v>5300.78</v>
      </c>
      <c r="AP84" s="52">
        <v>-3369.24</v>
      </c>
      <c r="AQ84" s="52">
        <v>10065.379999999999</v>
      </c>
      <c r="AR84" s="52">
        <v>-10494.58</v>
      </c>
      <c r="AS84" s="52">
        <v>2927.67</v>
      </c>
      <c r="AT84" s="52">
        <v>3739.84</v>
      </c>
      <c r="AU84" s="52">
        <v>4000.89</v>
      </c>
      <c r="AV84" s="52">
        <v>5351.32</v>
      </c>
      <c r="AW84" s="52">
        <v>3986.59</v>
      </c>
      <c r="AX84" s="52">
        <v>3746.65</v>
      </c>
      <c r="AY84" s="52">
        <v>-5127.8599999999997</v>
      </c>
      <c r="AZ84" s="52">
        <v>462.15</v>
      </c>
      <c r="BA84" s="52">
        <v>455.19</v>
      </c>
      <c r="BB84" s="52">
        <v>6768.89</v>
      </c>
      <c r="BC84" s="52">
        <v>285.07</v>
      </c>
      <c r="BD84" s="52">
        <v>7701.63</v>
      </c>
      <c r="BE84" s="52">
        <v>276.94</v>
      </c>
      <c r="BF84" s="52">
        <v>7690.41</v>
      </c>
      <c r="BG84" s="52">
        <v>3285.86</v>
      </c>
      <c r="BH84" s="52">
        <v>5640.79</v>
      </c>
      <c r="BI84" s="52">
        <v>56371.31</v>
      </c>
      <c r="BJ84" s="52">
        <v>406.59</v>
      </c>
      <c r="BK84" s="52">
        <v>587.4</v>
      </c>
      <c r="BL84" s="52">
        <v>802.93</v>
      </c>
      <c r="BM84" s="52">
        <v>941.18</v>
      </c>
      <c r="BN84" s="52">
        <v>2210.5500000000002</v>
      </c>
      <c r="BO84" s="52">
        <v>779.32</v>
      </c>
      <c r="BP84" s="52">
        <v>2425.86</v>
      </c>
      <c r="BQ84" s="52">
        <v>-47.52</v>
      </c>
      <c r="BR84" s="52">
        <v>2244.39</v>
      </c>
      <c r="BS84" s="52">
        <v>266.66000000000003</v>
      </c>
      <c r="BT84" s="52">
        <v>167.98</v>
      </c>
      <c r="BU84" s="52">
        <v>8298.49</v>
      </c>
      <c r="BV84" s="52">
        <v>104.96</v>
      </c>
      <c r="BW84" s="52">
        <v>165.76</v>
      </c>
      <c r="BX84" s="52">
        <v>904.96</v>
      </c>
      <c r="BY84" s="52">
        <v>-512.39</v>
      </c>
      <c r="BZ84" s="52">
        <v>128.82</v>
      </c>
      <c r="CA84" s="52">
        <v>0</v>
      </c>
      <c r="CB84" s="52">
        <v>108.84</v>
      </c>
      <c r="CC84" s="52">
        <v>165.73</v>
      </c>
      <c r="CD84" s="52">
        <v>28.5</v>
      </c>
      <c r="CE84" s="52">
        <v>2427.14</v>
      </c>
      <c r="CF84" s="52">
        <v>-904.61</v>
      </c>
      <c r="CG84" s="52">
        <v>146.11000000000001</v>
      </c>
      <c r="CH84" s="52">
        <v>12.66</v>
      </c>
      <c r="CI84" s="52">
        <v>1390.05</v>
      </c>
      <c r="CJ84" s="52">
        <v>-2023.98</v>
      </c>
      <c r="CK84" s="52">
        <v>16274.57</v>
      </c>
      <c r="CL84" s="52">
        <v>387519.35</v>
      </c>
      <c r="CM84" s="52">
        <v>2839.05</v>
      </c>
      <c r="CN84" s="52">
        <v>66599</v>
      </c>
      <c r="CO84" s="52">
        <v>-9436.89</v>
      </c>
      <c r="CP84" s="52">
        <v>104.99</v>
      </c>
      <c r="CQ84" s="52">
        <v>-1605.09</v>
      </c>
      <c r="CR84" s="52">
        <v>90.72</v>
      </c>
      <c r="CS84" s="52">
        <v>3890.09</v>
      </c>
      <c r="CT84" s="52">
        <v>18641.72</v>
      </c>
      <c r="CU84" s="52">
        <v>195.41</v>
      </c>
      <c r="CV84" s="430">
        <f t="shared" si="2"/>
        <v>483088.93999999989</v>
      </c>
    </row>
    <row r="85" spans="1:100">
      <c r="A85" s="540" t="str">
        <f t="shared" si="3"/>
        <v>4880111</v>
      </c>
      <c r="B85" s="541" t="s">
        <v>1920</v>
      </c>
      <c r="C85" s="463" t="s">
        <v>1015</v>
      </c>
      <c r="D85" s="428">
        <v>-44928</v>
      </c>
      <c r="E85" s="428">
        <v>-46656</v>
      </c>
      <c r="F85" s="428">
        <v>-45792</v>
      </c>
      <c r="G85" s="428">
        <v>-46080</v>
      </c>
      <c r="H85" s="428">
        <v>-46656</v>
      </c>
      <c r="I85" s="428">
        <v>-46800</v>
      </c>
      <c r="J85" s="428">
        <v>-43920</v>
      </c>
      <c r="K85" s="428">
        <v>-44784</v>
      </c>
      <c r="L85" s="428">
        <v>-47664</v>
      </c>
      <c r="M85" s="428">
        <v>-46080</v>
      </c>
      <c r="N85" s="428">
        <v>-44784</v>
      </c>
      <c r="O85" s="429">
        <v>-47088</v>
      </c>
      <c r="P85" s="52">
        <v>-46224</v>
      </c>
      <c r="Q85" s="52">
        <v>-45216</v>
      </c>
      <c r="R85" s="52">
        <v>-46944</v>
      </c>
      <c r="S85" s="52">
        <v>-45360</v>
      </c>
      <c r="T85" s="52">
        <v>-47088</v>
      </c>
      <c r="U85" s="52">
        <v>-42624</v>
      </c>
      <c r="V85" s="52">
        <v>-45360</v>
      </c>
      <c r="W85" s="52">
        <v>-46512</v>
      </c>
      <c r="X85" s="52">
        <v>-45936</v>
      </c>
      <c r="Y85" s="52">
        <v>-45504</v>
      </c>
      <c r="Z85" s="52">
        <v>-46368</v>
      </c>
      <c r="AA85" s="52">
        <v>-45792</v>
      </c>
      <c r="AB85" s="52">
        <v>-46368</v>
      </c>
      <c r="AC85" s="52">
        <v>-46368</v>
      </c>
      <c r="AD85" s="52">
        <v>-45936</v>
      </c>
      <c r="AE85" s="52">
        <v>-45504</v>
      </c>
      <c r="AF85" s="52">
        <v>-45792</v>
      </c>
      <c r="AG85" s="52">
        <v>-45648</v>
      </c>
      <c r="AH85" s="52">
        <v>-45648</v>
      </c>
      <c r="AI85" s="52">
        <v>-45648</v>
      </c>
      <c r="AJ85" s="52">
        <v>-45648</v>
      </c>
      <c r="AK85" s="52">
        <v>-45360</v>
      </c>
      <c r="AL85" s="52">
        <v>-44496</v>
      </c>
      <c r="AM85" s="52">
        <v>-48096</v>
      </c>
      <c r="AN85" s="52">
        <v>-44928</v>
      </c>
      <c r="AO85" s="52">
        <v>-43488</v>
      </c>
      <c r="AP85" s="52">
        <v>-50256</v>
      </c>
      <c r="AQ85" s="52">
        <v>-46815.33</v>
      </c>
      <c r="AR85" s="52">
        <v>-45615.33</v>
      </c>
      <c r="AS85" s="52">
        <v>-47107.199999999997</v>
      </c>
      <c r="AT85" s="52">
        <v>-46425.599999999999</v>
      </c>
      <c r="AU85" s="52">
        <v>-46593.599999999999</v>
      </c>
      <c r="AV85" s="52">
        <v>-46800</v>
      </c>
      <c r="AW85" s="52">
        <v>-46387.199999999997</v>
      </c>
      <c r="AX85" s="52">
        <v>-47529.599999999999</v>
      </c>
      <c r="AY85" s="52">
        <v>-47222.400000000001</v>
      </c>
      <c r="AZ85" s="52">
        <v>-46800</v>
      </c>
      <c r="BA85" s="52">
        <v>-46656</v>
      </c>
      <c r="BB85" s="52">
        <v>-48384</v>
      </c>
      <c r="BC85" s="52">
        <v>-56064</v>
      </c>
      <c r="BD85" s="52">
        <v>-48960</v>
      </c>
      <c r="BE85" s="52">
        <v>-48566.400000000001</v>
      </c>
      <c r="BF85" s="52">
        <v>-48384</v>
      </c>
      <c r="BG85" s="52">
        <v>-48672</v>
      </c>
      <c r="BH85" s="52">
        <v>-47232</v>
      </c>
      <c r="BI85" s="52">
        <v>-48709.16</v>
      </c>
      <c r="BJ85" s="52">
        <v>-48240</v>
      </c>
      <c r="BK85" s="52">
        <v>-46027.199999999997</v>
      </c>
      <c r="BL85" s="52">
        <v>-50256</v>
      </c>
      <c r="BM85" s="52">
        <v>-48163.05</v>
      </c>
      <c r="BN85" s="52">
        <v>-46656</v>
      </c>
      <c r="BO85" s="52">
        <v>-47668.800000000003</v>
      </c>
      <c r="BP85" s="52">
        <v>-49080.46</v>
      </c>
      <c r="BQ85" s="52">
        <v>-47664</v>
      </c>
      <c r="BR85" s="52">
        <v>-47952</v>
      </c>
      <c r="BS85" s="52">
        <v>-46656</v>
      </c>
      <c r="BT85" s="52">
        <v>-50140.800000000003</v>
      </c>
      <c r="BU85" s="52">
        <v>-48384</v>
      </c>
      <c r="BV85" s="52">
        <v>-48912</v>
      </c>
      <c r="BW85" s="52">
        <v>-48590.400000000001</v>
      </c>
      <c r="BX85" s="52">
        <v>-45984</v>
      </c>
      <c r="BY85" s="52">
        <v>-47371.040000000001</v>
      </c>
      <c r="BZ85" s="52">
        <v>-46512</v>
      </c>
      <c r="CA85" s="52">
        <v>-46512</v>
      </c>
      <c r="CB85" s="52">
        <v>-48277.78</v>
      </c>
      <c r="CC85" s="52">
        <v>-45504</v>
      </c>
      <c r="CD85" s="52">
        <v>-47232</v>
      </c>
      <c r="CE85" s="52">
        <v>-46512</v>
      </c>
      <c r="CF85" s="52">
        <v>-47808</v>
      </c>
      <c r="CG85" s="52">
        <v>-46684.800000000003</v>
      </c>
      <c r="CH85" s="52">
        <v>-47851.199999999997</v>
      </c>
      <c r="CI85" s="52">
        <v>-45873.75</v>
      </c>
      <c r="CJ85" s="52">
        <v>-70560</v>
      </c>
      <c r="CK85" s="52">
        <v>-74793.600000000006</v>
      </c>
      <c r="CL85" s="52">
        <v>-69760.800000000003</v>
      </c>
      <c r="CM85" s="52">
        <v>-79982.009999999995</v>
      </c>
      <c r="CN85" s="52">
        <v>-66384</v>
      </c>
      <c r="CO85" s="52">
        <v>-70848</v>
      </c>
      <c r="CP85" s="52">
        <v>-73656</v>
      </c>
      <c r="CQ85" s="52">
        <v>-71589.600000000006</v>
      </c>
      <c r="CR85" s="52">
        <v>-71064</v>
      </c>
      <c r="CS85" s="52">
        <v>-72187.199999999997</v>
      </c>
      <c r="CT85" s="52">
        <v>-71064</v>
      </c>
      <c r="CU85" s="52">
        <v>-71280</v>
      </c>
      <c r="CV85" s="430">
        <f t="shared" si="2"/>
        <v>-863169.21</v>
      </c>
    </row>
    <row r="86" spans="1:100">
      <c r="A86" s="540" t="str">
        <f t="shared" si="3"/>
        <v>4880800</v>
      </c>
      <c r="B86" s="541" t="s">
        <v>1921</v>
      </c>
      <c r="C86" s="463" t="s">
        <v>1016</v>
      </c>
      <c r="D86" s="426">
        <v>0</v>
      </c>
      <c r="E86" s="426">
        <v>0</v>
      </c>
      <c r="F86" s="426">
        <v>2.95</v>
      </c>
      <c r="G86" s="426">
        <v>0</v>
      </c>
      <c r="H86" s="426">
        <v>0</v>
      </c>
      <c r="I86" s="426">
        <v>0</v>
      </c>
      <c r="J86" s="426">
        <v>0</v>
      </c>
      <c r="K86" s="426">
        <v>-94012.5</v>
      </c>
      <c r="L86" s="426">
        <v>0</v>
      </c>
      <c r="M86" s="426">
        <v>-17030.16</v>
      </c>
      <c r="N86" s="426">
        <v>-17077.64</v>
      </c>
      <c r="O86" s="427">
        <v>-12520.89</v>
      </c>
      <c r="P86" s="52">
        <v>-17080.490000000002</v>
      </c>
      <c r="Q86" s="52">
        <v>-17083.34</v>
      </c>
      <c r="R86" s="52">
        <v>-14062.84</v>
      </c>
      <c r="S86" s="52">
        <v>-8906.76</v>
      </c>
      <c r="T86" s="52">
        <v>-16494.98</v>
      </c>
      <c r="U86" s="52">
        <v>-16494.98</v>
      </c>
      <c r="V86" s="52">
        <v>-16494.98</v>
      </c>
      <c r="W86" s="52">
        <v>-14087.47</v>
      </c>
      <c r="X86" s="52">
        <v>-15987.52</v>
      </c>
      <c r="Y86" s="52">
        <v>-14042.66</v>
      </c>
      <c r="Z86" s="52">
        <v>-17228.63</v>
      </c>
      <c r="AA86" s="52">
        <v>-17083.34</v>
      </c>
      <c r="AB86" s="52">
        <v>-17185.89</v>
      </c>
      <c r="AC86" s="52">
        <v>-17083.34</v>
      </c>
      <c r="AD86" s="52">
        <v>-16468.099999999999</v>
      </c>
      <c r="AE86" s="52">
        <v>-8870.89</v>
      </c>
      <c r="AF86" s="52">
        <v>-16683.55</v>
      </c>
      <c r="AG86" s="52">
        <v>-15200.46</v>
      </c>
      <c r="AH86" s="52">
        <v>-16334.28</v>
      </c>
      <c r="AI86" s="52">
        <v>-16591.03</v>
      </c>
      <c r="AJ86" s="52">
        <v>-16654.61</v>
      </c>
      <c r="AK86" s="52">
        <v>-16395.849999999999</v>
      </c>
      <c r="AL86" s="52">
        <v>-17597.88</v>
      </c>
      <c r="AM86" s="52">
        <v>-13581.41</v>
      </c>
      <c r="AN86" s="52">
        <v>-15749.36</v>
      </c>
      <c r="AO86" s="52">
        <v>-17328.82</v>
      </c>
      <c r="AP86" s="52">
        <v>-16943.2</v>
      </c>
      <c r="AQ86" s="52">
        <v>-17266.3</v>
      </c>
      <c r="AR86" s="52">
        <v>-15729</v>
      </c>
      <c r="AS86" s="52">
        <v>-13498.29</v>
      </c>
      <c r="AT86" s="52">
        <v>-17954.55</v>
      </c>
      <c r="AU86" s="52">
        <v>-17310.88</v>
      </c>
      <c r="AV86" s="52">
        <v>-17317.740000000002</v>
      </c>
      <c r="AW86" s="52">
        <v>-16178.85</v>
      </c>
      <c r="AX86" s="52">
        <v>-17097.169999999998</v>
      </c>
      <c r="AY86" s="52">
        <v>-16865.71</v>
      </c>
      <c r="AZ86" s="52">
        <v>-17050.87</v>
      </c>
      <c r="BA86" s="52">
        <v>-17079.16</v>
      </c>
      <c r="BB86" s="52">
        <v>-9528.9</v>
      </c>
      <c r="BC86" s="52">
        <v>-11905.97</v>
      </c>
      <c r="BD86" s="52">
        <v>-17223.689999999999</v>
      </c>
      <c r="BE86" s="52">
        <v>-10940.7</v>
      </c>
      <c r="BF86" s="52">
        <v>-12527.32</v>
      </c>
      <c r="BG86" s="52">
        <v>-16047.81</v>
      </c>
      <c r="BH86" s="52">
        <v>-9286.64</v>
      </c>
      <c r="BI86" s="52">
        <v>-16598.990000000002</v>
      </c>
      <c r="BJ86" s="52">
        <v>-15333.17</v>
      </c>
      <c r="BK86" s="52">
        <v>-14663.94</v>
      </c>
      <c r="BL86" s="52">
        <v>32692.36</v>
      </c>
      <c r="BM86" s="52">
        <v>-16959.28</v>
      </c>
      <c r="BN86" s="52">
        <v>-15816.87</v>
      </c>
      <c r="BO86" s="52">
        <v>-7565.87</v>
      </c>
      <c r="BP86" s="52">
        <v>-17071.55</v>
      </c>
      <c r="BQ86" s="52">
        <v>-16055.25</v>
      </c>
      <c r="BR86" s="52">
        <v>-16775.189999999999</v>
      </c>
      <c r="BS86" s="52">
        <v>-16043.09</v>
      </c>
      <c r="BT86" s="52">
        <v>-16919.04</v>
      </c>
      <c r="BU86" s="52">
        <v>-16463.580000000002</v>
      </c>
      <c r="BV86" s="52">
        <v>-14820.91</v>
      </c>
      <c r="BW86" s="52">
        <v>-17083.73</v>
      </c>
      <c r="BX86" s="52">
        <v>-17021.96</v>
      </c>
      <c r="BY86" s="52">
        <v>-16586.12</v>
      </c>
      <c r="BZ86" s="52">
        <v>-9152.36</v>
      </c>
      <c r="CA86" s="52">
        <v>-16373.33</v>
      </c>
      <c r="CB86" s="52">
        <v>1445.02</v>
      </c>
      <c r="CC86" s="52">
        <v>-15762.82</v>
      </c>
      <c r="CD86" s="52">
        <v>-14238.9</v>
      </c>
      <c r="CE86" s="52">
        <v>-13642.9</v>
      </c>
      <c r="CF86" s="52">
        <v>-16001.26</v>
      </c>
      <c r="CG86" s="52">
        <v>-6963.02</v>
      </c>
      <c r="CH86" s="52">
        <v>-14979.13</v>
      </c>
      <c r="CI86" s="52">
        <v>-16631.16</v>
      </c>
      <c r="CJ86" s="52">
        <v>-15916.69</v>
      </c>
      <c r="CK86" s="52">
        <v>-16395.63</v>
      </c>
      <c r="CL86" s="52">
        <v>-16510.310000000001</v>
      </c>
      <c r="CM86" s="52">
        <v>-7667.17</v>
      </c>
      <c r="CN86" s="52">
        <v>-16764.93</v>
      </c>
      <c r="CO86" s="52">
        <v>-16169.4</v>
      </c>
      <c r="CP86" s="52">
        <v>-16397.16</v>
      </c>
      <c r="CQ86" s="52">
        <v>-14264.46</v>
      </c>
      <c r="CR86" s="52">
        <v>-17027.099999999999</v>
      </c>
      <c r="CS86" s="52">
        <v>-16644.73</v>
      </c>
      <c r="CT86" s="52">
        <v>-15733.86</v>
      </c>
      <c r="CU86" s="52">
        <v>-16411.73</v>
      </c>
      <c r="CV86" s="430">
        <f t="shared" si="2"/>
        <v>-185903.17</v>
      </c>
    </row>
    <row r="87" spans="1:100">
      <c r="A87" s="540" t="str">
        <f t="shared" si="3"/>
        <v>4880850</v>
      </c>
      <c r="B87" s="541" t="s">
        <v>1922</v>
      </c>
      <c r="C87" s="463" t="s">
        <v>1435</v>
      </c>
      <c r="D87" s="426"/>
      <c r="E87" s="426"/>
      <c r="F87" s="426"/>
      <c r="G87" s="426"/>
      <c r="H87" s="426"/>
      <c r="I87" s="426"/>
      <c r="J87" s="426"/>
      <c r="K87" s="426"/>
      <c r="L87" s="426"/>
      <c r="M87" s="426"/>
      <c r="N87" s="426"/>
      <c r="O87" s="427"/>
      <c r="P87" s="52"/>
      <c r="Q87" s="52"/>
      <c r="R87" s="52"/>
      <c r="S87" s="52"/>
      <c r="T87" s="52"/>
      <c r="U87" s="52"/>
      <c r="V87" s="52"/>
      <c r="W87" s="52"/>
      <c r="X87" s="52"/>
      <c r="Y87" s="52"/>
      <c r="Z87" s="52"/>
      <c r="AA87" s="52"/>
      <c r="AB87" s="52"/>
      <c r="AC87" s="52"/>
      <c r="AD87" s="52"/>
      <c r="AE87" s="52">
        <v>-21922.81</v>
      </c>
      <c r="AF87" s="52">
        <v>87691.24</v>
      </c>
      <c r="AG87" s="52">
        <v>0</v>
      </c>
      <c r="AH87" s="52">
        <v>0</v>
      </c>
      <c r="AI87" s="52">
        <v>0</v>
      </c>
      <c r="AJ87" s="52">
        <v>0</v>
      </c>
      <c r="AK87" s="52">
        <v>0</v>
      </c>
      <c r="AL87" s="52">
        <v>0</v>
      </c>
      <c r="AM87" s="52">
        <v>0</v>
      </c>
      <c r="AN87" s="52">
        <v>0</v>
      </c>
      <c r="AO87" s="52">
        <v>0</v>
      </c>
      <c r="AP87" s="52">
        <v>0</v>
      </c>
      <c r="AQ87" s="52">
        <v>0</v>
      </c>
      <c r="AR87" s="52">
        <v>0</v>
      </c>
      <c r="AS87" s="52">
        <v>0</v>
      </c>
      <c r="AT87" s="52">
        <v>0</v>
      </c>
      <c r="AU87" s="52">
        <v>0</v>
      </c>
      <c r="AV87" s="52">
        <v>0</v>
      </c>
      <c r="AW87" s="52"/>
      <c r="AX87" s="52"/>
      <c r="AY87" s="52"/>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430">
        <f t="shared" si="2"/>
        <v>0</v>
      </c>
    </row>
    <row r="88" spans="1:100">
      <c r="A88" s="540" t="str">
        <f t="shared" si="3"/>
        <v>4893001</v>
      </c>
      <c r="B88" s="541" t="s">
        <v>1923</v>
      </c>
      <c r="C88" s="463" t="s">
        <v>1017</v>
      </c>
      <c r="D88" s="428">
        <v>-2880.87</v>
      </c>
      <c r="E88" s="428">
        <v>-2761.82</v>
      </c>
      <c r="F88" s="428">
        <v>-3020.96</v>
      </c>
      <c r="G88" s="428">
        <v>-2984.65</v>
      </c>
      <c r="H88" s="428">
        <v>-3816.45</v>
      </c>
      <c r="I88" s="428">
        <v>-2562.9699999999998</v>
      </c>
      <c r="J88" s="428">
        <v>-3591.43</v>
      </c>
      <c r="K88" s="428">
        <v>-1625.24</v>
      </c>
      <c r="L88" s="428">
        <v>-1740.49</v>
      </c>
      <c r="M88" s="428">
        <v>-3575.98</v>
      </c>
      <c r="N88" s="428">
        <v>-2726.13</v>
      </c>
      <c r="O88" s="429">
        <v>-2927.85</v>
      </c>
      <c r="P88" s="52">
        <v>-3451.05</v>
      </c>
      <c r="Q88" s="52">
        <v>-4005.76</v>
      </c>
      <c r="R88" s="52">
        <v>-3531.26</v>
      </c>
      <c r="S88" s="52">
        <v>-3505.34</v>
      </c>
      <c r="T88" s="52">
        <v>-2914.33</v>
      </c>
      <c r="U88" s="52">
        <v>-3710.83</v>
      </c>
      <c r="V88" s="52">
        <v>-3092.84</v>
      </c>
      <c r="W88" s="52">
        <v>-3474.39</v>
      </c>
      <c r="X88" s="52">
        <v>-3548.57</v>
      </c>
      <c r="Y88" s="52">
        <v>-2076.67</v>
      </c>
      <c r="Z88" s="52">
        <v>-1956.25</v>
      </c>
      <c r="AA88" s="52">
        <v>-2353.85</v>
      </c>
      <c r="AB88" s="52">
        <v>-2675.02</v>
      </c>
      <c r="AC88" s="52">
        <v>-2119.2399999999998</v>
      </c>
      <c r="AD88" s="52">
        <v>-2226.3200000000002</v>
      </c>
      <c r="AE88" s="52">
        <v>-3150.59</v>
      </c>
      <c r="AF88" s="52">
        <v>-2717.24</v>
      </c>
      <c r="AG88" s="52">
        <v>-2722.08</v>
      </c>
      <c r="AH88" s="52">
        <v>-1600.88</v>
      </c>
      <c r="AI88" s="52">
        <v>-877.5</v>
      </c>
      <c r="AJ88" s="52">
        <v>-725.12</v>
      </c>
      <c r="AK88" s="52">
        <v>-595.88</v>
      </c>
      <c r="AL88" s="52">
        <v>-716.1</v>
      </c>
      <c r="AM88" s="52">
        <v>-726.63</v>
      </c>
      <c r="AN88" s="52">
        <v>-796.99</v>
      </c>
      <c r="AO88" s="52">
        <v>-662.14</v>
      </c>
      <c r="AP88" s="52">
        <v>-517.26</v>
      </c>
      <c r="AQ88" s="52">
        <v>-586.28</v>
      </c>
      <c r="AR88" s="52">
        <v>-860.36</v>
      </c>
      <c r="AS88" s="52">
        <v>-721.85</v>
      </c>
      <c r="AT88" s="52">
        <v>-662.73</v>
      </c>
      <c r="AU88" s="52">
        <v>-1444.75</v>
      </c>
      <c r="AV88" s="52">
        <v>-1120.04</v>
      </c>
      <c r="AW88" s="52">
        <v>-692.57</v>
      </c>
      <c r="AX88" s="52">
        <v>-984.14</v>
      </c>
      <c r="AY88" s="52">
        <v>-925.31</v>
      </c>
      <c r="AZ88" s="52">
        <v>-873</v>
      </c>
      <c r="BA88" s="52">
        <v>-919.9</v>
      </c>
      <c r="BB88" s="52">
        <v>-1032.07</v>
      </c>
      <c r="BC88" s="52">
        <v>-978.17</v>
      </c>
      <c r="BD88" s="52">
        <v>-954.77</v>
      </c>
      <c r="BE88" s="52">
        <v>-1108.55</v>
      </c>
      <c r="BF88" s="52">
        <v>-1054.3800000000001</v>
      </c>
      <c r="BG88" s="52">
        <v>-1026.99</v>
      </c>
      <c r="BH88" s="52">
        <v>-1188.33</v>
      </c>
      <c r="BI88" s="52">
        <v>-1150.5999999999999</v>
      </c>
      <c r="BJ88" s="52">
        <v>-967.27</v>
      </c>
      <c r="BK88" s="52">
        <v>-904.21</v>
      </c>
      <c r="BL88" s="52">
        <v>-527.69000000000005</v>
      </c>
      <c r="BM88" s="52">
        <v>-816.22</v>
      </c>
      <c r="BN88" s="52">
        <v>-907.4</v>
      </c>
      <c r="BO88" s="52">
        <v>-861.65</v>
      </c>
      <c r="BP88" s="52">
        <v>-870.04</v>
      </c>
      <c r="BQ88" s="52">
        <v>-1054.52</v>
      </c>
      <c r="BR88" s="52">
        <v>-863.36</v>
      </c>
      <c r="BS88" s="52">
        <v>-710.78</v>
      </c>
      <c r="BT88" s="52">
        <v>-814.87</v>
      </c>
      <c r="BU88" s="52">
        <v>-966.51</v>
      </c>
      <c r="BV88" s="52">
        <v>-912.63</v>
      </c>
      <c r="BW88" s="52">
        <v>-968.15</v>
      </c>
      <c r="BX88" s="52">
        <v>-863.03</v>
      </c>
      <c r="BY88" s="52">
        <v>-835.32</v>
      </c>
      <c r="BZ88" s="52">
        <v>-1043.23</v>
      </c>
      <c r="CA88" s="52">
        <v>-1030.25</v>
      </c>
      <c r="CB88" s="52">
        <v>-922.2</v>
      </c>
      <c r="CC88" s="52">
        <v>-746.75</v>
      </c>
      <c r="CD88" s="52">
        <v>-836.3</v>
      </c>
      <c r="CE88" s="52">
        <v>-927.08</v>
      </c>
      <c r="CF88" s="52">
        <v>-789.61</v>
      </c>
      <c r="CG88" s="52">
        <v>-756.83</v>
      </c>
      <c r="CH88" s="52">
        <v>-948.63</v>
      </c>
      <c r="CI88" s="52">
        <v>-704.44</v>
      </c>
      <c r="CJ88" s="52">
        <v>-726.36</v>
      </c>
      <c r="CK88" s="52">
        <v>726.36</v>
      </c>
      <c r="CL88" s="52">
        <v>0</v>
      </c>
      <c r="CM88" s="52">
        <v>0</v>
      </c>
      <c r="CN88" s="52">
        <v>0</v>
      </c>
      <c r="CO88" s="52">
        <v>0</v>
      </c>
      <c r="CP88" s="52">
        <v>0</v>
      </c>
      <c r="CQ88" s="52">
        <v>0</v>
      </c>
      <c r="CR88" s="52">
        <v>0</v>
      </c>
      <c r="CS88" s="52">
        <v>0</v>
      </c>
      <c r="CT88" s="52">
        <v>0</v>
      </c>
      <c r="CU88" s="52">
        <v>0</v>
      </c>
      <c r="CV88" s="430">
        <f t="shared" si="2"/>
        <v>0</v>
      </c>
    </row>
    <row r="89" spans="1:100">
      <c r="A89" s="540" t="str">
        <f t="shared" si="3"/>
        <v>4893002</v>
      </c>
      <c r="B89" s="541" t="s">
        <v>1924</v>
      </c>
      <c r="C89" s="463" t="s">
        <v>1018</v>
      </c>
      <c r="D89" s="426">
        <v>-376.19</v>
      </c>
      <c r="E89" s="426">
        <v>-357.43</v>
      </c>
      <c r="F89" s="426">
        <v>-398.28</v>
      </c>
      <c r="G89" s="426">
        <v>-399.64</v>
      </c>
      <c r="H89" s="426">
        <v>-530.83000000000004</v>
      </c>
      <c r="I89" s="426">
        <v>-336.72</v>
      </c>
      <c r="J89" s="426">
        <v>-491.8</v>
      </c>
      <c r="K89" s="426">
        <v>-199.49</v>
      </c>
      <c r="L89" s="426">
        <v>-224.7</v>
      </c>
      <c r="M89" s="426">
        <v>-496.43</v>
      </c>
      <c r="N89" s="426">
        <v>-358.89</v>
      </c>
      <c r="O89" s="427">
        <v>-390.7</v>
      </c>
      <c r="P89" s="52">
        <v>-473.2</v>
      </c>
      <c r="Q89" s="52">
        <v>-560.66999999999996</v>
      </c>
      <c r="R89" s="52">
        <v>-485.84</v>
      </c>
      <c r="S89" s="52">
        <v>-481.76</v>
      </c>
      <c r="T89" s="52">
        <v>-388.57</v>
      </c>
      <c r="U89" s="52">
        <v>-514.16</v>
      </c>
      <c r="V89" s="52">
        <v>-416.71</v>
      </c>
      <c r="W89" s="52">
        <v>-469.8</v>
      </c>
      <c r="X89" s="52">
        <v>-492.13</v>
      </c>
      <c r="Y89" s="52">
        <v>-299.07</v>
      </c>
      <c r="Z89" s="52">
        <v>-280.07</v>
      </c>
      <c r="AA89" s="52">
        <v>-514.15</v>
      </c>
      <c r="AB89" s="52">
        <v>-600.76</v>
      </c>
      <c r="AC89" s="52">
        <v>-469.31</v>
      </c>
      <c r="AD89" s="52">
        <v>-494.63</v>
      </c>
      <c r="AE89" s="52">
        <v>-713.23</v>
      </c>
      <c r="AF89" s="52">
        <v>-610.74</v>
      </c>
      <c r="AG89" s="52">
        <v>-606.57000000000005</v>
      </c>
      <c r="AH89" s="52">
        <v>-336.07</v>
      </c>
      <c r="AI89" s="52">
        <v>-164.96</v>
      </c>
      <c r="AJ89" s="52">
        <v>-128.93</v>
      </c>
      <c r="AK89" s="52">
        <v>-98.36</v>
      </c>
      <c r="AL89" s="52">
        <v>-126.79</v>
      </c>
      <c r="AM89" s="52">
        <v>-129.28</v>
      </c>
      <c r="AN89" s="52">
        <v>-143.81</v>
      </c>
      <c r="AO89" s="52">
        <v>-114.03</v>
      </c>
      <c r="AP89" s="52">
        <v>-79.77</v>
      </c>
      <c r="AQ89" s="52">
        <v>-96.09</v>
      </c>
      <c r="AR89" s="52">
        <v>-160.91999999999999</v>
      </c>
      <c r="AS89" s="52">
        <v>-128.15</v>
      </c>
      <c r="AT89" s="52">
        <v>-114.17</v>
      </c>
      <c r="AU89" s="52">
        <v>-299.13</v>
      </c>
      <c r="AV89" s="52">
        <v>-220.2</v>
      </c>
      <c r="AW89" s="52">
        <v>-121.23</v>
      </c>
      <c r="AX89" s="52">
        <v>-190.19</v>
      </c>
      <c r="AY89" s="52">
        <v>-176.27</v>
      </c>
      <c r="AZ89" s="52">
        <v>-163.91</v>
      </c>
      <c r="BA89" s="52">
        <v>-175</v>
      </c>
      <c r="BB89" s="52">
        <v>-201.53</v>
      </c>
      <c r="BC89" s="52">
        <v>-188.79</v>
      </c>
      <c r="BD89" s="52">
        <v>-183.25</v>
      </c>
      <c r="BE89" s="52">
        <v>-219.63</v>
      </c>
      <c r="BF89" s="52">
        <v>-206.81</v>
      </c>
      <c r="BG89" s="52">
        <v>-202.46</v>
      </c>
      <c r="BH89" s="52">
        <v>-238.48</v>
      </c>
      <c r="BI89" s="52">
        <v>-229.56</v>
      </c>
      <c r="BJ89" s="52">
        <v>-188.33</v>
      </c>
      <c r="BK89" s="52">
        <v>-171.28</v>
      </c>
      <c r="BL89" s="52">
        <v>-86.64</v>
      </c>
      <c r="BM89" s="52">
        <v>-160.57</v>
      </c>
      <c r="BN89" s="52">
        <v>-183.27</v>
      </c>
      <c r="BO89" s="52">
        <v>-171.88</v>
      </c>
      <c r="BP89" s="52">
        <v>-173.98</v>
      </c>
      <c r="BQ89" s="52">
        <v>-219.88</v>
      </c>
      <c r="BR89" s="52">
        <v>-172.31</v>
      </c>
      <c r="BS89" s="52">
        <v>-134.33000000000001</v>
      </c>
      <c r="BT89" s="52">
        <v>-160.25</v>
      </c>
      <c r="BU89" s="52">
        <v>-197.99</v>
      </c>
      <c r="BV89" s="52">
        <v>-184.56</v>
      </c>
      <c r="BW89" s="52">
        <v>-198.38</v>
      </c>
      <c r="BX89" s="52">
        <v>-172.23</v>
      </c>
      <c r="BY89" s="52">
        <v>-165.33</v>
      </c>
      <c r="BZ89" s="52">
        <v>-217.08</v>
      </c>
      <c r="CA89" s="52">
        <v>-213.84</v>
      </c>
      <c r="CB89" s="52">
        <v>-186.95</v>
      </c>
      <c r="CC89" s="52">
        <v>-143.29</v>
      </c>
      <c r="CD89" s="52">
        <v>-165.58</v>
      </c>
      <c r="CE89" s="52">
        <v>-188.17</v>
      </c>
      <c r="CF89" s="52">
        <v>-153.94999999999999</v>
      </c>
      <c r="CG89" s="52">
        <v>-145.79</v>
      </c>
      <c r="CH89" s="52">
        <v>-182.89</v>
      </c>
      <c r="CI89" s="52">
        <v>-143.4</v>
      </c>
      <c r="CJ89" s="52">
        <v>-138.19999999999999</v>
      </c>
      <c r="CK89" s="52">
        <v>138.19999999999999</v>
      </c>
      <c r="CL89" s="52">
        <v>0</v>
      </c>
      <c r="CM89" s="52">
        <v>0</v>
      </c>
      <c r="CN89" s="52">
        <v>0</v>
      </c>
      <c r="CO89" s="52">
        <v>0</v>
      </c>
      <c r="CP89" s="52">
        <v>0</v>
      </c>
      <c r="CQ89" s="52">
        <v>0</v>
      </c>
      <c r="CR89" s="52">
        <v>0</v>
      </c>
      <c r="CS89" s="52">
        <v>0</v>
      </c>
      <c r="CT89" s="52">
        <v>0</v>
      </c>
      <c r="CU89" s="52">
        <v>0</v>
      </c>
      <c r="CV89" s="430">
        <f t="shared" si="2"/>
        <v>0</v>
      </c>
    </row>
    <row r="90" spans="1:100">
      <c r="A90" s="540" t="str">
        <f t="shared" si="3"/>
        <v>4893004</v>
      </c>
      <c r="B90" s="541" t="s">
        <v>1925</v>
      </c>
      <c r="C90" s="463" t="s">
        <v>1019</v>
      </c>
      <c r="D90" s="428">
        <v>-8916.49</v>
      </c>
      <c r="E90" s="428">
        <v>-8543.76</v>
      </c>
      <c r="F90" s="428">
        <v>-8118.67</v>
      </c>
      <c r="G90" s="428">
        <v>-8327.84</v>
      </c>
      <c r="H90" s="428">
        <v>-8236.23</v>
      </c>
      <c r="I90" s="428">
        <v>-9108.69</v>
      </c>
      <c r="J90" s="428">
        <v>-8457.65</v>
      </c>
      <c r="K90" s="428">
        <v>-8451.11</v>
      </c>
      <c r="L90" s="428">
        <v>-9185.48</v>
      </c>
      <c r="M90" s="428">
        <v>-8812.6200000000008</v>
      </c>
      <c r="N90" s="428">
        <v>-8481.9599999999991</v>
      </c>
      <c r="O90" s="429">
        <v>-7969.9</v>
      </c>
      <c r="P90" s="52">
        <v>-9377</v>
      </c>
      <c r="Q90" s="52">
        <v>-8818.67</v>
      </c>
      <c r="R90" s="52">
        <v>-8788.3700000000008</v>
      </c>
      <c r="S90" s="52">
        <v>-8337.4500000000007</v>
      </c>
      <c r="T90" s="52">
        <v>-8420.36</v>
      </c>
      <c r="U90" s="52">
        <v>-9618.86</v>
      </c>
      <c r="V90" s="52">
        <v>-8306.57</v>
      </c>
      <c r="W90" s="52">
        <v>-9332.07</v>
      </c>
      <c r="X90" s="52">
        <v>-8565.8700000000008</v>
      </c>
      <c r="Y90" s="52">
        <v>-8661.02</v>
      </c>
      <c r="Z90" s="52">
        <v>-7739.33</v>
      </c>
      <c r="AA90" s="52">
        <v>-8256.19</v>
      </c>
      <c r="AB90" s="52">
        <v>-9093.9500000000007</v>
      </c>
      <c r="AC90" s="52">
        <v>-8345.36</v>
      </c>
      <c r="AD90" s="52">
        <v>-7995.39</v>
      </c>
      <c r="AE90" s="52">
        <v>-8549.64</v>
      </c>
      <c r="AF90" s="52">
        <v>-8613.32</v>
      </c>
      <c r="AG90" s="52">
        <v>-8387.7199999999993</v>
      </c>
      <c r="AH90" s="52">
        <v>-8202.4699999999993</v>
      </c>
      <c r="AI90" s="52">
        <v>-8043.75</v>
      </c>
      <c r="AJ90" s="52">
        <v>-8705.99</v>
      </c>
      <c r="AK90" s="52">
        <v>-7951.1</v>
      </c>
      <c r="AL90" s="52">
        <v>-7440.99</v>
      </c>
      <c r="AM90" s="52">
        <v>-7323.84</v>
      </c>
      <c r="AN90" s="52">
        <v>-8549.18</v>
      </c>
      <c r="AO90" s="52">
        <v>-8260.81</v>
      </c>
      <c r="AP90" s="52">
        <v>-8117.22</v>
      </c>
      <c r="AQ90" s="52">
        <v>-7778.92</v>
      </c>
      <c r="AR90" s="52">
        <v>-8720.4599999999991</v>
      </c>
      <c r="AS90" s="52">
        <v>-8323.86</v>
      </c>
      <c r="AT90" s="52">
        <v>-8097.24</v>
      </c>
      <c r="AU90" s="52">
        <v>-8189.12</v>
      </c>
      <c r="AV90" s="52">
        <v>-8084.54</v>
      </c>
      <c r="AW90" s="52">
        <v>-7009.16</v>
      </c>
      <c r="AX90" s="52">
        <v>-7749.26</v>
      </c>
      <c r="AY90" s="52">
        <v>-8394.5</v>
      </c>
      <c r="AZ90" s="52">
        <v>-11314.42</v>
      </c>
      <c r="BA90" s="52">
        <v>-8609.52</v>
      </c>
      <c r="BB90" s="52">
        <v>-7899.92</v>
      </c>
      <c r="BC90" s="52">
        <v>-8561.59</v>
      </c>
      <c r="BD90" s="52">
        <v>-8213.3700000000008</v>
      </c>
      <c r="BE90" s="52">
        <v>-9120.93</v>
      </c>
      <c r="BF90" s="52">
        <v>-8352.1299999999992</v>
      </c>
      <c r="BG90" s="52">
        <v>3736.7</v>
      </c>
      <c r="BH90" s="52">
        <v>-8618.32</v>
      </c>
      <c r="BI90" s="52">
        <v>-7439.72</v>
      </c>
      <c r="BJ90" s="52">
        <v>-8319.09</v>
      </c>
      <c r="BK90" s="52">
        <v>-7911.63</v>
      </c>
      <c r="BL90" s="52">
        <v>-8173.68</v>
      </c>
      <c r="BM90" s="52">
        <v>-7287.76</v>
      </c>
      <c r="BN90" s="52">
        <v>-7506.67</v>
      </c>
      <c r="BO90" s="52">
        <v>-3697.05</v>
      </c>
      <c r="BP90" s="52">
        <v>-7719.95</v>
      </c>
      <c r="BQ90" s="52">
        <v>-7200.67</v>
      </c>
      <c r="BR90" s="52">
        <v>-7021.51</v>
      </c>
      <c r="BS90" s="52">
        <v>-7229.42</v>
      </c>
      <c r="BT90" s="52">
        <v>-7013.7</v>
      </c>
      <c r="BU90" s="52">
        <v>-6831.33</v>
      </c>
      <c r="BV90" s="52">
        <v>-7087.23</v>
      </c>
      <c r="BW90" s="52">
        <v>-6845.63</v>
      </c>
      <c r="BX90" s="52">
        <v>-7915.55</v>
      </c>
      <c r="BY90" s="52">
        <v>-6919.67</v>
      </c>
      <c r="BZ90" s="52">
        <v>-7014.38</v>
      </c>
      <c r="CA90" s="52">
        <v>-6253.05</v>
      </c>
      <c r="CB90" s="52">
        <v>-6836.29</v>
      </c>
      <c r="CC90" s="52">
        <v>-6656.33</v>
      </c>
      <c r="CD90" s="52">
        <v>-7003.7</v>
      </c>
      <c r="CE90" s="52">
        <v>-7001.09</v>
      </c>
      <c r="CF90" s="52">
        <v>-6681.5</v>
      </c>
      <c r="CG90" s="52">
        <v>-6896.75</v>
      </c>
      <c r="CH90" s="52">
        <v>-7143.4</v>
      </c>
      <c r="CI90" s="52">
        <v>-7323.21</v>
      </c>
      <c r="CJ90" s="52">
        <v>-11154.56</v>
      </c>
      <c r="CK90" s="52">
        <v>-9698.0400000000009</v>
      </c>
      <c r="CL90" s="52">
        <v>-10544.07</v>
      </c>
      <c r="CM90" s="52">
        <v>-10793.16</v>
      </c>
      <c r="CN90" s="52">
        <v>-10079.66</v>
      </c>
      <c r="CO90" s="52">
        <v>-9966.93</v>
      </c>
      <c r="CP90" s="52">
        <v>-10549.44</v>
      </c>
      <c r="CQ90" s="52">
        <v>-10475.83</v>
      </c>
      <c r="CR90" s="52">
        <v>-11165.05</v>
      </c>
      <c r="CS90" s="52">
        <v>-10147.950000000001</v>
      </c>
      <c r="CT90" s="52">
        <v>-10867.84</v>
      </c>
      <c r="CU90" s="52">
        <v>-10353.17</v>
      </c>
      <c r="CV90" s="430">
        <f t="shared" si="2"/>
        <v>-125795.7</v>
      </c>
    </row>
    <row r="91" spans="1:100">
      <c r="A91" s="540" t="str">
        <f t="shared" si="3"/>
        <v>4893005</v>
      </c>
      <c r="B91" s="541" t="s">
        <v>1926</v>
      </c>
      <c r="C91" s="463" t="s">
        <v>1020</v>
      </c>
      <c r="D91" s="426">
        <v>-557.91</v>
      </c>
      <c r="E91" s="426">
        <v>-534.58000000000004</v>
      </c>
      <c r="F91" s="426">
        <v>-507.97</v>
      </c>
      <c r="G91" s="426">
        <v>-521.04999999999995</v>
      </c>
      <c r="H91" s="426">
        <v>-515.33000000000004</v>
      </c>
      <c r="I91" s="426">
        <v>-569.94000000000005</v>
      </c>
      <c r="J91" s="426">
        <v>-529.20000000000005</v>
      </c>
      <c r="K91" s="426">
        <v>-528.76</v>
      </c>
      <c r="L91" s="426">
        <v>-574.71</v>
      </c>
      <c r="M91" s="426">
        <v>-551.39</v>
      </c>
      <c r="N91" s="426">
        <v>-530.71</v>
      </c>
      <c r="O91" s="427">
        <v>-498.66</v>
      </c>
      <c r="P91" s="52">
        <v>-586.72</v>
      </c>
      <c r="Q91" s="52">
        <v>-551.79</v>
      </c>
      <c r="R91" s="52">
        <v>-549.91999999999996</v>
      </c>
      <c r="S91" s="52">
        <v>-521.65</v>
      </c>
      <c r="T91" s="52">
        <v>-526.85</v>
      </c>
      <c r="U91" s="52">
        <v>-601.84</v>
      </c>
      <c r="V91" s="52">
        <v>-519.73</v>
      </c>
      <c r="W91" s="52">
        <v>-583.91999999999996</v>
      </c>
      <c r="X91" s="52">
        <v>-535.95000000000005</v>
      </c>
      <c r="Y91" s="52">
        <v>-541.9</v>
      </c>
      <c r="Z91" s="52">
        <v>-484.25</v>
      </c>
      <c r="AA91" s="52">
        <v>-310.85000000000002</v>
      </c>
      <c r="AB91" s="52">
        <v>-342.35</v>
      </c>
      <c r="AC91" s="52">
        <v>-314.18</v>
      </c>
      <c r="AD91" s="52">
        <v>-301</v>
      </c>
      <c r="AE91" s="52">
        <v>-321.87</v>
      </c>
      <c r="AF91" s="52">
        <v>-324.27</v>
      </c>
      <c r="AG91" s="52">
        <v>-315.77999999999997</v>
      </c>
      <c r="AH91" s="52">
        <v>-308.83</v>
      </c>
      <c r="AI91" s="52">
        <v>-302.83999999999997</v>
      </c>
      <c r="AJ91" s="52">
        <v>-327.78</v>
      </c>
      <c r="AK91" s="52">
        <v>-299.33999999999997</v>
      </c>
      <c r="AL91" s="52">
        <v>-280.12</v>
      </c>
      <c r="AM91" s="52">
        <v>-275.70999999999998</v>
      </c>
      <c r="AN91" s="52">
        <v>-321.86</v>
      </c>
      <c r="AO91" s="52">
        <v>-311.01</v>
      </c>
      <c r="AP91" s="52">
        <v>-305.58</v>
      </c>
      <c r="AQ91" s="52">
        <v>-292.85000000000002</v>
      </c>
      <c r="AR91" s="52">
        <v>-328.31</v>
      </c>
      <c r="AS91" s="52">
        <v>-313.35000000000002</v>
      </c>
      <c r="AT91" s="52">
        <v>-304.85000000000002</v>
      </c>
      <c r="AU91" s="52">
        <v>-308.27999999999997</v>
      </c>
      <c r="AV91" s="52">
        <v>-304.33999999999997</v>
      </c>
      <c r="AW91" s="52">
        <v>-263.88</v>
      </c>
      <c r="AX91" s="52">
        <v>-291.70999999999998</v>
      </c>
      <c r="AY91" s="52">
        <v>-316.02999999999997</v>
      </c>
      <c r="AZ91" s="52">
        <v>-425.91</v>
      </c>
      <c r="BA91" s="52">
        <v>-324.14</v>
      </c>
      <c r="BB91" s="52">
        <v>-297.41000000000003</v>
      </c>
      <c r="BC91" s="52">
        <v>-322.31</v>
      </c>
      <c r="BD91" s="52">
        <v>-309.19</v>
      </c>
      <c r="BE91" s="52">
        <v>-343.37</v>
      </c>
      <c r="BF91" s="52">
        <v>-314.41000000000003</v>
      </c>
      <c r="BG91" s="52">
        <v>140.72999999999999</v>
      </c>
      <c r="BH91" s="52">
        <v>-324.45999999999998</v>
      </c>
      <c r="BI91" s="52">
        <v>-280.06</v>
      </c>
      <c r="BJ91" s="52">
        <v>-313.20999999999998</v>
      </c>
      <c r="BK91" s="52">
        <v>-297.86</v>
      </c>
      <c r="BL91" s="52">
        <v>-323.82</v>
      </c>
      <c r="BM91" s="52">
        <v>-288.70999999999998</v>
      </c>
      <c r="BN91" s="52">
        <v>-297.36</v>
      </c>
      <c r="BO91" s="52">
        <v>-150.41</v>
      </c>
      <c r="BP91" s="52">
        <v>-305.85000000000002</v>
      </c>
      <c r="BQ91" s="52">
        <v>-285.25</v>
      </c>
      <c r="BR91" s="52">
        <v>-278.18</v>
      </c>
      <c r="BS91" s="52">
        <v>-286.41000000000003</v>
      </c>
      <c r="BT91" s="52">
        <v>-277.85000000000002</v>
      </c>
      <c r="BU91" s="52">
        <v>-270.63</v>
      </c>
      <c r="BV91" s="52">
        <v>-280.77</v>
      </c>
      <c r="BW91" s="52">
        <v>-271.2</v>
      </c>
      <c r="BX91" s="52">
        <v>-313.57</v>
      </c>
      <c r="BY91" s="52">
        <v>-274.13</v>
      </c>
      <c r="BZ91" s="52">
        <v>-277.88</v>
      </c>
      <c r="CA91" s="52">
        <v>-247.69</v>
      </c>
      <c r="CB91" s="52">
        <v>-270.8</v>
      </c>
      <c r="CC91" s="52">
        <v>-263.66000000000003</v>
      </c>
      <c r="CD91" s="52">
        <v>-277.45999999999998</v>
      </c>
      <c r="CE91" s="52">
        <v>-277.35000000000002</v>
      </c>
      <c r="CF91" s="52">
        <v>-264.67</v>
      </c>
      <c r="CG91" s="52">
        <v>-273.2</v>
      </c>
      <c r="CH91" s="52">
        <v>-282.97000000000003</v>
      </c>
      <c r="CI91" s="52">
        <v>-290.13</v>
      </c>
      <c r="CJ91" s="52">
        <v>-287.83999999999997</v>
      </c>
      <c r="CK91" s="52">
        <v>-250.25</v>
      </c>
      <c r="CL91" s="52">
        <v>-272.10000000000002</v>
      </c>
      <c r="CM91" s="52">
        <v>-278.51</v>
      </c>
      <c r="CN91" s="52">
        <v>-260.08999999999997</v>
      </c>
      <c r="CO91" s="52">
        <v>-257.2</v>
      </c>
      <c r="CP91" s="52">
        <v>-272.23</v>
      </c>
      <c r="CQ91" s="52">
        <v>-270.33</v>
      </c>
      <c r="CR91" s="52">
        <v>-288.13</v>
      </c>
      <c r="CS91" s="52">
        <v>-261.87</v>
      </c>
      <c r="CT91" s="52">
        <v>-280.44</v>
      </c>
      <c r="CU91" s="52">
        <v>-267.18</v>
      </c>
      <c r="CV91" s="430">
        <f t="shared" si="2"/>
        <v>-3246.1699999999996</v>
      </c>
    </row>
    <row r="92" spans="1:100">
      <c r="A92" s="540" t="str">
        <f t="shared" si="3"/>
        <v>4893008</v>
      </c>
      <c r="B92" s="541" t="s">
        <v>1927</v>
      </c>
      <c r="C92" s="463" t="s">
        <v>1021</v>
      </c>
      <c r="D92" s="426">
        <v>-214782.13</v>
      </c>
      <c r="E92" s="426">
        <v>-226778.46</v>
      </c>
      <c r="F92" s="426">
        <v>-173185.36</v>
      </c>
      <c r="G92" s="426">
        <v>-162219.87</v>
      </c>
      <c r="H92" s="426">
        <v>-147631.44</v>
      </c>
      <c r="I92" s="426">
        <v>-148427.9</v>
      </c>
      <c r="J92" s="426">
        <v>-144141.73000000001</v>
      </c>
      <c r="K92" s="426">
        <v>-140776.07999999999</v>
      </c>
      <c r="L92" s="426">
        <v>-169753.13</v>
      </c>
      <c r="M92" s="426">
        <v>-158558.37</v>
      </c>
      <c r="N92" s="426">
        <v>-170359.07</v>
      </c>
      <c r="O92" s="427">
        <v>-196211.59</v>
      </c>
      <c r="P92" s="52">
        <v>-212254.83</v>
      </c>
      <c r="Q92" s="52">
        <v>-214154.92</v>
      </c>
      <c r="R92" s="52">
        <v>-214938.26</v>
      </c>
      <c r="S92" s="52">
        <v>-162775.67999999999</v>
      </c>
      <c r="T92" s="52">
        <v>-159541.35999999999</v>
      </c>
      <c r="U92" s="52">
        <v>-170169.31</v>
      </c>
      <c r="V92" s="52">
        <v>-170784.88</v>
      </c>
      <c r="W92" s="52">
        <v>-175544.92</v>
      </c>
      <c r="X92" s="52">
        <v>-172813.55</v>
      </c>
      <c r="Y92" s="52">
        <v>-194074.1</v>
      </c>
      <c r="Z92" s="52">
        <v>-210498.4</v>
      </c>
      <c r="AA92" s="52">
        <v>-223321.05</v>
      </c>
      <c r="AB92" s="52">
        <v>-244937.91</v>
      </c>
      <c r="AC92" s="52">
        <v>-264200.46000000002</v>
      </c>
      <c r="AD92" s="52">
        <v>-194041.71</v>
      </c>
      <c r="AE92" s="52">
        <v>-197031.82</v>
      </c>
      <c r="AF92" s="52">
        <v>-187324.7</v>
      </c>
      <c r="AG92" s="52">
        <v>-178801.28</v>
      </c>
      <c r="AH92" s="52">
        <v>-164664.84</v>
      </c>
      <c r="AI92" s="52">
        <v>-172234.95</v>
      </c>
      <c r="AJ92" s="52">
        <v>-198834.05</v>
      </c>
      <c r="AK92" s="52">
        <v>-180899.57</v>
      </c>
      <c r="AL92" s="52">
        <v>-200886.05</v>
      </c>
      <c r="AM92" s="52">
        <v>-225276.54</v>
      </c>
      <c r="AN92" s="52">
        <v>-246317.87</v>
      </c>
      <c r="AO92" s="52">
        <v>-233514.62</v>
      </c>
      <c r="AP92" s="52">
        <v>-224400.66</v>
      </c>
      <c r="AQ92" s="52">
        <v>-240682.81</v>
      </c>
      <c r="AR92" s="52">
        <v>-205576.91</v>
      </c>
      <c r="AS92" s="52">
        <v>-199237.87</v>
      </c>
      <c r="AT92" s="52">
        <v>-189731.63</v>
      </c>
      <c r="AU92" s="52">
        <v>-192187</v>
      </c>
      <c r="AV92" s="52">
        <v>-214291.05</v>
      </c>
      <c r="AW92" s="52">
        <v>-205160.82</v>
      </c>
      <c r="AX92" s="52">
        <v>-230356.91</v>
      </c>
      <c r="AY92" s="52">
        <v>-243315.68</v>
      </c>
      <c r="AZ92" s="52">
        <v>-394720.39</v>
      </c>
      <c r="BA92" s="52">
        <v>-431613.74</v>
      </c>
      <c r="BB92" s="52">
        <v>-49830.17</v>
      </c>
      <c r="BC92" s="52">
        <v>-323707.03999999998</v>
      </c>
      <c r="BD92" s="52">
        <v>-218309.43</v>
      </c>
      <c r="BE92" s="52">
        <v>-220947.22</v>
      </c>
      <c r="BF92" s="52">
        <v>-211569.69</v>
      </c>
      <c r="BG92" s="52">
        <v>-204858.22</v>
      </c>
      <c r="BH92" s="52">
        <v>-235226.09</v>
      </c>
      <c r="BI92" s="52">
        <v>-220505.83</v>
      </c>
      <c r="BJ92" s="52">
        <v>-235971.18</v>
      </c>
      <c r="BK92" s="52">
        <v>-274952.15000000002</v>
      </c>
      <c r="BL92" s="52">
        <v>-294072.65000000002</v>
      </c>
      <c r="BM92" s="52">
        <v>-259927.02</v>
      </c>
      <c r="BN92" s="52">
        <v>-253285.42</v>
      </c>
      <c r="BO92" s="52">
        <v>-242645.86</v>
      </c>
      <c r="BP92" s="52">
        <v>-222011.06</v>
      </c>
      <c r="BQ92" s="52">
        <v>-219233.51</v>
      </c>
      <c r="BR92" s="52">
        <v>-189394.38</v>
      </c>
      <c r="BS92" s="52">
        <v>-254771.13</v>
      </c>
      <c r="BT92" s="52">
        <v>-128509.64</v>
      </c>
      <c r="BU92" s="52">
        <v>-230078.32</v>
      </c>
      <c r="BV92" s="52">
        <v>-243311.3</v>
      </c>
      <c r="BW92" s="52">
        <v>-252043.5</v>
      </c>
      <c r="BX92" s="52">
        <v>-273257.46000000002</v>
      </c>
      <c r="BY92" s="52">
        <v>-274315.11</v>
      </c>
      <c r="BZ92" s="52">
        <v>-245075.52</v>
      </c>
      <c r="CA92" s="52">
        <v>-177018.47</v>
      </c>
      <c r="CB92" s="52">
        <v>-168049.7</v>
      </c>
      <c r="CC92" s="52">
        <v>-193633.33</v>
      </c>
      <c r="CD92" s="52">
        <v>-183879.33</v>
      </c>
      <c r="CE92" s="52">
        <v>-188469.98</v>
      </c>
      <c r="CF92" s="52">
        <v>-186178.27</v>
      </c>
      <c r="CG92" s="52">
        <v>-198882.35</v>
      </c>
      <c r="CH92" s="52">
        <v>-210275.26</v>
      </c>
      <c r="CI92" s="52">
        <v>-263941.28999999998</v>
      </c>
      <c r="CJ92" s="52">
        <v>-388576.5</v>
      </c>
      <c r="CK92" s="52">
        <v>-329605.43</v>
      </c>
      <c r="CL92" s="52">
        <v>-340813.67</v>
      </c>
      <c r="CM92" s="52">
        <v>-283031.46000000002</v>
      </c>
      <c r="CN92" s="52">
        <v>-266287.78000000003</v>
      </c>
      <c r="CO92" s="52">
        <v>-253522.06</v>
      </c>
      <c r="CP92" s="52">
        <v>-295481.86</v>
      </c>
      <c r="CQ92" s="52">
        <v>-277514.45</v>
      </c>
      <c r="CR92" s="52">
        <v>-309065.09000000003</v>
      </c>
      <c r="CS92" s="52">
        <v>-301593.17</v>
      </c>
      <c r="CT92" s="52">
        <v>-345307.64</v>
      </c>
      <c r="CU92" s="52">
        <v>-385592.86</v>
      </c>
      <c r="CV92" s="430">
        <f t="shared" si="2"/>
        <v>-3776391.9699999997</v>
      </c>
    </row>
    <row r="93" spans="1:100">
      <c r="A93" s="540" t="str">
        <f t="shared" si="3"/>
        <v>4893009</v>
      </c>
      <c r="B93" s="541" t="s">
        <v>1928</v>
      </c>
      <c r="C93" s="463" t="s">
        <v>1022</v>
      </c>
      <c r="D93" s="428">
        <v>-10661.03</v>
      </c>
      <c r="E93" s="428">
        <v>-12313.61</v>
      </c>
      <c r="F93" s="428">
        <v>-9839.6299999999992</v>
      </c>
      <c r="G93" s="428">
        <v>-8462.9699999999993</v>
      </c>
      <c r="H93" s="428">
        <v>-7238.07</v>
      </c>
      <c r="I93" s="428">
        <v>-6831.51</v>
      </c>
      <c r="J93" s="428">
        <v>-5824.96</v>
      </c>
      <c r="K93" s="428">
        <v>-5513.33</v>
      </c>
      <c r="L93" s="428">
        <v>-7032.35</v>
      </c>
      <c r="M93" s="428">
        <v>-6918.63</v>
      </c>
      <c r="N93" s="428">
        <v>-7544.24</v>
      </c>
      <c r="O93" s="429">
        <v>-9174.48</v>
      </c>
      <c r="P93" s="52">
        <v>-10595.86</v>
      </c>
      <c r="Q93" s="52">
        <v>-11173.42</v>
      </c>
      <c r="R93" s="52">
        <v>-11426.91</v>
      </c>
      <c r="S93" s="52">
        <v>-8603.4</v>
      </c>
      <c r="T93" s="52">
        <v>-7485.97</v>
      </c>
      <c r="U93" s="52">
        <v>-7685.84</v>
      </c>
      <c r="V93" s="52">
        <v>-6131.62</v>
      </c>
      <c r="W93" s="52">
        <v>-6575.88</v>
      </c>
      <c r="X93" s="52">
        <v>-6737.64</v>
      </c>
      <c r="Y93" s="52">
        <v>-7276.66</v>
      </c>
      <c r="Z93" s="52">
        <v>-7814.59</v>
      </c>
      <c r="AA93" s="52">
        <v>-12708.24</v>
      </c>
      <c r="AB93" s="52">
        <v>-14864.28</v>
      </c>
      <c r="AC93" s="52">
        <v>-18376.13</v>
      </c>
      <c r="AD93" s="52">
        <v>-15856.57</v>
      </c>
      <c r="AE93" s="52">
        <v>-13493.62</v>
      </c>
      <c r="AF93" s="52">
        <v>-12324.57</v>
      </c>
      <c r="AG93" s="52">
        <v>-11298.72</v>
      </c>
      <c r="AH93" s="52">
        <v>-8868.09</v>
      </c>
      <c r="AI93" s="52">
        <v>-8982.98</v>
      </c>
      <c r="AJ93" s="52">
        <v>-11030.21</v>
      </c>
      <c r="AK93" s="52">
        <v>-10319.31</v>
      </c>
      <c r="AL93" s="52">
        <v>-11594.29</v>
      </c>
      <c r="AM93" s="52">
        <v>-13893.95</v>
      </c>
      <c r="AN93" s="52">
        <v>-16289.82</v>
      </c>
      <c r="AO93" s="52">
        <v>-16092.97</v>
      </c>
      <c r="AP93" s="52">
        <v>-15244.12</v>
      </c>
      <c r="AQ93" s="52">
        <v>-16191.11</v>
      </c>
      <c r="AR93" s="52">
        <v>-13886.13</v>
      </c>
      <c r="AS93" s="52">
        <v>-12602.78</v>
      </c>
      <c r="AT93" s="52">
        <v>-9993.27</v>
      </c>
      <c r="AU93" s="52">
        <v>-9921.17</v>
      </c>
      <c r="AV93" s="52">
        <v>-11763.62</v>
      </c>
      <c r="AW93" s="52">
        <v>-11169.37</v>
      </c>
      <c r="AX93" s="52">
        <v>-13647.07</v>
      </c>
      <c r="AY93" s="52">
        <v>-15630.72</v>
      </c>
      <c r="AZ93" s="52">
        <v>-27204.400000000001</v>
      </c>
      <c r="BA93" s="52">
        <v>-34050.129999999997</v>
      </c>
      <c r="BB93" s="52">
        <v>-7224.65</v>
      </c>
      <c r="BC93" s="52">
        <v>-19197.349999999999</v>
      </c>
      <c r="BD93" s="52">
        <v>-15061.96</v>
      </c>
      <c r="BE93" s="52">
        <v>-14394.88</v>
      </c>
      <c r="BF93" s="52">
        <v>-11739.44</v>
      </c>
      <c r="BG93" s="52">
        <v>-11096.12</v>
      </c>
      <c r="BH93" s="52">
        <v>-13524.38</v>
      </c>
      <c r="BI93" s="52">
        <v>-12444.07</v>
      </c>
      <c r="BJ93" s="52">
        <v>-13474.12</v>
      </c>
      <c r="BK93" s="52">
        <v>-17698.07</v>
      </c>
      <c r="BL93" s="52">
        <v>-21628.97</v>
      </c>
      <c r="BM93" s="52">
        <v>-21398.23</v>
      </c>
      <c r="BN93" s="52">
        <v>-17814.599999999999</v>
      </c>
      <c r="BO93" s="52">
        <v>-17290.810000000001</v>
      </c>
      <c r="BP93" s="52">
        <v>-15525.64</v>
      </c>
      <c r="BQ93" s="52">
        <v>-14641.9</v>
      </c>
      <c r="BR93" s="52">
        <v>-11514.78</v>
      </c>
      <c r="BS93" s="52">
        <v>-15885.21</v>
      </c>
      <c r="BT93" s="52">
        <v>-7331.6</v>
      </c>
      <c r="BU93" s="52">
        <v>-12551.75</v>
      </c>
      <c r="BV93" s="52">
        <v>-14134.63</v>
      </c>
      <c r="BW93" s="52">
        <v>-17811.79</v>
      </c>
      <c r="BX93" s="52">
        <v>-19336.59</v>
      </c>
      <c r="BY93" s="52">
        <v>-20230.919999999998</v>
      </c>
      <c r="BZ93" s="52">
        <v>-18781.05</v>
      </c>
      <c r="CA93" s="52">
        <v>-11563.74</v>
      </c>
      <c r="CB93" s="52">
        <v>-9130.68</v>
      </c>
      <c r="CC93" s="52">
        <v>-10389.64</v>
      </c>
      <c r="CD93" s="52">
        <v>-10073.36</v>
      </c>
      <c r="CE93" s="52">
        <v>-10343.61</v>
      </c>
      <c r="CF93" s="52">
        <v>-10342.69</v>
      </c>
      <c r="CG93" s="52">
        <v>-11248.19</v>
      </c>
      <c r="CH93" s="52">
        <v>-12787.82</v>
      </c>
      <c r="CI93" s="52">
        <v>-16153.44</v>
      </c>
      <c r="CJ93" s="52">
        <v>-21863.26</v>
      </c>
      <c r="CK93" s="52">
        <v>-21928.9</v>
      </c>
      <c r="CL93" s="52">
        <v>-20542.11</v>
      </c>
      <c r="CM93" s="52">
        <v>-17198.8</v>
      </c>
      <c r="CN93" s="52">
        <v>-14955.61</v>
      </c>
      <c r="CO93" s="52">
        <v>-13433.27</v>
      </c>
      <c r="CP93" s="52">
        <v>-12769.54</v>
      </c>
      <c r="CQ93" s="52">
        <v>-12422.68</v>
      </c>
      <c r="CR93" s="52">
        <v>-14427.63</v>
      </c>
      <c r="CS93" s="52">
        <v>-14517.69</v>
      </c>
      <c r="CT93" s="52">
        <v>-17773.62</v>
      </c>
      <c r="CU93" s="52">
        <v>-21534.94</v>
      </c>
      <c r="CV93" s="430">
        <f t="shared" si="2"/>
        <v>-203368.05000000002</v>
      </c>
    </row>
    <row r="94" spans="1:100">
      <c r="A94" s="540">
        <f t="shared" si="3"/>
        <v>4893033</v>
      </c>
      <c r="B94" s="463">
        <v>4893033</v>
      </c>
      <c r="C94" s="463" t="s">
        <v>2589</v>
      </c>
      <c r="D94" s="428"/>
      <c r="E94" s="428"/>
      <c r="F94" s="428"/>
      <c r="G94" s="428"/>
      <c r="H94" s="428"/>
      <c r="I94" s="428"/>
      <c r="J94" s="428"/>
      <c r="K94" s="428"/>
      <c r="L94" s="428"/>
      <c r="M94" s="428"/>
      <c r="N94" s="428"/>
      <c r="O94" s="429"/>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v>-45</v>
      </c>
      <c r="CK94" s="52">
        <v>-45</v>
      </c>
      <c r="CL94" s="52">
        <v>-45</v>
      </c>
      <c r="CM94" s="52">
        <v>-48.88</v>
      </c>
      <c r="CN94" s="52">
        <v>-48.2</v>
      </c>
      <c r="CO94" s="52">
        <v>-45.45</v>
      </c>
      <c r="CP94" s="52">
        <v>-47.06</v>
      </c>
      <c r="CQ94" s="52">
        <v>-47.06</v>
      </c>
      <c r="CR94" s="52">
        <v>-45.24</v>
      </c>
      <c r="CS94" s="52">
        <v>-45.24</v>
      </c>
      <c r="CT94" s="52">
        <v>-45.45</v>
      </c>
      <c r="CU94" s="52">
        <v>-53.69</v>
      </c>
      <c r="CV94" s="430">
        <f t="shared" si="2"/>
        <v>-561.27</v>
      </c>
    </row>
    <row r="95" spans="1:100">
      <c r="A95" s="1178">
        <f>+B95</f>
        <v>4893034</v>
      </c>
      <c r="B95" s="1081">
        <v>4893034</v>
      </c>
      <c r="C95" s="1081" t="s">
        <v>2686</v>
      </c>
      <c r="D95" s="428"/>
      <c r="E95" s="428"/>
      <c r="F95" s="428"/>
      <c r="G95" s="428"/>
      <c r="H95" s="428"/>
      <c r="I95" s="428"/>
      <c r="J95" s="428"/>
      <c r="K95" s="428"/>
      <c r="L95" s="428"/>
      <c r="M95" s="428"/>
      <c r="N95" s="428"/>
      <c r="O95" s="429"/>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v>-0.41</v>
      </c>
      <c r="CN95" s="52">
        <v>-0.34</v>
      </c>
      <c r="CO95" s="52">
        <v>-0.05</v>
      </c>
      <c r="CP95" s="52">
        <v>-0.22</v>
      </c>
      <c r="CQ95" s="52">
        <v>-0.22</v>
      </c>
      <c r="CR95" s="52">
        <v>-0.02</v>
      </c>
      <c r="CS95" s="52">
        <v>-0.02</v>
      </c>
      <c r="CT95" s="52">
        <v>-0.05</v>
      </c>
      <c r="CU95" s="52">
        <v>-0.92</v>
      </c>
      <c r="CV95" s="430">
        <f t="shared" si="2"/>
        <v>-2.25</v>
      </c>
    </row>
    <row r="96" spans="1:100">
      <c r="A96" s="540" t="str">
        <f t="shared" si="3"/>
        <v>4893035</v>
      </c>
      <c r="B96" s="541" t="s">
        <v>1929</v>
      </c>
      <c r="C96" s="463" t="s">
        <v>1023</v>
      </c>
      <c r="D96" s="426">
        <v>-4066.82</v>
      </c>
      <c r="E96" s="426">
        <v>-4112.2700000000004</v>
      </c>
      <c r="F96" s="426">
        <v>-4011.36</v>
      </c>
      <c r="G96" s="426">
        <v>-4033.34</v>
      </c>
      <c r="H96" s="426">
        <v>-4182.9399999999996</v>
      </c>
      <c r="I96" s="426">
        <v>-4353.8999999999996</v>
      </c>
      <c r="J96" s="426">
        <v>-4118.38</v>
      </c>
      <c r="K96" s="426">
        <v>-4267.87</v>
      </c>
      <c r="L96" s="426">
        <v>-4549.04</v>
      </c>
      <c r="M96" s="426">
        <v>-4871.57</v>
      </c>
      <c r="N96" s="426">
        <v>-5005.38</v>
      </c>
      <c r="O96" s="427">
        <v>-5518.28</v>
      </c>
      <c r="P96" s="52">
        <v>-4960.3100000000004</v>
      </c>
      <c r="Q96" s="52">
        <v>-5079.29</v>
      </c>
      <c r="R96" s="52">
        <v>-5537.25</v>
      </c>
      <c r="S96" s="52">
        <v>-5064.75</v>
      </c>
      <c r="T96" s="52">
        <v>-5182.05</v>
      </c>
      <c r="U96" s="52">
        <v>-5009.9799999999996</v>
      </c>
      <c r="V96" s="52">
        <v>-4948.8999999999996</v>
      </c>
      <c r="W96" s="52">
        <v>-4657.43</v>
      </c>
      <c r="X96" s="52">
        <v>-4620.1000000000004</v>
      </c>
      <c r="Y96" s="52">
        <v>-4806.76</v>
      </c>
      <c r="Z96" s="52">
        <v>-5526.98</v>
      </c>
      <c r="AA96" s="52">
        <v>-5817.22</v>
      </c>
      <c r="AB96" s="52">
        <v>-6136.79</v>
      </c>
      <c r="AC96" s="52">
        <v>-6541.69</v>
      </c>
      <c r="AD96" s="52">
        <v>-6580.02</v>
      </c>
      <c r="AE96" s="52">
        <v>-6571.03</v>
      </c>
      <c r="AF96" s="52">
        <v>-6746.62</v>
      </c>
      <c r="AG96" s="52">
        <v>-6600.13</v>
      </c>
      <c r="AH96" s="52">
        <v>-6793.27</v>
      </c>
      <c r="AI96" s="52">
        <v>-6603.01</v>
      </c>
      <c r="AJ96" s="52">
        <v>-6447.51</v>
      </c>
      <c r="AK96" s="52">
        <v>-6501.12</v>
      </c>
      <c r="AL96" s="52">
        <v>-6567</v>
      </c>
      <c r="AM96" s="52">
        <v>-5844.79</v>
      </c>
      <c r="AN96" s="52">
        <v>-5894.07</v>
      </c>
      <c r="AO96" s="52">
        <v>-6711.93</v>
      </c>
      <c r="AP96" s="52">
        <v>-6186.94</v>
      </c>
      <c r="AQ96" s="52">
        <v>-6270.72</v>
      </c>
      <c r="AR96" s="52">
        <v>-6302.84</v>
      </c>
      <c r="AS96" s="52">
        <v>-6110.5</v>
      </c>
      <c r="AT96" s="52">
        <v>-6270.49</v>
      </c>
      <c r="AU96" s="52">
        <v>-6289.9</v>
      </c>
      <c r="AV96" s="52">
        <v>-7048.02</v>
      </c>
      <c r="AW96" s="52">
        <v>-6667.72</v>
      </c>
      <c r="AX96" s="52">
        <v>-7938.26</v>
      </c>
      <c r="AY96" s="52">
        <v>-5305.7</v>
      </c>
      <c r="AZ96" s="52">
        <v>-5974.62</v>
      </c>
      <c r="BA96" s="52">
        <v>-6005.62</v>
      </c>
      <c r="BB96" s="52">
        <v>-9399.19</v>
      </c>
      <c r="BC96" s="52">
        <v>-13586.84</v>
      </c>
      <c r="BD96" s="52">
        <v>-12521.68</v>
      </c>
      <c r="BE96" s="52">
        <v>-8579.8799999999992</v>
      </c>
      <c r="BF96" s="52">
        <v>-9160.7000000000007</v>
      </c>
      <c r="BG96" s="52">
        <v>-9233.59</v>
      </c>
      <c r="BH96" s="52">
        <v>-8611.6299999999992</v>
      </c>
      <c r="BI96" s="52">
        <v>-8747.66</v>
      </c>
      <c r="BJ96" s="52">
        <v>-250.19</v>
      </c>
      <c r="BK96" s="52">
        <v>-7732.14</v>
      </c>
      <c r="BL96" s="52">
        <v>-8227.2199999999993</v>
      </c>
      <c r="BM96" s="52">
        <v>-8067.59</v>
      </c>
      <c r="BN96" s="52">
        <v>-8433.85</v>
      </c>
      <c r="BO96" s="52">
        <v>-7616.84</v>
      </c>
      <c r="BP96" s="52">
        <v>-7708.6</v>
      </c>
      <c r="BQ96" s="52">
        <v>-7718.37</v>
      </c>
      <c r="BR96" s="52">
        <v>-8227.81</v>
      </c>
      <c r="BS96" s="52">
        <v>-8428.76</v>
      </c>
      <c r="BT96" s="52">
        <v>-9057.4599999999991</v>
      </c>
      <c r="BU96" s="52">
        <v>-7513.35</v>
      </c>
      <c r="BV96" s="52">
        <v>-8162.23</v>
      </c>
      <c r="BW96" s="52">
        <v>-9786.09</v>
      </c>
      <c r="BX96" s="52">
        <v>-8841.6299999999992</v>
      </c>
      <c r="BY96" s="52">
        <v>-8688.67</v>
      </c>
      <c r="BZ96" s="52">
        <v>-14756.15</v>
      </c>
      <c r="CA96" s="52">
        <v>-10004.780000000001</v>
      </c>
      <c r="CB96" s="52">
        <v>-10375.16</v>
      </c>
      <c r="CC96" s="52">
        <v>-8814.25</v>
      </c>
      <c r="CD96" s="52">
        <v>-9499.41</v>
      </c>
      <c r="CE96" s="52">
        <v>-9787.9</v>
      </c>
      <c r="CF96" s="52">
        <v>-10100.85</v>
      </c>
      <c r="CG96" s="52">
        <v>-10474.52</v>
      </c>
      <c r="CH96" s="52">
        <v>-10885.53</v>
      </c>
      <c r="CI96" s="52">
        <v>-12455.7</v>
      </c>
      <c r="CJ96" s="52">
        <v>-18989.810000000001</v>
      </c>
      <c r="CK96" s="52">
        <v>-18173.37</v>
      </c>
      <c r="CL96" s="52">
        <v>-17512.86</v>
      </c>
      <c r="CM96" s="52">
        <v>-18017.759999999998</v>
      </c>
      <c r="CN96" s="52">
        <v>-16459.45</v>
      </c>
      <c r="CO96" s="52">
        <v>-14731.2</v>
      </c>
      <c r="CP96" s="52">
        <v>-14204.18</v>
      </c>
      <c r="CQ96" s="52">
        <v>-13370.51</v>
      </c>
      <c r="CR96" s="52">
        <v>-13819.62</v>
      </c>
      <c r="CS96" s="52">
        <v>-14221.55</v>
      </c>
      <c r="CT96" s="52">
        <v>-15178.19</v>
      </c>
      <c r="CU96" s="52">
        <v>-16440.11</v>
      </c>
      <c r="CV96" s="430">
        <f t="shared" si="2"/>
        <v>-191118.61</v>
      </c>
    </row>
    <row r="97" spans="1:100">
      <c r="A97" s="540" t="str">
        <f t="shared" si="3"/>
        <v>4893036</v>
      </c>
      <c r="B97" s="541" t="s">
        <v>1930</v>
      </c>
      <c r="C97" s="463" t="s">
        <v>1024</v>
      </c>
      <c r="D97" s="428">
        <v>-145.75</v>
      </c>
      <c r="E97" s="428">
        <v>-145.84</v>
      </c>
      <c r="F97" s="428">
        <v>-130.66999999999999</v>
      </c>
      <c r="G97" s="428">
        <v>-134.43</v>
      </c>
      <c r="H97" s="428">
        <v>-146.77000000000001</v>
      </c>
      <c r="I97" s="428">
        <v>-160.38</v>
      </c>
      <c r="J97" s="428">
        <v>-121.29</v>
      </c>
      <c r="K97" s="428">
        <v>-121.82</v>
      </c>
      <c r="L97" s="428">
        <v>-144.1</v>
      </c>
      <c r="M97" s="428">
        <v>-162.08000000000001</v>
      </c>
      <c r="N97" s="428">
        <v>-172.98</v>
      </c>
      <c r="O97" s="429">
        <v>-218.6</v>
      </c>
      <c r="P97" s="52">
        <v>-171.31</v>
      </c>
      <c r="Q97" s="52">
        <v>-183.94</v>
      </c>
      <c r="R97" s="52">
        <v>-223.72</v>
      </c>
      <c r="S97" s="52">
        <v>-178.08</v>
      </c>
      <c r="T97" s="52">
        <v>-177.17</v>
      </c>
      <c r="U97" s="52">
        <v>-171.47</v>
      </c>
      <c r="V97" s="52">
        <v>-163.82</v>
      </c>
      <c r="W97" s="52">
        <v>-142.72</v>
      </c>
      <c r="X97" s="52">
        <v>-140.52000000000001</v>
      </c>
      <c r="Y97" s="52">
        <v>-148.32</v>
      </c>
      <c r="Z97" s="52">
        <v>-176.16</v>
      </c>
      <c r="AA97" s="52">
        <v>-262.60000000000002</v>
      </c>
      <c r="AB97" s="52">
        <v>-285.14999999999998</v>
      </c>
      <c r="AC97" s="52">
        <v>-333.2</v>
      </c>
      <c r="AD97" s="52">
        <v>-332.28</v>
      </c>
      <c r="AE97" s="52">
        <v>-330.73</v>
      </c>
      <c r="AF97" s="52">
        <v>-343.31</v>
      </c>
      <c r="AG97" s="52">
        <v>-331.29</v>
      </c>
      <c r="AH97" s="52">
        <v>-349</v>
      </c>
      <c r="AI97" s="52">
        <v>-328.21</v>
      </c>
      <c r="AJ97" s="52">
        <v>-301.16000000000003</v>
      </c>
      <c r="AK97" s="52">
        <v>-304.52999999999997</v>
      </c>
      <c r="AL97" s="52">
        <v>-317.64</v>
      </c>
      <c r="AM97" s="52">
        <v>-240.81</v>
      </c>
      <c r="AN97" s="52">
        <v>-262.83999999999997</v>
      </c>
      <c r="AO97" s="52">
        <v>-307.95999999999998</v>
      </c>
      <c r="AP97" s="52">
        <v>-267.31</v>
      </c>
      <c r="AQ97" s="52">
        <v>-282.13</v>
      </c>
      <c r="AR97" s="52">
        <v>-257.41000000000003</v>
      </c>
      <c r="AS97" s="52">
        <v>-260.37</v>
      </c>
      <c r="AT97" s="52">
        <v>-239.64</v>
      </c>
      <c r="AU97" s="52">
        <v>-206.07</v>
      </c>
      <c r="AV97" s="52">
        <v>-383.14</v>
      </c>
      <c r="AW97" s="52">
        <v>-345.76</v>
      </c>
      <c r="AX97" s="52">
        <v>-473.28</v>
      </c>
      <c r="AY97" s="52">
        <v>-212.93</v>
      </c>
      <c r="AZ97" s="52">
        <v>-248.95</v>
      </c>
      <c r="BA97" s="52">
        <v>-260.99</v>
      </c>
      <c r="BB97" s="52">
        <v>-620.66</v>
      </c>
      <c r="BC97" s="52">
        <v>-607</v>
      </c>
      <c r="BD97" s="52">
        <v>-870.1</v>
      </c>
      <c r="BE97" s="52">
        <v>-536.72</v>
      </c>
      <c r="BF97" s="52">
        <v>-604.79999999999995</v>
      </c>
      <c r="BG97" s="52">
        <v>-590.37</v>
      </c>
      <c r="BH97" s="52">
        <v>-523.32000000000005</v>
      </c>
      <c r="BI97" s="52">
        <v>-540.49</v>
      </c>
      <c r="BJ97" s="52">
        <v>410.52</v>
      </c>
      <c r="BK97" s="52">
        <v>-414.21</v>
      </c>
      <c r="BL97" s="52">
        <v>-262.24</v>
      </c>
      <c r="BM97" s="52">
        <v>-238.75</v>
      </c>
      <c r="BN97" s="52">
        <v>-259.87</v>
      </c>
      <c r="BO97" s="52">
        <v>-215.26</v>
      </c>
      <c r="BP97" s="52">
        <v>-221.24</v>
      </c>
      <c r="BQ97" s="52">
        <v>-218.23</v>
      </c>
      <c r="BR97" s="52">
        <v>-245.43</v>
      </c>
      <c r="BS97" s="52">
        <v>-256.82</v>
      </c>
      <c r="BT97" s="52">
        <v>-294.75</v>
      </c>
      <c r="BU97" s="52">
        <v>-191.75</v>
      </c>
      <c r="BV97" s="52">
        <v>-226.5</v>
      </c>
      <c r="BW97" s="52">
        <v>-308.47000000000003</v>
      </c>
      <c r="BX97" s="52">
        <v>-259.52</v>
      </c>
      <c r="BY97" s="52">
        <v>-260.79000000000002</v>
      </c>
      <c r="BZ97" s="52">
        <v>-630.44000000000005</v>
      </c>
      <c r="CA97" s="52">
        <v>-341.55</v>
      </c>
      <c r="CB97" s="52">
        <v>-334.27</v>
      </c>
      <c r="CC97" s="52">
        <v>-264.24</v>
      </c>
      <c r="CD97" s="52">
        <v>-303.05</v>
      </c>
      <c r="CE97" s="52">
        <v>-321.62</v>
      </c>
      <c r="CF97" s="52">
        <v>-340.8</v>
      </c>
      <c r="CG97" s="52">
        <v>-315.48</v>
      </c>
      <c r="CH97" s="52">
        <v>-387.4</v>
      </c>
      <c r="CI97" s="52">
        <v>-493.12</v>
      </c>
      <c r="CJ97" s="52">
        <v>-609</v>
      </c>
      <c r="CK97" s="52">
        <v>-555.14</v>
      </c>
      <c r="CL97" s="52">
        <v>-539.37</v>
      </c>
      <c r="CM97" s="52">
        <v>-564.79999999999995</v>
      </c>
      <c r="CN97" s="52">
        <v>-488.62</v>
      </c>
      <c r="CO97" s="52">
        <v>-376.36</v>
      </c>
      <c r="CP97" s="52">
        <v>-376.43</v>
      </c>
      <c r="CQ97" s="52">
        <v>-337.18</v>
      </c>
      <c r="CR97" s="52">
        <v>-358.27</v>
      </c>
      <c r="CS97" s="52">
        <v>-360.17</v>
      </c>
      <c r="CT97" s="52">
        <v>-419.25</v>
      </c>
      <c r="CU97" s="52">
        <v>-486.71</v>
      </c>
      <c r="CV97" s="430">
        <f t="shared" si="2"/>
        <v>-5471.2999999999993</v>
      </c>
    </row>
    <row r="98" spans="1:100">
      <c r="A98" s="540" t="str">
        <f>+B98</f>
        <v>4893037</v>
      </c>
      <c r="B98" s="541" t="s">
        <v>2529</v>
      </c>
      <c r="C98" s="1080" t="s">
        <v>2531</v>
      </c>
      <c r="D98" s="52">
        <v>0</v>
      </c>
      <c r="E98" s="52">
        <v>0</v>
      </c>
      <c r="F98" s="52">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v>0</v>
      </c>
      <c r="AK98" s="52">
        <v>0</v>
      </c>
      <c r="AL98" s="52">
        <v>0</v>
      </c>
      <c r="AM98" s="52">
        <v>0</v>
      </c>
      <c r="AN98" s="52">
        <v>0</v>
      </c>
      <c r="AO98" s="52">
        <v>0</v>
      </c>
      <c r="AP98" s="52">
        <v>0</v>
      </c>
      <c r="AQ98" s="52">
        <v>0</v>
      </c>
      <c r="AR98" s="52">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-162.19</v>
      </c>
      <c r="CG98" s="52">
        <v>-49.39</v>
      </c>
      <c r="CH98" s="52">
        <v>-51.75</v>
      </c>
      <c r="CI98" s="52">
        <v>-41.61</v>
      </c>
      <c r="CJ98" s="52">
        <v>-35.57</v>
      </c>
      <c r="CK98" s="52">
        <v>-32.22</v>
      </c>
      <c r="CL98" s="52">
        <v>-41.72</v>
      </c>
      <c r="CM98" s="52">
        <v>-42.41</v>
      </c>
      <c r="CN98" s="52">
        <v>-49.73</v>
      </c>
      <c r="CO98" s="52">
        <v>-54.92</v>
      </c>
      <c r="CP98" s="52">
        <v>-181.64</v>
      </c>
      <c r="CQ98" s="52">
        <v>-86.54</v>
      </c>
      <c r="CR98" s="52">
        <v>-145.44</v>
      </c>
      <c r="CS98" s="52">
        <v>-116.33</v>
      </c>
      <c r="CT98" s="52">
        <v>-107.39</v>
      </c>
      <c r="CU98" s="52">
        <v>-96.61</v>
      </c>
      <c r="CV98" s="430">
        <f t="shared" si="2"/>
        <v>-990.5200000000001</v>
      </c>
    </row>
    <row r="99" spans="1:100">
      <c r="A99" s="540" t="str">
        <f>+B99</f>
        <v>4893038</v>
      </c>
      <c r="B99" s="541" t="s">
        <v>2530</v>
      </c>
      <c r="C99" s="1080" t="s">
        <v>2532</v>
      </c>
      <c r="D99" s="52">
        <v>0</v>
      </c>
      <c r="E99" s="52">
        <v>0</v>
      </c>
      <c r="F99" s="52">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v>0</v>
      </c>
      <c r="AK99" s="52">
        <v>0</v>
      </c>
      <c r="AL99" s="52">
        <v>0</v>
      </c>
      <c r="AM99" s="52">
        <v>0</v>
      </c>
      <c r="AN99" s="52">
        <v>0</v>
      </c>
      <c r="AO99" s="52">
        <v>0</v>
      </c>
      <c r="AP99" s="52">
        <v>0</v>
      </c>
      <c r="AQ99" s="52">
        <v>0</v>
      </c>
      <c r="AR99" s="52">
        <v>0</v>
      </c>
      <c r="AS99" s="52">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-42.51</v>
      </c>
      <c r="CG99" s="52">
        <v>-12.28</v>
      </c>
      <c r="CH99" s="52">
        <v>-13.23</v>
      </c>
      <c r="CI99" s="52">
        <v>-9.14</v>
      </c>
      <c r="CJ99" s="52">
        <v>-4.43</v>
      </c>
      <c r="CK99" s="52">
        <v>-3.08</v>
      </c>
      <c r="CL99" s="52">
        <v>-6.92</v>
      </c>
      <c r="CM99" s="52">
        <v>-7.2</v>
      </c>
      <c r="CN99" s="52">
        <v>-10.16</v>
      </c>
      <c r="CO99" s="52">
        <v>-12.26</v>
      </c>
      <c r="CP99" s="52">
        <v>-23.7</v>
      </c>
      <c r="CQ99" s="52">
        <v>-15.09</v>
      </c>
      <c r="CR99" s="52">
        <v>-38.909999999999997</v>
      </c>
      <c r="CS99" s="52">
        <v>-27.14</v>
      </c>
      <c r="CT99" s="52">
        <v>-23.53</v>
      </c>
      <c r="CU99" s="52">
        <v>-19.170000000000002</v>
      </c>
      <c r="CV99" s="430">
        <f t="shared" si="2"/>
        <v>-191.58999999999997</v>
      </c>
    </row>
    <row r="100" spans="1:100">
      <c r="A100" s="540" t="str">
        <f t="shared" si="3"/>
        <v>4893040</v>
      </c>
      <c r="B100" s="541" t="s">
        <v>1931</v>
      </c>
      <c r="C100" s="463" t="s">
        <v>1025</v>
      </c>
      <c r="D100" s="426">
        <v>-87226.22</v>
      </c>
      <c r="E100" s="426">
        <v>-70954.070000000007</v>
      </c>
      <c r="F100" s="426">
        <v>-54346.74</v>
      </c>
      <c r="G100" s="426">
        <v>-52355.13</v>
      </c>
      <c r="H100" s="426">
        <v>-27061.9</v>
      </c>
      <c r="I100" s="426">
        <v>-20278.27</v>
      </c>
      <c r="J100" s="426">
        <v>-18302.810000000001</v>
      </c>
      <c r="K100" s="426">
        <v>-18205.580000000002</v>
      </c>
      <c r="L100" s="426">
        <v>-19801.150000000001</v>
      </c>
      <c r="M100" s="426">
        <v>-27105.91</v>
      </c>
      <c r="N100" s="426">
        <v>-57776.45</v>
      </c>
      <c r="O100" s="427">
        <v>-82604.2</v>
      </c>
      <c r="P100" s="52">
        <v>-76296.13</v>
      </c>
      <c r="Q100" s="52">
        <v>-84130.44</v>
      </c>
      <c r="R100" s="52">
        <v>-65827.41</v>
      </c>
      <c r="S100" s="52">
        <v>-29699.58</v>
      </c>
      <c r="T100" s="52">
        <v>-22228.92</v>
      </c>
      <c r="U100" s="52">
        <v>-20949.07</v>
      </c>
      <c r="V100" s="52">
        <v>-20092.07</v>
      </c>
      <c r="W100" s="52">
        <v>-21867.56</v>
      </c>
      <c r="X100" s="52">
        <v>-44566.2</v>
      </c>
      <c r="Y100" s="52">
        <v>-21965.34</v>
      </c>
      <c r="Z100" s="52">
        <v>-44193.04</v>
      </c>
      <c r="AA100" s="52">
        <v>-76346.31</v>
      </c>
      <c r="AB100" s="52">
        <v>-91658.63</v>
      </c>
      <c r="AC100" s="52">
        <v>-108943.36</v>
      </c>
      <c r="AD100" s="52">
        <v>-72443.83</v>
      </c>
      <c r="AE100" s="52">
        <v>-50313.09</v>
      </c>
      <c r="AF100" s="52">
        <v>-33398.370000000003</v>
      </c>
      <c r="AG100" s="52">
        <v>-20189.13</v>
      </c>
      <c r="AH100" s="52">
        <v>-20404.68</v>
      </c>
      <c r="AI100" s="52">
        <v>-22076.77</v>
      </c>
      <c r="AJ100" s="52">
        <v>-25307.22</v>
      </c>
      <c r="AK100" s="52">
        <v>-28711.71</v>
      </c>
      <c r="AL100" s="52">
        <v>-82502.259999999995</v>
      </c>
      <c r="AM100" s="52">
        <v>-90333.07</v>
      </c>
      <c r="AN100" s="52">
        <v>-94229.52</v>
      </c>
      <c r="AO100" s="52">
        <v>-94520.75</v>
      </c>
      <c r="AP100" s="52">
        <v>-71559.789999999994</v>
      </c>
      <c r="AQ100" s="52">
        <v>-73397.95</v>
      </c>
      <c r="AR100" s="52">
        <v>-37092.17</v>
      </c>
      <c r="AS100" s="52">
        <v>-24482.57</v>
      </c>
      <c r="AT100" s="52">
        <v>-22194.75</v>
      </c>
      <c r="AU100" s="52">
        <v>-22472.63</v>
      </c>
      <c r="AV100" s="52">
        <v>-26453.96</v>
      </c>
      <c r="AW100" s="52">
        <v>-30021.25</v>
      </c>
      <c r="AX100" s="52">
        <v>-68373.98</v>
      </c>
      <c r="AY100" s="52">
        <v>-90052.39</v>
      </c>
      <c r="AZ100" s="52">
        <v>-129753.60000000001</v>
      </c>
      <c r="BA100" s="52">
        <v>-107282.59</v>
      </c>
      <c r="BB100" s="52">
        <v>-62329.83</v>
      </c>
      <c r="BC100" s="52">
        <v>-82905.240000000005</v>
      </c>
      <c r="BD100" s="52">
        <v>-40131.11</v>
      </c>
      <c r="BE100" s="52">
        <v>-33106.35</v>
      </c>
      <c r="BF100" s="52">
        <v>-20636.560000000001</v>
      </c>
      <c r="BG100" s="52">
        <v>-26011.8</v>
      </c>
      <c r="BH100" s="52">
        <v>-30892.11</v>
      </c>
      <c r="BI100" s="52">
        <v>-28650.81</v>
      </c>
      <c r="BJ100" s="52">
        <v>-49031.11</v>
      </c>
      <c r="BK100" s="52">
        <v>-100247.02</v>
      </c>
      <c r="BL100" s="52">
        <v>-115702.04</v>
      </c>
      <c r="BM100" s="52">
        <v>-92765.31</v>
      </c>
      <c r="BN100" s="52">
        <v>-69576.44</v>
      </c>
      <c r="BO100" s="52">
        <v>-68677.23</v>
      </c>
      <c r="BP100" s="52">
        <v>-40960.28</v>
      </c>
      <c r="BQ100" s="52">
        <v>-25818.15</v>
      </c>
      <c r="BR100" s="52">
        <v>-21953.37</v>
      </c>
      <c r="BS100" s="52">
        <v>-25627.72</v>
      </c>
      <c r="BT100" s="52">
        <v>-26397.73</v>
      </c>
      <c r="BU100" s="52">
        <v>-33131.89</v>
      </c>
      <c r="BV100" s="52">
        <v>-49926.42</v>
      </c>
      <c r="BW100" s="52">
        <v>-100196.09</v>
      </c>
      <c r="BX100" s="52">
        <v>-106586.22</v>
      </c>
      <c r="BY100" s="52">
        <v>-90724.39</v>
      </c>
      <c r="BZ100" s="52">
        <v>-76928.52</v>
      </c>
      <c r="CA100" s="52">
        <v>-28696.12</v>
      </c>
      <c r="CB100" s="52">
        <v>-27866.37</v>
      </c>
      <c r="CC100" s="52">
        <v>-30022.13</v>
      </c>
      <c r="CD100" s="52">
        <v>-21742.43</v>
      </c>
      <c r="CE100" s="52">
        <v>-25072.97</v>
      </c>
      <c r="CF100" s="52">
        <v>-24563.71</v>
      </c>
      <c r="CG100" s="52">
        <v>-33607.370000000003</v>
      </c>
      <c r="CH100" s="52">
        <v>-56003.29</v>
      </c>
      <c r="CI100" s="52">
        <v>-110352.48</v>
      </c>
      <c r="CJ100" s="52">
        <v>-156015.32</v>
      </c>
      <c r="CK100" s="52">
        <v>-104128.2</v>
      </c>
      <c r="CL100" s="52">
        <v>-96666.26</v>
      </c>
      <c r="CM100" s="52">
        <v>-81313.539999999994</v>
      </c>
      <c r="CN100" s="52">
        <v>-47125.279999999999</v>
      </c>
      <c r="CO100" s="52">
        <v>-44149.32</v>
      </c>
      <c r="CP100" s="52">
        <v>-36278.400000000001</v>
      </c>
      <c r="CQ100" s="52">
        <v>-30586.26</v>
      </c>
      <c r="CR100" s="52">
        <v>-36588.92</v>
      </c>
      <c r="CS100" s="52">
        <v>-40766.19</v>
      </c>
      <c r="CT100" s="52">
        <v>-82334.759999999995</v>
      </c>
      <c r="CU100" s="52">
        <v>-121032.76</v>
      </c>
      <c r="CV100" s="430">
        <f t="shared" si="2"/>
        <v>-876985.21</v>
      </c>
    </row>
    <row r="101" spans="1:100">
      <c r="A101" s="540" t="str">
        <f t="shared" si="3"/>
        <v>4893041</v>
      </c>
      <c r="B101" s="541" t="s">
        <v>1933</v>
      </c>
      <c r="C101" s="463" t="s">
        <v>1026</v>
      </c>
      <c r="D101" s="428">
        <v>-3651.54</v>
      </c>
      <c r="E101" s="428">
        <v>-3412.79</v>
      </c>
      <c r="F101" s="428">
        <v>-2733.92</v>
      </c>
      <c r="G101" s="428">
        <v>-2428.2199999999998</v>
      </c>
      <c r="H101" s="428">
        <v>-1408.33</v>
      </c>
      <c r="I101" s="428">
        <v>-819.38</v>
      </c>
      <c r="J101" s="428">
        <v>-541.28</v>
      </c>
      <c r="K101" s="428">
        <v>-447.51</v>
      </c>
      <c r="L101" s="428">
        <v>-476.82</v>
      </c>
      <c r="M101" s="428">
        <v>-749.98</v>
      </c>
      <c r="N101" s="428">
        <v>-1953.09</v>
      </c>
      <c r="O101" s="429">
        <v>-3249.98</v>
      </c>
      <c r="P101" s="52">
        <v>-3458.39</v>
      </c>
      <c r="Q101" s="52">
        <v>-3804.02</v>
      </c>
      <c r="R101" s="52">
        <v>-3254.49</v>
      </c>
      <c r="S101" s="52">
        <v>-1752.26</v>
      </c>
      <c r="T101" s="52">
        <v>-995.38</v>
      </c>
      <c r="U101" s="52">
        <v>-686.5</v>
      </c>
      <c r="V101" s="52">
        <v>-523.79999999999995</v>
      </c>
      <c r="W101" s="52">
        <v>-541.65</v>
      </c>
      <c r="X101" s="52">
        <v>-1372.9</v>
      </c>
      <c r="Y101" s="52">
        <v>-827.53</v>
      </c>
      <c r="Z101" s="52">
        <v>-1439.82</v>
      </c>
      <c r="AA101" s="52">
        <v>-3986.19</v>
      </c>
      <c r="AB101" s="52">
        <v>-5464.92</v>
      </c>
      <c r="AC101" s="52">
        <v>-6835.55</v>
      </c>
      <c r="AD101" s="52">
        <v>-5394.82</v>
      </c>
      <c r="AE101" s="52">
        <v>-3759.5</v>
      </c>
      <c r="AF101" s="52">
        <v>-2344.79</v>
      </c>
      <c r="AG101" s="52">
        <v>-1180.33</v>
      </c>
      <c r="AH101" s="52">
        <v>-769.17</v>
      </c>
      <c r="AI101" s="52">
        <v>-725.82</v>
      </c>
      <c r="AJ101" s="52">
        <v>-874.54</v>
      </c>
      <c r="AK101" s="52">
        <v>-1098.68</v>
      </c>
      <c r="AL101" s="52">
        <v>-3929.02</v>
      </c>
      <c r="AM101" s="52">
        <v>-5310.42</v>
      </c>
      <c r="AN101" s="52">
        <v>-5975.66</v>
      </c>
      <c r="AO101" s="52">
        <v>-6190.57</v>
      </c>
      <c r="AP101" s="52">
        <v>-5090.12</v>
      </c>
      <c r="AQ101" s="52">
        <v>-4794.5200000000004</v>
      </c>
      <c r="AR101" s="52">
        <v>-2825.8</v>
      </c>
      <c r="AS101" s="52">
        <v>-1516.04</v>
      </c>
      <c r="AT101" s="52">
        <v>-950.51</v>
      </c>
      <c r="AU101" s="52">
        <v>-791.5</v>
      </c>
      <c r="AV101" s="52">
        <v>-952.99</v>
      </c>
      <c r="AW101" s="52">
        <v>-1107.92</v>
      </c>
      <c r="AX101" s="52">
        <v>-3241.82</v>
      </c>
      <c r="AY101" s="52">
        <v>-5058.22</v>
      </c>
      <c r="AZ101" s="52">
        <v>-7686.65</v>
      </c>
      <c r="BA101" s="52">
        <v>-7395.2</v>
      </c>
      <c r="BB101" s="52">
        <v>-4973.84</v>
      </c>
      <c r="BC101" s="52">
        <v>-5234.8599999999997</v>
      </c>
      <c r="BD101" s="52">
        <v>-3103.14</v>
      </c>
      <c r="BE101" s="52">
        <v>-2103</v>
      </c>
      <c r="BF101" s="52">
        <v>-1027.2</v>
      </c>
      <c r="BG101" s="52">
        <v>-998.32</v>
      </c>
      <c r="BH101" s="52">
        <v>-1269.92</v>
      </c>
      <c r="BI101" s="52">
        <v>-1167.55</v>
      </c>
      <c r="BJ101" s="52">
        <v>-2157.39</v>
      </c>
      <c r="BK101" s="52">
        <v>-5285.98</v>
      </c>
      <c r="BL101" s="52">
        <v>-7458.6</v>
      </c>
      <c r="BM101" s="52">
        <v>-7381.01</v>
      </c>
      <c r="BN101" s="52">
        <v>-5005.62</v>
      </c>
      <c r="BO101" s="52">
        <v>-4707.83</v>
      </c>
      <c r="BP101" s="52">
        <v>-3095.09</v>
      </c>
      <c r="BQ101" s="52">
        <v>-1733.01</v>
      </c>
      <c r="BR101" s="52">
        <v>-1023.21</v>
      </c>
      <c r="BS101" s="52">
        <v>-997.6</v>
      </c>
      <c r="BT101" s="52">
        <v>-1024.58</v>
      </c>
      <c r="BU101" s="52">
        <v>-1409.4</v>
      </c>
      <c r="BV101" s="52">
        <v>-2253.96</v>
      </c>
      <c r="BW101" s="52">
        <v>-5661.79</v>
      </c>
      <c r="BX101" s="52">
        <v>-6941.35</v>
      </c>
      <c r="BY101" s="52">
        <v>-6514.54</v>
      </c>
      <c r="BZ101" s="52">
        <v>-5811.28</v>
      </c>
      <c r="CA101" s="52">
        <v>-2567.65</v>
      </c>
      <c r="CB101" s="52">
        <v>-1633.35</v>
      </c>
      <c r="CC101" s="52">
        <v>-1439.51</v>
      </c>
      <c r="CD101" s="52">
        <v>-929.67</v>
      </c>
      <c r="CE101" s="52">
        <v>-935.27</v>
      </c>
      <c r="CF101" s="52">
        <v>-910.38</v>
      </c>
      <c r="CG101" s="52">
        <v>-1393.47</v>
      </c>
      <c r="CH101" s="52">
        <v>-2774.9</v>
      </c>
      <c r="CI101" s="52">
        <v>-5733.93</v>
      </c>
      <c r="CJ101" s="52">
        <v>-7949.54</v>
      </c>
      <c r="CK101" s="52">
        <v>-6833.61</v>
      </c>
      <c r="CL101" s="52">
        <v>-5390.72</v>
      </c>
      <c r="CM101" s="52">
        <v>-4595.68</v>
      </c>
      <c r="CN101" s="52">
        <v>-2810.53</v>
      </c>
      <c r="CO101" s="52">
        <v>-2081.48</v>
      </c>
      <c r="CP101" s="52">
        <v>-1493.31</v>
      </c>
      <c r="CQ101" s="52">
        <v>-1054.28</v>
      </c>
      <c r="CR101" s="52">
        <v>-1167.8900000000001</v>
      </c>
      <c r="CS101" s="52">
        <v>-1387.78</v>
      </c>
      <c r="CT101" s="52">
        <v>-3313.85</v>
      </c>
      <c r="CU101" s="52">
        <v>-5672.37</v>
      </c>
      <c r="CV101" s="430">
        <f t="shared" si="2"/>
        <v>-43751.040000000001</v>
      </c>
    </row>
    <row r="102" spans="1:100">
      <c r="A102" s="540" t="str">
        <f t="shared" si="3"/>
        <v>4893042</v>
      </c>
      <c r="B102" s="541" t="s">
        <v>1932</v>
      </c>
      <c r="C102" s="463" t="s">
        <v>1027</v>
      </c>
      <c r="D102" s="428">
        <v>-168684.59</v>
      </c>
      <c r="E102" s="428">
        <v>-137462.20000000001</v>
      </c>
      <c r="F102" s="428">
        <v>-111898.39</v>
      </c>
      <c r="G102" s="428">
        <v>-108996.72</v>
      </c>
      <c r="H102" s="428">
        <v>-78191.5</v>
      </c>
      <c r="I102" s="428">
        <v>-60890.63</v>
      </c>
      <c r="J102" s="428">
        <v>-45006.86</v>
      </c>
      <c r="K102" s="428">
        <v>-48727.27</v>
      </c>
      <c r="L102" s="428">
        <v>-56090.82</v>
      </c>
      <c r="M102" s="428">
        <v>-71328.39</v>
      </c>
      <c r="N102" s="428">
        <v>-117811.69</v>
      </c>
      <c r="O102" s="429">
        <v>-154020.35</v>
      </c>
      <c r="P102" s="52">
        <v>-154610.76</v>
      </c>
      <c r="Q102" s="52">
        <v>-164678.35</v>
      </c>
      <c r="R102" s="52">
        <v>-134671.1</v>
      </c>
      <c r="S102" s="52">
        <v>-78486.22</v>
      </c>
      <c r="T102" s="52">
        <v>-57328.959999999999</v>
      </c>
      <c r="U102" s="52">
        <v>-68505.88</v>
      </c>
      <c r="V102" s="52">
        <v>-50253.75</v>
      </c>
      <c r="W102" s="52">
        <v>-56851.38</v>
      </c>
      <c r="X102" s="52">
        <v>-55015.48</v>
      </c>
      <c r="Y102" s="52">
        <v>-71133.06</v>
      </c>
      <c r="Z102" s="52">
        <v>-96149.62</v>
      </c>
      <c r="AA102" s="52">
        <v>-139230.74</v>
      </c>
      <c r="AB102" s="52">
        <v>-158645.79999999999</v>
      </c>
      <c r="AC102" s="52">
        <v>-182068.94</v>
      </c>
      <c r="AD102" s="52">
        <v>-137279.84</v>
      </c>
      <c r="AE102" s="52">
        <v>-106038.27</v>
      </c>
      <c r="AF102" s="52">
        <v>-84860.83</v>
      </c>
      <c r="AG102" s="52">
        <v>-62518.92</v>
      </c>
      <c r="AH102" s="52">
        <v>-50239.360000000001</v>
      </c>
      <c r="AI102" s="52">
        <v>-52363.12</v>
      </c>
      <c r="AJ102" s="52">
        <v>-60457.760000000002</v>
      </c>
      <c r="AK102" s="52">
        <v>-71448.639999999999</v>
      </c>
      <c r="AL102" s="52">
        <v>-128068.47</v>
      </c>
      <c r="AM102" s="52">
        <v>-153442.10999999999</v>
      </c>
      <c r="AN102" s="52">
        <v>-150444.37</v>
      </c>
      <c r="AO102" s="52">
        <v>-167041.78</v>
      </c>
      <c r="AP102" s="52">
        <v>-131585.62</v>
      </c>
      <c r="AQ102" s="52">
        <v>-130990.13</v>
      </c>
      <c r="AR102" s="52">
        <v>-86171.91</v>
      </c>
      <c r="AS102" s="52">
        <v>-68412.61</v>
      </c>
      <c r="AT102" s="52">
        <v>-62972.79</v>
      </c>
      <c r="AU102" s="52">
        <v>-67808.84</v>
      </c>
      <c r="AV102" s="52">
        <v>-69746.89</v>
      </c>
      <c r="AW102" s="52">
        <v>-77065.919999999998</v>
      </c>
      <c r="AX102" s="52">
        <v>-137098.68</v>
      </c>
      <c r="AY102" s="52">
        <v>-176462.56</v>
      </c>
      <c r="AZ102" s="52">
        <v>-229184.44</v>
      </c>
      <c r="BA102" s="52">
        <v>-174675.39</v>
      </c>
      <c r="BB102" s="52">
        <v>-143859.04999999999</v>
      </c>
      <c r="BC102" s="52">
        <v>-158805.35</v>
      </c>
      <c r="BD102" s="52">
        <v>-102541.43</v>
      </c>
      <c r="BE102" s="52">
        <v>-85952.6</v>
      </c>
      <c r="BF102" s="52">
        <v>-53672.56</v>
      </c>
      <c r="BG102" s="52">
        <v>-63968.28</v>
      </c>
      <c r="BH102" s="52">
        <v>-78127.600000000006</v>
      </c>
      <c r="BI102" s="52">
        <v>-77330.92</v>
      </c>
      <c r="BJ102" s="52">
        <v>-116228.83</v>
      </c>
      <c r="BK102" s="52">
        <v>-175170.53</v>
      </c>
      <c r="BL102" s="52">
        <v>-211056.37</v>
      </c>
      <c r="BM102" s="52">
        <v>-167775.2</v>
      </c>
      <c r="BN102" s="52">
        <v>-144696.87</v>
      </c>
      <c r="BO102" s="52">
        <v>-141033.03</v>
      </c>
      <c r="BP102" s="52">
        <v>-92849.51</v>
      </c>
      <c r="BQ102" s="52">
        <v>-69563.88</v>
      </c>
      <c r="BR102" s="52">
        <v>-60947.43</v>
      </c>
      <c r="BS102" s="52">
        <v>-66705.08</v>
      </c>
      <c r="BT102" s="52">
        <v>-71683.86</v>
      </c>
      <c r="BU102" s="52">
        <v>-81560.7</v>
      </c>
      <c r="BV102" s="52">
        <v>-111755.92</v>
      </c>
      <c r="BW102" s="52">
        <v>-167656.91</v>
      </c>
      <c r="BX102" s="52">
        <v>-207586.89</v>
      </c>
      <c r="BY102" s="52">
        <v>-163581.07999999999</v>
      </c>
      <c r="BZ102" s="52">
        <v>-150500.54999999999</v>
      </c>
      <c r="CA102" s="52">
        <v>-61261.45</v>
      </c>
      <c r="CB102" s="52">
        <v>-64081.13</v>
      </c>
      <c r="CC102" s="52">
        <v>-80772.55</v>
      </c>
      <c r="CD102" s="52">
        <v>-56489.66</v>
      </c>
      <c r="CE102" s="52">
        <v>-64506.81</v>
      </c>
      <c r="CF102" s="52">
        <v>-63144.63</v>
      </c>
      <c r="CG102" s="52">
        <v>-89643.41</v>
      </c>
      <c r="CH102" s="52">
        <v>-123603.14</v>
      </c>
      <c r="CI102" s="52">
        <v>-195233.35</v>
      </c>
      <c r="CJ102" s="52">
        <v>-264968.68</v>
      </c>
      <c r="CK102" s="52">
        <v>-197782.87</v>
      </c>
      <c r="CL102" s="52">
        <v>-197046.73</v>
      </c>
      <c r="CM102" s="52">
        <v>-174430.37</v>
      </c>
      <c r="CN102" s="52">
        <v>-125720.6</v>
      </c>
      <c r="CO102" s="52">
        <v>-117309.62</v>
      </c>
      <c r="CP102" s="52">
        <v>-86432.06</v>
      </c>
      <c r="CQ102" s="52">
        <v>-76608.69</v>
      </c>
      <c r="CR102" s="52">
        <v>-87945.84</v>
      </c>
      <c r="CS102" s="52">
        <v>-101752.81</v>
      </c>
      <c r="CT102" s="52">
        <v>-155892.63</v>
      </c>
      <c r="CU102" s="52">
        <v>-202264.04</v>
      </c>
      <c r="CV102" s="430">
        <f t="shared" si="2"/>
        <v>-1788154.9400000004</v>
      </c>
    </row>
    <row r="103" spans="1:100">
      <c r="A103" s="540" t="str">
        <f t="shared" si="3"/>
        <v>4893043</v>
      </c>
      <c r="B103" s="541" t="s">
        <v>1934</v>
      </c>
      <c r="C103" s="463" t="s">
        <v>1028</v>
      </c>
      <c r="D103" s="426">
        <v>-7989.84</v>
      </c>
      <c r="E103" s="426">
        <v>-7370.5</v>
      </c>
      <c r="F103" s="426">
        <v>-6212.5</v>
      </c>
      <c r="G103" s="426">
        <v>-5718.58</v>
      </c>
      <c r="H103" s="426">
        <v>-4405.3</v>
      </c>
      <c r="I103" s="426">
        <v>-3332.9</v>
      </c>
      <c r="J103" s="426">
        <v>-2387.04</v>
      </c>
      <c r="K103" s="426">
        <v>-2207.42</v>
      </c>
      <c r="L103" s="426">
        <v>-2421.66</v>
      </c>
      <c r="M103" s="426">
        <v>-3057.46</v>
      </c>
      <c r="N103" s="426">
        <v>-4999.59</v>
      </c>
      <c r="O103" s="427">
        <v>-6993.84</v>
      </c>
      <c r="P103" s="52">
        <v>-7675.95</v>
      </c>
      <c r="Q103" s="52">
        <v>-8279.2000000000007</v>
      </c>
      <c r="R103" s="52">
        <v>-7361.23</v>
      </c>
      <c r="S103" s="52">
        <v>-4960.17</v>
      </c>
      <c r="T103" s="52">
        <v>-3368.62</v>
      </c>
      <c r="U103" s="52">
        <v>-3250.34</v>
      </c>
      <c r="V103" s="52">
        <v>-2541.77</v>
      </c>
      <c r="W103" s="52">
        <v>-2542.75</v>
      </c>
      <c r="X103" s="52">
        <v>-2472.08</v>
      </c>
      <c r="Y103" s="52">
        <v>-3047.42</v>
      </c>
      <c r="Z103" s="52">
        <v>-4168.51</v>
      </c>
      <c r="AA103" s="52">
        <v>-10397.09</v>
      </c>
      <c r="AB103" s="52">
        <v>-12855.75</v>
      </c>
      <c r="AC103" s="52">
        <v>-15125.71</v>
      </c>
      <c r="AD103" s="52">
        <v>-13026.01</v>
      </c>
      <c r="AE103" s="52">
        <v>-10320.700000000001</v>
      </c>
      <c r="AF103" s="52">
        <v>-8071.08</v>
      </c>
      <c r="AG103" s="52">
        <v>-5889.15</v>
      </c>
      <c r="AH103" s="52">
        <v>-4430.09</v>
      </c>
      <c r="AI103" s="52">
        <v>-4067.62</v>
      </c>
      <c r="AJ103" s="52">
        <v>-4463.3</v>
      </c>
      <c r="AK103" s="52">
        <v>-5286.27</v>
      </c>
      <c r="AL103" s="52">
        <v>-9152.1299999999992</v>
      </c>
      <c r="AM103" s="52">
        <v>-12056.06</v>
      </c>
      <c r="AN103" s="52">
        <v>-12881.46</v>
      </c>
      <c r="AO103" s="52">
        <v>-14113.94</v>
      </c>
      <c r="AP103" s="52">
        <v>-12309.37</v>
      </c>
      <c r="AQ103" s="52">
        <v>-11663.13</v>
      </c>
      <c r="AR103" s="52">
        <v>-8616.57</v>
      </c>
      <c r="AS103" s="52">
        <v>-6426.69</v>
      </c>
      <c r="AT103" s="52">
        <v>-5334.91</v>
      </c>
      <c r="AU103" s="52">
        <v>-5288.07</v>
      </c>
      <c r="AV103" s="52">
        <v>-5717.55</v>
      </c>
      <c r="AW103" s="52">
        <v>-5362.24</v>
      </c>
      <c r="AX103" s="52">
        <v>-10016.34</v>
      </c>
      <c r="AY103" s="52">
        <v>-13744.68</v>
      </c>
      <c r="AZ103" s="52">
        <v>-18337.04</v>
      </c>
      <c r="BA103" s="52">
        <v>-16421.45</v>
      </c>
      <c r="BB103" s="52">
        <v>-13806.12</v>
      </c>
      <c r="BC103" s="52">
        <v>-13873.5</v>
      </c>
      <c r="BD103" s="52">
        <v>-10320.129999999999</v>
      </c>
      <c r="BE103" s="52">
        <v>-8366.77</v>
      </c>
      <c r="BF103" s="52">
        <v>-5028.47</v>
      </c>
      <c r="BG103" s="52">
        <v>-4871.34</v>
      </c>
      <c r="BH103" s="52">
        <v>-5916.3</v>
      </c>
      <c r="BI103" s="52">
        <v>-5819.32</v>
      </c>
      <c r="BJ103" s="52">
        <v>-8191.49</v>
      </c>
      <c r="BK103" s="52">
        <v>-13260.86</v>
      </c>
      <c r="BL103" s="52">
        <v>-17911.73</v>
      </c>
      <c r="BM103" s="52">
        <v>-17599.669999999998</v>
      </c>
      <c r="BN103" s="52">
        <v>-13382.41</v>
      </c>
      <c r="BO103" s="52">
        <v>-12988.64</v>
      </c>
      <c r="BP103" s="52">
        <v>-9674.5300000000007</v>
      </c>
      <c r="BQ103" s="52">
        <v>-6993.43</v>
      </c>
      <c r="BR103" s="52">
        <v>-5599.89</v>
      </c>
      <c r="BS103" s="52">
        <v>-5486.84</v>
      </c>
      <c r="BT103" s="52">
        <v>-5793.62</v>
      </c>
      <c r="BU103" s="52">
        <v>-6583.54</v>
      </c>
      <c r="BV103" s="52">
        <v>-8154.76</v>
      </c>
      <c r="BW103" s="52">
        <v>-13825.26</v>
      </c>
      <c r="BX103" s="52">
        <v>-17667.599999999999</v>
      </c>
      <c r="BY103" s="52">
        <v>-16021.71</v>
      </c>
      <c r="BZ103" s="52">
        <v>-15045.06</v>
      </c>
      <c r="CA103" s="52">
        <v>-7780.37</v>
      </c>
      <c r="CB103" s="52">
        <v>-6069.63</v>
      </c>
      <c r="CC103" s="52">
        <v>-6606.47</v>
      </c>
      <c r="CD103" s="52">
        <v>-5163.9799999999996</v>
      </c>
      <c r="CE103" s="52">
        <v>-5205.43</v>
      </c>
      <c r="CF103" s="52">
        <v>-5139.25</v>
      </c>
      <c r="CG103" s="52">
        <v>-6900.27</v>
      </c>
      <c r="CH103" s="52">
        <v>-9763.19</v>
      </c>
      <c r="CI103" s="52">
        <v>-14346.51</v>
      </c>
      <c r="CJ103" s="52">
        <v>-17823.98</v>
      </c>
      <c r="CK103" s="52">
        <v>-16423.62</v>
      </c>
      <c r="CL103" s="52">
        <v>-14146.75</v>
      </c>
      <c r="CM103" s="52">
        <v>-13037.4</v>
      </c>
      <c r="CN103" s="52">
        <v>-10021.44</v>
      </c>
      <c r="CO103" s="52">
        <v>-8557.26</v>
      </c>
      <c r="CP103" s="52">
        <v>-6400.58</v>
      </c>
      <c r="CQ103" s="52">
        <v>-5139.1400000000003</v>
      </c>
      <c r="CR103" s="52">
        <v>-5347.94</v>
      </c>
      <c r="CS103" s="52">
        <v>-6163.16</v>
      </c>
      <c r="CT103" s="52">
        <v>-9389.17</v>
      </c>
      <c r="CU103" s="52">
        <v>-12981.41</v>
      </c>
      <c r="CV103" s="430">
        <f t="shared" si="2"/>
        <v>-125431.85</v>
      </c>
    </row>
    <row r="104" spans="1:100">
      <c r="A104" s="540" t="str">
        <f t="shared" si="3"/>
        <v>4893044</v>
      </c>
      <c r="B104" s="541" t="s">
        <v>1935</v>
      </c>
      <c r="C104" s="463" t="s">
        <v>1029</v>
      </c>
      <c r="D104" s="426">
        <v>-92585.67</v>
      </c>
      <c r="E104" s="426">
        <v>-72770.080000000002</v>
      </c>
      <c r="F104" s="426">
        <v>-66295.61</v>
      </c>
      <c r="G104" s="426">
        <v>-65928.81</v>
      </c>
      <c r="H104" s="426">
        <v>-59139.5</v>
      </c>
      <c r="I104" s="426">
        <v>-47267.18</v>
      </c>
      <c r="J104" s="426">
        <v>-33067.22</v>
      </c>
      <c r="K104" s="426">
        <v>-41703.43</v>
      </c>
      <c r="L104" s="426">
        <v>-42045.14</v>
      </c>
      <c r="M104" s="426">
        <v>-42361.01</v>
      </c>
      <c r="N104" s="426">
        <v>-59288.18</v>
      </c>
      <c r="O104" s="427">
        <v>-68231.45</v>
      </c>
      <c r="P104" s="52">
        <v>-79344.86</v>
      </c>
      <c r="Q104" s="52">
        <v>-92389.11</v>
      </c>
      <c r="R104" s="52">
        <v>-81252.28</v>
      </c>
      <c r="S104" s="52">
        <v>-54147.45</v>
      </c>
      <c r="T104" s="52">
        <v>-40737.910000000003</v>
      </c>
      <c r="U104" s="52">
        <v>-56781.65</v>
      </c>
      <c r="V104" s="52">
        <v>-30764.720000000001</v>
      </c>
      <c r="W104" s="52">
        <v>-39091.83</v>
      </c>
      <c r="X104" s="52">
        <v>-35706.129999999997</v>
      </c>
      <c r="Y104" s="52">
        <v>-41805.040000000001</v>
      </c>
      <c r="Z104" s="52">
        <v>-49708.31</v>
      </c>
      <c r="AA104" s="52">
        <v>-68244.94</v>
      </c>
      <c r="AB104" s="52">
        <v>-79241.66</v>
      </c>
      <c r="AC104" s="52">
        <v>-75781.06</v>
      </c>
      <c r="AD104" s="52">
        <v>-61852.71</v>
      </c>
      <c r="AE104" s="52">
        <v>-53921.93</v>
      </c>
      <c r="AF104" s="52">
        <v>-46949.88</v>
      </c>
      <c r="AG104" s="52">
        <v>-33851.879999999997</v>
      </c>
      <c r="AH104" s="52">
        <v>-36536.01</v>
      </c>
      <c r="AI104" s="52">
        <v>-35384.92</v>
      </c>
      <c r="AJ104" s="52">
        <v>-39846.019999999997</v>
      </c>
      <c r="AK104" s="52">
        <v>-39384.35</v>
      </c>
      <c r="AL104" s="52">
        <v>-59078.82</v>
      </c>
      <c r="AM104" s="52">
        <v>-66244.11</v>
      </c>
      <c r="AN104" s="52">
        <v>-13499.3</v>
      </c>
      <c r="AO104" s="52">
        <v>-138018.47</v>
      </c>
      <c r="AP104" s="52">
        <v>-50351.42</v>
      </c>
      <c r="AQ104" s="52">
        <v>-69890.429999999993</v>
      </c>
      <c r="AR104" s="52">
        <v>-47543.49</v>
      </c>
      <c r="AS104" s="52">
        <v>-38067.25</v>
      </c>
      <c r="AT104" s="52">
        <v>-30956.25</v>
      </c>
      <c r="AU104" s="52">
        <v>-31975.11</v>
      </c>
      <c r="AV104" s="52">
        <v>-34809.129999999997</v>
      </c>
      <c r="AW104" s="52">
        <v>-39606.68</v>
      </c>
      <c r="AX104" s="52">
        <v>-48253.67</v>
      </c>
      <c r="AY104" s="52">
        <v>-52562.41</v>
      </c>
      <c r="AZ104" s="52">
        <v>-70578.03</v>
      </c>
      <c r="BA104" s="52">
        <v>-55406.1</v>
      </c>
      <c r="BB104" s="52">
        <v>-60205.66</v>
      </c>
      <c r="BC104" s="52">
        <v>-73436.28</v>
      </c>
      <c r="BD104" s="52">
        <v>-37572.9</v>
      </c>
      <c r="BE104" s="52">
        <v>-46128.1</v>
      </c>
      <c r="BF104" s="52">
        <v>-34931.370000000003</v>
      </c>
      <c r="BG104" s="52">
        <v>-40378.639999999999</v>
      </c>
      <c r="BH104" s="52">
        <v>-46109.99</v>
      </c>
      <c r="BI104" s="52">
        <v>-48095.32</v>
      </c>
      <c r="BJ104" s="52">
        <v>-55759.58</v>
      </c>
      <c r="BK104" s="52">
        <v>-72449.84</v>
      </c>
      <c r="BL104" s="52">
        <v>-83101.820000000007</v>
      </c>
      <c r="BM104" s="52">
        <v>-68951</v>
      </c>
      <c r="BN104" s="52">
        <v>-65485.52</v>
      </c>
      <c r="BO104" s="52">
        <v>-63896.71</v>
      </c>
      <c r="BP104" s="52">
        <v>-55204.7</v>
      </c>
      <c r="BQ104" s="52">
        <v>-44460.3</v>
      </c>
      <c r="BR104" s="52">
        <v>-37939.870000000003</v>
      </c>
      <c r="BS104" s="52">
        <v>-40042.03</v>
      </c>
      <c r="BT104" s="52">
        <v>-44387.87</v>
      </c>
      <c r="BU104" s="52">
        <v>-54556.76</v>
      </c>
      <c r="BV104" s="52">
        <v>-55504.34</v>
      </c>
      <c r="BW104" s="52">
        <v>-73537.210000000006</v>
      </c>
      <c r="BX104" s="52">
        <v>-89131.88</v>
      </c>
      <c r="BY104" s="52">
        <v>-73096.69</v>
      </c>
      <c r="BZ104" s="52">
        <v>-67935.42</v>
      </c>
      <c r="CA104" s="52">
        <v>-37312.58</v>
      </c>
      <c r="CB104" s="52">
        <v>-33497.57</v>
      </c>
      <c r="CC104" s="52">
        <v>-46598.05</v>
      </c>
      <c r="CD104" s="52">
        <v>-38098.71</v>
      </c>
      <c r="CE104" s="52">
        <v>-44535.98</v>
      </c>
      <c r="CF104" s="52">
        <v>-38700.36</v>
      </c>
      <c r="CG104" s="52">
        <v>-46703.839999999997</v>
      </c>
      <c r="CH104" s="52">
        <v>-63103.33</v>
      </c>
      <c r="CI104" s="52">
        <v>-73226.45</v>
      </c>
      <c r="CJ104" s="52">
        <v>-122324.19</v>
      </c>
      <c r="CK104" s="52">
        <v>-87442.48</v>
      </c>
      <c r="CL104" s="52">
        <v>-89752.37</v>
      </c>
      <c r="CM104" s="52">
        <v>-90963.199999999997</v>
      </c>
      <c r="CN104" s="52">
        <v>-74060.92</v>
      </c>
      <c r="CO104" s="52">
        <v>-73371.38</v>
      </c>
      <c r="CP104" s="52">
        <v>-75460.2</v>
      </c>
      <c r="CQ104" s="52">
        <v>-59166.71</v>
      </c>
      <c r="CR104" s="52">
        <v>-69435.95</v>
      </c>
      <c r="CS104" s="52">
        <v>-74003.679999999993</v>
      </c>
      <c r="CT104" s="52">
        <v>-94220.63</v>
      </c>
      <c r="CU104" s="52">
        <v>-112360.77</v>
      </c>
      <c r="CV104" s="430">
        <f t="shared" si="2"/>
        <v>-1022562.4799999999</v>
      </c>
    </row>
    <row r="105" spans="1:100">
      <c r="A105" s="540" t="str">
        <f t="shared" si="3"/>
        <v>4893045</v>
      </c>
      <c r="B105" s="541" t="s">
        <v>1936</v>
      </c>
      <c r="C105" s="463" t="s">
        <v>1030</v>
      </c>
      <c r="D105" s="428">
        <v>-5037.63</v>
      </c>
      <c r="E105" s="428">
        <v>-4540.32</v>
      </c>
      <c r="F105" s="428">
        <v>-4095.87</v>
      </c>
      <c r="G105" s="428">
        <v>-3931.94</v>
      </c>
      <c r="H105" s="428">
        <v>-3575.31</v>
      </c>
      <c r="I105" s="428">
        <v>-2948.7</v>
      </c>
      <c r="J105" s="428">
        <v>-2138.31</v>
      </c>
      <c r="K105" s="428">
        <v>-2236.63</v>
      </c>
      <c r="L105" s="428">
        <v>-2284.17</v>
      </c>
      <c r="M105" s="428">
        <v>-2313.6</v>
      </c>
      <c r="N105" s="428">
        <v>-3042.31</v>
      </c>
      <c r="O105" s="429">
        <v>-3673.42</v>
      </c>
      <c r="P105" s="52">
        <v>-4352.75</v>
      </c>
      <c r="Q105" s="52">
        <v>-5138.95</v>
      </c>
      <c r="R105" s="52">
        <v>-4926.43</v>
      </c>
      <c r="S105" s="52">
        <v>-3685.54</v>
      </c>
      <c r="T105" s="52">
        <v>-2691.48</v>
      </c>
      <c r="U105" s="52">
        <v>-3050.68</v>
      </c>
      <c r="V105" s="52">
        <v>-2108.6799999999998</v>
      </c>
      <c r="W105" s="52">
        <v>-2143.44</v>
      </c>
      <c r="X105" s="52">
        <v>-2006.06</v>
      </c>
      <c r="Y105" s="52">
        <v>-2213.14</v>
      </c>
      <c r="Z105" s="52">
        <v>-2625.52</v>
      </c>
      <c r="AA105" s="52">
        <v>-6560.93</v>
      </c>
      <c r="AB105" s="52">
        <v>-8007.55</v>
      </c>
      <c r="AC105" s="52">
        <v>-8215.34</v>
      </c>
      <c r="AD105" s="52">
        <v>-7179.96</v>
      </c>
      <c r="AE105" s="52">
        <v>-6217.7</v>
      </c>
      <c r="AF105" s="52">
        <v>-5344.02</v>
      </c>
      <c r="AG105" s="52">
        <v>-3990.23</v>
      </c>
      <c r="AH105" s="52">
        <v>-3716.13</v>
      </c>
      <c r="AI105" s="52">
        <v>-3527.59</v>
      </c>
      <c r="AJ105" s="52">
        <v>-3824.41</v>
      </c>
      <c r="AK105" s="52">
        <v>-3868.97</v>
      </c>
      <c r="AL105" s="52">
        <v>-5451.67</v>
      </c>
      <c r="AM105" s="52">
        <v>-6547.5</v>
      </c>
      <c r="AN105" s="52">
        <v>-3080.59</v>
      </c>
      <c r="AO105" s="52">
        <v>-11122.34</v>
      </c>
      <c r="AP105" s="52">
        <v>-7117.84</v>
      </c>
      <c r="AQ105" s="52">
        <v>-7386.14</v>
      </c>
      <c r="AR105" s="52">
        <v>-5715.13</v>
      </c>
      <c r="AS105" s="52">
        <v>-4329.33</v>
      </c>
      <c r="AT105" s="52">
        <v>-3481.85</v>
      </c>
      <c r="AU105" s="52">
        <v>-3226.62</v>
      </c>
      <c r="AV105" s="52">
        <v>-3566.73</v>
      </c>
      <c r="AW105" s="52">
        <v>-3520.3</v>
      </c>
      <c r="AX105" s="52">
        <v>-4691.63</v>
      </c>
      <c r="AY105" s="52">
        <v>-5310.17</v>
      </c>
      <c r="AZ105" s="52">
        <v>-6867.88</v>
      </c>
      <c r="BA105" s="52">
        <v>-6231.4</v>
      </c>
      <c r="BB105" s="52">
        <v>-6359.13</v>
      </c>
      <c r="BC105" s="52">
        <v>-7477.42</v>
      </c>
      <c r="BD105" s="52">
        <v>-4999.26</v>
      </c>
      <c r="BE105" s="52">
        <v>-4985.38</v>
      </c>
      <c r="BF105" s="52">
        <v>-3730.62</v>
      </c>
      <c r="BG105" s="52">
        <v>-3886.82</v>
      </c>
      <c r="BH105" s="52">
        <v>-4573.1899999999996</v>
      </c>
      <c r="BI105" s="52">
        <v>-4651.04</v>
      </c>
      <c r="BJ105" s="52">
        <v>-5244.53</v>
      </c>
      <c r="BK105" s="52">
        <v>-7121.68</v>
      </c>
      <c r="BL105" s="52">
        <v>-8877.81</v>
      </c>
      <c r="BM105" s="52">
        <v>-8773.83</v>
      </c>
      <c r="BN105" s="52">
        <v>-7175.53</v>
      </c>
      <c r="BO105" s="52">
        <v>-7155.82</v>
      </c>
      <c r="BP105" s="52">
        <v>-6397.7</v>
      </c>
      <c r="BQ105" s="52">
        <v>-5313.76</v>
      </c>
      <c r="BR105" s="52">
        <v>-4396.3</v>
      </c>
      <c r="BS105" s="52">
        <v>-4260.04</v>
      </c>
      <c r="BT105" s="52">
        <v>-4577.3100000000004</v>
      </c>
      <c r="BU105" s="52">
        <v>-5531.72</v>
      </c>
      <c r="BV105" s="52">
        <v>-5456.03</v>
      </c>
      <c r="BW105" s="52">
        <v>-7881.55</v>
      </c>
      <c r="BX105" s="52">
        <v>-9518.68</v>
      </c>
      <c r="BY105" s="52">
        <v>-8726.2199999999993</v>
      </c>
      <c r="BZ105" s="52">
        <v>-8308.2000000000007</v>
      </c>
      <c r="CA105" s="52">
        <v>-5059.2</v>
      </c>
      <c r="CB105" s="52">
        <v>-3934.8</v>
      </c>
      <c r="CC105" s="52">
        <v>-4653.28</v>
      </c>
      <c r="CD105" s="52">
        <v>-4171.59</v>
      </c>
      <c r="CE105" s="52">
        <v>-4542.34</v>
      </c>
      <c r="CF105" s="52">
        <v>-4184.83</v>
      </c>
      <c r="CG105" s="52">
        <v>-4733.6099999999997</v>
      </c>
      <c r="CH105" s="52">
        <v>-6285.26</v>
      </c>
      <c r="CI105" s="52">
        <v>-7080.77</v>
      </c>
      <c r="CJ105" s="52">
        <v>-9379.86</v>
      </c>
      <c r="CK105" s="52">
        <v>-8466.91</v>
      </c>
      <c r="CL105" s="52">
        <v>-7385.2</v>
      </c>
      <c r="CM105" s="52">
        <v>-7562.88</v>
      </c>
      <c r="CN105" s="52">
        <v>-6411.5</v>
      </c>
      <c r="CO105" s="52">
        <v>-5978.39</v>
      </c>
      <c r="CP105" s="52">
        <v>-5848.23</v>
      </c>
      <c r="CQ105" s="52">
        <v>-4682.9799999999996</v>
      </c>
      <c r="CR105" s="52">
        <v>-5030.1400000000003</v>
      </c>
      <c r="CS105" s="52">
        <v>-5472.91</v>
      </c>
      <c r="CT105" s="52">
        <v>-7068.48</v>
      </c>
      <c r="CU105" s="52">
        <v>-8899.6299999999992</v>
      </c>
      <c r="CV105" s="430">
        <f t="shared" si="2"/>
        <v>-82187.11</v>
      </c>
    </row>
    <row r="106" spans="1:100">
      <c r="A106" s="540" t="str">
        <f t="shared" si="3"/>
        <v>4893050</v>
      </c>
      <c r="B106" s="541" t="s">
        <v>1937</v>
      </c>
      <c r="C106" s="463" t="s">
        <v>1031</v>
      </c>
      <c r="D106" s="428">
        <v>-2031612.74</v>
      </c>
      <c r="E106" s="428">
        <v>-1781386.76</v>
      </c>
      <c r="F106" s="428">
        <v>-1783532.65</v>
      </c>
      <c r="G106" s="428">
        <v>-1695469.43</v>
      </c>
      <c r="H106" s="428">
        <v>-1522375.86</v>
      </c>
      <c r="I106" s="428">
        <v>-1609840.85</v>
      </c>
      <c r="J106" s="428">
        <v>-1426095.55</v>
      </c>
      <c r="K106" s="428">
        <v>-1421401.99</v>
      </c>
      <c r="L106" s="428">
        <v>-1568297.96</v>
      </c>
      <c r="M106" s="428">
        <v>-1537018.47</v>
      </c>
      <c r="N106" s="428">
        <v>-1589676.93</v>
      </c>
      <c r="O106" s="429">
        <v>-1841779.11</v>
      </c>
      <c r="P106" s="52">
        <v>-2021826.86</v>
      </c>
      <c r="Q106" s="52">
        <v>-1928857.58</v>
      </c>
      <c r="R106" s="52">
        <v>-1997059.79</v>
      </c>
      <c r="S106" s="52">
        <v>-1720935.48</v>
      </c>
      <c r="T106" s="52">
        <v>-1522375.83</v>
      </c>
      <c r="U106" s="52">
        <v>-1592332.83</v>
      </c>
      <c r="V106" s="52">
        <v>-1593975.59</v>
      </c>
      <c r="W106" s="52">
        <v>-1629768.9</v>
      </c>
      <c r="X106" s="52">
        <v>-1571848.36</v>
      </c>
      <c r="Y106" s="52">
        <v>-1622928.46</v>
      </c>
      <c r="Z106" s="52">
        <v>-1736121.36</v>
      </c>
      <c r="AA106" s="52">
        <v>-1880799.89</v>
      </c>
      <c r="AB106" s="52">
        <v>-2142882.1</v>
      </c>
      <c r="AC106" s="52">
        <v>-2068268.42</v>
      </c>
      <c r="AD106" s="52">
        <v>-1961986.06</v>
      </c>
      <c r="AE106" s="52">
        <v>-1911790</v>
      </c>
      <c r="AF106" s="52">
        <v>-1780275.29</v>
      </c>
      <c r="AG106" s="52">
        <v>-1704166.33</v>
      </c>
      <c r="AH106" s="52">
        <v>-1614186.49</v>
      </c>
      <c r="AI106" s="52">
        <v>-1655740.83</v>
      </c>
      <c r="AJ106" s="52">
        <v>-1708372.49</v>
      </c>
      <c r="AK106" s="52">
        <v>-1642001.36</v>
      </c>
      <c r="AL106" s="52">
        <v>-1874045.58</v>
      </c>
      <c r="AM106" s="52">
        <v>-2048365.84</v>
      </c>
      <c r="AN106" s="52">
        <v>-2226712.7200000002</v>
      </c>
      <c r="AO106" s="52">
        <v>-1981775.97</v>
      </c>
      <c r="AP106" s="52">
        <v>-1957755.71</v>
      </c>
      <c r="AQ106" s="52">
        <v>-2030083.88</v>
      </c>
      <c r="AR106" s="52">
        <v>-1769185.12</v>
      </c>
      <c r="AS106" s="52">
        <v>-1779864.27</v>
      </c>
      <c r="AT106" s="52">
        <v>-1720054.72</v>
      </c>
      <c r="AU106" s="52">
        <v>-1725163.14</v>
      </c>
      <c r="AV106" s="52">
        <v>-1808337.74</v>
      </c>
      <c r="AW106" s="52">
        <v>-1679457.72</v>
      </c>
      <c r="AX106" s="52">
        <v>-1847424.64</v>
      </c>
      <c r="AY106" s="52">
        <v>-1989890.83</v>
      </c>
      <c r="AZ106" s="52">
        <v>-2544457.5099999998</v>
      </c>
      <c r="BA106" s="52">
        <v>-2120682.85</v>
      </c>
      <c r="BB106" s="52">
        <v>-2030638.31</v>
      </c>
      <c r="BC106" s="52">
        <v>-2152599.63</v>
      </c>
      <c r="BD106" s="52">
        <v>-1857300.26</v>
      </c>
      <c r="BE106" s="52">
        <v>-1862099.6</v>
      </c>
      <c r="BF106" s="52">
        <v>-1788356.62</v>
      </c>
      <c r="BG106" s="52">
        <v>-1749691.19</v>
      </c>
      <c r="BH106" s="52">
        <v>-1910560.37</v>
      </c>
      <c r="BI106" s="52">
        <v>-1744216.92</v>
      </c>
      <c r="BJ106" s="52">
        <v>-1898580.68</v>
      </c>
      <c r="BK106" s="52">
        <v>-2159059.37</v>
      </c>
      <c r="BL106" s="52">
        <v>-2191844.08</v>
      </c>
      <c r="BM106" s="52">
        <v>-1940560.57</v>
      </c>
      <c r="BN106" s="52">
        <v>-2153181.63</v>
      </c>
      <c r="BO106" s="52">
        <v>-2019802.11</v>
      </c>
      <c r="BP106" s="52">
        <v>-1840751.07</v>
      </c>
      <c r="BQ106" s="52">
        <v>-1754656.05</v>
      </c>
      <c r="BR106" s="52">
        <v>-1670379</v>
      </c>
      <c r="BS106" s="52">
        <v>-1706655.51</v>
      </c>
      <c r="BT106" s="52">
        <v>-1783260.67</v>
      </c>
      <c r="BU106" s="52">
        <v>-1695464.19</v>
      </c>
      <c r="BV106" s="52">
        <v>-2034790.44</v>
      </c>
      <c r="BW106" s="52">
        <v>-1997520.8</v>
      </c>
      <c r="BX106" s="52">
        <v>-2264940.39</v>
      </c>
      <c r="BY106" s="52">
        <v>-2117273.2400000002</v>
      </c>
      <c r="BZ106" s="52">
        <v>-1939260.2</v>
      </c>
      <c r="CA106" s="52">
        <v>-1349206.52</v>
      </c>
      <c r="CB106" s="52">
        <v>-1291496.6299999999</v>
      </c>
      <c r="CC106" s="52">
        <v>-1682770.23</v>
      </c>
      <c r="CD106" s="52">
        <v>-1582252.56</v>
      </c>
      <c r="CE106" s="52">
        <v>-1613325.36</v>
      </c>
      <c r="CF106" s="52">
        <v>-1609308.36</v>
      </c>
      <c r="CG106" s="52">
        <v>-1616782.84</v>
      </c>
      <c r="CH106" s="52">
        <v>-1813562.6</v>
      </c>
      <c r="CI106" s="52">
        <v>-2200275.6</v>
      </c>
      <c r="CJ106" s="52">
        <v>-3006129.33</v>
      </c>
      <c r="CK106" s="52">
        <v>-2445627.0699999998</v>
      </c>
      <c r="CL106" s="52">
        <v>-2612261.08</v>
      </c>
      <c r="CM106" s="52">
        <v>-2598146.6</v>
      </c>
      <c r="CN106" s="52">
        <v>-2287846.84</v>
      </c>
      <c r="CO106" s="52">
        <v>-2300903.86</v>
      </c>
      <c r="CP106" s="52">
        <v>-2409971.39</v>
      </c>
      <c r="CQ106" s="52">
        <v>-2300701.5499999998</v>
      </c>
      <c r="CR106" s="52">
        <v>-2390296.63</v>
      </c>
      <c r="CS106" s="52">
        <v>-2283980.9900000002</v>
      </c>
      <c r="CT106" s="52">
        <v>-2494914.1</v>
      </c>
      <c r="CU106" s="52">
        <v>-2975911.41</v>
      </c>
      <c r="CV106" s="430">
        <f t="shared" si="2"/>
        <v>-30106690.849999998</v>
      </c>
    </row>
    <row r="107" spans="1:100">
      <c r="A107" s="540" t="str">
        <f t="shared" si="3"/>
        <v>4893051</v>
      </c>
      <c r="B107" s="541" t="s">
        <v>1938</v>
      </c>
      <c r="C107" s="463" t="s">
        <v>1032</v>
      </c>
      <c r="D107" s="426">
        <v>-83586.559999999998</v>
      </c>
      <c r="E107" s="426">
        <v>-79581.25</v>
      </c>
      <c r="F107" s="426">
        <v>-77961.990000000005</v>
      </c>
      <c r="G107" s="426">
        <v>-73906.850000000006</v>
      </c>
      <c r="H107" s="426">
        <v>-66809.14</v>
      </c>
      <c r="I107" s="426">
        <v>-67379.600000000006</v>
      </c>
      <c r="J107" s="426">
        <v>-61510.22</v>
      </c>
      <c r="K107" s="426">
        <v>-59011.03</v>
      </c>
      <c r="L107" s="426">
        <v>-63421.53</v>
      </c>
      <c r="M107" s="426">
        <v>-63610.35</v>
      </c>
      <c r="N107" s="426">
        <v>-65543.83</v>
      </c>
      <c r="O107" s="427">
        <v>-75168.259999999995</v>
      </c>
      <c r="P107" s="52">
        <v>-84893.37</v>
      </c>
      <c r="Q107" s="52">
        <v>-84671.2</v>
      </c>
      <c r="R107" s="52">
        <v>-86924.17</v>
      </c>
      <c r="S107" s="52">
        <v>-77488.97</v>
      </c>
      <c r="T107" s="52">
        <v>-67078.94</v>
      </c>
      <c r="U107" s="52">
        <v>-69214.789999999994</v>
      </c>
      <c r="V107" s="52">
        <v>-66015.210000000006</v>
      </c>
      <c r="W107" s="52">
        <v>-67059.990000000005</v>
      </c>
      <c r="X107" s="52">
        <v>-65305.48</v>
      </c>
      <c r="Y107" s="52">
        <v>-66327.350000000006</v>
      </c>
      <c r="Z107" s="52">
        <v>-70172.88</v>
      </c>
      <c r="AA107" s="52">
        <v>-110709.18</v>
      </c>
      <c r="AB107" s="52">
        <v>-127004.24</v>
      </c>
      <c r="AC107" s="52">
        <v>-128514.11</v>
      </c>
      <c r="AD107" s="52">
        <v>-123368.86</v>
      </c>
      <c r="AE107" s="52">
        <v>-118965.16</v>
      </c>
      <c r="AF107" s="52">
        <v>-110594.79</v>
      </c>
      <c r="AG107" s="52">
        <v>-103607.01</v>
      </c>
      <c r="AH107" s="52">
        <v>-97082.8</v>
      </c>
      <c r="AI107" s="52">
        <v>-96808.82</v>
      </c>
      <c r="AJ107" s="52">
        <v>-99383.07</v>
      </c>
      <c r="AK107" s="52">
        <v>-96577.01</v>
      </c>
      <c r="AL107" s="52">
        <v>-107477.83</v>
      </c>
      <c r="AM107" s="52">
        <v>-120084.85</v>
      </c>
      <c r="AN107" s="52">
        <v>-133632.48000000001</v>
      </c>
      <c r="AO107" s="52">
        <v>-125365.29</v>
      </c>
      <c r="AP107" s="52">
        <v>-121219.73</v>
      </c>
      <c r="AQ107" s="52">
        <v>-123373.73</v>
      </c>
      <c r="AR107" s="52">
        <v>-110829.1</v>
      </c>
      <c r="AS107" s="52">
        <v>-106860.47</v>
      </c>
      <c r="AT107" s="52">
        <v>-103034.81</v>
      </c>
      <c r="AU107" s="52">
        <v>-101583.83</v>
      </c>
      <c r="AV107" s="52">
        <v>-107228.19</v>
      </c>
      <c r="AW107" s="52">
        <v>-96638.25</v>
      </c>
      <c r="AX107" s="52">
        <v>-108128.89</v>
      </c>
      <c r="AY107" s="52">
        <v>-118565.73</v>
      </c>
      <c r="AZ107" s="52">
        <v>-148524.13</v>
      </c>
      <c r="BA107" s="52">
        <v>-137379.38</v>
      </c>
      <c r="BB107" s="52">
        <v>-128627.08</v>
      </c>
      <c r="BC107" s="52">
        <v>-131996.56</v>
      </c>
      <c r="BD107" s="52">
        <v>-117660.69</v>
      </c>
      <c r="BE107" s="52">
        <v>-116943.52</v>
      </c>
      <c r="BF107" s="52">
        <v>-105531.64</v>
      </c>
      <c r="BG107" s="52">
        <v>-103394.86</v>
      </c>
      <c r="BH107" s="52">
        <v>-114490.35</v>
      </c>
      <c r="BI107" s="52">
        <v>-102190.43</v>
      </c>
      <c r="BJ107" s="52">
        <v>-106631.7</v>
      </c>
      <c r="BK107" s="52">
        <v>-128096.31</v>
      </c>
      <c r="BL107" s="52">
        <v>-141908.64000000001</v>
      </c>
      <c r="BM107" s="52">
        <v>-140612.81</v>
      </c>
      <c r="BN107" s="52">
        <v>-131006.11</v>
      </c>
      <c r="BO107" s="52">
        <v>-130843.58</v>
      </c>
      <c r="BP107" s="52">
        <v>-120857.38</v>
      </c>
      <c r="BQ107" s="52">
        <v>-112887.09</v>
      </c>
      <c r="BR107" s="52">
        <v>-105785.45</v>
      </c>
      <c r="BS107" s="52">
        <v>-105057.25</v>
      </c>
      <c r="BT107" s="52">
        <v>-109202.46</v>
      </c>
      <c r="BU107" s="52">
        <v>-105632.65</v>
      </c>
      <c r="BV107" s="52">
        <v>-113015.74</v>
      </c>
      <c r="BW107" s="52">
        <v>-132826.69</v>
      </c>
      <c r="BX107" s="52">
        <v>-143673.13</v>
      </c>
      <c r="BY107" s="52">
        <v>-139768.73000000001</v>
      </c>
      <c r="BZ107" s="52">
        <v>-132967.04000000001</v>
      </c>
      <c r="CA107" s="52">
        <v>-89866.77</v>
      </c>
      <c r="CB107" s="52">
        <v>-76847.92</v>
      </c>
      <c r="CC107" s="52">
        <v>-93703.47</v>
      </c>
      <c r="CD107" s="52">
        <v>-93949.759999999995</v>
      </c>
      <c r="CE107" s="52">
        <v>-95691.68</v>
      </c>
      <c r="CF107" s="52">
        <v>-96116.07</v>
      </c>
      <c r="CG107" s="52">
        <v>-96946.29</v>
      </c>
      <c r="CH107" s="52">
        <v>-107484.07</v>
      </c>
      <c r="CI107" s="52">
        <v>-122126.97</v>
      </c>
      <c r="CJ107" s="52">
        <v>-145318.64000000001</v>
      </c>
      <c r="CK107" s="52">
        <v>-138670.04999999999</v>
      </c>
      <c r="CL107" s="52">
        <v>-128607.83</v>
      </c>
      <c r="CM107" s="52">
        <v>-131924.26</v>
      </c>
      <c r="CN107" s="52">
        <v>-119354.22</v>
      </c>
      <c r="CO107" s="52">
        <v>-115383.91</v>
      </c>
      <c r="CP107" s="52">
        <v>-119182.18</v>
      </c>
      <c r="CQ107" s="52">
        <v>-115327.97</v>
      </c>
      <c r="CR107" s="52">
        <v>-117995.68</v>
      </c>
      <c r="CS107" s="52">
        <v>-113976.41</v>
      </c>
      <c r="CT107" s="52">
        <v>-121914.48</v>
      </c>
      <c r="CU107" s="52">
        <v>-145795.72</v>
      </c>
      <c r="CV107" s="430">
        <f t="shared" si="2"/>
        <v>-1513451.3499999999</v>
      </c>
    </row>
    <row r="108" spans="1:100">
      <c r="A108" s="540" t="str">
        <f t="shared" si="3"/>
        <v>4893052</v>
      </c>
      <c r="B108" s="541" t="s">
        <v>1939</v>
      </c>
      <c r="C108" s="463" t="s">
        <v>1033</v>
      </c>
      <c r="D108" s="426">
        <v>-3169115.56</v>
      </c>
      <c r="E108" s="426">
        <v>-2722977.8</v>
      </c>
      <c r="F108" s="426">
        <v>-2632045.66</v>
      </c>
      <c r="G108" s="426">
        <v>-2536088.19</v>
      </c>
      <c r="H108" s="426">
        <v>-2197587.41</v>
      </c>
      <c r="I108" s="426">
        <v>-2382424.79</v>
      </c>
      <c r="J108" s="426">
        <v>-2151658.4300000002</v>
      </c>
      <c r="K108" s="426">
        <v>-2058293.63</v>
      </c>
      <c r="L108" s="426">
        <v>-2279914.5099999998</v>
      </c>
      <c r="M108" s="426">
        <v>-2223317</v>
      </c>
      <c r="N108" s="426">
        <v>-2393503.67</v>
      </c>
      <c r="O108" s="427">
        <v>-2884907.6</v>
      </c>
      <c r="P108" s="52">
        <v>-3178693.54</v>
      </c>
      <c r="Q108" s="52">
        <v>-2967169.84</v>
      </c>
      <c r="R108" s="52">
        <v>-3044512.03</v>
      </c>
      <c r="S108" s="52">
        <v>-2528590.2400000002</v>
      </c>
      <c r="T108" s="52">
        <v>-2096133.57</v>
      </c>
      <c r="U108" s="52">
        <v>-2484417.25</v>
      </c>
      <c r="V108" s="52">
        <v>-2198779.4</v>
      </c>
      <c r="W108" s="52">
        <v>-2321720.29</v>
      </c>
      <c r="X108" s="52">
        <v>-2208328.37</v>
      </c>
      <c r="Y108" s="52">
        <v>-2273201.3199999998</v>
      </c>
      <c r="Z108" s="52">
        <v>-2459750.59</v>
      </c>
      <c r="AA108" s="52">
        <v>-2804316.59</v>
      </c>
      <c r="AB108" s="52">
        <v>-3319998.74</v>
      </c>
      <c r="AC108" s="52">
        <v>-3106741.32</v>
      </c>
      <c r="AD108" s="52">
        <v>-2891324.98</v>
      </c>
      <c r="AE108" s="52">
        <v>-2758115.84</v>
      </c>
      <c r="AF108" s="52">
        <v>-2484531.9</v>
      </c>
      <c r="AG108" s="52">
        <v>-2375119.33</v>
      </c>
      <c r="AH108" s="52">
        <v>-2234437.02</v>
      </c>
      <c r="AI108" s="52">
        <v>-2304659.9300000002</v>
      </c>
      <c r="AJ108" s="52">
        <v>-2340030.5499999998</v>
      </c>
      <c r="AK108" s="52">
        <v>-2229160.66</v>
      </c>
      <c r="AL108" s="52">
        <v>-2623955.06</v>
      </c>
      <c r="AM108" s="52">
        <v>-2997096.27</v>
      </c>
      <c r="AN108" s="52">
        <v>-3290097.45</v>
      </c>
      <c r="AO108" s="52">
        <v>-2786643.61</v>
      </c>
      <c r="AP108" s="52">
        <v>-2828621.4</v>
      </c>
      <c r="AQ108" s="52">
        <v>-2849359.74</v>
      </c>
      <c r="AR108" s="52">
        <v>-2455692.98</v>
      </c>
      <c r="AS108" s="52">
        <v>-2400214.46</v>
      </c>
      <c r="AT108" s="52">
        <v>-2272706.62</v>
      </c>
      <c r="AU108" s="52">
        <v>-2331103.9</v>
      </c>
      <c r="AV108" s="52">
        <v>-2422069.17</v>
      </c>
      <c r="AW108" s="52">
        <v>-2167675.5699999998</v>
      </c>
      <c r="AX108" s="52">
        <v>-2538876.5499999998</v>
      </c>
      <c r="AY108" s="52">
        <v>-2935263.26</v>
      </c>
      <c r="AZ108" s="52">
        <v>-3563094.21</v>
      </c>
      <c r="BA108" s="52">
        <v>-2912738.76</v>
      </c>
      <c r="BB108" s="52">
        <v>-2836582.15</v>
      </c>
      <c r="BC108" s="52">
        <v>-3049595.55</v>
      </c>
      <c r="BD108" s="52">
        <v>-2447775.34</v>
      </c>
      <c r="BE108" s="52">
        <v>-2483399.0099999998</v>
      </c>
      <c r="BF108" s="52">
        <v>-2430676.29</v>
      </c>
      <c r="BG108" s="52">
        <v>-2325052.88</v>
      </c>
      <c r="BH108" s="52">
        <v>-2526846.67</v>
      </c>
      <c r="BI108" s="52">
        <v>-2264487.08</v>
      </c>
      <c r="BJ108" s="52">
        <v>-2606426.14</v>
      </c>
      <c r="BK108" s="52">
        <v>-3012097.84</v>
      </c>
      <c r="BL108" s="52">
        <v>-3112169.3</v>
      </c>
      <c r="BM108" s="52">
        <v>-2740391.67</v>
      </c>
      <c r="BN108" s="52">
        <v>-2912645.95</v>
      </c>
      <c r="BO108" s="52">
        <v>-2677598.73</v>
      </c>
      <c r="BP108" s="52">
        <v>-2517528.09</v>
      </c>
      <c r="BQ108" s="52">
        <v>-2224418.0099999998</v>
      </c>
      <c r="BR108" s="52">
        <v>-2264408.7400000002</v>
      </c>
      <c r="BS108" s="52">
        <v>-2250924.92</v>
      </c>
      <c r="BT108" s="52">
        <v>-2359857.42</v>
      </c>
      <c r="BU108" s="52">
        <v>-2242231.58</v>
      </c>
      <c r="BV108" s="52">
        <v>-2781817.38</v>
      </c>
      <c r="BW108" s="52">
        <v>-2789859.18</v>
      </c>
      <c r="BX108" s="52">
        <v>-3219590.72</v>
      </c>
      <c r="BY108" s="52">
        <v>-2884666.04</v>
      </c>
      <c r="BZ108" s="52">
        <v>-2645741.8199999998</v>
      </c>
      <c r="CA108" s="52">
        <v>-1641544.54</v>
      </c>
      <c r="CB108" s="52">
        <v>-1388567.83</v>
      </c>
      <c r="CC108" s="52">
        <v>-1989914.8</v>
      </c>
      <c r="CD108" s="52">
        <v>-1892105.91</v>
      </c>
      <c r="CE108" s="52">
        <v>-1919561.7</v>
      </c>
      <c r="CF108" s="52">
        <v>-1889349.74</v>
      </c>
      <c r="CG108" s="52">
        <v>-2006213.78</v>
      </c>
      <c r="CH108" s="52">
        <v>-2278444.4500000002</v>
      </c>
      <c r="CI108" s="52">
        <v>-2816489.53</v>
      </c>
      <c r="CJ108" s="52">
        <v>-4108181.56</v>
      </c>
      <c r="CK108" s="52">
        <v>-3191157.84</v>
      </c>
      <c r="CL108" s="52">
        <v>-3394582.62</v>
      </c>
      <c r="CM108" s="52">
        <v>-3495693.75</v>
      </c>
      <c r="CN108" s="52">
        <v>-2930093.11</v>
      </c>
      <c r="CO108" s="52">
        <v>-2881350.77</v>
      </c>
      <c r="CP108" s="52">
        <v>-2793571.34</v>
      </c>
      <c r="CQ108" s="52">
        <v>-2704952.57</v>
      </c>
      <c r="CR108" s="52">
        <v>-2851367.88</v>
      </c>
      <c r="CS108" s="52">
        <v>-2744432.32</v>
      </c>
      <c r="CT108" s="52">
        <v>-2984501.87</v>
      </c>
      <c r="CU108" s="52">
        <v>-3833669.1</v>
      </c>
      <c r="CV108" s="430">
        <f t="shared" si="2"/>
        <v>-37913554.729999997</v>
      </c>
    </row>
    <row r="109" spans="1:100">
      <c r="A109" s="540" t="str">
        <f t="shared" si="3"/>
        <v>4893053</v>
      </c>
      <c r="B109" s="541" t="s">
        <v>1940</v>
      </c>
      <c r="C109" s="463" t="s">
        <v>1034</v>
      </c>
      <c r="D109" s="428">
        <v>-147152.93</v>
      </c>
      <c r="E109" s="428">
        <v>-139405.64000000001</v>
      </c>
      <c r="F109" s="428">
        <v>-133341.82</v>
      </c>
      <c r="G109" s="428">
        <v>-127734.21</v>
      </c>
      <c r="H109" s="428">
        <v>-113229.68</v>
      </c>
      <c r="I109" s="428">
        <v>-115050.5</v>
      </c>
      <c r="J109" s="428">
        <v>-107123.65</v>
      </c>
      <c r="K109" s="428">
        <v>-100915.38</v>
      </c>
      <c r="L109" s="428">
        <v>-107087.22</v>
      </c>
      <c r="M109" s="428">
        <v>-106924.45</v>
      </c>
      <c r="N109" s="428">
        <v>-113173.94</v>
      </c>
      <c r="O109" s="429">
        <v>-133481.51</v>
      </c>
      <c r="P109" s="52">
        <v>-151109.60999999999</v>
      </c>
      <c r="Q109" s="52">
        <v>-149106.76</v>
      </c>
      <c r="R109" s="52">
        <v>-151223.54</v>
      </c>
      <c r="S109" s="52">
        <v>-132663.98000000001</v>
      </c>
      <c r="T109" s="52">
        <v>-110307.06</v>
      </c>
      <c r="U109" s="52">
        <v>-117350.86</v>
      </c>
      <c r="V109" s="52">
        <v>-109311.38</v>
      </c>
      <c r="W109" s="52">
        <v>-111035.1</v>
      </c>
      <c r="X109" s="52">
        <v>-107311.3</v>
      </c>
      <c r="Y109" s="52">
        <v>-108456.34</v>
      </c>
      <c r="Z109" s="52">
        <v>-115371.18</v>
      </c>
      <c r="AA109" s="52">
        <v>-224025.7</v>
      </c>
      <c r="AB109" s="52">
        <v>-258234.34</v>
      </c>
      <c r="AC109" s="52">
        <v>-262808.8</v>
      </c>
      <c r="AD109" s="52">
        <v>-250668.43</v>
      </c>
      <c r="AE109" s="52">
        <v>-237958.34</v>
      </c>
      <c r="AF109" s="52">
        <v>-216586.14</v>
      </c>
      <c r="AG109" s="52">
        <v>-202329.74</v>
      </c>
      <c r="AH109" s="52">
        <v>-188990.11</v>
      </c>
      <c r="AI109" s="52">
        <v>-188747.11</v>
      </c>
      <c r="AJ109" s="52">
        <v>-191142.33</v>
      </c>
      <c r="AK109" s="52">
        <v>-184582.55</v>
      </c>
      <c r="AL109" s="52">
        <v>-207421.72</v>
      </c>
      <c r="AM109" s="52">
        <v>-238801.23</v>
      </c>
      <c r="AN109" s="52">
        <v>-267967.84000000003</v>
      </c>
      <c r="AO109" s="52">
        <v>-245572.06</v>
      </c>
      <c r="AP109" s="52">
        <v>-240548.86</v>
      </c>
      <c r="AQ109" s="52">
        <v>-240231.51</v>
      </c>
      <c r="AR109" s="52">
        <v>-215367.63</v>
      </c>
      <c r="AS109" s="52">
        <v>-203116.48</v>
      </c>
      <c r="AT109" s="52">
        <v>-191838.51</v>
      </c>
      <c r="AU109" s="52">
        <v>-191241.34</v>
      </c>
      <c r="AV109" s="52">
        <v>-203287.86</v>
      </c>
      <c r="AW109" s="52">
        <v>-171934.95</v>
      </c>
      <c r="AX109" s="52">
        <v>-204751.87</v>
      </c>
      <c r="AY109" s="52">
        <v>-234736.11</v>
      </c>
      <c r="AZ109" s="52">
        <v>-283544.67</v>
      </c>
      <c r="BA109" s="52">
        <v>-259045.13</v>
      </c>
      <c r="BB109" s="52">
        <v>-245621.01</v>
      </c>
      <c r="BC109" s="52">
        <v>-254650.77</v>
      </c>
      <c r="BD109" s="52">
        <v>-219353.81</v>
      </c>
      <c r="BE109" s="52">
        <v>-217090.59</v>
      </c>
      <c r="BF109" s="52">
        <v>-198697.23</v>
      </c>
      <c r="BG109" s="52">
        <v>-192904.41</v>
      </c>
      <c r="BH109" s="52">
        <v>-210621.15</v>
      </c>
      <c r="BI109" s="52">
        <v>-186022</v>
      </c>
      <c r="BJ109" s="52">
        <v>-199795.23</v>
      </c>
      <c r="BK109" s="52">
        <v>-243568.84</v>
      </c>
      <c r="BL109" s="52">
        <v>-272578.67</v>
      </c>
      <c r="BM109" s="52">
        <v>-272772.28999999998</v>
      </c>
      <c r="BN109" s="52">
        <v>-244230.76</v>
      </c>
      <c r="BO109" s="52">
        <v>-239692.24</v>
      </c>
      <c r="BP109" s="52">
        <v>-225697.07</v>
      </c>
      <c r="BQ109" s="52">
        <v>-202823.16</v>
      </c>
      <c r="BR109" s="52">
        <v>-197529.4</v>
      </c>
      <c r="BS109" s="52">
        <v>-194671.96</v>
      </c>
      <c r="BT109" s="52">
        <v>-201075.21</v>
      </c>
      <c r="BU109" s="52">
        <v>-195155.36</v>
      </c>
      <c r="BV109" s="52">
        <v>-211098.9</v>
      </c>
      <c r="BW109" s="52">
        <v>-253457.52</v>
      </c>
      <c r="BX109" s="52">
        <v>-277420.90000000002</v>
      </c>
      <c r="BY109" s="52">
        <v>-263385.59999999998</v>
      </c>
      <c r="BZ109" s="52">
        <v>-251199.29</v>
      </c>
      <c r="CA109" s="52">
        <v>-163111.67999999999</v>
      </c>
      <c r="CB109" s="52">
        <v>-125539.17</v>
      </c>
      <c r="CC109" s="52">
        <v>-153091.42000000001</v>
      </c>
      <c r="CD109" s="52">
        <v>-155937.68</v>
      </c>
      <c r="CE109" s="52">
        <v>-158757.96</v>
      </c>
      <c r="CF109" s="52">
        <v>-157660.98000000001</v>
      </c>
      <c r="CG109" s="52">
        <v>-165209.44</v>
      </c>
      <c r="CH109" s="52">
        <v>-185831.26</v>
      </c>
      <c r="CI109" s="52">
        <v>-211778.76</v>
      </c>
      <c r="CJ109" s="52">
        <v>-257153.82</v>
      </c>
      <c r="CK109" s="52">
        <v>-241625.68</v>
      </c>
      <c r="CL109" s="52">
        <v>-221095.84</v>
      </c>
      <c r="CM109" s="52">
        <v>-232996.06</v>
      </c>
      <c r="CN109" s="52">
        <v>-206223.57</v>
      </c>
      <c r="CO109" s="52">
        <v>-194600.53</v>
      </c>
      <c r="CP109" s="52">
        <v>-191287.15</v>
      </c>
      <c r="CQ109" s="52">
        <v>-183487.33</v>
      </c>
      <c r="CR109" s="52">
        <v>-188781.84</v>
      </c>
      <c r="CS109" s="52">
        <v>-184586.13</v>
      </c>
      <c r="CT109" s="52">
        <v>-196254.82</v>
      </c>
      <c r="CU109" s="52">
        <v>-246151.35</v>
      </c>
      <c r="CV109" s="430">
        <f t="shared" si="2"/>
        <v>-2544244.12</v>
      </c>
    </row>
    <row r="110" spans="1:100">
      <c r="A110" s="540" t="str">
        <f t="shared" si="3"/>
        <v>4893054</v>
      </c>
      <c r="B110" s="541" t="s">
        <v>1941</v>
      </c>
      <c r="C110" s="463" t="s">
        <v>1035</v>
      </c>
      <c r="D110" s="428">
        <v>-1796485.87</v>
      </c>
      <c r="E110" s="428">
        <v>-1628373.76</v>
      </c>
      <c r="F110" s="428">
        <v>-1478954.64</v>
      </c>
      <c r="G110" s="428">
        <v>-1471714.33</v>
      </c>
      <c r="H110" s="428">
        <v>-1256161.6499999999</v>
      </c>
      <c r="I110" s="428">
        <v>-1268470.04</v>
      </c>
      <c r="J110" s="428">
        <v>-1128552.52</v>
      </c>
      <c r="K110" s="428">
        <v>-1098229.98</v>
      </c>
      <c r="L110" s="428">
        <v>-1295997.01</v>
      </c>
      <c r="M110" s="428">
        <v>-1241890.78</v>
      </c>
      <c r="N110" s="428">
        <v>-1347264.82</v>
      </c>
      <c r="O110" s="429">
        <v>-1581692.25</v>
      </c>
      <c r="P110" s="52">
        <v>-1681816.14</v>
      </c>
      <c r="Q110" s="52">
        <v>-1590647</v>
      </c>
      <c r="R110" s="52">
        <v>-1639112.61</v>
      </c>
      <c r="S110" s="52">
        <v>-1386065.47</v>
      </c>
      <c r="T110" s="52">
        <v>-1132367.98</v>
      </c>
      <c r="U110" s="52">
        <v>-1300670.6200000001</v>
      </c>
      <c r="V110" s="52">
        <v>-1214163.8500000001</v>
      </c>
      <c r="W110" s="52">
        <v>-1256266.58</v>
      </c>
      <c r="X110" s="52">
        <v>-1112293.03</v>
      </c>
      <c r="Y110" s="52">
        <v>-1232863.6499999999</v>
      </c>
      <c r="Z110" s="52">
        <v>-1311451.3899999999</v>
      </c>
      <c r="AA110" s="52">
        <v>-1455649.68</v>
      </c>
      <c r="AB110" s="52">
        <v>-1666771.56</v>
      </c>
      <c r="AC110" s="52">
        <v>-1695873.68</v>
      </c>
      <c r="AD110" s="52">
        <v>-1512121.24</v>
      </c>
      <c r="AE110" s="52">
        <v>-1469644.94</v>
      </c>
      <c r="AF110" s="52">
        <v>-1318348</v>
      </c>
      <c r="AG110" s="52">
        <v>-1219971.78</v>
      </c>
      <c r="AH110" s="52">
        <v>-1103391.1200000001</v>
      </c>
      <c r="AI110" s="52">
        <v>-1127562.21</v>
      </c>
      <c r="AJ110" s="52">
        <v>-1193366.6599999999</v>
      </c>
      <c r="AK110" s="52">
        <v>-1089902.22</v>
      </c>
      <c r="AL110" s="52">
        <v>-1347421.31</v>
      </c>
      <c r="AM110" s="52">
        <v>-1533363.53</v>
      </c>
      <c r="AN110" s="52">
        <v>-1600533.91</v>
      </c>
      <c r="AO110" s="52">
        <v>-1405565.9</v>
      </c>
      <c r="AP110" s="52">
        <v>-1415908.97</v>
      </c>
      <c r="AQ110" s="52">
        <v>-1382912.97</v>
      </c>
      <c r="AR110" s="52">
        <v>-1224903.3</v>
      </c>
      <c r="AS110" s="52">
        <v>-1138786.08</v>
      </c>
      <c r="AT110" s="52">
        <v>-1081579.8799999999</v>
      </c>
      <c r="AU110" s="52">
        <v>-1123899.5</v>
      </c>
      <c r="AV110" s="52">
        <v>-1181574</v>
      </c>
      <c r="AW110" s="52">
        <v>-1163031.3700000001</v>
      </c>
      <c r="AX110" s="52">
        <v>-1216500.97</v>
      </c>
      <c r="AY110" s="52">
        <v>-1497737.47</v>
      </c>
      <c r="AZ110" s="52">
        <v>-1747586.85</v>
      </c>
      <c r="BA110" s="52">
        <v>-1555399.95</v>
      </c>
      <c r="BB110" s="52">
        <v>-1331590.81</v>
      </c>
      <c r="BC110" s="52">
        <v>-1534128.29</v>
      </c>
      <c r="BD110" s="52">
        <v>-1208985.78</v>
      </c>
      <c r="BE110" s="52">
        <v>-1168832.27</v>
      </c>
      <c r="BF110" s="52">
        <v>-1199757.82</v>
      </c>
      <c r="BG110" s="52">
        <v>-1167748.8700000001</v>
      </c>
      <c r="BH110" s="52">
        <v>-1231079.05</v>
      </c>
      <c r="BI110" s="52">
        <v>-1143943.19</v>
      </c>
      <c r="BJ110" s="52">
        <v>-1329940.8600000001</v>
      </c>
      <c r="BK110" s="52">
        <v>-1495304.68</v>
      </c>
      <c r="BL110" s="52">
        <v>-1557255.92</v>
      </c>
      <c r="BM110" s="52">
        <v>-1336867.74</v>
      </c>
      <c r="BN110" s="52">
        <v>-1825246</v>
      </c>
      <c r="BO110" s="52">
        <v>-865608.81</v>
      </c>
      <c r="BP110" s="52">
        <v>-1333126.6599999999</v>
      </c>
      <c r="BQ110" s="52">
        <v>-1100374.67</v>
      </c>
      <c r="BR110" s="52">
        <v>-1111323.32</v>
      </c>
      <c r="BS110" s="52">
        <v>-1085068.25</v>
      </c>
      <c r="BT110" s="52">
        <v>-1130446.19</v>
      </c>
      <c r="BU110" s="52">
        <v>-1114860.75</v>
      </c>
      <c r="BV110" s="52">
        <v>-1413246.76</v>
      </c>
      <c r="BW110" s="52">
        <v>-1389502.72</v>
      </c>
      <c r="BX110" s="52">
        <v>-1588346.19</v>
      </c>
      <c r="BY110" s="52">
        <v>-1409032.03</v>
      </c>
      <c r="BZ110" s="52">
        <v>-1341248.7</v>
      </c>
      <c r="CA110" s="52">
        <v>-926917.24</v>
      </c>
      <c r="CB110" s="52">
        <v>-886369.97</v>
      </c>
      <c r="CC110" s="52">
        <v>-1048864.03</v>
      </c>
      <c r="CD110" s="52">
        <v>-1015188.39</v>
      </c>
      <c r="CE110" s="52">
        <v>-1012932.5</v>
      </c>
      <c r="CF110" s="52">
        <v>-911181.26</v>
      </c>
      <c r="CG110" s="52">
        <v>-993904.8</v>
      </c>
      <c r="CH110" s="52">
        <v>-1209596.8</v>
      </c>
      <c r="CI110" s="52">
        <v>-1387708.68</v>
      </c>
      <c r="CJ110" s="52">
        <v>-2104835.0699999998</v>
      </c>
      <c r="CK110" s="52">
        <v>-1732523.76</v>
      </c>
      <c r="CL110" s="52">
        <v>-1763334.55</v>
      </c>
      <c r="CM110" s="52">
        <v>-1520208.61</v>
      </c>
      <c r="CN110" s="52">
        <v>-1497132.74</v>
      </c>
      <c r="CO110" s="52">
        <v>-1463302.34</v>
      </c>
      <c r="CP110" s="52">
        <v>-1431867.97</v>
      </c>
      <c r="CQ110" s="52">
        <v>-1112373.6200000001</v>
      </c>
      <c r="CR110" s="52">
        <v>-1377029.65</v>
      </c>
      <c r="CS110" s="52">
        <v>-1286104.98</v>
      </c>
      <c r="CT110" s="52">
        <v>-1521130.24</v>
      </c>
      <c r="CU110" s="52">
        <v>-1838015.33</v>
      </c>
      <c r="CV110" s="430">
        <f t="shared" si="2"/>
        <v>-18647858.859999999</v>
      </c>
    </row>
    <row r="111" spans="1:100">
      <c r="A111" s="540" t="str">
        <f t="shared" si="3"/>
        <v>4893055</v>
      </c>
      <c r="B111" s="541" t="s">
        <v>1942</v>
      </c>
      <c r="C111" s="463" t="s">
        <v>1036</v>
      </c>
      <c r="D111" s="426">
        <v>-88450.48</v>
      </c>
      <c r="E111" s="426">
        <v>-88933.99</v>
      </c>
      <c r="F111" s="426">
        <v>-81068.62</v>
      </c>
      <c r="G111" s="426">
        <v>-79168.53</v>
      </c>
      <c r="H111" s="426">
        <v>-70145.179999999993</v>
      </c>
      <c r="I111" s="426">
        <v>-67192.58</v>
      </c>
      <c r="J111" s="426">
        <v>-61556.68</v>
      </c>
      <c r="K111" s="426">
        <v>-57813.53</v>
      </c>
      <c r="L111" s="426">
        <v>-60069.77</v>
      </c>
      <c r="M111" s="426">
        <v>-62624.21</v>
      </c>
      <c r="N111" s="426">
        <v>-68663.009999999995</v>
      </c>
      <c r="O111" s="427">
        <v>-79284.800000000003</v>
      </c>
      <c r="P111" s="52">
        <v>-86846.23</v>
      </c>
      <c r="Q111" s="52">
        <v>-86453.55</v>
      </c>
      <c r="R111" s="52">
        <v>-87799.2</v>
      </c>
      <c r="S111" s="52">
        <v>-77810.83</v>
      </c>
      <c r="T111" s="52">
        <v>-62666.99</v>
      </c>
      <c r="U111" s="52">
        <v>-66633.52</v>
      </c>
      <c r="V111" s="52">
        <v>-64103.76</v>
      </c>
      <c r="W111" s="52">
        <v>-65336.92</v>
      </c>
      <c r="X111" s="52">
        <v>-60468.09</v>
      </c>
      <c r="Y111" s="52">
        <v>-61423.13</v>
      </c>
      <c r="Z111" s="52">
        <v>-67425.09</v>
      </c>
      <c r="AA111" s="52">
        <v>-137451.69</v>
      </c>
      <c r="AB111" s="52">
        <v>-157352.39000000001</v>
      </c>
      <c r="AC111" s="52">
        <v>-167792.39</v>
      </c>
      <c r="AD111" s="52">
        <v>-155809.22</v>
      </c>
      <c r="AE111" s="52">
        <v>-148655.93</v>
      </c>
      <c r="AF111" s="52">
        <v>-134134.26999999999</v>
      </c>
      <c r="AG111" s="52">
        <v>-123170.78</v>
      </c>
      <c r="AH111" s="52">
        <v>-113105.51</v>
      </c>
      <c r="AI111" s="52">
        <v>-111005.73</v>
      </c>
      <c r="AJ111" s="52">
        <v>-114935.78</v>
      </c>
      <c r="AK111" s="52">
        <v>-105655.41</v>
      </c>
      <c r="AL111" s="52">
        <v>-123596.8</v>
      </c>
      <c r="AM111" s="52">
        <v>-140595.60999999999</v>
      </c>
      <c r="AN111" s="52">
        <v>-155510.26</v>
      </c>
      <c r="AO111" s="52">
        <v>-144928.69</v>
      </c>
      <c r="AP111" s="52">
        <v>-140828.31</v>
      </c>
      <c r="AQ111" s="52">
        <v>-139992.12</v>
      </c>
      <c r="AR111" s="52">
        <v>-125841.31</v>
      </c>
      <c r="AS111" s="52">
        <v>-115021.98</v>
      </c>
      <c r="AT111" s="52">
        <v>-107797.03</v>
      </c>
      <c r="AU111" s="52">
        <v>-102493.36</v>
      </c>
      <c r="AV111" s="52">
        <v>-127985.96</v>
      </c>
      <c r="AW111" s="52">
        <v>-95491.08</v>
      </c>
      <c r="AX111" s="52">
        <v>-118519.13</v>
      </c>
      <c r="AY111" s="52">
        <v>-137833.12</v>
      </c>
      <c r="AZ111" s="52">
        <v>-163189.66</v>
      </c>
      <c r="BA111" s="52">
        <v>-159524.48000000001</v>
      </c>
      <c r="BB111" s="52">
        <v>-137673.23000000001</v>
      </c>
      <c r="BC111" s="52">
        <v>-149373.34</v>
      </c>
      <c r="BD111" s="52">
        <v>-127799.25</v>
      </c>
      <c r="BE111" s="52">
        <v>-122357.35</v>
      </c>
      <c r="BF111" s="52">
        <v>-114677.16</v>
      </c>
      <c r="BG111" s="52">
        <v>-113050.62</v>
      </c>
      <c r="BH111" s="52">
        <v>-123469.11</v>
      </c>
      <c r="BI111" s="52">
        <v>-109035.59</v>
      </c>
      <c r="BJ111" s="52">
        <v>-119085.68</v>
      </c>
      <c r="BK111" s="52">
        <v>-145133.26</v>
      </c>
      <c r="BL111" s="52">
        <v>-160301.51999999999</v>
      </c>
      <c r="BM111" s="52">
        <v>-160997.23000000001</v>
      </c>
      <c r="BN111" s="52">
        <v>-174550.08</v>
      </c>
      <c r="BO111" s="52">
        <v>-112451.28</v>
      </c>
      <c r="BP111" s="52">
        <v>-132630.14000000001</v>
      </c>
      <c r="BQ111" s="52">
        <v>-119883.95</v>
      </c>
      <c r="BR111" s="52">
        <v>-115230.68</v>
      </c>
      <c r="BS111" s="52">
        <v>-112377.77</v>
      </c>
      <c r="BT111" s="52">
        <v>-114657.93</v>
      </c>
      <c r="BU111" s="52">
        <v>-113727.03999999999</v>
      </c>
      <c r="BV111" s="52">
        <v>-124710.8</v>
      </c>
      <c r="BW111" s="52">
        <v>-150561.14000000001</v>
      </c>
      <c r="BX111" s="52">
        <v>-165100.51</v>
      </c>
      <c r="BY111" s="52">
        <v>-156135.75</v>
      </c>
      <c r="BZ111" s="52">
        <v>-152901.16</v>
      </c>
      <c r="CA111" s="52">
        <v>-109420.13</v>
      </c>
      <c r="CB111" s="52">
        <v>-94788.1</v>
      </c>
      <c r="CC111" s="52">
        <v>-104181.5</v>
      </c>
      <c r="CD111" s="52">
        <v>-100942.29</v>
      </c>
      <c r="CE111" s="52">
        <v>-103781.13</v>
      </c>
      <c r="CF111" s="52">
        <v>-95974.32</v>
      </c>
      <c r="CG111" s="52">
        <v>-98672.8</v>
      </c>
      <c r="CH111" s="52">
        <v>-117650.17</v>
      </c>
      <c r="CI111" s="52">
        <v>-127855.26</v>
      </c>
      <c r="CJ111" s="52">
        <v>-161461.20000000001</v>
      </c>
      <c r="CK111" s="52">
        <v>-158054.07999999999</v>
      </c>
      <c r="CL111" s="52">
        <v>-140873.21</v>
      </c>
      <c r="CM111" s="52">
        <v>-121294.26</v>
      </c>
      <c r="CN111" s="52">
        <v>-120387.89</v>
      </c>
      <c r="CO111" s="52">
        <v>-115219.04</v>
      </c>
      <c r="CP111" s="52">
        <v>-118150.78</v>
      </c>
      <c r="CQ111" s="52">
        <v>-93560.78</v>
      </c>
      <c r="CR111" s="52">
        <v>-104885.52</v>
      </c>
      <c r="CS111" s="52">
        <v>-100714.57</v>
      </c>
      <c r="CT111" s="52">
        <v>-115018.16</v>
      </c>
      <c r="CU111" s="52">
        <v>-143764.32</v>
      </c>
      <c r="CV111" s="430">
        <f t="shared" si="2"/>
        <v>-1493383.81</v>
      </c>
    </row>
    <row r="112" spans="1:100">
      <c r="A112" s="540" t="str">
        <f t="shared" si="3"/>
        <v>4893056</v>
      </c>
      <c r="B112" s="541" t="s">
        <v>1944</v>
      </c>
      <c r="C112" s="463" t="s">
        <v>1037</v>
      </c>
      <c r="D112" s="426">
        <v>-805978.25</v>
      </c>
      <c r="E112" s="426">
        <v>-786078.39</v>
      </c>
      <c r="F112" s="426">
        <v>-806125.72</v>
      </c>
      <c r="G112" s="426">
        <v>-790370.4</v>
      </c>
      <c r="H112" s="426">
        <v>-705844.8</v>
      </c>
      <c r="I112" s="426">
        <v>-733404.2</v>
      </c>
      <c r="J112" s="426">
        <v>-775103.64</v>
      </c>
      <c r="K112" s="426">
        <v>-721315.87</v>
      </c>
      <c r="L112" s="426">
        <v>-774160.64</v>
      </c>
      <c r="M112" s="426">
        <v>-793566.11</v>
      </c>
      <c r="N112" s="426">
        <v>-814323.74</v>
      </c>
      <c r="O112" s="427">
        <v>-838736.59</v>
      </c>
      <c r="P112" s="52">
        <v>-903386.67</v>
      </c>
      <c r="Q112" s="52">
        <v>-861009.59</v>
      </c>
      <c r="R112" s="52">
        <v>-887852.57</v>
      </c>
      <c r="S112" s="52">
        <v>-839700.56</v>
      </c>
      <c r="T112" s="52">
        <v>-737942.7</v>
      </c>
      <c r="U112" s="52">
        <v>-820687.12</v>
      </c>
      <c r="V112" s="52">
        <v>-785267.11</v>
      </c>
      <c r="W112" s="52">
        <v>-879568.18</v>
      </c>
      <c r="X112" s="52">
        <v>-813176.64</v>
      </c>
      <c r="Y112" s="52">
        <v>-813528.4</v>
      </c>
      <c r="Z112" s="52">
        <v>-797070.33</v>
      </c>
      <c r="AA112" s="52">
        <v>-864584.47</v>
      </c>
      <c r="AB112" s="52">
        <v>-994792.3</v>
      </c>
      <c r="AC112" s="52">
        <v>-998149.22</v>
      </c>
      <c r="AD112" s="52">
        <v>-986524.19</v>
      </c>
      <c r="AE112" s="52">
        <v>-929552.25</v>
      </c>
      <c r="AF112" s="52">
        <v>-860843.75</v>
      </c>
      <c r="AG112" s="52">
        <v>-860169.62</v>
      </c>
      <c r="AH112" s="52">
        <v>-1187458.1200000001</v>
      </c>
      <c r="AI112" s="52">
        <v>-573063.35</v>
      </c>
      <c r="AJ112" s="52">
        <v>-935252.18</v>
      </c>
      <c r="AK112" s="52">
        <v>-879166.15</v>
      </c>
      <c r="AL112" s="52">
        <v>-886030.51</v>
      </c>
      <c r="AM112" s="52">
        <v>-929297.11</v>
      </c>
      <c r="AN112" s="52">
        <v>-1042235.77</v>
      </c>
      <c r="AO112" s="52">
        <v>-873599.34</v>
      </c>
      <c r="AP112" s="52">
        <v>-956999.94</v>
      </c>
      <c r="AQ112" s="52">
        <v>-951388.19</v>
      </c>
      <c r="AR112" s="52">
        <v>-891462.18</v>
      </c>
      <c r="AS112" s="52">
        <v>-900859.79</v>
      </c>
      <c r="AT112" s="52">
        <v>-847184.88</v>
      </c>
      <c r="AU112" s="52">
        <v>-856777.83</v>
      </c>
      <c r="AV112" s="52">
        <v>-964607.79</v>
      </c>
      <c r="AW112" s="52">
        <v>-870100.58</v>
      </c>
      <c r="AX112" s="52">
        <v>-913785.11</v>
      </c>
      <c r="AY112" s="52">
        <v>-1022172.11</v>
      </c>
      <c r="AZ112" s="52">
        <v>-930325.7</v>
      </c>
      <c r="BA112" s="52">
        <v>-855524.75</v>
      </c>
      <c r="BB112" s="52">
        <v>-1069307.8600000001</v>
      </c>
      <c r="BC112" s="52">
        <v>-920235.71</v>
      </c>
      <c r="BD112" s="52">
        <v>-880366.24</v>
      </c>
      <c r="BE112" s="52">
        <v>-898288.72</v>
      </c>
      <c r="BF112" s="52">
        <v>-903412.06</v>
      </c>
      <c r="BG112" s="52">
        <v>-882117.93</v>
      </c>
      <c r="BH112" s="52">
        <v>-934961.47</v>
      </c>
      <c r="BI112" s="52">
        <v>-891723.44</v>
      </c>
      <c r="BJ112" s="52">
        <v>-818702.23</v>
      </c>
      <c r="BK112" s="52">
        <v>-941583.77</v>
      </c>
      <c r="BL112" s="52">
        <v>-1002243.17</v>
      </c>
      <c r="BM112" s="52">
        <v>-923160.09</v>
      </c>
      <c r="BN112" s="52">
        <v>-934108.92</v>
      </c>
      <c r="BO112" s="52">
        <v>-803039.24</v>
      </c>
      <c r="BP112" s="52">
        <v>-830670.73</v>
      </c>
      <c r="BQ112" s="52">
        <v>-820529.12</v>
      </c>
      <c r="BR112" s="52">
        <v>-880509.08</v>
      </c>
      <c r="BS112" s="52">
        <v>-937548.08</v>
      </c>
      <c r="BT112" s="52">
        <v>-879449.78</v>
      </c>
      <c r="BU112" s="52">
        <v>-823841.43</v>
      </c>
      <c r="BV112" s="52">
        <v>-893858.07</v>
      </c>
      <c r="BW112" s="52">
        <v>-1088454.77</v>
      </c>
      <c r="BX112" s="52">
        <v>-813869.67</v>
      </c>
      <c r="BY112" s="52">
        <v>-911147.67</v>
      </c>
      <c r="BZ112" s="52">
        <v>-894383.69</v>
      </c>
      <c r="CA112" s="52">
        <v>-789669.22</v>
      </c>
      <c r="CB112" s="52">
        <v>-865090.53</v>
      </c>
      <c r="CC112" s="52">
        <v>-849962.21</v>
      </c>
      <c r="CD112" s="52">
        <v>-850610.01</v>
      </c>
      <c r="CE112" s="52">
        <v>-837734.14</v>
      </c>
      <c r="CF112" s="52">
        <v>-878875.79</v>
      </c>
      <c r="CG112" s="52">
        <v>-959068.49</v>
      </c>
      <c r="CH112" s="52">
        <v>-985413.18</v>
      </c>
      <c r="CI112" s="52">
        <v>-934050.23</v>
      </c>
      <c r="CJ112" s="52">
        <v>-1343972.12</v>
      </c>
      <c r="CK112" s="52">
        <v>-1213513.71</v>
      </c>
      <c r="CL112" s="52">
        <v>-1133652.06</v>
      </c>
      <c r="CM112" s="52">
        <v>-1275897.45</v>
      </c>
      <c r="CN112" s="52">
        <v>-1142449.5900000001</v>
      </c>
      <c r="CO112" s="52">
        <v>-1181937.24</v>
      </c>
      <c r="CP112" s="52">
        <v>-1011380.24</v>
      </c>
      <c r="CQ112" s="52">
        <v>-994267.38</v>
      </c>
      <c r="CR112" s="52">
        <v>-1005608.36</v>
      </c>
      <c r="CS112" s="52">
        <v>-1031080.72</v>
      </c>
      <c r="CT112" s="52">
        <v>-977910.7</v>
      </c>
      <c r="CU112" s="52">
        <v>-990000.96</v>
      </c>
      <c r="CV112" s="430">
        <f t="shared" si="2"/>
        <v>-13301670.530000001</v>
      </c>
    </row>
    <row r="113" spans="1:100">
      <c r="A113" s="540" t="str">
        <f t="shared" si="3"/>
        <v>4893057</v>
      </c>
      <c r="B113" s="541" t="s">
        <v>1943</v>
      </c>
      <c r="C113" s="463" t="s">
        <v>1038</v>
      </c>
      <c r="D113" s="428">
        <v>-35769.199999999997</v>
      </c>
      <c r="E113" s="428">
        <v>-34731.22</v>
      </c>
      <c r="F113" s="428">
        <v>-34528.53</v>
      </c>
      <c r="G113" s="428">
        <v>-34876.06</v>
      </c>
      <c r="H113" s="428">
        <v>-30512.61</v>
      </c>
      <c r="I113" s="428">
        <v>-32270.400000000001</v>
      </c>
      <c r="J113" s="428">
        <v>-32149.45</v>
      </c>
      <c r="K113" s="428">
        <v>-32437.42</v>
      </c>
      <c r="L113" s="428">
        <v>-33462.660000000003</v>
      </c>
      <c r="M113" s="428">
        <v>-34346.800000000003</v>
      </c>
      <c r="N113" s="428">
        <v>-36572.42</v>
      </c>
      <c r="O113" s="429">
        <v>-36809.949999999997</v>
      </c>
      <c r="P113" s="52">
        <v>-39486.82</v>
      </c>
      <c r="Q113" s="52">
        <v>-37449.519999999997</v>
      </c>
      <c r="R113" s="52">
        <v>-39555.040000000001</v>
      </c>
      <c r="S113" s="52">
        <v>-37759.15</v>
      </c>
      <c r="T113" s="52">
        <v>-29928.1</v>
      </c>
      <c r="U113" s="52">
        <v>-37349.69</v>
      </c>
      <c r="V113" s="52">
        <v>-33611.81</v>
      </c>
      <c r="W113" s="52">
        <v>-39608.53</v>
      </c>
      <c r="X113" s="52">
        <v>-34056.959999999999</v>
      </c>
      <c r="Y113" s="52">
        <v>-32781.72</v>
      </c>
      <c r="Z113" s="52">
        <v>-33228.5</v>
      </c>
      <c r="AA113" s="52">
        <v>-22169.83</v>
      </c>
      <c r="AB113" s="52">
        <v>-27168.05</v>
      </c>
      <c r="AC113" s="52">
        <v>-26761.79</v>
      </c>
      <c r="AD113" s="52">
        <v>-26348.91</v>
      </c>
      <c r="AE113" s="52">
        <v>-25471.58</v>
      </c>
      <c r="AF113" s="52">
        <v>-20207</v>
      </c>
      <c r="AG113" s="52">
        <v>-21567.74</v>
      </c>
      <c r="AH113" s="52">
        <v>-39341.15</v>
      </c>
      <c r="AI113" s="52">
        <v>-5827.52</v>
      </c>
      <c r="AJ113" s="52">
        <v>-24498.880000000001</v>
      </c>
      <c r="AK113" s="52">
        <v>-21825.26</v>
      </c>
      <c r="AL113" s="52">
        <v>-22274.93</v>
      </c>
      <c r="AM113" s="52">
        <v>-23938.46</v>
      </c>
      <c r="AN113" s="52">
        <v>-28986.44</v>
      </c>
      <c r="AO113" s="52">
        <v>-22779.05</v>
      </c>
      <c r="AP113" s="52">
        <v>-24197.63</v>
      </c>
      <c r="AQ113" s="52">
        <v>-25197.41</v>
      </c>
      <c r="AR113" s="52">
        <v>-21935.81</v>
      </c>
      <c r="AS113" s="52">
        <v>-21987.1</v>
      </c>
      <c r="AT113" s="52">
        <v>-20246.73</v>
      </c>
      <c r="AU113" s="52">
        <v>-19423.95</v>
      </c>
      <c r="AV113" s="52">
        <v>-25985.66</v>
      </c>
      <c r="AW113" s="52">
        <v>-18266.310000000001</v>
      </c>
      <c r="AX113" s="52">
        <v>-20568.439999999999</v>
      </c>
      <c r="AY113" s="52">
        <v>-27279.67</v>
      </c>
      <c r="AZ113" s="52">
        <v>-18938.16</v>
      </c>
      <c r="BA113" s="52">
        <v>-22876.59</v>
      </c>
      <c r="BB113" s="52">
        <v>-20700.310000000001</v>
      </c>
      <c r="BC113" s="52">
        <v>-21281.91</v>
      </c>
      <c r="BD113" s="52">
        <v>-18972.939999999999</v>
      </c>
      <c r="BE113" s="52">
        <v>-20623.18</v>
      </c>
      <c r="BF113" s="52">
        <v>-20339.57</v>
      </c>
      <c r="BG113" s="52">
        <v>-19065.939999999999</v>
      </c>
      <c r="BH113" s="52">
        <v>-22846.880000000001</v>
      </c>
      <c r="BI113" s="52">
        <v>-20086.86</v>
      </c>
      <c r="BJ113" s="52">
        <v>-18225.87</v>
      </c>
      <c r="BK113" s="52">
        <v>-23639.86</v>
      </c>
      <c r="BL113" s="52">
        <v>-27093.919999999998</v>
      </c>
      <c r="BM113" s="52">
        <v>-25680.38</v>
      </c>
      <c r="BN113" s="52">
        <v>-23269.41</v>
      </c>
      <c r="BO113" s="52">
        <v>-22770.03</v>
      </c>
      <c r="BP113" s="52">
        <v>-21053.11</v>
      </c>
      <c r="BQ113" s="52">
        <v>-21601.56</v>
      </c>
      <c r="BR113" s="52">
        <v>-23056.16</v>
      </c>
      <c r="BS113" s="52">
        <v>-24050.12</v>
      </c>
      <c r="BT113" s="52">
        <v>-24174.09</v>
      </c>
      <c r="BU113" s="52">
        <v>-18133.810000000001</v>
      </c>
      <c r="BV113" s="52">
        <v>-22155.49</v>
      </c>
      <c r="BW113" s="52">
        <v>-33072</v>
      </c>
      <c r="BX113" s="52">
        <v>-17864.810000000001</v>
      </c>
      <c r="BY113" s="52">
        <v>-23361.05</v>
      </c>
      <c r="BZ113" s="52">
        <v>-24110.1</v>
      </c>
      <c r="CA113" s="52">
        <v>-20253.63</v>
      </c>
      <c r="CB113" s="52">
        <v>-22164.12</v>
      </c>
      <c r="CC113" s="52">
        <v>-21407.09</v>
      </c>
      <c r="CD113" s="52">
        <v>-22377.59</v>
      </c>
      <c r="CE113" s="52">
        <v>-21608.16</v>
      </c>
      <c r="CF113" s="52">
        <v>-21184.48</v>
      </c>
      <c r="CG113" s="52">
        <v>-21985.06</v>
      </c>
      <c r="CH113" s="52">
        <v>-23041.08</v>
      </c>
      <c r="CI113" s="52">
        <v>-23011.45</v>
      </c>
      <c r="CJ113" s="52">
        <v>-27835.01</v>
      </c>
      <c r="CK113" s="52">
        <v>-23593.94</v>
      </c>
      <c r="CL113" s="52">
        <v>-22947.07</v>
      </c>
      <c r="CM113" s="52">
        <v>-24363.82</v>
      </c>
      <c r="CN113" s="52">
        <v>-23446.73</v>
      </c>
      <c r="CO113" s="52">
        <v>-22835.16</v>
      </c>
      <c r="CP113" s="52">
        <v>-24106.11</v>
      </c>
      <c r="CQ113" s="52">
        <v>-23975.53</v>
      </c>
      <c r="CR113" s="52">
        <v>-26057.88</v>
      </c>
      <c r="CS113" s="52">
        <v>-25091.119999999999</v>
      </c>
      <c r="CT113" s="52">
        <v>-22601.81</v>
      </c>
      <c r="CU113" s="52">
        <v>-23379.21</v>
      </c>
      <c r="CV113" s="430">
        <f t="shared" si="2"/>
        <v>-290233.39</v>
      </c>
    </row>
    <row r="114" spans="1:100">
      <c r="A114" s="540" t="str">
        <f t="shared" si="3"/>
        <v>4893058</v>
      </c>
      <c r="B114" s="541" t="s">
        <v>1945</v>
      </c>
      <c r="C114" s="463" t="s">
        <v>1039</v>
      </c>
      <c r="D114" s="428">
        <v>-1128971.97</v>
      </c>
      <c r="E114" s="428">
        <v>-1061864.6200000001</v>
      </c>
      <c r="F114" s="428">
        <v>-1126492.28</v>
      </c>
      <c r="G114" s="428">
        <v>-1095755.8600000001</v>
      </c>
      <c r="H114" s="428">
        <v>-1038169.43</v>
      </c>
      <c r="I114" s="428">
        <v>-1065402.1399999999</v>
      </c>
      <c r="J114" s="428">
        <v>-1018485.39</v>
      </c>
      <c r="K114" s="428">
        <v>-985029.13</v>
      </c>
      <c r="L114" s="428">
        <v>-1001340.98</v>
      </c>
      <c r="M114" s="428">
        <v>-1094381.68</v>
      </c>
      <c r="N114" s="428">
        <v>-1090222.76</v>
      </c>
      <c r="O114" s="429">
        <v>-1124779.8</v>
      </c>
      <c r="P114" s="52">
        <v>-1216865.1000000001</v>
      </c>
      <c r="Q114" s="52">
        <v>-1132293.3500000001</v>
      </c>
      <c r="R114" s="52">
        <v>-1225355.44</v>
      </c>
      <c r="S114" s="52">
        <v>-1071428.77</v>
      </c>
      <c r="T114" s="52">
        <v>-1067929.24</v>
      </c>
      <c r="U114" s="52">
        <v>-1013504.09</v>
      </c>
      <c r="V114" s="52">
        <v>-1038088.25</v>
      </c>
      <c r="W114" s="52">
        <v>-1048677.99</v>
      </c>
      <c r="X114" s="52">
        <v>-1026166.32</v>
      </c>
      <c r="Y114" s="52">
        <v>-1111196.93</v>
      </c>
      <c r="Z114" s="52">
        <v>-1043585.65</v>
      </c>
      <c r="AA114" s="52">
        <v>-1215810.49</v>
      </c>
      <c r="AB114" s="52">
        <v>-1304919.6200000001</v>
      </c>
      <c r="AC114" s="52">
        <v>-1240727.33</v>
      </c>
      <c r="AD114" s="52">
        <v>-1294281.29</v>
      </c>
      <c r="AE114" s="52">
        <v>-1130562.06</v>
      </c>
      <c r="AF114" s="52">
        <v>-1160868.24</v>
      </c>
      <c r="AG114" s="52">
        <v>-1128723.28</v>
      </c>
      <c r="AH114" s="52">
        <v>-1080550.24</v>
      </c>
      <c r="AI114" s="52">
        <v>-1105872.18</v>
      </c>
      <c r="AJ114" s="52">
        <v>-1112995.21</v>
      </c>
      <c r="AK114" s="52">
        <v>-1183318.58</v>
      </c>
      <c r="AL114" s="52">
        <v>-1210293.78</v>
      </c>
      <c r="AM114" s="52">
        <v>-1195703.95</v>
      </c>
      <c r="AN114" s="52">
        <v>-1276585.81</v>
      </c>
      <c r="AO114" s="52">
        <v>-1131886.45</v>
      </c>
      <c r="AP114" s="52">
        <v>-1322839.97</v>
      </c>
      <c r="AQ114" s="52">
        <v>-1202824.8700000001</v>
      </c>
      <c r="AR114" s="52">
        <v>-1207442.19</v>
      </c>
      <c r="AS114" s="52">
        <v>-1175330.1100000001</v>
      </c>
      <c r="AT114" s="52">
        <v>-1214807.93</v>
      </c>
      <c r="AU114" s="52">
        <v>-1205128.1200000001</v>
      </c>
      <c r="AV114" s="52">
        <v>-1183897.05</v>
      </c>
      <c r="AW114" s="52">
        <v>-1169397.96</v>
      </c>
      <c r="AX114" s="52">
        <v>-1255662.22</v>
      </c>
      <c r="AY114" s="52">
        <v>-1312710.3</v>
      </c>
      <c r="AZ114" s="52">
        <v>-1488437.17</v>
      </c>
      <c r="BA114" s="52">
        <v>-1245426.08</v>
      </c>
      <c r="BB114" s="52">
        <v>-1391671.27</v>
      </c>
      <c r="BC114" s="52">
        <v>-1374811.46</v>
      </c>
      <c r="BD114" s="52">
        <v>-1170458.1100000001</v>
      </c>
      <c r="BE114" s="52">
        <v>-1298893.51</v>
      </c>
      <c r="BF114" s="52">
        <v>-1266229.8500000001</v>
      </c>
      <c r="BG114" s="52">
        <v>-1260504.67</v>
      </c>
      <c r="BH114" s="52">
        <v>-1197070.43</v>
      </c>
      <c r="BI114" s="52">
        <v>-1321483.6599999999</v>
      </c>
      <c r="BJ114" s="52">
        <v>-1332077.6200000001</v>
      </c>
      <c r="BK114" s="52">
        <v>-1365630.92</v>
      </c>
      <c r="BL114" s="52">
        <v>-1361998.37</v>
      </c>
      <c r="BM114" s="52">
        <v>-1295328.3</v>
      </c>
      <c r="BN114" s="52">
        <v>-1340330.75</v>
      </c>
      <c r="BO114" s="52">
        <v>-1343029.32</v>
      </c>
      <c r="BP114" s="52">
        <v>-1310472.43</v>
      </c>
      <c r="BQ114" s="52">
        <v>-1217886.92</v>
      </c>
      <c r="BR114" s="52">
        <v>-1209752.6200000001</v>
      </c>
      <c r="BS114" s="52">
        <v>-1222785.75</v>
      </c>
      <c r="BT114" s="52">
        <v>-1188353.6100000001</v>
      </c>
      <c r="BU114" s="52">
        <v>-1308779.6100000001</v>
      </c>
      <c r="BV114" s="52">
        <v>-1315400.68</v>
      </c>
      <c r="BW114" s="52">
        <v>-1424764.73</v>
      </c>
      <c r="BX114" s="52">
        <v>-1497323.42</v>
      </c>
      <c r="BY114" s="52">
        <v>-1408549.33</v>
      </c>
      <c r="BZ114" s="52">
        <v>-1383859.34</v>
      </c>
      <c r="CA114" s="52">
        <v>-1192303.73</v>
      </c>
      <c r="CB114" s="52">
        <v>-1216783.97</v>
      </c>
      <c r="CC114" s="52">
        <v>-1170963.93</v>
      </c>
      <c r="CD114" s="52">
        <v>-1282491.52</v>
      </c>
      <c r="CE114" s="52">
        <v>-1193283.04</v>
      </c>
      <c r="CF114" s="52">
        <v>-1161680.1599999999</v>
      </c>
      <c r="CG114" s="52">
        <v>-1278742.19</v>
      </c>
      <c r="CH114" s="52">
        <v>-1214648.72</v>
      </c>
      <c r="CI114" s="52">
        <v>-1343247.26</v>
      </c>
      <c r="CJ114" s="52">
        <v>-1636485.86</v>
      </c>
      <c r="CK114" s="52">
        <v>-1528912.89</v>
      </c>
      <c r="CL114" s="52">
        <v>-1661704.73</v>
      </c>
      <c r="CM114" s="52">
        <v>-1797699.71</v>
      </c>
      <c r="CN114" s="52">
        <v>-1505845.36</v>
      </c>
      <c r="CO114" s="52">
        <v>-1634362.19</v>
      </c>
      <c r="CP114" s="52">
        <v>-1747802.84</v>
      </c>
      <c r="CQ114" s="52">
        <v>-1683797.17</v>
      </c>
      <c r="CR114" s="52">
        <v>-1689003.82</v>
      </c>
      <c r="CS114" s="52">
        <v>-1750971.97</v>
      </c>
      <c r="CT114" s="52">
        <v>-1767988.72</v>
      </c>
      <c r="CU114" s="52">
        <v>-1832900.17</v>
      </c>
      <c r="CV114" s="430">
        <f t="shared" si="2"/>
        <v>-20237475.43</v>
      </c>
    </row>
    <row r="115" spans="1:100">
      <c r="A115" s="540" t="str">
        <f t="shared" si="3"/>
        <v>4893059</v>
      </c>
      <c r="B115" s="541" t="s">
        <v>1946</v>
      </c>
      <c r="C115" s="463" t="s">
        <v>1040</v>
      </c>
      <c r="D115" s="426">
        <v>-17166.14</v>
      </c>
      <c r="E115" s="426">
        <v>-18406.29</v>
      </c>
      <c r="F115" s="426">
        <v>-16769.68</v>
      </c>
      <c r="G115" s="426">
        <v>-17288.84</v>
      </c>
      <c r="H115" s="426">
        <v>-15401.94</v>
      </c>
      <c r="I115" s="426">
        <v>-21076.86</v>
      </c>
      <c r="J115" s="426">
        <v>-17306.88</v>
      </c>
      <c r="K115" s="426">
        <v>-12736.84</v>
      </c>
      <c r="L115" s="426">
        <v>-15060.75</v>
      </c>
      <c r="M115" s="426">
        <v>-15027.99</v>
      </c>
      <c r="N115" s="426">
        <v>-15428.14</v>
      </c>
      <c r="O115" s="427">
        <v>-17002.060000000001</v>
      </c>
      <c r="P115" s="52">
        <v>-18841.27</v>
      </c>
      <c r="Q115" s="52">
        <v>-18311.75</v>
      </c>
      <c r="R115" s="52">
        <v>-18848.71</v>
      </c>
      <c r="S115" s="52">
        <v>-18257.29</v>
      </c>
      <c r="T115" s="52">
        <v>-15522.11</v>
      </c>
      <c r="U115" s="52">
        <v>-16915.349999999999</v>
      </c>
      <c r="V115" s="52">
        <v>-17150.310000000001</v>
      </c>
      <c r="W115" s="52">
        <v>-17054.060000000001</v>
      </c>
      <c r="X115" s="52">
        <v>-15954.6</v>
      </c>
      <c r="Y115" s="52">
        <v>-16022.58</v>
      </c>
      <c r="Z115" s="52">
        <v>-13317.79</v>
      </c>
      <c r="AA115" s="52">
        <v>-16743.52</v>
      </c>
      <c r="AB115" s="52">
        <v>-10113.799999999999</v>
      </c>
      <c r="AC115" s="52">
        <v>-12780.55</v>
      </c>
      <c r="AD115" s="52">
        <v>-13392.28</v>
      </c>
      <c r="AE115" s="52">
        <v>-10709.62</v>
      </c>
      <c r="AF115" s="52">
        <v>-12704.36</v>
      </c>
      <c r="AG115" s="52">
        <v>-13084.59</v>
      </c>
      <c r="AH115" s="52">
        <v>-11648.68</v>
      </c>
      <c r="AI115" s="52">
        <v>-11997.61</v>
      </c>
      <c r="AJ115" s="52">
        <v>-13078.71</v>
      </c>
      <c r="AK115" s="52">
        <v>-11579.45</v>
      </c>
      <c r="AL115" s="52">
        <v>-12386.83</v>
      </c>
      <c r="AM115" s="52">
        <v>-12707.82</v>
      </c>
      <c r="AN115" s="52">
        <v>-14673.08</v>
      </c>
      <c r="AO115" s="52">
        <v>-12368.91</v>
      </c>
      <c r="AP115" s="52">
        <v>-13083.75</v>
      </c>
      <c r="AQ115" s="52">
        <v>-12731.67</v>
      </c>
      <c r="AR115" s="52">
        <v>-12483.34</v>
      </c>
      <c r="AS115" s="52">
        <v>-13214.04</v>
      </c>
      <c r="AT115" s="52">
        <v>-15417.06</v>
      </c>
      <c r="AU115" s="52">
        <v>-11461.7</v>
      </c>
      <c r="AV115" s="52">
        <v>-17713.400000000001</v>
      </c>
      <c r="AW115" s="52">
        <v>-7446.24</v>
      </c>
      <c r="AX115" s="52">
        <v>-13188.23</v>
      </c>
      <c r="AY115" s="52">
        <v>-13194.88</v>
      </c>
      <c r="AZ115" s="52">
        <v>-14993.46</v>
      </c>
      <c r="BA115" s="52">
        <v>-12283.62</v>
      </c>
      <c r="BB115" s="52">
        <v>-12909.29</v>
      </c>
      <c r="BC115" s="52">
        <v>-17743.3</v>
      </c>
      <c r="BD115" s="52">
        <v>-5881.3</v>
      </c>
      <c r="BE115" s="52">
        <v>-10960.93</v>
      </c>
      <c r="BF115" s="52">
        <v>-10339.26</v>
      </c>
      <c r="BG115" s="52">
        <v>-10677.04</v>
      </c>
      <c r="BH115" s="52">
        <v>-11593.21</v>
      </c>
      <c r="BI115" s="52">
        <v>-11115.86</v>
      </c>
      <c r="BJ115" s="52">
        <v>-11076.05</v>
      </c>
      <c r="BK115" s="52">
        <v>-12365.68</v>
      </c>
      <c r="BL115" s="52">
        <v>-12972.76</v>
      </c>
      <c r="BM115" s="52">
        <v>-12815.97</v>
      </c>
      <c r="BN115" s="52">
        <v>-12240.85</v>
      </c>
      <c r="BO115" s="52">
        <v>-12298.93</v>
      </c>
      <c r="BP115" s="52">
        <v>-12659.92</v>
      </c>
      <c r="BQ115" s="52">
        <v>-10857.77</v>
      </c>
      <c r="BR115" s="52">
        <v>-9987.9500000000007</v>
      </c>
      <c r="BS115" s="52">
        <v>-10434.549999999999</v>
      </c>
      <c r="BT115" s="52">
        <v>-10060.870000000001</v>
      </c>
      <c r="BU115" s="52">
        <v>-14220.85</v>
      </c>
      <c r="BV115" s="52">
        <v>-10814.22</v>
      </c>
      <c r="BW115" s="52">
        <v>-18726.63</v>
      </c>
      <c r="BX115" s="52">
        <v>-15550.88</v>
      </c>
      <c r="BY115" s="52">
        <v>-14465.68</v>
      </c>
      <c r="BZ115" s="52">
        <v>-13703.24</v>
      </c>
      <c r="CA115" s="52">
        <v>-12409.08</v>
      </c>
      <c r="CB115" s="52">
        <v>-12373.43</v>
      </c>
      <c r="CC115" s="52">
        <v>-12380.47</v>
      </c>
      <c r="CD115" s="52">
        <v>-13837.62</v>
      </c>
      <c r="CE115" s="52">
        <v>-10639.84</v>
      </c>
      <c r="CF115" s="52">
        <v>-10078.1</v>
      </c>
      <c r="CG115" s="52">
        <v>-11846.88</v>
      </c>
      <c r="CH115" s="52">
        <v>-11412.79</v>
      </c>
      <c r="CI115" s="52">
        <v>-14562.76</v>
      </c>
      <c r="CJ115" s="52">
        <v>-14334.65</v>
      </c>
      <c r="CK115" s="52">
        <v>-13155.81</v>
      </c>
      <c r="CL115" s="52">
        <v>-11248.59</v>
      </c>
      <c r="CM115" s="52">
        <v>-16374.63</v>
      </c>
      <c r="CN115" s="52">
        <v>-10279.77</v>
      </c>
      <c r="CO115" s="52">
        <v>-13252.49</v>
      </c>
      <c r="CP115" s="52">
        <v>-14860.49</v>
      </c>
      <c r="CQ115" s="52">
        <v>-9259.26</v>
      </c>
      <c r="CR115" s="52">
        <v>-11248.04</v>
      </c>
      <c r="CS115" s="52">
        <v>-10895.62</v>
      </c>
      <c r="CT115" s="52">
        <v>-11689.33</v>
      </c>
      <c r="CU115" s="52">
        <v>-12738.33</v>
      </c>
      <c r="CV115" s="430">
        <f t="shared" si="2"/>
        <v>-149337.00999999998</v>
      </c>
    </row>
    <row r="116" spans="1:100">
      <c r="A116" s="540" t="str">
        <f t="shared" si="3"/>
        <v>4893060</v>
      </c>
      <c r="B116" s="541" t="s">
        <v>1947</v>
      </c>
      <c r="C116" s="463" t="s">
        <v>1041</v>
      </c>
      <c r="D116" s="426">
        <v>-533186</v>
      </c>
      <c r="E116" s="426">
        <v>-476666.31</v>
      </c>
      <c r="F116" s="426">
        <v>-514447.95</v>
      </c>
      <c r="G116" s="426">
        <v>-473757.07</v>
      </c>
      <c r="H116" s="426">
        <v>-476908.04</v>
      </c>
      <c r="I116" s="426">
        <v>-440271.54</v>
      </c>
      <c r="J116" s="426">
        <v>-436960.49</v>
      </c>
      <c r="K116" s="426">
        <v>-431194.32</v>
      </c>
      <c r="L116" s="426">
        <v>-419661.01</v>
      </c>
      <c r="M116" s="426">
        <v>-447279.19</v>
      </c>
      <c r="N116" s="426">
        <v>-461896.2</v>
      </c>
      <c r="O116" s="427">
        <v>-454137.83</v>
      </c>
      <c r="P116" s="52">
        <v>-496630.24</v>
      </c>
      <c r="Q116" s="52">
        <v>-487004.77</v>
      </c>
      <c r="R116" s="52">
        <v>-450076.29</v>
      </c>
      <c r="S116" s="52">
        <v>-435811.7</v>
      </c>
      <c r="T116" s="52">
        <v>-430015.27</v>
      </c>
      <c r="U116" s="52">
        <v>-431218.19</v>
      </c>
      <c r="V116" s="52">
        <v>-416448.14</v>
      </c>
      <c r="W116" s="52">
        <v>-424156.58</v>
      </c>
      <c r="X116" s="52">
        <v>-430324.7</v>
      </c>
      <c r="Y116" s="52">
        <v>-418315.81</v>
      </c>
      <c r="Z116" s="52">
        <v>-421903.03</v>
      </c>
      <c r="AA116" s="52">
        <v>-428192.93</v>
      </c>
      <c r="AB116" s="52">
        <v>-483151.1</v>
      </c>
      <c r="AC116" s="52">
        <v>-460570.16</v>
      </c>
      <c r="AD116" s="52">
        <v>-461757.74</v>
      </c>
      <c r="AE116" s="52">
        <v>-450026.78</v>
      </c>
      <c r="AF116" s="52">
        <v>-440006.04</v>
      </c>
      <c r="AG116" s="52">
        <v>-427545.09</v>
      </c>
      <c r="AH116" s="52">
        <v>-419351.73</v>
      </c>
      <c r="AI116" s="52">
        <v>-405979.42</v>
      </c>
      <c r="AJ116" s="52">
        <v>-409123.49</v>
      </c>
      <c r="AK116" s="52">
        <v>-428536.34</v>
      </c>
      <c r="AL116" s="52">
        <v>-425153.35</v>
      </c>
      <c r="AM116" s="52">
        <v>-466232.1</v>
      </c>
      <c r="AN116" s="52">
        <v>-451036.08</v>
      </c>
      <c r="AO116" s="52">
        <v>-432789.14</v>
      </c>
      <c r="AP116" s="52">
        <v>-441487.68</v>
      </c>
      <c r="AQ116" s="52">
        <v>-403945.53</v>
      </c>
      <c r="AR116" s="52">
        <v>-399018.8</v>
      </c>
      <c r="AS116" s="52">
        <v>-390760.53</v>
      </c>
      <c r="AT116" s="52">
        <v>-387819.42</v>
      </c>
      <c r="AU116" s="52">
        <v>-403601.54</v>
      </c>
      <c r="AV116" s="52">
        <v>-364144.13</v>
      </c>
      <c r="AW116" s="52">
        <v>-395070.4</v>
      </c>
      <c r="AX116" s="52">
        <v>-419376.54</v>
      </c>
      <c r="AY116" s="52">
        <v>-563414.99</v>
      </c>
      <c r="AZ116" s="52">
        <v>-481004.2</v>
      </c>
      <c r="BA116" s="52">
        <v>-409931.39</v>
      </c>
      <c r="BB116" s="52">
        <v>-449243.71</v>
      </c>
      <c r="BC116" s="52">
        <v>-418790.44</v>
      </c>
      <c r="BD116" s="52">
        <v>-412764.26</v>
      </c>
      <c r="BE116" s="52">
        <v>-409035.31</v>
      </c>
      <c r="BF116" s="52">
        <v>-409418.81</v>
      </c>
      <c r="BG116" s="52">
        <v>-413538.49</v>
      </c>
      <c r="BH116" s="52">
        <v>-396633.17</v>
      </c>
      <c r="BI116" s="52">
        <v>-400171.62</v>
      </c>
      <c r="BJ116" s="52">
        <v>-399145.29</v>
      </c>
      <c r="BK116" s="52">
        <v>-423234.55</v>
      </c>
      <c r="BL116" s="52">
        <v>-444881.47</v>
      </c>
      <c r="BM116" s="52">
        <v>-232331.24</v>
      </c>
      <c r="BN116" s="52">
        <v>-252903.52</v>
      </c>
      <c r="BO116" s="52">
        <v>-234351.01</v>
      </c>
      <c r="BP116" s="52">
        <v>-221827.57</v>
      </c>
      <c r="BQ116" s="52">
        <v>-205803.28</v>
      </c>
      <c r="BR116" s="52">
        <v>-218658.51</v>
      </c>
      <c r="BS116" s="52">
        <v>-217094.43</v>
      </c>
      <c r="BT116" s="52">
        <v>-209945.97</v>
      </c>
      <c r="BU116" s="52">
        <v>-225321.78</v>
      </c>
      <c r="BV116" s="52">
        <v>-252303.85</v>
      </c>
      <c r="BW116" s="52">
        <v>-231892.55</v>
      </c>
      <c r="BX116" s="52">
        <v>-260242.92</v>
      </c>
      <c r="BY116" s="52">
        <v>-234084.45</v>
      </c>
      <c r="BZ116" s="52">
        <v>-210589.39</v>
      </c>
      <c r="CA116" s="52">
        <v>-248777.57</v>
      </c>
      <c r="CB116" s="52">
        <v>-309712.8</v>
      </c>
      <c r="CC116" s="52">
        <v>-184368.55</v>
      </c>
      <c r="CD116" s="52">
        <v>-246818.42</v>
      </c>
      <c r="CE116" s="52">
        <v>-231374.44</v>
      </c>
      <c r="CF116" s="52">
        <v>-231025.27</v>
      </c>
      <c r="CG116" s="52">
        <v>-262343.31</v>
      </c>
      <c r="CH116" s="52">
        <v>-238376.78</v>
      </c>
      <c r="CI116" s="52">
        <v>-271902.78000000003</v>
      </c>
      <c r="CJ116" s="52">
        <v>-346229.64</v>
      </c>
      <c r="CK116" s="52">
        <v>-323645.49</v>
      </c>
      <c r="CL116" s="52">
        <v>-347519.3</v>
      </c>
      <c r="CM116" s="52">
        <v>-316243.92</v>
      </c>
      <c r="CN116" s="52">
        <v>-307697.11</v>
      </c>
      <c r="CO116" s="52">
        <v>-293141.14</v>
      </c>
      <c r="CP116" s="52">
        <v>-289741.18</v>
      </c>
      <c r="CQ116" s="52">
        <v>-290710.59999999998</v>
      </c>
      <c r="CR116" s="52">
        <v>-288428.38</v>
      </c>
      <c r="CS116" s="52">
        <v>-279834.08</v>
      </c>
      <c r="CT116" s="52">
        <v>-288853.49</v>
      </c>
      <c r="CU116" s="52">
        <v>-279454.98</v>
      </c>
      <c r="CV116" s="430">
        <f t="shared" si="2"/>
        <v>-3651499.31</v>
      </c>
    </row>
    <row r="117" spans="1:100">
      <c r="A117" s="540" t="str">
        <f t="shared" si="3"/>
        <v>4893070</v>
      </c>
      <c r="B117" s="541" t="s">
        <v>1948</v>
      </c>
      <c r="C117" s="463" t="s">
        <v>1042</v>
      </c>
      <c r="D117" s="426">
        <v>-709076.54</v>
      </c>
      <c r="E117" s="426">
        <v>-667305.18999999994</v>
      </c>
      <c r="F117" s="426">
        <v>-594203.28</v>
      </c>
      <c r="G117" s="426">
        <v>-659938.19999999995</v>
      </c>
      <c r="H117" s="426">
        <v>-633364.62</v>
      </c>
      <c r="I117" s="426">
        <v>-633504.18999999994</v>
      </c>
      <c r="J117" s="426">
        <v>-673197.75</v>
      </c>
      <c r="K117" s="426">
        <v>-652853.34</v>
      </c>
      <c r="L117" s="426">
        <v>-647313.92000000004</v>
      </c>
      <c r="M117" s="426">
        <v>-604848.86</v>
      </c>
      <c r="N117" s="426">
        <v>-526188.97</v>
      </c>
      <c r="O117" s="427">
        <v>-529007.73</v>
      </c>
      <c r="P117" s="52">
        <v>-577494.81000000006</v>
      </c>
      <c r="Q117" s="52">
        <v>-566076.23</v>
      </c>
      <c r="R117" s="52">
        <v>-620129.05000000005</v>
      </c>
      <c r="S117" s="52">
        <v>-638339.99</v>
      </c>
      <c r="T117" s="52">
        <v>-624575.13</v>
      </c>
      <c r="U117" s="52">
        <v>-799680.82</v>
      </c>
      <c r="V117" s="52">
        <v>-685490.34</v>
      </c>
      <c r="W117" s="52">
        <v>-699002.41</v>
      </c>
      <c r="X117" s="52">
        <v>-757601.55</v>
      </c>
      <c r="Y117" s="52">
        <v>-762299.45</v>
      </c>
      <c r="Z117" s="52">
        <v>-712985.92</v>
      </c>
      <c r="AA117" s="52">
        <v>-556569.56000000006</v>
      </c>
      <c r="AB117" s="52">
        <v>-592442.88</v>
      </c>
      <c r="AC117" s="52">
        <v>-559249.38</v>
      </c>
      <c r="AD117" s="52">
        <v>-653853.81999999995</v>
      </c>
      <c r="AE117" s="52">
        <v>-697600.61</v>
      </c>
      <c r="AF117" s="52">
        <v>-743559.93</v>
      </c>
      <c r="AG117" s="52">
        <v>-689815.61</v>
      </c>
      <c r="AH117" s="52">
        <v>-734956.03</v>
      </c>
      <c r="AI117" s="52">
        <v>-712430.78</v>
      </c>
      <c r="AJ117" s="52">
        <v>-759340.47</v>
      </c>
      <c r="AK117" s="52">
        <v>-673846.38</v>
      </c>
      <c r="AL117" s="52">
        <v>-687767.74</v>
      </c>
      <c r="AM117" s="52">
        <v>-539033.11</v>
      </c>
      <c r="AN117" s="52">
        <v>-591232.04</v>
      </c>
      <c r="AO117" s="52">
        <v>-578847.51</v>
      </c>
      <c r="AP117" s="52">
        <v>-626224.15</v>
      </c>
      <c r="AQ117" s="52">
        <v>-641536.9</v>
      </c>
      <c r="AR117" s="52">
        <v>-726815</v>
      </c>
      <c r="AS117" s="52">
        <v>-757827.81</v>
      </c>
      <c r="AT117" s="52">
        <v>-290868.14</v>
      </c>
      <c r="AU117" s="52">
        <v>-334610.28999999998</v>
      </c>
      <c r="AV117" s="52">
        <v>-440164.14</v>
      </c>
      <c r="AW117" s="52">
        <v>-390157</v>
      </c>
      <c r="AX117" s="52">
        <v>-813742.35</v>
      </c>
      <c r="AY117" s="52">
        <v>35609.339999999997</v>
      </c>
      <c r="AZ117" s="52">
        <v>-388530.27</v>
      </c>
      <c r="BA117" s="52">
        <v>-372462.53</v>
      </c>
      <c r="BB117" s="52">
        <v>-392270.98</v>
      </c>
      <c r="BC117" s="52">
        <v>-410858.62</v>
      </c>
      <c r="BD117" s="52">
        <v>-381530.37</v>
      </c>
      <c r="BE117" s="52">
        <v>-376276.36</v>
      </c>
      <c r="BF117" s="52">
        <v>-367962.47</v>
      </c>
      <c r="BG117" s="52">
        <v>-340408.55</v>
      </c>
      <c r="BH117" s="52">
        <v>-339527.37</v>
      </c>
      <c r="BI117" s="52">
        <v>-351206.28</v>
      </c>
      <c r="BJ117" s="52">
        <v>-376564.4</v>
      </c>
      <c r="BK117" s="52">
        <v>-357196.29</v>
      </c>
      <c r="BL117" s="52">
        <v>-403887.19</v>
      </c>
      <c r="BM117" s="52">
        <v>-343534.62</v>
      </c>
      <c r="BN117" s="52">
        <v>-330691.73</v>
      </c>
      <c r="BO117" s="52">
        <v>-357726.6</v>
      </c>
      <c r="BP117" s="52">
        <v>-348456.48</v>
      </c>
      <c r="BQ117" s="52">
        <v>-271999.35999999999</v>
      </c>
      <c r="BR117" s="52">
        <v>-316543.56</v>
      </c>
      <c r="BS117" s="52">
        <v>-209983.07</v>
      </c>
      <c r="BT117" s="52">
        <v>-419220.97</v>
      </c>
      <c r="BU117" s="52">
        <v>-353491.52</v>
      </c>
      <c r="BV117" s="52">
        <v>-353319.59</v>
      </c>
      <c r="BW117" s="52">
        <v>-409461.54</v>
      </c>
      <c r="BX117" s="52">
        <v>-401487.39</v>
      </c>
      <c r="BY117" s="52">
        <v>-387590.22</v>
      </c>
      <c r="BZ117" s="52">
        <v>-319867.67</v>
      </c>
      <c r="CA117" s="52">
        <v>-447278.77</v>
      </c>
      <c r="CB117" s="52">
        <v>-461157.72</v>
      </c>
      <c r="CC117" s="52">
        <v>-323948.03999999998</v>
      </c>
      <c r="CD117" s="52">
        <v>-312571.38</v>
      </c>
      <c r="CE117" s="52">
        <v>-400566.51</v>
      </c>
      <c r="CF117" s="52">
        <v>-383293.55</v>
      </c>
      <c r="CG117" s="52">
        <v>-392798.26</v>
      </c>
      <c r="CH117" s="52">
        <v>-404174.99</v>
      </c>
      <c r="CI117" s="52">
        <v>-392234.14</v>
      </c>
      <c r="CJ117" s="52">
        <v>-429329.34</v>
      </c>
      <c r="CK117" s="52">
        <v>-415632.55</v>
      </c>
      <c r="CL117" s="52">
        <v>-565423.07999999996</v>
      </c>
      <c r="CM117" s="52">
        <v>-826124.39</v>
      </c>
      <c r="CN117" s="52">
        <v>-269593.39</v>
      </c>
      <c r="CO117" s="52">
        <v>-510389.13</v>
      </c>
      <c r="CP117" s="52">
        <v>-493050</v>
      </c>
      <c r="CQ117" s="52">
        <v>-468802.25</v>
      </c>
      <c r="CR117" s="52">
        <v>-441228.72</v>
      </c>
      <c r="CS117" s="52">
        <v>-493307.64</v>
      </c>
      <c r="CT117" s="52">
        <v>-460213.59</v>
      </c>
      <c r="CU117" s="52">
        <v>-540710.57999999996</v>
      </c>
      <c r="CV117" s="430">
        <f t="shared" si="2"/>
        <v>-5913804.6599999992</v>
      </c>
    </row>
    <row r="118" spans="1:100">
      <c r="A118" s="540" t="str">
        <f t="shared" si="3"/>
        <v>4893080</v>
      </c>
      <c r="B118" s="541" t="s">
        <v>1949</v>
      </c>
      <c r="C118" s="463" t="s">
        <v>1043</v>
      </c>
      <c r="D118" s="428">
        <v>-789137.07</v>
      </c>
      <c r="E118" s="428">
        <v>-497925.9</v>
      </c>
      <c r="F118" s="428">
        <v>-680849.44</v>
      </c>
      <c r="G118" s="428">
        <v>-497491.20000000001</v>
      </c>
      <c r="H118" s="428">
        <v>-549589</v>
      </c>
      <c r="I118" s="428">
        <v>-574242.71</v>
      </c>
      <c r="J118" s="428">
        <v>-614330.89</v>
      </c>
      <c r="K118" s="428">
        <v>-606208.63</v>
      </c>
      <c r="L118" s="428">
        <v>-493838.62</v>
      </c>
      <c r="M118" s="428">
        <v>-469749.23</v>
      </c>
      <c r="N118" s="428">
        <v>-547274.43000000005</v>
      </c>
      <c r="O118" s="429">
        <v>-267649.39</v>
      </c>
      <c r="P118" s="52">
        <v>-794409.93</v>
      </c>
      <c r="Q118" s="52">
        <v>-628707.97</v>
      </c>
      <c r="R118" s="52">
        <v>-574505.99</v>
      </c>
      <c r="S118" s="52">
        <v>-577904.38</v>
      </c>
      <c r="T118" s="52">
        <v>-663151.98</v>
      </c>
      <c r="U118" s="52">
        <v>-579620.73</v>
      </c>
      <c r="V118" s="52">
        <v>-567052.07999999996</v>
      </c>
      <c r="W118" s="52">
        <v>-531546.43000000005</v>
      </c>
      <c r="X118" s="52">
        <v>-517334.14</v>
      </c>
      <c r="Y118" s="52">
        <v>-525344.56999999995</v>
      </c>
      <c r="Z118" s="52">
        <v>-447728.22</v>
      </c>
      <c r="AA118" s="52">
        <v>-568003.55000000005</v>
      </c>
      <c r="AB118" s="52">
        <v>-866349.32</v>
      </c>
      <c r="AC118" s="52">
        <v>-715339.17</v>
      </c>
      <c r="AD118" s="52">
        <v>-485266.15</v>
      </c>
      <c r="AE118" s="52">
        <v>145596.84</v>
      </c>
      <c r="AF118" s="52">
        <v>477290.71</v>
      </c>
      <c r="AG118" s="52">
        <v>-663294.97</v>
      </c>
      <c r="AH118" s="52">
        <v>-705982.64</v>
      </c>
      <c r="AI118" s="52">
        <v>-519452</v>
      </c>
      <c r="AJ118" s="52">
        <v>-484968.04</v>
      </c>
      <c r="AK118" s="52">
        <v>-520494.43</v>
      </c>
      <c r="AL118" s="52">
        <v>-309826.8</v>
      </c>
      <c r="AM118" s="52">
        <v>-647100.79</v>
      </c>
      <c r="AN118" s="52">
        <v>-35861.949999999997</v>
      </c>
      <c r="AO118" s="52">
        <v>-36000</v>
      </c>
      <c r="AP118" s="52">
        <v>-36000</v>
      </c>
      <c r="AQ118" s="52">
        <v>-36000</v>
      </c>
      <c r="AR118" s="52">
        <v>-36000</v>
      </c>
      <c r="AS118" s="52">
        <v>-36000</v>
      </c>
      <c r="AT118" s="52">
        <v>-36000</v>
      </c>
      <c r="AU118" s="52">
        <v>-33612.39</v>
      </c>
      <c r="AV118" s="52">
        <v>-35109.61</v>
      </c>
      <c r="AW118" s="52">
        <v>-38387.61</v>
      </c>
      <c r="AX118" s="52">
        <v>394854.38</v>
      </c>
      <c r="AY118" s="52">
        <v>-469564.09</v>
      </c>
      <c r="AZ118" s="52">
        <v>-37191.519999999997</v>
      </c>
      <c r="BA118" s="52">
        <v>-41989.62</v>
      </c>
      <c r="BB118" s="52">
        <v>-36730.04</v>
      </c>
      <c r="BC118" s="52">
        <v>-38957.47</v>
      </c>
      <c r="BD118" s="52">
        <v>-46528.78</v>
      </c>
      <c r="BE118" s="52">
        <v>-40563.040000000001</v>
      </c>
      <c r="BF118" s="52">
        <v>-36000</v>
      </c>
      <c r="BG118" s="52">
        <v>-51130.23</v>
      </c>
      <c r="BH118" s="52">
        <v>-44768.38</v>
      </c>
      <c r="BI118" s="52">
        <v>-47502.8</v>
      </c>
      <c r="BJ118" s="52">
        <v>-45954.720000000001</v>
      </c>
      <c r="BK118" s="52">
        <v>-234980.03</v>
      </c>
      <c r="BL118" s="52">
        <v>-46719.45</v>
      </c>
      <c r="BM118" s="52">
        <v>10719.45</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430">
        <f t="shared" si="2"/>
        <v>0</v>
      </c>
    </row>
    <row r="119" spans="1:100">
      <c r="A119" s="540" t="str">
        <f t="shared" si="3"/>
        <v>4893090</v>
      </c>
      <c r="B119" s="541" t="s">
        <v>1781</v>
      </c>
      <c r="C119" s="463" t="s">
        <v>1768</v>
      </c>
      <c r="D119" s="428"/>
      <c r="E119" s="428"/>
      <c r="F119" s="428"/>
      <c r="G119" s="428"/>
      <c r="H119" s="428"/>
      <c r="I119" s="428"/>
      <c r="J119" s="428"/>
      <c r="K119" s="428"/>
      <c r="L119" s="428"/>
      <c r="M119" s="428"/>
      <c r="N119" s="428"/>
      <c r="O119" s="429"/>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v>-466654.27</v>
      </c>
      <c r="AO119" s="52">
        <v>-394539.45</v>
      </c>
      <c r="AP119" s="52">
        <v>-554465.63</v>
      </c>
      <c r="AQ119" s="52">
        <v>-634305.98</v>
      </c>
      <c r="AR119" s="52">
        <v>-675985.8</v>
      </c>
      <c r="AS119" s="52">
        <v>-636059.61</v>
      </c>
      <c r="AT119" s="52">
        <v>-1052232.94</v>
      </c>
      <c r="AU119" s="52">
        <v>-1010769.12</v>
      </c>
      <c r="AV119" s="52">
        <v>-725543.42</v>
      </c>
      <c r="AW119" s="52">
        <v>-863130.43</v>
      </c>
      <c r="AX119" s="52">
        <v>-810940.23</v>
      </c>
      <c r="AY119" s="52">
        <v>-974725.78</v>
      </c>
      <c r="AZ119" s="52">
        <v>-836852.86</v>
      </c>
      <c r="BA119" s="52">
        <v>-816206.95</v>
      </c>
      <c r="BB119" s="52">
        <v>-991175.84</v>
      </c>
      <c r="BC119" s="52">
        <v>-984965.22</v>
      </c>
      <c r="BD119" s="52">
        <v>-1088467.31</v>
      </c>
      <c r="BE119" s="52">
        <v>-1014759.98</v>
      </c>
      <c r="BF119" s="52">
        <v>-999056.37</v>
      </c>
      <c r="BG119" s="52">
        <v>-879595.98</v>
      </c>
      <c r="BH119" s="52">
        <v>-931980.83</v>
      </c>
      <c r="BI119" s="52">
        <v>-909430.68</v>
      </c>
      <c r="BJ119" s="52">
        <v>-841804.4</v>
      </c>
      <c r="BK119" s="52">
        <v>-738268.85</v>
      </c>
      <c r="BL119" s="52">
        <v>-844108.6</v>
      </c>
      <c r="BM119" s="52">
        <v>-1059129.3500000001</v>
      </c>
      <c r="BN119" s="52">
        <v>-1322565.29</v>
      </c>
      <c r="BO119" s="52">
        <v>-1405078.75</v>
      </c>
      <c r="BP119" s="52">
        <v>-1455993.49</v>
      </c>
      <c r="BQ119" s="52">
        <v>-1349730.52</v>
      </c>
      <c r="BR119" s="52">
        <v>-1181847.51</v>
      </c>
      <c r="BS119" s="52">
        <v>-1140673.3500000001</v>
      </c>
      <c r="BT119" s="52">
        <v>-1153446.3400000001</v>
      </c>
      <c r="BU119" s="52">
        <v>-1259815.1499999999</v>
      </c>
      <c r="BV119" s="52">
        <v>-1207129.02</v>
      </c>
      <c r="BW119" s="52">
        <v>-974343.22</v>
      </c>
      <c r="BX119" s="52">
        <v>-1253806.6599999999</v>
      </c>
      <c r="BY119" s="52">
        <v>-1149832.68</v>
      </c>
      <c r="BZ119" s="52">
        <v>-1488391.12</v>
      </c>
      <c r="CA119" s="52">
        <v>-1465415.3</v>
      </c>
      <c r="CB119" s="52">
        <v>-1537838.83</v>
      </c>
      <c r="CC119" s="52">
        <v>-1400969.26</v>
      </c>
      <c r="CD119" s="52">
        <v>-1287614.18</v>
      </c>
      <c r="CE119" s="52">
        <v>-1321797.8999999999</v>
      </c>
      <c r="CF119" s="52">
        <v>-1376810.97</v>
      </c>
      <c r="CG119" s="52">
        <v>-1387730.97</v>
      </c>
      <c r="CH119" s="52">
        <v>-1270542.3600000001</v>
      </c>
      <c r="CI119" s="52">
        <v>-1186111.57</v>
      </c>
      <c r="CJ119" s="52">
        <v>-1356081.42</v>
      </c>
      <c r="CK119" s="52">
        <v>-1199098.6399999999</v>
      </c>
      <c r="CL119" s="52">
        <v>-1364601.87</v>
      </c>
      <c r="CM119" s="52">
        <v>-1123822.6299999999</v>
      </c>
      <c r="CN119" s="52">
        <v>-1704139.42</v>
      </c>
      <c r="CO119" s="52">
        <v>-1305661.18</v>
      </c>
      <c r="CP119" s="52">
        <v>-1310658.44</v>
      </c>
      <c r="CQ119" s="52">
        <v>-1230416.29</v>
      </c>
      <c r="CR119" s="52">
        <v>-1237458.95</v>
      </c>
      <c r="CS119" s="52">
        <v>-1312413.04</v>
      </c>
      <c r="CT119" s="52">
        <v>-1394456.87</v>
      </c>
      <c r="CU119" s="52">
        <v>-1217184.3899999999</v>
      </c>
      <c r="CV119" s="430">
        <f t="shared" si="2"/>
        <v>-15755993.140000001</v>
      </c>
    </row>
    <row r="120" spans="1:100">
      <c r="A120" s="540" t="str">
        <f t="shared" si="3"/>
        <v>4930000</v>
      </c>
      <c r="B120" s="541" t="s">
        <v>1951</v>
      </c>
      <c r="C120" s="463" t="s">
        <v>1044</v>
      </c>
      <c r="D120" s="426">
        <v>-5300</v>
      </c>
      <c r="E120" s="426">
        <v>-4300</v>
      </c>
      <c r="F120" s="426">
        <v>-2300</v>
      </c>
      <c r="G120" s="426">
        <v>-76987.39</v>
      </c>
      <c r="H120" s="426">
        <v>-2300</v>
      </c>
      <c r="I120" s="426">
        <v>-2300</v>
      </c>
      <c r="J120" s="426">
        <v>-5300</v>
      </c>
      <c r="K120" s="426">
        <v>-2300</v>
      </c>
      <c r="L120" s="426">
        <v>-2300</v>
      </c>
      <c r="M120" s="426">
        <v>-2300</v>
      </c>
      <c r="N120" s="426">
        <v>-2300</v>
      </c>
      <c r="O120" s="427">
        <v>-5300</v>
      </c>
      <c r="P120" s="52">
        <v>-2583.83</v>
      </c>
      <c r="Q120" s="52">
        <v>-4405</v>
      </c>
      <c r="R120" s="52">
        <v>-2400</v>
      </c>
      <c r="S120" s="52">
        <v>-2300</v>
      </c>
      <c r="T120" s="52">
        <v>-76182.539999999994</v>
      </c>
      <c r="U120" s="52">
        <v>-5400</v>
      </c>
      <c r="V120" s="52">
        <v>-2400</v>
      </c>
      <c r="W120" s="52">
        <v>-2243.1999999999998</v>
      </c>
      <c r="X120" s="52">
        <v>-2243.1999999999998</v>
      </c>
      <c r="Y120" s="52">
        <v>-2243.1999999999998</v>
      </c>
      <c r="Z120" s="52">
        <v>-2243.1999999999998</v>
      </c>
      <c r="AA120" s="52">
        <v>-2243.1999999999998</v>
      </c>
      <c r="AB120" s="52">
        <v>-5047.0600000000004</v>
      </c>
      <c r="AC120" s="52">
        <v>-2243.1999999999998</v>
      </c>
      <c r="AD120" s="52">
        <v>-2243.1999999999998</v>
      </c>
      <c r="AE120" s="52">
        <v>-10582.84</v>
      </c>
      <c r="AF120" s="52">
        <v>-86285.86</v>
      </c>
      <c r="AG120" s="52">
        <v>-2243.1999999999998</v>
      </c>
      <c r="AH120" s="52">
        <v>-11981.55</v>
      </c>
      <c r="AI120" s="52">
        <v>-9177.82</v>
      </c>
      <c r="AJ120" s="52">
        <v>-9177.82</v>
      </c>
      <c r="AK120" s="52">
        <v>-9177.82</v>
      </c>
      <c r="AL120" s="52">
        <v>-11981.56</v>
      </c>
      <c r="AM120" s="52">
        <v>-9177.83</v>
      </c>
      <c r="AN120" s="52">
        <v>-10377.83</v>
      </c>
      <c r="AO120" s="52">
        <v>-11177.83</v>
      </c>
      <c r="AP120" s="52">
        <v>-13149.08</v>
      </c>
      <c r="AQ120" s="52">
        <v>-9177.83</v>
      </c>
      <c r="AR120" s="52">
        <v>-93048.11</v>
      </c>
      <c r="AS120" s="52">
        <v>-9177.83</v>
      </c>
      <c r="AT120" s="52">
        <v>-4953.26</v>
      </c>
      <c r="AU120" s="52">
        <v>-2149.5300000000002</v>
      </c>
      <c r="AV120" s="52">
        <v>-2149.5300000000002</v>
      </c>
      <c r="AW120" s="52">
        <v>-2149.5300000000002</v>
      </c>
      <c r="AX120" s="52">
        <v>-4953.26</v>
      </c>
      <c r="AY120" s="52">
        <v>-2149.5300000000002</v>
      </c>
      <c r="AZ120" s="52">
        <v>-2149.5300000000002</v>
      </c>
      <c r="BA120" s="52">
        <v>-2149.5300000000002</v>
      </c>
      <c r="BB120" s="52">
        <v>-2507.31</v>
      </c>
      <c r="BC120" s="52">
        <v>-2149.5300000000002</v>
      </c>
      <c r="BD120" s="52">
        <v>-85655.03</v>
      </c>
      <c r="BE120" s="52">
        <v>-4953.26</v>
      </c>
      <c r="BF120" s="52">
        <v>-2149.5300000000002</v>
      </c>
      <c r="BG120" s="52">
        <v>-2149.5300000000002</v>
      </c>
      <c r="BH120" s="52">
        <v>-2149.5300000000002</v>
      </c>
      <c r="BI120" s="52">
        <v>-2149.5300000000002</v>
      </c>
      <c r="BJ120" s="52">
        <v>-2149.5300000000002</v>
      </c>
      <c r="BK120" s="52">
        <v>-2149.5300000000002</v>
      </c>
      <c r="BL120" s="52">
        <v>-4953.26</v>
      </c>
      <c r="BM120" s="52">
        <v>-2000</v>
      </c>
      <c r="BN120" s="52">
        <v>-205.79</v>
      </c>
      <c r="BO120" s="52">
        <v>0</v>
      </c>
      <c r="BP120" s="52">
        <v>0</v>
      </c>
      <c r="BQ120" s="52">
        <v>-102062.03</v>
      </c>
      <c r="BR120" s="52">
        <v>0</v>
      </c>
      <c r="BS120" s="52">
        <v>-3951.46</v>
      </c>
      <c r="BT120" s="52">
        <v>0</v>
      </c>
      <c r="BU120" s="52">
        <v>0</v>
      </c>
      <c r="BV120" s="52">
        <v>0</v>
      </c>
      <c r="BW120" s="52">
        <v>0</v>
      </c>
      <c r="BX120" s="52">
        <v>-2803.73</v>
      </c>
      <c r="BY120" s="52">
        <v>-2000</v>
      </c>
      <c r="BZ120" s="52">
        <v>0</v>
      </c>
      <c r="CA120" s="52">
        <v>0</v>
      </c>
      <c r="CB120" s="52">
        <v>-106541.55</v>
      </c>
      <c r="CC120" s="52">
        <v>0</v>
      </c>
      <c r="CD120" s="52">
        <v>-2803.73</v>
      </c>
      <c r="CE120" s="52">
        <v>0</v>
      </c>
      <c r="CF120" s="52">
        <v>0</v>
      </c>
      <c r="CG120" s="52">
        <v>0</v>
      </c>
      <c r="CH120" s="52">
        <v>0</v>
      </c>
      <c r="CI120" s="52">
        <v>0</v>
      </c>
      <c r="CJ120" s="52">
        <v>-2803.73</v>
      </c>
      <c r="CK120" s="52">
        <v>-2000</v>
      </c>
      <c r="CL120" s="52">
        <v>0</v>
      </c>
      <c r="CM120" s="52">
        <v>0</v>
      </c>
      <c r="CN120" s="52">
        <v>-108531.81</v>
      </c>
      <c r="CO120" s="52">
        <v>0</v>
      </c>
      <c r="CP120" s="52">
        <v>-2803.74</v>
      </c>
      <c r="CQ120" s="52">
        <v>0</v>
      </c>
      <c r="CR120" s="52">
        <v>0</v>
      </c>
      <c r="CS120" s="52">
        <v>0</v>
      </c>
      <c r="CT120" s="52">
        <v>0</v>
      </c>
      <c r="CU120" s="52">
        <v>0</v>
      </c>
      <c r="CV120" s="430">
        <f t="shared" si="2"/>
        <v>-116139.28</v>
      </c>
    </row>
    <row r="121" spans="1:100">
      <c r="A121" s="540" t="str">
        <f t="shared" si="3"/>
        <v>4930700</v>
      </c>
      <c r="B121" s="541" t="s">
        <v>1950</v>
      </c>
      <c r="C121" s="463" t="s">
        <v>1045</v>
      </c>
      <c r="D121" s="428">
        <v>-23554.44</v>
      </c>
      <c r="E121" s="428">
        <v>-23554.44</v>
      </c>
      <c r="F121" s="428">
        <v>-23554.44</v>
      </c>
      <c r="G121" s="428">
        <v>-23554.44</v>
      </c>
      <c r="H121" s="428">
        <v>-23554.44</v>
      </c>
      <c r="I121" s="428">
        <v>-23554.44</v>
      </c>
      <c r="J121" s="428">
        <v>-23554.44</v>
      </c>
      <c r="K121" s="428">
        <v>-23554.44</v>
      </c>
      <c r="L121" s="428">
        <v>-23554.44</v>
      </c>
      <c r="M121" s="428">
        <v>-23554.44</v>
      </c>
      <c r="N121" s="428">
        <v>-23554.44</v>
      </c>
      <c r="O121" s="429">
        <v>-23554.44</v>
      </c>
      <c r="P121" s="52">
        <v>-23554.44</v>
      </c>
      <c r="Q121" s="52">
        <v>-23554.44</v>
      </c>
      <c r="R121" s="52">
        <v>-23554.44</v>
      </c>
      <c r="S121" s="52">
        <v>-23554.44</v>
      </c>
      <c r="T121" s="52">
        <v>-23554.44</v>
      </c>
      <c r="U121" s="52">
        <v>-23554.44</v>
      </c>
      <c r="V121" s="52">
        <v>-23554.44</v>
      </c>
      <c r="W121" s="52">
        <v>-23554.44</v>
      </c>
      <c r="X121" s="52">
        <v>-17541</v>
      </c>
      <c r="Y121" s="52">
        <v>-17541</v>
      </c>
      <c r="Z121" s="52">
        <v>-17541</v>
      </c>
      <c r="AA121" s="52">
        <v>-17541</v>
      </c>
      <c r="AB121" s="52">
        <v>-17541</v>
      </c>
      <c r="AC121" s="52">
        <v>-17541</v>
      </c>
      <c r="AD121" s="52">
        <v>-17541</v>
      </c>
      <c r="AE121" s="52">
        <v>-17541</v>
      </c>
      <c r="AF121" s="52">
        <v>-17541</v>
      </c>
      <c r="AG121" s="52">
        <v>-17541</v>
      </c>
      <c r="AH121" s="52">
        <v>-17541</v>
      </c>
      <c r="AI121" s="52">
        <v>-17541</v>
      </c>
      <c r="AJ121" s="52">
        <v>-17541</v>
      </c>
      <c r="AK121" s="52">
        <v>-17541</v>
      </c>
      <c r="AL121" s="52">
        <v>-17541</v>
      </c>
      <c r="AM121" s="52">
        <v>-17541</v>
      </c>
      <c r="AN121" s="52">
        <v>-17541</v>
      </c>
      <c r="AO121" s="52">
        <v>-17541</v>
      </c>
      <c r="AP121" s="52">
        <v>-17541</v>
      </c>
      <c r="AQ121" s="52">
        <v>-17541</v>
      </c>
      <c r="AR121" s="52">
        <v>-17541</v>
      </c>
      <c r="AS121" s="52">
        <v>-17541</v>
      </c>
      <c r="AT121" s="52">
        <v>-17541</v>
      </c>
      <c r="AU121" s="52">
        <v>-17541</v>
      </c>
      <c r="AV121" s="52">
        <v>-17541</v>
      </c>
      <c r="AW121" s="52">
        <v>-17541</v>
      </c>
      <c r="AX121" s="52">
        <v>-17541</v>
      </c>
      <c r="AY121" s="52">
        <v>-17541</v>
      </c>
      <c r="AZ121" s="52">
        <v>-17541</v>
      </c>
      <c r="BA121" s="52">
        <v>-17541</v>
      </c>
      <c r="BB121" s="52">
        <v>-17541</v>
      </c>
      <c r="BC121" s="52">
        <v>-17541</v>
      </c>
      <c r="BD121" s="52">
        <v>-17541</v>
      </c>
      <c r="BE121" s="52">
        <v>-17541</v>
      </c>
      <c r="BF121" s="52">
        <v>-17541</v>
      </c>
      <c r="BG121" s="52">
        <v>-17541</v>
      </c>
      <c r="BH121" s="52">
        <v>-17541</v>
      </c>
      <c r="BI121" s="52">
        <v>-17541</v>
      </c>
      <c r="BJ121" s="52">
        <v>-17541</v>
      </c>
      <c r="BK121" s="52">
        <v>-17541</v>
      </c>
      <c r="BL121" s="52">
        <v>-7684</v>
      </c>
      <c r="BM121" s="52">
        <v>-7684</v>
      </c>
      <c r="BN121" s="52">
        <v>-7684</v>
      </c>
      <c r="BO121" s="52">
        <v>-7684</v>
      </c>
      <c r="BP121" s="52">
        <v>-7684</v>
      </c>
      <c r="BQ121" s="52">
        <v>-7684</v>
      </c>
      <c r="BR121" s="52">
        <v>-7684</v>
      </c>
      <c r="BS121" s="52">
        <v>-7684</v>
      </c>
      <c r="BT121" s="52">
        <v>-7684</v>
      </c>
      <c r="BU121" s="52">
        <v>-7684</v>
      </c>
      <c r="BV121" s="52">
        <v>-7684</v>
      </c>
      <c r="BW121" s="52">
        <v>-7684</v>
      </c>
      <c r="BX121" s="52">
        <v>-7684</v>
      </c>
      <c r="BY121" s="52">
        <v>-7684</v>
      </c>
      <c r="BZ121" s="52">
        <v>-7684</v>
      </c>
      <c r="CA121" s="52">
        <v>-7684</v>
      </c>
      <c r="CB121" s="52">
        <v>-7684</v>
      </c>
      <c r="CC121" s="52">
        <v>-7684</v>
      </c>
      <c r="CD121" s="52">
        <v>-7684</v>
      </c>
      <c r="CE121" s="52">
        <v>-7684</v>
      </c>
      <c r="CF121" s="52">
        <v>-7684</v>
      </c>
      <c r="CG121" s="52">
        <v>-7684</v>
      </c>
      <c r="CH121" s="52">
        <v>-7684</v>
      </c>
      <c r="CI121" s="52">
        <v>-7684</v>
      </c>
      <c r="CJ121" s="52">
        <v>-7684</v>
      </c>
      <c r="CK121" s="52">
        <v>-7684</v>
      </c>
      <c r="CL121" s="52">
        <v>-7684</v>
      </c>
      <c r="CM121" s="52">
        <v>-7684</v>
      </c>
      <c r="CN121" s="52">
        <v>-7684</v>
      </c>
      <c r="CO121" s="52">
        <v>-7684</v>
      </c>
      <c r="CP121" s="52">
        <v>-7684</v>
      </c>
      <c r="CQ121" s="52">
        <v>-7684</v>
      </c>
      <c r="CR121" s="52">
        <v>-7684</v>
      </c>
      <c r="CS121" s="52">
        <v>-7684</v>
      </c>
      <c r="CT121" s="52">
        <v>-7684</v>
      </c>
      <c r="CU121" s="52">
        <v>-7684</v>
      </c>
      <c r="CV121" s="430">
        <f t="shared" si="2"/>
        <v>-92208</v>
      </c>
    </row>
    <row r="122" spans="1:100">
      <c r="A122" s="540" t="str">
        <f t="shared" si="3"/>
        <v>4950203</v>
      </c>
      <c r="B122" s="541" t="s">
        <v>1952</v>
      </c>
      <c r="C122" s="463" t="s">
        <v>1046</v>
      </c>
      <c r="D122" s="428">
        <v>-1549250.45</v>
      </c>
      <c r="E122" s="428">
        <v>-1623259.76</v>
      </c>
      <c r="F122" s="428">
        <v>-1335215.47</v>
      </c>
      <c r="G122" s="428">
        <v>-1188737.49</v>
      </c>
      <c r="H122" s="428">
        <v>-976794.97</v>
      </c>
      <c r="I122" s="428">
        <v>-932785.45</v>
      </c>
      <c r="J122" s="428">
        <v>-847463.24</v>
      </c>
      <c r="K122" s="428">
        <v>-775059.97</v>
      </c>
      <c r="L122" s="428">
        <v>-831360.03</v>
      </c>
      <c r="M122" s="428">
        <v>-869635.27</v>
      </c>
      <c r="N122" s="428">
        <v>-995788.41</v>
      </c>
      <c r="O122" s="429">
        <v>-1315195.6399999999</v>
      </c>
      <c r="P122" s="52">
        <v>-1664229.92</v>
      </c>
      <c r="Q122" s="52">
        <v>-1725776.62</v>
      </c>
      <c r="R122" s="52">
        <v>-1673290.71</v>
      </c>
      <c r="S122" s="52">
        <v>-1229117.07</v>
      </c>
      <c r="T122" s="52">
        <v>-975666.7</v>
      </c>
      <c r="U122" s="52">
        <v>-1002205.77</v>
      </c>
      <c r="V122" s="52">
        <v>-912708.83</v>
      </c>
      <c r="W122" s="52">
        <v>-928091.8</v>
      </c>
      <c r="X122" s="52">
        <v>-891243.46</v>
      </c>
      <c r="Y122" s="52">
        <v>-927213.1</v>
      </c>
      <c r="Z122" s="52">
        <v>-1021815.52</v>
      </c>
      <c r="AA122" s="52">
        <v>-1208624.43</v>
      </c>
      <c r="AB122" s="52">
        <v>-1198343.2</v>
      </c>
      <c r="AC122" s="52">
        <v>-1351333.36</v>
      </c>
      <c r="AD122" s="52">
        <v>-1165896.1399999999</v>
      </c>
      <c r="AE122" s="52">
        <v>-994559.98</v>
      </c>
      <c r="AF122" s="52">
        <v>-867720.71</v>
      </c>
      <c r="AG122" s="52">
        <v>-775616.31</v>
      </c>
      <c r="AH122" s="52">
        <v>-723092.11</v>
      </c>
      <c r="AI122" s="52">
        <v>-667736.4</v>
      </c>
      <c r="AJ122" s="52">
        <v>-709221.41</v>
      </c>
      <c r="AK122" s="52">
        <v>-711384.4</v>
      </c>
      <c r="AL122" s="52">
        <v>-835820.76</v>
      </c>
      <c r="AM122" s="52">
        <v>-1011650.27</v>
      </c>
      <c r="AN122" s="52">
        <v>-1348015.55</v>
      </c>
      <c r="AO122" s="52">
        <v>-1266415.22</v>
      </c>
      <c r="AP122" s="52">
        <v>-1184675.03</v>
      </c>
      <c r="AQ122" s="52">
        <v>-1151187.1599999999</v>
      </c>
      <c r="AR122" s="52">
        <v>-1006057.14</v>
      </c>
      <c r="AS122" s="52">
        <v>-877961.3</v>
      </c>
      <c r="AT122" s="52">
        <v>-808505.35</v>
      </c>
      <c r="AU122" s="52">
        <v>-781210.08</v>
      </c>
      <c r="AV122" s="52">
        <v>-870712.38</v>
      </c>
      <c r="AW122" s="52">
        <v>-784132.92</v>
      </c>
      <c r="AX122" s="52">
        <v>-963086.35</v>
      </c>
      <c r="AY122" s="52">
        <v>-1194601.32</v>
      </c>
      <c r="AZ122" s="52">
        <v>-2221479.5499999998</v>
      </c>
      <c r="BA122" s="52">
        <v>-1945466.55</v>
      </c>
      <c r="BB122" s="52">
        <v>-1555578.29</v>
      </c>
      <c r="BC122" s="52">
        <v>-1615273.59</v>
      </c>
      <c r="BD122" s="52">
        <v>-1279309.1399999999</v>
      </c>
      <c r="BE122" s="52">
        <v>-1206047.2</v>
      </c>
      <c r="BF122" s="52">
        <v>-1074509.8500000001</v>
      </c>
      <c r="BG122" s="52">
        <v>-1025720.95</v>
      </c>
      <c r="BH122" s="52">
        <v>-1124485.47</v>
      </c>
      <c r="BI122" s="52">
        <v>-1038104.84</v>
      </c>
      <c r="BJ122" s="52">
        <v>-1156692.9099999999</v>
      </c>
      <c r="BK122" s="52">
        <v>-1592775.22</v>
      </c>
      <c r="BL122" s="52">
        <v>-2089639.75</v>
      </c>
      <c r="BM122" s="52">
        <v>-2114741.98</v>
      </c>
      <c r="BN122" s="52">
        <v>-1727079.1</v>
      </c>
      <c r="BO122" s="52">
        <v>-1612990.88</v>
      </c>
      <c r="BP122" s="52">
        <v>-1426900.47</v>
      </c>
      <c r="BQ122" s="52">
        <v>-1214039.6299999999</v>
      </c>
      <c r="BR122" s="52">
        <v>-1145227.18</v>
      </c>
      <c r="BS122" s="52">
        <v>-1126014.02</v>
      </c>
      <c r="BT122" s="52">
        <v>-1157081</v>
      </c>
      <c r="BU122" s="52">
        <v>-1157449.17</v>
      </c>
      <c r="BV122" s="52">
        <v>-1310429.8799999999</v>
      </c>
      <c r="BW122" s="52">
        <v>-1821342.98</v>
      </c>
      <c r="BX122" s="52">
        <v>-2104825.4500000002</v>
      </c>
      <c r="BY122" s="52">
        <v>-2074223.39</v>
      </c>
      <c r="BZ122" s="52">
        <v>-1925868.4</v>
      </c>
      <c r="CA122" s="52">
        <v>-1475823.06</v>
      </c>
      <c r="CB122" s="52">
        <v>-1319818.31</v>
      </c>
      <c r="CC122" s="52">
        <v>-1290794.52</v>
      </c>
      <c r="CD122" s="52">
        <v>-1160864.19</v>
      </c>
      <c r="CE122" s="52">
        <v>-1139760.6399999999</v>
      </c>
      <c r="CF122" s="52">
        <v>-1129050.83</v>
      </c>
      <c r="CG122" s="52">
        <v>-1206659.72</v>
      </c>
      <c r="CH122" s="52">
        <v>-1403783.48</v>
      </c>
      <c r="CI122" s="52">
        <v>-1842772.29</v>
      </c>
      <c r="CJ122" s="52">
        <v>-2271144.79</v>
      </c>
      <c r="CK122" s="52">
        <v>-2037720.8</v>
      </c>
      <c r="CL122" s="52">
        <v>-1735252.44</v>
      </c>
      <c r="CM122" s="52">
        <v>-1728972.43</v>
      </c>
      <c r="CN122" s="52">
        <v>-1389625.1</v>
      </c>
      <c r="CO122" s="52">
        <v>-1277426.24</v>
      </c>
      <c r="CP122" s="52">
        <v>-1220044.76</v>
      </c>
      <c r="CQ122" s="52">
        <v>-1116595.76</v>
      </c>
      <c r="CR122" s="52">
        <v>-1182011.53</v>
      </c>
      <c r="CS122" s="52">
        <v>-1158411.58</v>
      </c>
      <c r="CT122" s="52">
        <v>-1356875</v>
      </c>
      <c r="CU122" s="52">
        <v>-1807593.46</v>
      </c>
      <c r="CV122" s="430">
        <f t="shared" si="2"/>
        <v>-18281673.889999997</v>
      </c>
    </row>
    <row r="123" spans="1:100">
      <c r="A123" s="540" t="str">
        <f t="shared" si="3"/>
        <v>4950205</v>
      </c>
      <c r="B123" s="541" t="s">
        <v>1953</v>
      </c>
      <c r="C123" s="463" t="s">
        <v>1047</v>
      </c>
      <c r="D123" s="428">
        <v>-962488.02</v>
      </c>
      <c r="E123" s="428">
        <v>-970766.68</v>
      </c>
      <c r="F123" s="428">
        <v>-818115.57</v>
      </c>
      <c r="G123" s="428">
        <v>-765780.78</v>
      </c>
      <c r="H123" s="428">
        <v>-634682.4</v>
      </c>
      <c r="I123" s="428">
        <v>-659680.96</v>
      </c>
      <c r="J123" s="428">
        <v>-611352.59</v>
      </c>
      <c r="K123" s="428">
        <v>-579391.89</v>
      </c>
      <c r="L123" s="428">
        <v>-612396.09</v>
      </c>
      <c r="M123" s="428">
        <v>-613588.09</v>
      </c>
      <c r="N123" s="428">
        <v>-654532.75</v>
      </c>
      <c r="O123" s="429">
        <v>-821418.82</v>
      </c>
      <c r="P123" s="52">
        <v>-921564.01</v>
      </c>
      <c r="Q123" s="52">
        <v>-930701.6</v>
      </c>
      <c r="R123" s="52">
        <v>-876713.12</v>
      </c>
      <c r="S123" s="52">
        <v>-716711.79</v>
      </c>
      <c r="T123" s="52">
        <v>-628787.68999999994</v>
      </c>
      <c r="U123" s="52">
        <v>-659683.54</v>
      </c>
      <c r="V123" s="52">
        <v>-731931.03</v>
      </c>
      <c r="W123" s="52">
        <v>-555618.9</v>
      </c>
      <c r="X123" s="52">
        <v>-659420.37</v>
      </c>
      <c r="Y123" s="52">
        <v>-663224.89</v>
      </c>
      <c r="Z123" s="52">
        <v>-711130.29</v>
      </c>
      <c r="AA123" s="52">
        <v>-786432.01</v>
      </c>
      <c r="AB123" s="52">
        <v>-944707.49</v>
      </c>
      <c r="AC123" s="52">
        <v>-1061673.83</v>
      </c>
      <c r="AD123" s="52">
        <v>-932956.59</v>
      </c>
      <c r="AE123" s="52">
        <v>-853197.85</v>
      </c>
      <c r="AF123" s="52">
        <v>-771462.93</v>
      </c>
      <c r="AG123" s="52">
        <v>-715451.39</v>
      </c>
      <c r="AH123" s="52">
        <v>-671022.66</v>
      </c>
      <c r="AI123" s="52">
        <v>-666345.05000000005</v>
      </c>
      <c r="AJ123" s="52">
        <v>-666261.43999999994</v>
      </c>
      <c r="AK123" s="52">
        <v>-662989.31999999995</v>
      </c>
      <c r="AL123" s="52">
        <v>-721183.81</v>
      </c>
      <c r="AM123" s="52">
        <v>-827905.41</v>
      </c>
      <c r="AN123" s="52">
        <v>-912988.68</v>
      </c>
      <c r="AO123" s="52">
        <v>-878265.25</v>
      </c>
      <c r="AP123" s="52">
        <v>-848096.58</v>
      </c>
      <c r="AQ123" s="52">
        <v>-830109.35</v>
      </c>
      <c r="AR123" s="52">
        <v>-750287.94</v>
      </c>
      <c r="AS123" s="52">
        <v>-711474.39</v>
      </c>
      <c r="AT123" s="52">
        <v>-667979.71</v>
      </c>
      <c r="AU123" s="52">
        <v>-675093.16</v>
      </c>
      <c r="AV123" s="52">
        <v>-699827.49</v>
      </c>
      <c r="AW123" s="52">
        <v>-730169.45</v>
      </c>
      <c r="AX123" s="52">
        <v>-791687.72</v>
      </c>
      <c r="AY123" s="52">
        <v>-901652.99</v>
      </c>
      <c r="AZ123" s="52">
        <v>-1210510.42</v>
      </c>
      <c r="BA123" s="52">
        <v>-1081911.23</v>
      </c>
      <c r="BB123" s="52">
        <v>-950880.62</v>
      </c>
      <c r="BC123" s="52">
        <v>-946344.62</v>
      </c>
      <c r="BD123" s="52">
        <v>-859547.34</v>
      </c>
      <c r="BE123" s="52">
        <v>-820483.76</v>
      </c>
      <c r="BF123" s="52">
        <v>-755180.56</v>
      </c>
      <c r="BG123" s="52">
        <v>-735693.34</v>
      </c>
      <c r="BH123" s="52">
        <v>-780565.78</v>
      </c>
      <c r="BI123" s="52">
        <v>-724571.55</v>
      </c>
      <c r="BJ123" s="52">
        <v>-778025.56</v>
      </c>
      <c r="BK123" s="52">
        <v>-949940.66</v>
      </c>
      <c r="BL123" s="52">
        <v>-1077455.75</v>
      </c>
      <c r="BM123" s="52">
        <v>-1049655.22</v>
      </c>
      <c r="BN123" s="52">
        <v>-976425.94</v>
      </c>
      <c r="BO123" s="52">
        <v>-944434.86</v>
      </c>
      <c r="BP123" s="52">
        <v>-814908.7</v>
      </c>
      <c r="BQ123" s="52">
        <v>-782183.36</v>
      </c>
      <c r="BR123" s="52">
        <v>-760420.2</v>
      </c>
      <c r="BS123" s="52">
        <v>-726605.6</v>
      </c>
      <c r="BT123" s="52">
        <v>-766395.44</v>
      </c>
      <c r="BU123" s="52">
        <v>-746665.18</v>
      </c>
      <c r="BV123" s="52">
        <v>-829620.68</v>
      </c>
      <c r="BW123" s="52">
        <v>-1001016.06</v>
      </c>
      <c r="BX123" s="52">
        <v>-1107892.52</v>
      </c>
      <c r="BY123" s="52">
        <v>-1064792.08</v>
      </c>
      <c r="BZ123" s="52">
        <v>-1000768.77</v>
      </c>
      <c r="CA123" s="52">
        <v>-861987.17</v>
      </c>
      <c r="CB123" s="52">
        <v>-761201.88</v>
      </c>
      <c r="CC123" s="52">
        <v>-707180.78</v>
      </c>
      <c r="CD123" s="52">
        <v>-739814.08</v>
      </c>
      <c r="CE123" s="52">
        <v>-732428.55</v>
      </c>
      <c r="CF123" s="52">
        <v>-719516.08</v>
      </c>
      <c r="CG123" s="52">
        <v>-759171.86</v>
      </c>
      <c r="CH123" s="52">
        <v>-852819.9</v>
      </c>
      <c r="CI123" s="52">
        <v>-986412.7</v>
      </c>
      <c r="CJ123" s="52">
        <v>-1347921.56</v>
      </c>
      <c r="CK123" s="52">
        <v>-1255574.45</v>
      </c>
      <c r="CL123" s="52">
        <v>-1176632.71</v>
      </c>
      <c r="CM123" s="52">
        <v>-1182701.1299999999</v>
      </c>
      <c r="CN123" s="52">
        <v>-1055107.24</v>
      </c>
      <c r="CO123" s="52">
        <v>-994597.45</v>
      </c>
      <c r="CP123" s="52">
        <v>-997341.73</v>
      </c>
      <c r="CQ123" s="52">
        <v>-928115.15</v>
      </c>
      <c r="CR123" s="52">
        <v>-980203.27</v>
      </c>
      <c r="CS123" s="52">
        <v>-931959.41</v>
      </c>
      <c r="CT123" s="52">
        <v>-1052791.18</v>
      </c>
      <c r="CU123" s="52">
        <v>-1274558.2</v>
      </c>
      <c r="CV123" s="430">
        <f t="shared" si="2"/>
        <v>-13177503.479999999</v>
      </c>
    </row>
    <row r="124" spans="1:100">
      <c r="A124" s="540" t="str">
        <f t="shared" si="3"/>
        <v>4950206</v>
      </c>
      <c r="B124" s="541" t="s">
        <v>1954</v>
      </c>
      <c r="C124" s="463" t="s">
        <v>1048</v>
      </c>
      <c r="D124" s="426">
        <v>-1465731.05</v>
      </c>
      <c r="E124" s="426">
        <v>-1421595.38</v>
      </c>
      <c r="F124" s="426">
        <v>-1286642.43</v>
      </c>
      <c r="G124" s="426">
        <v>-1142563.07</v>
      </c>
      <c r="H124" s="426">
        <v>-973728.84</v>
      </c>
      <c r="I124" s="426">
        <v>-877486.41</v>
      </c>
      <c r="J124" s="426">
        <v>-810814.72</v>
      </c>
      <c r="K124" s="426">
        <v>-823589.01</v>
      </c>
      <c r="L124" s="426">
        <v>-877702.84</v>
      </c>
      <c r="M124" s="426">
        <v>-906182.37</v>
      </c>
      <c r="N124" s="426">
        <v>-1020693.12</v>
      </c>
      <c r="O124" s="427">
        <v>-1299279.1100000001</v>
      </c>
      <c r="P124" s="52">
        <v>-1442235.87</v>
      </c>
      <c r="Q124" s="52">
        <v>-1486286.69</v>
      </c>
      <c r="R124" s="52">
        <v>-1457304.46</v>
      </c>
      <c r="S124" s="52">
        <v>-1148076.8</v>
      </c>
      <c r="T124" s="52">
        <v>-937863.33</v>
      </c>
      <c r="U124" s="52">
        <v>-958209.06</v>
      </c>
      <c r="V124" s="52">
        <v>-1195531.6200000001</v>
      </c>
      <c r="W124" s="52">
        <v>-686270.15</v>
      </c>
      <c r="X124" s="52">
        <v>-909597.35</v>
      </c>
      <c r="Y124" s="52">
        <v>-950741.2</v>
      </c>
      <c r="Z124" s="52">
        <v>-1034527.47</v>
      </c>
      <c r="AA124" s="52">
        <v>-1206266.96</v>
      </c>
      <c r="AB124" s="52">
        <v>-1498909.7</v>
      </c>
      <c r="AC124" s="52">
        <v>-1616852.72</v>
      </c>
      <c r="AD124" s="52">
        <v>-1429511.29</v>
      </c>
      <c r="AE124" s="52">
        <v>-1127332.1000000001</v>
      </c>
      <c r="AF124" s="52">
        <v>-1110115.95</v>
      </c>
      <c r="AG124" s="52">
        <v>-967475.79</v>
      </c>
      <c r="AH124" s="52">
        <v>-931908.86</v>
      </c>
      <c r="AI124" s="52">
        <v>-821047.49</v>
      </c>
      <c r="AJ124" s="52">
        <v>-915385.39</v>
      </c>
      <c r="AK124" s="52">
        <v>-897013.57</v>
      </c>
      <c r="AL124" s="52">
        <v>-1056768.1499999999</v>
      </c>
      <c r="AM124" s="52">
        <v>-1254297.95</v>
      </c>
      <c r="AN124" s="52">
        <v>-1428833.5</v>
      </c>
      <c r="AO124" s="52">
        <v>-1331291.83</v>
      </c>
      <c r="AP124" s="52">
        <v>-1304620.72</v>
      </c>
      <c r="AQ124" s="52">
        <v>-1256682.8</v>
      </c>
      <c r="AR124" s="52">
        <v>-1083308.08</v>
      </c>
      <c r="AS124" s="52">
        <v>-956412.46</v>
      </c>
      <c r="AT124" s="52">
        <v>-781953.93</v>
      </c>
      <c r="AU124" s="52">
        <v>-882707.38</v>
      </c>
      <c r="AV124" s="52">
        <v>-882685.75</v>
      </c>
      <c r="AW124" s="52">
        <v>-943974.85</v>
      </c>
      <c r="AX124" s="52">
        <v>-1056539.08</v>
      </c>
      <c r="AY124" s="52">
        <v>-1285409.1499999999</v>
      </c>
      <c r="AZ124" s="52">
        <v>-1708204.03</v>
      </c>
      <c r="BA124" s="52">
        <v>-1517623.77</v>
      </c>
      <c r="BB124" s="52">
        <v>-1285616.07</v>
      </c>
      <c r="BC124" s="52">
        <v>-1347277.44</v>
      </c>
      <c r="BD124" s="52">
        <v>-1083546.55</v>
      </c>
      <c r="BE124" s="52">
        <v>-1040489.85</v>
      </c>
      <c r="BF124" s="52">
        <v>-901115.17</v>
      </c>
      <c r="BG124" s="52">
        <v>-843863.63</v>
      </c>
      <c r="BH124" s="52">
        <v>-992990.1</v>
      </c>
      <c r="BI124" s="52">
        <v>-897678.51</v>
      </c>
      <c r="BJ124" s="52">
        <v>-1016239.82</v>
      </c>
      <c r="BK124" s="52">
        <v>-1402489.24</v>
      </c>
      <c r="BL124" s="52">
        <v>-1665864.94</v>
      </c>
      <c r="BM124" s="52">
        <v>-1640421.41</v>
      </c>
      <c r="BN124" s="52">
        <v>-1434294.15</v>
      </c>
      <c r="BO124" s="52">
        <v>-1134539.23</v>
      </c>
      <c r="BP124" s="52">
        <v>-1185315.3999999999</v>
      </c>
      <c r="BQ124" s="52">
        <v>-1023382.27</v>
      </c>
      <c r="BR124" s="52">
        <v>-990882.96</v>
      </c>
      <c r="BS124" s="52">
        <v>-938493.94</v>
      </c>
      <c r="BT124" s="52">
        <v>-959936.59</v>
      </c>
      <c r="BU124" s="52">
        <v>-942398.3</v>
      </c>
      <c r="BV124" s="52">
        <v>-1118971.45</v>
      </c>
      <c r="BW124" s="52">
        <v>-1513136.83</v>
      </c>
      <c r="BX124" s="52">
        <v>-1628543.84</v>
      </c>
      <c r="BY124" s="52">
        <v>-1581269.81</v>
      </c>
      <c r="BZ124" s="52">
        <v>-1360686.35</v>
      </c>
      <c r="CA124" s="52">
        <v>-1067229.21</v>
      </c>
      <c r="CB124" s="52">
        <v>-959002.58</v>
      </c>
      <c r="CC124" s="52">
        <v>-972001.62</v>
      </c>
      <c r="CD124" s="52">
        <v>-857883.31</v>
      </c>
      <c r="CE124" s="52">
        <v>-916574.94</v>
      </c>
      <c r="CF124" s="52">
        <v>-877380.33</v>
      </c>
      <c r="CG124" s="52">
        <v>-967926.02</v>
      </c>
      <c r="CH124" s="52">
        <v>-1102359.0900000001</v>
      </c>
      <c r="CI124" s="52">
        <v>-1409825.73</v>
      </c>
      <c r="CJ124" s="52">
        <v>-1837558.54</v>
      </c>
      <c r="CK124" s="52">
        <v>-1657676.57</v>
      </c>
      <c r="CL124" s="52">
        <v>-1456490.32</v>
      </c>
      <c r="CM124" s="52">
        <v>-1436211.98</v>
      </c>
      <c r="CN124" s="52">
        <v>-1208611.94</v>
      </c>
      <c r="CO124" s="52">
        <v>-1116474.1299999999</v>
      </c>
      <c r="CP124" s="52">
        <v>-1142086.17</v>
      </c>
      <c r="CQ124" s="52">
        <v>-1017929.49</v>
      </c>
      <c r="CR124" s="52">
        <v>-1078486.3799999999</v>
      </c>
      <c r="CS124" s="52">
        <v>-1080685.17</v>
      </c>
      <c r="CT124" s="52">
        <v>-1242017.5900000001</v>
      </c>
      <c r="CU124" s="52">
        <v>-1619789.26</v>
      </c>
      <c r="CV124" s="430">
        <f t="shared" si="2"/>
        <v>-15894017.539999999</v>
      </c>
    </row>
    <row r="125" spans="1:100">
      <c r="A125" s="540" t="str">
        <f t="shared" si="3"/>
        <v>4950207</v>
      </c>
      <c r="B125" s="541" t="s">
        <v>1955</v>
      </c>
      <c r="C125" s="463" t="s">
        <v>1049</v>
      </c>
      <c r="D125" s="426">
        <v>-787.94</v>
      </c>
      <c r="E125" s="426">
        <v>-996.97</v>
      </c>
      <c r="F125" s="426">
        <v>-1039.98</v>
      </c>
      <c r="G125" s="426">
        <v>-535.63</v>
      </c>
      <c r="H125" s="426">
        <v>-843</v>
      </c>
      <c r="I125" s="426">
        <v>-795.34</v>
      </c>
      <c r="J125" s="426">
        <v>-778.56</v>
      </c>
      <c r="K125" s="426">
        <v>-776.67</v>
      </c>
      <c r="L125" s="426">
        <v>-488.78</v>
      </c>
      <c r="M125" s="426">
        <v>-731.56</v>
      </c>
      <c r="N125" s="426">
        <v>-764.03</v>
      </c>
      <c r="O125" s="427">
        <v>-823.47</v>
      </c>
      <c r="P125" s="52">
        <v>-911.56</v>
      </c>
      <c r="Q125" s="52">
        <v>-994.84</v>
      </c>
      <c r="R125" s="52">
        <v>-999.97</v>
      </c>
      <c r="S125" s="52">
        <v>-1022.3</v>
      </c>
      <c r="T125" s="52">
        <v>-795.2</v>
      </c>
      <c r="U125" s="52">
        <v>-774.76</v>
      </c>
      <c r="V125" s="52">
        <v>-772.26</v>
      </c>
      <c r="W125" s="52">
        <v>-493.2</v>
      </c>
      <c r="X125" s="52">
        <v>-760.36</v>
      </c>
      <c r="Y125" s="52">
        <v>-754.17</v>
      </c>
      <c r="Z125" s="52">
        <v>-759.62</v>
      </c>
      <c r="AA125" s="52">
        <v>-782.37</v>
      </c>
      <c r="AB125" s="52">
        <v>-825.35</v>
      </c>
      <c r="AC125" s="52">
        <v>-910.22</v>
      </c>
      <c r="AD125" s="52">
        <v>-1018.26</v>
      </c>
      <c r="AE125" s="52">
        <v>-936.7</v>
      </c>
      <c r="AF125" s="52">
        <v>-851.11</v>
      </c>
      <c r="AG125" s="52">
        <v>-809.47</v>
      </c>
      <c r="AH125" s="52">
        <v>-759.98</v>
      </c>
      <c r="AI125" s="52">
        <v>-739.04</v>
      </c>
      <c r="AJ125" s="52">
        <v>-745.24</v>
      </c>
      <c r="AK125" s="52">
        <v>-747.45</v>
      </c>
      <c r="AL125" s="52">
        <v>-753.97</v>
      </c>
      <c r="AM125" s="52">
        <v>-795.01</v>
      </c>
      <c r="AN125" s="52">
        <v>-857.75</v>
      </c>
      <c r="AO125" s="52">
        <v>-947.8</v>
      </c>
      <c r="AP125" s="52">
        <v>-925.97</v>
      </c>
      <c r="AQ125" s="52">
        <v>-865.43</v>
      </c>
      <c r="AR125" s="52">
        <v>-867.62</v>
      </c>
      <c r="AS125" s="52">
        <v>-839.39</v>
      </c>
      <c r="AT125" s="52">
        <v>-750.31</v>
      </c>
      <c r="AU125" s="52">
        <v>-757.75</v>
      </c>
      <c r="AV125" s="52">
        <v>-747.19</v>
      </c>
      <c r="AW125" s="52">
        <v>-759.56</v>
      </c>
      <c r="AX125" s="52">
        <v>-777.9</v>
      </c>
      <c r="AY125" s="52">
        <v>-820.17</v>
      </c>
      <c r="AZ125" s="52">
        <v>-902.33</v>
      </c>
      <c r="BA125" s="52">
        <v>-1154.53</v>
      </c>
      <c r="BB125" s="52">
        <v>-1086.17</v>
      </c>
      <c r="BC125" s="52">
        <v>-910.21</v>
      </c>
      <c r="BD125" s="52">
        <v>-992.76</v>
      </c>
      <c r="BE125" s="52">
        <v>-859.08</v>
      </c>
      <c r="BF125" s="52">
        <v>-909.7</v>
      </c>
      <c r="BG125" s="52">
        <v>-844.06</v>
      </c>
      <c r="BH125" s="52">
        <v>-772.33</v>
      </c>
      <c r="BI125" s="52">
        <v>-778.41</v>
      </c>
      <c r="BJ125" s="52">
        <v>-759.15</v>
      </c>
      <c r="BK125" s="52">
        <v>-805.51</v>
      </c>
      <c r="BL125" s="52">
        <v>-957.21</v>
      </c>
      <c r="BM125" s="52">
        <v>-1072.44</v>
      </c>
      <c r="BN125" s="52">
        <v>-1081.33</v>
      </c>
      <c r="BO125" s="52">
        <v>-944.85</v>
      </c>
      <c r="BP125" s="52">
        <v>-965.72</v>
      </c>
      <c r="BQ125" s="52">
        <v>-895.24</v>
      </c>
      <c r="BR125" s="52">
        <v>-806.91</v>
      </c>
      <c r="BS125" s="52">
        <v>-807.41</v>
      </c>
      <c r="BT125" s="52">
        <v>-797.53</v>
      </c>
      <c r="BU125" s="52">
        <v>-806.1</v>
      </c>
      <c r="BV125" s="52">
        <v>-804.04</v>
      </c>
      <c r="BW125" s="52">
        <v>-855.28</v>
      </c>
      <c r="BX125" s="52">
        <v>-1018.31</v>
      </c>
      <c r="BY125" s="52">
        <v>-1101.8900000000001</v>
      </c>
      <c r="BZ125" s="52">
        <v>-1089.4000000000001</v>
      </c>
      <c r="CA125" s="52">
        <v>-1053.68</v>
      </c>
      <c r="CB125" s="52">
        <v>-913.04</v>
      </c>
      <c r="CC125" s="52">
        <v>-837.92</v>
      </c>
      <c r="CD125" s="52">
        <v>-846.73</v>
      </c>
      <c r="CE125" s="52">
        <v>-841.2</v>
      </c>
      <c r="CF125" s="52">
        <v>-813.59</v>
      </c>
      <c r="CG125" s="52">
        <v>-805.14</v>
      </c>
      <c r="CH125" s="52">
        <v>-830.87</v>
      </c>
      <c r="CI125" s="52">
        <v>-871.78</v>
      </c>
      <c r="CJ125" s="52">
        <v>-1008.63</v>
      </c>
      <c r="CK125" s="52">
        <v>-1295.1300000000001</v>
      </c>
      <c r="CL125" s="52">
        <v>-1242.57</v>
      </c>
      <c r="CM125" s="52">
        <v>-1104.81</v>
      </c>
      <c r="CN125" s="52">
        <v>-1134.1199999999999</v>
      </c>
      <c r="CO125" s="52">
        <v>-1011.73</v>
      </c>
      <c r="CP125" s="52">
        <v>-978.11</v>
      </c>
      <c r="CQ125" s="52">
        <v>-970.69</v>
      </c>
      <c r="CR125" s="52">
        <v>-934.75</v>
      </c>
      <c r="CS125" s="52">
        <v>-946.47</v>
      </c>
      <c r="CT125" s="52">
        <v>-953.54</v>
      </c>
      <c r="CU125" s="52">
        <v>-1015.64</v>
      </c>
      <c r="CV125" s="430">
        <f t="shared" si="2"/>
        <v>-12596.189999999999</v>
      </c>
    </row>
    <row r="126" spans="1:100">
      <c r="A126" s="540" t="str">
        <f t="shared" si="3"/>
        <v>4950208</v>
      </c>
      <c r="B126" s="541" t="s">
        <v>1956</v>
      </c>
      <c r="C126" s="463" t="s">
        <v>1050</v>
      </c>
      <c r="D126" s="426">
        <v>-140</v>
      </c>
      <c r="E126" s="426">
        <v>-160</v>
      </c>
      <c r="F126" s="426">
        <v>-60</v>
      </c>
      <c r="G126" s="426">
        <v>-180</v>
      </c>
      <c r="H126" s="426">
        <v>0</v>
      </c>
      <c r="I126" s="426">
        <v>-1100</v>
      </c>
      <c r="J126" s="426">
        <v>-1060</v>
      </c>
      <c r="K126" s="426">
        <v>-1560</v>
      </c>
      <c r="L126" s="426">
        <v>-1320</v>
      </c>
      <c r="M126" s="426">
        <v>-1300</v>
      </c>
      <c r="N126" s="426">
        <v>-1380</v>
      </c>
      <c r="O126" s="427">
        <v>-760</v>
      </c>
      <c r="P126" s="52">
        <v>-1180</v>
      </c>
      <c r="Q126" s="52">
        <v>-700</v>
      </c>
      <c r="R126" s="52">
        <v>-1300</v>
      </c>
      <c r="S126" s="52">
        <v>-1600</v>
      </c>
      <c r="T126" s="52">
        <v>0</v>
      </c>
      <c r="U126" s="52">
        <v>-3780</v>
      </c>
      <c r="V126" s="52">
        <v>-2100</v>
      </c>
      <c r="W126" s="52">
        <v>-2300</v>
      </c>
      <c r="X126" s="52">
        <v>-460</v>
      </c>
      <c r="Y126" s="52">
        <v>-160</v>
      </c>
      <c r="Z126" s="52">
        <v>-120</v>
      </c>
      <c r="AA126" s="52">
        <v>-180</v>
      </c>
      <c r="AB126" s="52">
        <v>-300</v>
      </c>
      <c r="AC126" s="52">
        <v>-100</v>
      </c>
      <c r="AD126" s="52">
        <v>-360</v>
      </c>
      <c r="AE126" s="52">
        <v>-640</v>
      </c>
      <c r="AF126" s="52">
        <v>-380</v>
      </c>
      <c r="AG126" s="52">
        <v>-620</v>
      </c>
      <c r="AH126" s="52">
        <v>-1140</v>
      </c>
      <c r="AI126" s="52">
        <v>0</v>
      </c>
      <c r="AJ126" s="52">
        <v>-360</v>
      </c>
      <c r="AK126" s="52">
        <v>-280</v>
      </c>
      <c r="AL126" s="52">
        <v>-200</v>
      </c>
      <c r="AM126" s="52">
        <v>-80</v>
      </c>
      <c r="AN126" s="52">
        <v>-160</v>
      </c>
      <c r="AO126" s="52">
        <v>0</v>
      </c>
      <c r="AP126" s="52">
        <v>-380</v>
      </c>
      <c r="AQ126" s="52">
        <v>-80</v>
      </c>
      <c r="AR126" s="52">
        <v>-180</v>
      </c>
      <c r="AS126" s="52">
        <v>-280</v>
      </c>
      <c r="AT126" s="52">
        <v>-740</v>
      </c>
      <c r="AU126" s="52">
        <v>-80</v>
      </c>
      <c r="AV126" s="52">
        <v>-120</v>
      </c>
      <c r="AW126" s="52">
        <v>-100</v>
      </c>
      <c r="AX126" s="52">
        <v>-40</v>
      </c>
      <c r="AY126" s="52">
        <v>-60</v>
      </c>
      <c r="AZ126" s="52">
        <v>-60</v>
      </c>
      <c r="BA126" s="52">
        <v>-40</v>
      </c>
      <c r="BB126" s="52">
        <v>-60</v>
      </c>
      <c r="BC126" s="52">
        <v>0</v>
      </c>
      <c r="BD126" s="52">
        <v>-20</v>
      </c>
      <c r="BE126" s="52">
        <v>-100</v>
      </c>
      <c r="BF126" s="52">
        <v>0</v>
      </c>
      <c r="BG126" s="52">
        <v>-760</v>
      </c>
      <c r="BH126" s="52">
        <v>-20</v>
      </c>
      <c r="BI126" s="52">
        <v>0</v>
      </c>
      <c r="BJ126" s="52">
        <v>-20</v>
      </c>
      <c r="BK126" s="52">
        <v>-40</v>
      </c>
      <c r="BL126" s="52">
        <v>0</v>
      </c>
      <c r="BM126" s="52">
        <v>-220</v>
      </c>
      <c r="BN126" s="52">
        <v>-40</v>
      </c>
      <c r="BO126" s="52">
        <v>-220</v>
      </c>
      <c r="BP126" s="52">
        <v>0</v>
      </c>
      <c r="BQ126" s="52">
        <v>-320</v>
      </c>
      <c r="BR126" s="52">
        <v>-160</v>
      </c>
      <c r="BS126" s="52">
        <v>-180</v>
      </c>
      <c r="BT126" s="52">
        <v>-100</v>
      </c>
      <c r="BU126" s="52">
        <v>0</v>
      </c>
      <c r="BV126" s="52">
        <v>-60</v>
      </c>
      <c r="BW126" s="52">
        <v>-40</v>
      </c>
      <c r="BX126" s="52">
        <v>0</v>
      </c>
      <c r="BY126" s="52">
        <v>-140</v>
      </c>
      <c r="BZ126" s="52">
        <v>-80</v>
      </c>
      <c r="CA126" s="52">
        <v>0</v>
      </c>
      <c r="CB126" s="52">
        <v>-40</v>
      </c>
      <c r="CC126" s="52">
        <v>-20</v>
      </c>
      <c r="CD126" s="52">
        <v>-60</v>
      </c>
      <c r="CE126" s="52">
        <v>0</v>
      </c>
      <c r="CF126" s="52">
        <v>-280</v>
      </c>
      <c r="CG126" s="52">
        <v>-20</v>
      </c>
      <c r="CH126" s="52">
        <v>0</v>
      </c>
      <c r="CI126" s="52">
        <v>-20</v>
      </c>
      <c r="CJ126" s="52">
        <v>-40</v>
      </c>
      <c r="CK126" s="52">
        <v>0</v>
      </c>
      <c r="CL126" s="52">
        <v>-20</v>
      </c>
      <c r="CM126" s="52">
        <v>0</v>
      </c>
      <c r="CN126" s="52">
        <v>0</v>
      </c>
      <c r="CO126" s="52">
        <v>-120</v>
      </c>
      <c r="CP126" s="52">
        <v>-80</v>
      </c>
      <c r="CQ126" s="52">
        <v>-260</v>
      </c>
      <c r="CR126" s="52">
        <v>-60</v>
      </c>
      <c r="CS126" s="52">
        <v>0</v>
      </c>
      <c r="CT126" s="52">
        <v>-120</v>
      </c>
      <c r="CU126" s="52">
        <v>-100</v>
      </c>
      <c r="CV126" s="430">
        <f t="shared" si="2"/>
        <v>-800</v>
      </c>
    </row>
    <row r="127" spans="1:100">
      <c r="A127" s="540" t="str">
        <f t="shared" si="3"/>
        <v>4950209</v>
      </c>
      <c r="B127" s="541" t="s">
        <v>1957</v>
      </c>
      <c r="C127" s="463" t="s">
        <v>1051</v>
      </c>
      <c r="D127" s="428">
        <v>-24382.17</v>
      </c>
      <c r="E127" s="428">
        <v>-24186.6</v>
      </c>
      <c r="F127" s="428">
        <v>-23238.5</v>
      </c>
      <c r="G127" s="428">
        <v>-24385.09</v>
      </c>
      <c r="H127" s="428">
        <v>-28689.94</v>
      </c>
      <c r="I127" s="428">
        <v>-24586.560000000001</v>
      </c>
      <c r="J127" s="428">
        <v>-25409.41</v>
      </c>
      <c r="K127" s="428">
        <v>-25613.14</v>
      </c>
      <c r="L127" s="428">
        <v>-24908.71</v>
      </c>
      <c r="M127" s="428">
        <v>-26449.96</v>
      </c>
      <c r="N127" s="428">
        <v>-25885.56</v>
      </c>
      <c r="O127" s="429">
        <v>-25965.64</v>
      </c>
      <c r="P127" s="52">
        <v>-31476.44</v>
      </c>
      <c r="Q127" s="52">
        <v>-24834.09</v>
      </c>
      <c r="R127" s="52">
        <v>-26128.400000000001</v>
      </c>
      <c r="S127" s="52">
        <v>-26549.67</v>
      </c>
      <c r="T127" s="52">
        <v>-26098.28</v>
      </c>
      <c r="U127" s="52">
        <v>-28555.68</v>
      </c>
      <c r="V127" s="52">
        <v>-26420.23</v>
      </c>
      <c r="W127" s="52">
        <v>-26974.34</v>
      </c>
      <c r="X127" s="52">
        <v>-25706.01</v>
      </c>
      <c r="Y127" s="52">
        <v>-25305.32</v>
      </c>
      <c r="Z127" s="52">
        <v>-26233.4</v>
      </c>
      <c r="AA127" s="52">
        <v>-27006.29</v>
      </c>
      <c r="AB127" s="52">
        <v>-26484.6</v>
      </c>
      <c r="AC127" s="52">
        <v>-25854.66</v>
      </c>
      <c r="AD127" s="52">
        <v>-25711.97</v>
      </c>
      <c r="AE127" s="52">
        <v>-26264.79</v>
      </c>
      <c r="AF127" s="52">
        <v>-26234.880000000001</v>
      </c>
      <c r="AG127" s="52">
        <v>-27283.279999999999</v>
      </c>
      <c r="AH127" s="52">
        <v>-26684.26</v>
      </c>
      <c r="AI127" s="52">
        <v>-26836.17</v>
      </c>
      <c r="AJ127" s="52">
        <v>-27409.95</v>
      </c>
      <c r="AK127" s="52">
        <v>-27210.94</v>
      </c>
      <c r="AL127" s="52">
        <v>-27006.51</v>
      </c>
      <c r="AM127" s="52">
        <v>-27145.13</v>
      </c>
      <c r="AN127" s="52">
        <v>-24572.58</v>
      </c>
      <c r="AO127" s="52">
        <v>-24606.25</v>
      </c>
      <c r="AP127" s="52">
        <v>-24689.97</v>
      </c>
      <c r="AQ127" s="52">
        <v>-24722.73</v>
      </c>
      <c r="AR127" s="52">
        <v>-24837.39</v>
      </c>
      <c r="AS127" s="52">
        <v>-24847.4</v>
      </c>
      <c r="AT127" s="52">
        <v>-24937.49</v>
      </c>
      <c r="AU127" s="52">
        <v>-24800.080000000002</v>
      </c>
      <c r="AV127" s="52">
        <v>-25197.79</v>
      </c>
      <c r="AW127" s="52">
        <v>-25242.38</v>
      </c>
      <c r="AX127" s="52">
        <v>-25305.17</v>
      </c>
      <c r="AY127" s="52">
        <v>-24857.33</v>
      </c>
      <c r="AZ127" s="52">
        <v>-25130.37</v>
      </c>
      <c r="BA127" s="52">
        <v>-25206.81</v>
      </c>
      <c r="BB127" s="52">
        <v>-25253.22</v>
      </c>
      <c r="BC127" s="52">
        <v>-25320.560000000001</v>
      </c>
      <c r="BD127" s="52">
        <v>-25589.05</v>
      </c>
      <c r="BE127" s="52">
        <v>-25680.05</v>
      </c>
      <c r="BF127" s="52">
        <v>-25749.21</v>
      </c>
      <c r="BG127" s="52">
        <v>-25918.51</v>
      </c>
      <c r="BH127" s="52">
        <v>-25981.3</v>
      </c>
      <c r="BI127" s="52">
        <v>-26065.02</v>
      </c>
      <c r="BJ127" s="52">
        <v>-25952.14</v>
      </c>
      <c r="BK127" s="52">
        <v>-25988.54</v>
      </c>
      <c r="BL127" s="52">
        <v>-26125.040000000001</v>
      </c>
      <c r="BM127" s="52">
        <v>-26138.69</v>
      </c>
      <c r="BN127" s="52">
        <v>-26169.63</v>
      </c>
      <c r="BO127" s="52">
        <v>-26038.59</v>
      </c>
      <c r="BP127" s="52">
        <v>-26034.04</v>
      </c>
      <c r="BQ127" s="52">
        <v>-26129.59</v>
      </c>
      <c r="BR127" s="52">
        <v>-26233.33</v>
      </c>
      <c r="BS127" s="52">
        <v>-26310.68</v>
      </c>
      <c r="BT127" s="52">
        <v>-26337.98</v>
      </c>
      <c r="BU127" s="52">
        <v>-26347.99</v>
      </c>
      <c r="BV127" s="52">
        <v>-26336.16</v>
      </c>
      <c r="BW127" s="52">
        <v>-26424.43</v>
      </c>
      <c r="BX127" s="52">
        <v>-26389.81</v>
      </c>
      <c r="BY127" s="52">
        <v>-26418.02</v>
      </c>
      <c r="BZ127" s="52">
        <v>-26423.48</v>
      </c>
      <c r="CA127" s="52">
        <v>-26339.759999999998</v>
      </c>
      <c r="CB127" s="52">
        <v>-26163.18</v>
      </c>
      <c r="CC127" s="52">
        <v>-26289.71</v>
      </c>
      <c r="CD127" s="52">
        <v>-26202.35</v>
      </c>
      <c r="CE127" s="52">
        <v>-21529.46</v>
      </c>
      <c r="CF127" s="52">
        <v>-30854.31</v>
      </c>
      <c r="CG127" s="52">
        <v>-26060.39</v>
      </c>
      <c r="CH127" s="52">
        <v>-26001.24</v>
      </c>
      <c r="CI127" s="52">
        <v>-26055.84</v>
      </c>
      <c r="CJ127" s="52">
        <v>-26120.45</v>
      </c>
      <c r="CK127" s="52">
        <v>-26110.44</v>
      </c>
      <c r="CL127" s="52">
        <v>-26122.27</v>
      </c>
      <c r="CM127" s="52">
        <v>-26195.07</v>
      </c>
      <c r="CN127" s="52">
        <v>-26236.93</v>
      </c>
      <c r="CO127" s="52">
        <v>-26331.57</v>
      </c>
      <c r="CP127" s="52">
        <v>-26360.69</v>
      </c>
      <c r="CQ127" s="52">
        <v>-25959.26</v>
      </c>
      <c r="CR127" s="52">
        <v>-26239.62</v>
      </c>
      <c r="CS127" s="52">
        <v>-26287.85</v>
      </c>
      <c r="CT127" s="52">
        <v>-26357.01</v>
      </c>
      <c r="CU127" s="52">
        <v>-26407.97</v>
      </c>
      <c r="CV127" s="430">
        <f t="shared" si="2"/>
        <v>-314729.13</v>
      </c>
    </row>
    <row r="128" spans="1:100">
      <c r="A128" s="540" t="str">
        <f t="shared" si="3"/>
        <v>4950210</v>
      </c>
      <c r="B128" s="541" t="s">
        <v>1782</v>
      </c>
      <c r="C128" s="463" t="s">
        <v>1769</v>
      </c>
      <c r="D128" s="428"/>
      <c r="E128" s="428"/>
      <c r="F128" s="428"/>
      <c r="G128" s="428"/>
      <c r="H128" s="428"/>
      <c r="I128" s="428"/>
      <c r="J128" s="428"/>
      <c r="K128" s="428"/>
      <c r="L128" s="428"/>
      <c r="M128" s="428"/>
      <c r="N128" s="428"/>
      <c r="O128" s="429"/>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v>-4650</v>
      </c>
      <c r="AO128" s="52">
        <v>0</v>
      </c>
      <c r="AP128" s="52">
        <v>-3860</v>
      </c>
      <c r="AQ128" s="52">
        <v>-3360</v>
      </c>
      <c r="AR128" s="52">
        <v>-2900</v>
      </c>
      <c r="AS128" s="52">
        <v>-5220</v>
      </c>
      <c r="AT128" s="52">
        <v>-3510</v>
      </c>
      <c r="AU128" s="52">
        <v>-2700</v>
      </c>
      <c r="AV128" s="52">
        <v>-2370</v>
      </c>
      <c r="AW128" s="52">
        <v>-2660</v>
      </c>
      <c r="AX128" s="52">
        <v>-2710</v>
      </c>
      <c r="AY128" s="52">
        <v>-3070</v>
      </c>
      <c r="AZ128" s="52">
        <v>-2190</v>
      </c>
      <c r="BA128" s="52">
        <v>-2870</v>
      </c>
      <c r="BB128" s="52">
        <v>-3410</v>
      </c>
      <c r="BC128" s="52">
        <v>-3310</v>
      </c>
      <c r="BD128" s="52">
        <v>-4250</v>
      </c>
      <c r="BE128" s="52">
        <v>-2610</v>
      </c>
      <c r="BF128" s="52">
        <v>-3380</v>
      </c>
      <c r="BG128" s="52">
        <v>-23650</v>
      </c>
      <c r="BH128" s="52">
        <v>-3000</v>
      </c>
      <c r="BI128" s="52">
        <v>-2650</v>
      </c>
      <c r="BJ128" s="52">
        <v>-3030</v>
      </c>
      <c r="BK128" s="52">
        <v>-4320</v>
      </c>
      <c r="BL128" s="52">
        <v>-2540</v>
      </c>
      <c r="BM128" s="52">
        <v>-2980</v>
      </c>
      <c r="BN128" s="52">
        <v>-2350</v>
      </c>
      <c r="BO128" s="52">
        <v>-3330</v>
      </c>
      <c r="BP128" s="52">
        <v>-3210</v>
      </c>
      <c r="BQ128" s="52">
        <v>-3040</v>
      </c>
      <c r="BR128" s="52">
        <v>-5630</v>
      </c>
      <c r="BS128" s="52">
        <v>-2490</v>
      </c>
      <c r="BT128" s="52">
        <v>-2760</v>
      </c>
      <c r="BU128" s="52">
        <v>-4770</v>
      </c>
      <c r="BV128" s="52">
        <v>-19220</v>
      </c>
      <c r="BW128" s="52">
        <v>-2630</v>
      </c>
      <c r="BX128" s="52">
        <v>-2300</v>
      </c>
      <c r="BY128" s="52">
        <v>-2220</v>
      </c>
      <c r="BZ128" s="52">
        <v>-130</v>
      </c>
      <c r="CA128" s="52">
        <v>-3490</v>
      </c>
      <c r="CB128" s="52">
        <v>-2210</v>
      </c>
      <c r="CC128" s="52">
        <v>-2780</v>
      </c>
      <c r="CD128" s="52">
        <v>-2200</v>
      </c>
      <c r="CE128" s="52">
        <v>-3170</v>
      </c>
      <c r="CF128" s="52">
        <v>-2580</v>
      </c>
      <c r="CG128" s="52">
        <v>-2180</v>
      </c>
      <c r="CH128" s="52">
        <v>-2230</v>
      </c>
      <c r="CI128" s="52">
        <v>-3030</v>
      </c>
      <c r="CJ128" s="52">
        <v>-2890</v>
      </c>
      <c r="CK128" s="52">
        <v>-2930</v>
      </c>
      <c r="CL128" s="52">
        <v>-2630</v>
      </c>
      <c r="CM128" s="52">
        <v>-3840</v>
      </c>
      <c r="CN128" s="52">
        <v>-3600</v>
      </c>
      <c r="CO128" s="52">
        <v>-66440</v>
      </c>
      <c r="CP128" s="52">
        <v>-3700</v>
      </c>
      <c r="CQ128" s="52">
        <v>-3050</v>
      </c>
      <c r="CR128" s="52">
        <v>-3140</v>
      </c>
      <c r="CS128" s="52">
        <v>-2790</v>
      </c>
      <c r="CT128" s="52">
        <v>-3390</v>
      </c>
      <c r="CU128" s="52">
        <v>-3610</v>
      </c>
      <c r="CV128" s="430">
        <f t="shared" si="2"/>
        <v>-102010</v>
      </c>
    </row>
    <row r="129" spans="1:100">
      <c r="A129" s="540" t="str">
        <f t="shared" si="3"/>
        <v>4950211</v>
      </c>
      <c r="B129" s="541" t="s">
        <v>1958</v>
      </c>
      <c r="C129" s="463" t="s">
        <v>1052</v>
      </c>
      <c r="D129" s="426">
        <v>-900</v>
      </c>
      <c r="E129" s="426">
        <v>-810</v>
      </c>
      <c r="F129" s="426">
        <v>-510</v>
      </c>
      <c r="G129" s="426">
        <v>-390</v>
      </c>
      <c r="H129" s="426">
        <v>0</v>
      </c>
      <c r="I129" s="426">
        <v>-1080</v>
      </c>
      <c r="J129" s="426">
        <v>-600</v>
      </c>
      <c r="K129" s="426">
        <v>-480</v>
      </c>
      <c r="L129" s="426">
        <v>-420</v>
      </c>
      <c r="M129" s="426">
        <v>-780</v>
      </c>
      <c r="N129" s="426">
        <v>-780</v>
      </c>
      <c r="O129" s="427">
        <v>-390</v>
      </c>
      <c r="P129" s="52">
        <v>-990</v>
      </c>
      <c r="Q129" s="52">
        <v>-900</v>
      </c>
      <c r="R129" s="52">
        <v>-480</v>
      </c>
      <c r="S129" s="52">
        <v>-630</v>
      </c>
      <c r="T129" s="52">
        <v>0</v>
      </c>
      <c r="U129" s="52">
        <v>-900</v>
      </c>
      <c r="V129" s="52">
        <v>-360</v>
      </c>
      <c r="W129" s="52">
        <v>-360</v>
      </c>
      <c r="X129" s="52">
        <v>-480</v>
      </c>
      <c r="Y129" s="52">
        <v>-420</v>
      </c>
      <c r="Z129" s="52">
        <v>-360</v>
      </c>
      <c r="AA129" s="52">
        <v>-780</v>
      </c>
      <c r="AB129" s="52">
        <v>-390</v>
      </c>
      <c r="AC129" s="52">
        <v>-810</v>
      </c>
      <c r="AD129" s="52">
        <v>-510</v>
      </c>
      <c r="AE129" s="52">
        <v>-390</v>
      </c>
      <c r="AF129" s="52">
        <v>-360</v>
      </c>
      <c r="AG129" s="52">
        <v>-210</v>
      </c>
      <c r="AH129" s="52">
        <v>-930</v>
      </c>
      <c r="AI129" s="52">
        <v>0</v>
      </c>
      <c r="AJ129" s="52">
        <v>-540</v>
      </c>
      <c r="AK129" s="52">
        <v>-240</v>
      </c>
      <c r="AL129" s="52">
        <v>-390</v>
      </c>
      <c r="AM129" s="52">
        <v>-690</v>
      </c>
      <c r="AN129" s="52">
        <v>-480</v>
      </c>
      <c r="AO129" s="52">
        <v>0</v>
      </c>
      <c r="AP129" s="52">
        <v>-1620</v>
      </c>
      <c r="AQ129" s="52">
        <v>-30</v>
      </c>
      <c r="AR129" s="52">
        <v>-720</v>
      </c>
      <c r="AS129" s="52">
        <v>-600</v>
      </c>
      <c r="AT129" s="52">
        <v>-510</v>
      </c>
      <c r="AU129" s="52">
        <v>-630</v>
      </c>
      <c r="AV129" s="52">
        <v>-480</v>
      </c>
      <c r="AW129" s="52">
        <v>-450</v>
      </c>
      <c r="AX129" s="52">
        <v>-690</v>
      </c>
      <c r="AY129" s="52">
        <v>-600</v>
      </c>
      <c r="AZ129" s="52">
        <v>-270</v>
      </c>
      <c r="BA129" s="52">
        <v>-510</v>
      </c>
      <c r="BB129" s="52">
        <v>-360</v>
      </c>
      <c r="BC129" s="52">
        <v>-540</v>
      </c>
      <c r="BD129" s="52">
        <v>-240</v>
      </c>
      <c r="BE129" s="52">
        <v>-600</v>
      </c>
      <c r="BF129" s="52">
        <v>0</v>
      </c>
      <c r="BG129" s="52">
        <v>-540</v>
      </c>
      <c r="BH129" s="52">
        <v>-150</v>
      </c>
      <c r="BI129" s="52">
        <v>-570</v>
      </c>
      <c r="BJ129" s="52">
        <v>-480</v>
      </c>
      <c r="BK129" s="52">
        <v>-630</v>
      </c>
      <c r="BL129" s="52">
        <v>-810</v>
      </c>
      <c r="BM129" s="52">
        <v>-990</v>
      </c>
      <c r="BN129" s="52">
        <v>-660</v>
      </c>
      <c r="BO129" s="52">
        <v>-300</v>
      </c>
      <c r="BP129" s="52">
        <v>0</v>
      </c>
      <c r="BQ129" s="52">
        <v>-510</v>
      </c>
      <c r="BR129" s="52">
        <v>-480</v>
      </c>
      <c r="BS129" s="52">
        <v>-510</v>
      </c>
      <c r="BT129" s="52">
        <v>-240</v>
      </c>
      <c r="BU129" s="52">
        <v>0</v>
      </c>
      <c r="BV129" s="52">
        <v>-2130</v>
      </c>
      <c r="BW129" s="52">
        <v>-450</v>
      </c>
      <c r="BX129" s="52">
        <v>-450</v>
      </c>
      <c r="BY129" s="52">
        <v>-390</v>
      </c>
      <c r="BZ129" s="52">
        <v>-450</v>
      </c>
      <c r="CA129" s="52">
        <v>-360</v>
      </c>
      <c r="CB129" s="52">
        <v>-690</v>
      </c>
      <c r="CC129" s="52">
        <v>-1050</v>
      </c>
      <c r="CD129" s="52">
        <v>-1110</v>
      </c>
      <c r="CE129" s="52">
        <v>-540</v>
      </c>
      <c r="CF129" s="52">
        <v>-600</v>
      </c>
      <c r="CG129" s="52">
        <v>-480</v>
      </c>
      <c r="CH129" s="52">
        <v>-240</v>
      </c>
      <c r="CI129" s="52">
        <v>-600</v>
      </c>
      <c r="CJ129" s="52">
        <v>-240</v>
      </c>
      <c r="CK129" s="52">
        <v>-728</v>
      </c>
      <c r="CL129" s="52">
        <v>-364</v>
      </c>
      <c r="CM129" s="52">
        <v>-208</v>
      </c>
      <c r="CN129" s="52">
        <v>0</v>
      </c>
      <c r="CO129" s="52">
        <v>0</v>
      </c>
      <c r="CP129" s="52">
        <v>0</v>
      </c>
      <c r="CQ129" s="52">
        <v>0</v>
      </c>
      <c r="CR129" s="52">
        <v>0</v>
      </c>
      <c r="CS129" s="52">
        <v>0</v>
      </c>
      <c r="CT129" s="52">
        <v>0</v>
      </c>
      <c r="CU129" s="52">
        <v>0</v>
      </c>
      <c r="CV129" s="430">
        <f t="shared" si="2"/>
        <v>-1540</v>
      </c>
    </row>
    <row r="130" spans="1:100">
      <c r="A130" s="540" t="str">
        <f t="shared" si="3"/>
        <v>4950212</v>
      </c>
      <c r="B130" s="541" t="s">
        <v>1959</v>
      </c>
      <c r="C130" s="463" t="s">
        <v>1053</v>
      </c>
      <c r="D130" s="426">
        <v>-41490</v>
      </c>
      <c r="E130" s="426">
        <v>-33072</v>
      </c>
      <c r="F130" s="426">
        <v>-26102</v>
      </c>
      <c r="G130" s="426">
        <v>-18820</v>
      </c>
      <c r="H130" s="426">
        <v>-15838</v>
      </c>
      <c r="I130" s="426">
        <v>-14210</v>
      </c>
      <c r="J130" s="426">
        <v>-14106</v>
      </c>
      <c r="K130" s="426">
        <v>0</v>
      </c>
      <c r="L130" s="426">
        <v>14106</v>
      </c>
      <c r="M130" s="426">
        <v>-14188</v>
      </c>
      <c r="N130" s="426">
        <v>-20631</v>
      </c>
      <c r="O130" s="427">
        <v>-30573</v>
      </c>
      <c r="P130" s="52">
        <v>-37368</v>
      </c>
      <c r="Q130" s="52">
        <v>-29252</v>
      </c>
      <c r="R130" s="52">
        <v>-29703.05</v>
      </c>
      <c r="S130" s="52">
        <v>-15099</v>
      </c>
      <c r="T130" s="52">
        <v>0</v>
      </c>
      <c r="U130" s="52">
        <v>0</v>
      </c>
      <c r="V130" s="52">
        <v>-2426.88</v>
      </c>
      <c r="W130" s="52">
        <v>0</v>
      </c>
      <c r="X130" s="52">
        <v>-4004.69</v>
      </c>
      <c r="Y130" s="52">
        <v>-14188</v>
      </c>
      <c r="Z130" s="52">
        <v>-20631</v>
      </c>
      <c r="AA130" s="52">
        <v>-30573</v>
      </c>
      <c r="AB130" s="52">
        <v>-37368</v>
      </c>
      <c r="AC130" s="52">
        <v>-34759.26</v>
      </c>
      <c r="AD130" s="52">
        <v>-21517</v>
      </c>
      <c r="AE130" s="52">
        <v>-18539.509999999998</v>
      </c>
      <c r="AF130" s="52">
        <v>-6676.37</v>
      </c>
      <c r="AG130" s="52">
        <v>0</v>
      </c>
      <c r="AH130" s="52">
        <v>0</v>
      </c>
      <c r="AI130" s="52">
        <v>0</v>
      </c>
      <c r="AJ130" s="52">
        <v>0</v>
      </c>
      <c r="AK130" s="52">
        <v>-14188</v>
      </c>
      <c r="AL130" s="52">
        <v>14188</v>
      </c>
      <c r="AM130" s="52">
        <v>0</v>
      </c>
      <c r="AN130" s="52">
        <v>0</v>
      </c>
      <c r="AO130" s="52">
        <v>0</v>
      </c>
      <c r="AP130" s="52">
        <v>0</v>
      </c>
      <c r="AQ130" s="52">
        <v>0</v>
      </c>
      <c r="AR130" s="52">
        <v>0</v>
      </c>
      <c r="AS130" s="52">
        <v>0</v>
      </c>
      <c r="AT130" s="52">
        <v>0</v>
      </c>
      <c r="AU130" s="52">
        <v>0</v>
      </c>
      <c r="AV130" s="52">
        <v>0</v>
      </c>
      <c r="AW130" s="52"/>
      <c r="AX130" s="52"/>
      <c r="AY130" s="52"/>
      <c r="AZ130" s="52">
        <v>0</v>
      </c>
      <c r="BA130" s="52">
        <v>0</v>
      </c>
      <c r="BB130" s="52">
        <v>0</v>
      </c>
      <c r="BC130" s="52">
        <v>0</v>
      </c>
      <c r="BD130" s="52">
        <v>0</v>
      </c>
      <c r="BE130" s="52">
        <v>0</v>
      </c>
      <c r="BF130" s="52">
        <v>0</v>
      </c>
      <c r="BG130" s="52">
        <v>0</v>
      </c>
      <c r="BH130" s="52">
        <v>0</v>
      </c>
      <c r="BI130" s="52">
        <v>0</v>
      </c>
      <c r="BJ130" s="52">
        <v>0</v>
      </c>
      <c r="BK130" s="52">
        <v>0</v>
      </c>
      <c r="BL130" s="52">
        <v>0</v>
      </c>
      <c r="BM130" s="52">
        <v>0</v>
      </c>
      <c r="BN130" s="52">
        <v>0</v>
      </c>
      <c r="BO130" s="52">
        <v>0</v>
      </c>
      <c r="BP130" s="52">
        <v>0</v>
      </c>
      <c r="BQ130" s="52">
        <v>0</v>
      </c>
      <c r="BR130" s="52">
        <v>0</v>
      </c>
      <c r="BS130" s="52">
        <v>0</v>
      </c>
      <c r="BT130" s="52">
        <v>0</v>
      </c>
      <c r="BU130" s="52">
        <v>0</v>
      </c>
      <c r="BV130" s="52">
        <v>0</v>
      </c>
      <c r="BW130" s="52">
        <v>0</v>
      </c>
      <c r="BX130" s="52">
        <v>0</v>
      </c>
      <c r="BY130" s="52">
        <v>0</v>
      </c>
      <c r="BZ130" s="52">
        <v>0</v>
      </c>
      <c r="CA130" s="52">
        <v>0</v>
      </c>
      <c r="CB130" s="52">
        <v>0</v>
      </c>
      <c r="CC130" s="52">
        <v>0</v>
      </c>
      <c r="CD130" s="52">
        <v>0</v>
      </c>
      <c r="CE130" s="52">
        <v>0</v>
      </c>
      <c r="CF130" s="52">
        <v>0</v>
      </c>
      <c r="CG130" s="52">
        <v>0</v>
      </c>
      <c r="CH130" s="52">
        <v>0</v>
      </c>
      <c r="CI130" s="52">
        <v>0</v>
      </c>
      <c r="CJ130" s="52">
        <v>0</v>
      </c>
      <c r="CK130" s="52">
        <v>0</v>
      </c>
      <c r="CL130" s="52">
        <v>0</v>
      </c>
      <c r="CM130" s="52">
        <v>0</v>
      </c>
      <c r="CN130" s="52">
        <v>0</v>
      </c>
      <c r="CO130" s="52">
        <v>0</v>
      </c>
      <c r="CP130" s="52">
        <v>0</v>
      </c>
      <c r="CQ130" s="52">
        <v>0</v>
      </c>
      <c r="CR130" s="52">
        <v>0</v>
      </c>
      <c r="CS130" s="52">
        <v>0</v>
      </c>
      <c r="CT130" s="52">
        <v>0</v>
      </c>
      <c r="CU130" s="52">
        <v>0</v>
      </c>
      <c r="CV130" s="430">
        <f t="shared" si="2"/>
        <v>0</v>
      </c>
    </row>
    <row r="131" spans="1:100">
      <c r="A131" s="540" t="str">
        <f t="shared" si="3"/>
        <v>4950213</v>
      </c>
      <c r="B131" s="541" t="s">
        <v>1961</v>
      </c>
      <c r="C131" s="463" t="s">
        <v>1054</v>
      </c>
      <c r="D131" s="428">
        <v>-39621.269999999997</v>
      </c>
      <c r="E131" s="428">
        <v>-759422.6</v>
      </c>
      <c r="F131" s="428">
        <v>-1135311.55</v>
      </c>
      <c r="G131" s="428">
        <v>-36450.300000000003</v>
      </c>
      <c r="H131" s="428">
        <v>-1701.82</v>
      </c>
      <c r="I131" s="428">
        <v>-13004.94</v>
      </c>
      <c r="J131" s="428">
        <v>-27840.63</v>
      </c>
      <c r="K131" s="428">
        <v>-6234.51</v>
      </c>
      <c r="L131" s="428">
        <v>-7654.28</v>
      </c>
      <c r="M131" s="428">
        <v>-373678.85</v>
      </c>
      <c r="N131" s="428">
        <v>-57238.63</v>
      </c>
      <c r="O131" s="429">
        <v>-224553.11</v>
      </c>
      <c r="P131" s="52">
        <v>-170617.44</v>
      </c>
      <c r="Q131" s="52">
        <v>-343669</v>
      </c>
      <c r="R131" s="52">
        <v>-513556.46</v>
      </c>
      <c r="S131" s="52">
        <v>-160717.82999999999</v>
      </c>
      <c r="T131" s="52">
        <v>-10815.62</v>
      </c>
      <c r="U131" s="52">
        <v>-15829.87</v>
      </c>
      <c r="V131" s="52">
        <v>-521326.59</v>
      </c>
      <c r="W131" s="52">
        <v>-50955.19</v>
      </c>
      <c r="X131" s="52">
        <v>-257959.14</v>
      </c>
      <c r="Y131" s="52">
        <v>-309877.44</v>
      </c>
      <c r="Z131" s="52">
        <v>-68648.03</v>
      </c>
      <c r="AA131" s="52">
        <v>-129949.65</v>
      </c>
      <c r="AB131" s="52">
        <v>-236741.56</v>
      </c>
      <c r="AC131" s="52">
        <v>-623944</v>
      </c>
      <c r="AD131" s="52">
        <v>-330860.55</v>
      </c>
      <c r="AE131" s="52">
        <v>-8325.3700000000008</v>
      </c>
      <c r="AF131" s="52">
        <v>-3094.88</v>
      </c>
      <c r="AG131" s="52">
        <v>-59962.16</v>
      </c>
      <c r="AH131" s="52">
        <v>-84216.95</v>
      </c>
      <c r="AI131" s="52">
        <v>-3419.63</v>
      </c>
      <c r="AJ131" s="52">
        <v>-10628.54</v>
      </c>
      <c r="AK131" s="52">
        <v>-196649.23</v>
      </c>
      <c r="AL131" s="52">
        <v>-14150</v>
      </c>
      <c r="AM131" s="52">
        <v>-191001.78</v>
      </c>
      <c r="AN131" s="52">
        <v>-151136.51</v>
      </c>
      <c r="AO131" s="52">
        <v>-379263.57</v>
      </c>
      <c r="AP131" s="52">
        <v>18763.150000000001</v>
      </c>
      <c r="AQ131" s="52">
        <v>-375718.76</v>
      </c>
      <c r="AR131" s="52">
        <v>37419.199999999997</v>
      </c>
      <c r="AS131" s="52">
        <v>2505.1999999999998</v>
      </c>
      <c r="AT131" s="52">
        <v>-39516.589999999997</v>
      </c>
      <c r="AU131" s="52">
        <v>-976.69</v>
      </c>
      <c r="AV131" s="52">
        <v>-0.95</v>
      </c>
      <c r="AW131" s="52">
        <v>-11242.6</v>
      </c>
      <c r="AX131" s="52">
        <v>-104501.57</v>
      </c>
      <c r="AY131" s="52">
        <v>-439724.94</v>
      </c>
      <c r="AZ131" s="52">
        <v>-121084.61</v>
      </c>
      <c r="BA131" s="52">
        <v>-140684.32999999999</v>
      </c>
      <c r="BB131" s="52">
        <v>-14224.98</v>
      </c>
      <c r="BC131" s="52">
        <v>-13451.56</v>
      </c>
      <c r="BD131" s="52">
        <v>-196993.41</v>
      </c>
      <c r="BE131" s="52">
        <v>-2775.54</v>
      </c>
      <c r="BF131" s="52">
        <v>-131279.17000000001</v>
      </c>
      <c r="BG131" s="52">
        <v>-968.02</v>
      </c>
      <c r="BH131" s="52">
        <v>-11375.69</v>
      </c>
      <c r="BI131" s="52">
        <v>-512046.4</v>
      </c>
      <c r="BJ131" s="52">
        <v>-46210.47</v>
      </c>
      <c r="BK131" s="52">
        <v>-251458.55</v>
      </c>
      <c r="BL131" s="52">
        <v>-301732.65000000002</v>
      </c>
      <c r="BM131" s="52">
        <v>-201330.51</v>
      </c>
      <c r="BN131" s="52">
        <v>-535705.05000000005</v>
      </c>
      <c r="BO131" s="52">
        <v>-28778.85</v>
      </c>
      <c r="BP131" s="52">
        <v>-5282.83</v>
      </c>
      <c r="BQ131" s="52">
        <v>-8874.84</v>
      </c>
      <c r="BR131" s="52">
        <v>-14676.99</v>
      </c>
      <c r="BS131" s="52">
        <v>-0.11</v>
      </c>
      <c r="BT131" s="52">
        <v>-65004.74</v>
      </c>
      <c r="BU131" s="52">
        <v>-185061.04</v>
      </c>
      <c r="BV131" s="52">
        <v>-7520.93</v>
      </c>
      <c r="BW131" s="52">
        <v>-72496.39</v>
      </c>
      <c r="BX131" s="52">
        <v>-150898.81</v>
      </c>
      <c r="BY131" s="52">
        <v>-214974.98</v>
      </c>
      <c r="BZ131" s="52">
        <v>-142742.75</v>
      </c>
      <c r="CA131" s="52">
        <v>-35771.19</v>
      </c>
      <c r="CB131" s="52">
        <v>-9365.48</v>
      </c>
      <c r="CC131" s="52">
        <v>12163.78</v>
      </c>
      <c r="CD131" s="52">
        <v>-178890.55</v>
      </c>
      <c r="CE131" s="52">
        <v>-65451.86</v>
      </c>
      <c r="CF131" s="52">
        <v>-175537.48</v>
      </c>
      <c r="CG131" s="52">
        <v>-10380.06</v>
      </c>
      <c r="CH131" s="52">
        <v>-23311.35</v>
      </c>
      <c r="CI131" s="52">
        <v>-301309.84999999998</v>
      </c>
      <c r="CJ131" s="52">
        <v>-441268.87</v>
      </c>
      <c r="CK131" s="52">
        <v>-1496814.36</v>
      </c>
      <c r="CL131" s="52">
        <v>752666.97</v>
      </c>
      <c r="CM131" s="52">
        <v>-70229.350000000006</v>
      </c>
      <c r="CN131" s="52">
        <v>-51580.29</v>
      </c>
      <c r="CO131" s="52">
        <v>-1558.17</v>
      </c>
      <c r="CP131" s="52">
        <v>-180192.93</v>
      </c>
      <c r="CQ131" s="52">
        <v>-132133.34</v>
      </c>
      <c r="CR131" s="52">
        <v>58154.25</v>
      </c>
      <c r="CS131" s="52">
        <v>-271246.73</v>
      </c>
      <c r="CT131" s="52">
        <v>-811326.67</v>
      </c>
      <c r="CU131" s="52">
        <v>-204982.69</v>
      </c>
      <c r="CV131" s="430">
        <f t="shared" si="2"/>
        <v>-2850512.18</v>
      </c>
    </row>
    <row r="132" spans="1:100">
      <c r="A132" s="540" t="str">
        <f t="shared" si="3"/>
        <v>4950214</v>
      </c>
      <c r="B132" s="541" t="s">
        <v>1960</v>
      </c>
      <c r="C132" s="463" t="s">
        <v>1436</v>
      </c>
      <c r="D132" s="428"/>
      <c r="E132" s="428"/>
      <c r="F132" s="428"/>
      <c r="G132" s="428"/>
      <c r="H132" s="428"/>
      <c r="I132" s="428"/>
      <c r="J132" s="428"/>
      <c r="K132" s="428"/>
      <c r="L132" s="428"/>
      <c r="M132" s="428"/>
      <c r="N132" s="428"/>
      <c r="O132" s="429"/>
      <c r="P132" s="52"/>
      <c r="Q132" s="52"/>
      <c r="R132" s="52"/>
      <c r="S132" s="52"/>
      <c r="T132" s="52"/>
      <c r="U132" s="52"/>
      <c r="V132" s="52"/>
      <c r="W132" s="52"/>
      <c r="X132" s="52"/>
      <c r="Y132" s="52"/>
      <c r="Z132" s="52"/>
      <c r="AA132" s="52"/>
      <c r="AB132" s="52"/>
      <c r="AC132" s="52"/>
      <c r="AD132" s="52"/>
      <c r="AE132" s="52">
        <v>0</v>
      </c>
      <c r="AF132" s="52">
        <v>-329800</v>
      </c>
      <c r="AG132" s="52">
        <v>0</v>
      </c>
      <c r="AH132" s="52">
        <v>0</v>
      </c>
      <c r="AI132" s="52">
        <v>0</v>
      </c>
      <c r="AJ132" s="52">
        <v>0</v>
      </c>
      <c r="AK132" s="52">
        <v>-329800</v>
      </c>
      <c r="AL132" s="52">
        <v>0</v>
      </c>
      <c r="AM132" s="52">
        <v>0</v>
      </c>
      <c r="AN132" s="52">
        <v>0</v>
      </c>
      <c r="AO132" s="52">
        <v>35928.14</v>
      </c>
      <c r="AP132" s="52">
        <v>17964.07</v>
      </c>
      <c r="AQ132" s="52">
        <v>17964.07</v>
      </c>
      <c r="AR132" s="52">
        <v>17964.07</v>
      </c>
      <c r="AS132" s="52">
        <v>17964.07</v>
      </c>
      <c r="AT132" s="52">
        <v>17964.07</v>
      </c>
      <c r="AU132" s="52">
        <v>0</v>
      </c>
      <c r="AV132" s="52">
        <v>35928.14</v>
      </c>
      <c r="AW132" s="52">
        <v>17964.07</v>
      </c>
      <c r="AX132" s="52">
        <v>17964.07</v>
      </c>
      <c r="AY132" s="52">
        <v>17964.07</v>
      </c>
      <c r="AZ132" s="52">
        <v>17964.07</v>
      </c>
      <c r="BA132" s="52">
        <v>17964.07</v>
      </c>
      <c r="BB132" s="52">
        <v>17964.07</v>
      </c>
      <c r="BC132" s="52">
        <v>17964.07</v>
      </c>
      <c r="BD132" s="52">
        <v>17964.07</v>
      </c>
      <c r="BE132" s="52">
        <v>17964.07</v>
      </c>
      <c r="BF132" s="52">
        <v>17964.07</v>
      </c>
      <c r="BG132" s="52">
        <v>17964.07</v>
      </c>
      <c r="BH132" s="52">
        <v>17964.07</v>
      </c>
      <c r="BI132" s="52">
        <v>17964.07</v>
      </c>
      <c r="BJ132" s="52">
        <v>17964.07</v>
      </c>
      <c r="BK132" s="52">
        <v>17964.07</v>
      </c>
      <c r="BL132" s="52">
        <v>17964.07</v>
      </c>
      <c r="BM132" s="52">
        <v>17964.07</v>
      </c>
      <c r="BN132" s="52">
        <v>17964.07</v>
      </c>
      <c r="BO132" s="52">
        <v>17964.07</v>
      </c>
      <c r="BP132" s="52">
        <v>17964.07</v>
      </c>
      <c r="BQ132" s="52">
        <v>17964.07</v>
      </c>
      <c r="BR132" s="52">
        <v>17964.07</v>
      </c>
      <c r="BS132" s="52">
        <v>17964.07</v>
      </c>
      <c r="BT132" s="52">
        <v>17964.07</v>
      </c>
      <c r="BU132" s="52">
        <v>17964.07</v>
      </c>
      <c r="BV132" s="52">
        <v>17964.07</v>
      </c>
      <c r="BW132" s="52">
        <v>17964.07</v>
      </c>
      <c r="BX132" s="52">
        <v>17964.07</v>
      </c>
      <c r="BY132" s="52">
        <v>17964.07</v>
      </c>
      <c r="BZ132" s="52">
        <v>17964.07</v>
      </c>
      <c r="CA132" s="52">
        <v>17964.07</v>
      </c>
      <c r="CB132" s="52">
        <v>17964.07</v>
      </c>
      <c r="CC132" s="52">
        <v>17964.07</v>
      </c>
      <c r="CD132" s="52">
        <v>17964.07</v>
      </c>
      <c r="CE132" s="52">
        <v>17964.07</v>
      </c>
      <c r="CF132" s="52">
        <v>17964.07</v>
      </c>
      <c r="CG132" s="52">
        <v>17964.07</v>
      </c>
      <c r="CH132" s="52">
        <v>17964.07</v>
      </c>
      <c r="CI132" s="52">
        <v>17964.07</v>
      </c>
      <c r="CJ132" s="52">
        <v>17964.07</v>
      </c>
      <c r="CK132" s="52">
        <v>17964.07</v>
      </c>
      <c r="CL132" s="52">
        <v>17964.07</v>
      </c>
      <c r="CM132" s="52">
        <v>17964.07</v>
      </c>
      <c r="CN132" s="52">
        <v>17964.07</v>
      </c>
      <c r="CO132" s="52">
        <v>17964.07</v>
      </c>
      <c r="CP132" s="52">
        <v>17964.07</v>
      </c>
      <c r="CQ132" s="52">
        <v>17964.07</v>
      </c>
      <c r="CR132" s="52">
        <v>17964.07</v>
      </c>
      <c r="CS132" s="52">
        <v>17964.07</v>
      </c>
      <c r="CT132" s="52">
        <v>17964.07</v>
      </c>
      <c r="CU132" s="52">
        <v>17964.07</v>
      </c>
      <c r="CV132" s="430">
        <f t="shared" si="2"/>
        <v>215568.84000000005</v>
      </c>
    </row>
    <row r="133" spans="1:100">
      <c r="A133" s="540" t="str">
        <f>+B133</f>
        <v>4950215</v>
      </c>
      <c r="B133" s="541" t="s">
        <v>2299</v>
      </c>
      <c r="C133" s="463" t="s">
        <v>2298</v>
      </c>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v>0</v>
      </c>
      <c r="BM133" s="52">
        <v>0</v>
      </c>
      <c r="BN133" s="52">
        <v>0</v>
      </c>
      <c r="BO133" s="52">
        <v>0</v>
      </c>
      <c r="BP133" s="52">
        <v>0</v>
      </c>
      <c r="BQ133" s="52">
        <v>0</v>
      </c>
      <c r="BR133" s="52">
        <v>0</v>
      </c>
      <c r="BS133" s="52">
        <v>-577394.22</v>
      </c>
      <c r="BT133" s="52">
        <v>-603495.04</v>
      </c>
      <c r="BU133" s="52">
        <v>-604053.05000000005</v>
      </c>
      <c r="BV133" s="52">
        <v>-683939.38</v>
      </c>
      <c r="BW133" s="52">
        <v>-952748.88</v>
      </c>
      <c r="BX133" s="52">
        <v>5697.37</v>
      </c>
      <c r="BY133" s="52">
        <v>415.83</v>
      </c>
      <c r="BZ133" s="52">
        <v>126.29</v>
      </c>
      <c r="CA133" s="52">
        <v>684.15</v>
      </c>
      <c r="CB133" s="52">
        <v>-104.18</v>
      </c>
      <c r="CC133" s="52">
        <v>-77.739999999999995</v>
      </c>
      <c r="CD133" s="52">
        <v>-118.2</v>
      </c>
      <c r="CE133" s="52">
        <v>-220.26</v>
      </c>
      <c r="CF133" s="52">
        <v>-315.58999999999997</v>
      </c>
      <c r="CG133" s="52">
        <v>-11.5</v>
      </c>
      <c r="CH133" s="52">
        <v>4.55</v>
      </c>
      <c r="CI133" s="52">
        <v>534.74</v>
      </c>
      <c r="CJ133" s="52">
        <v>9.24</v>
      </c>
      <c r="CK133" s="52">
        <v>6.36</v>
      </c>
      <c r="CL133" s="52">
        <v>157.77000000000001</v>
      </c>
      <c r="CM133" s="52">
        <v>0.36</v>
      </c>
      <c r="CN133" s="52">
        <v>1.89</v>
      </c>
      <c r="CO133" s="52">
        <v>-13.23</v>
      </c>
      <c r="CP133" s="52">
        <v>0.14000000000000001</v>
      </c>
      <c r="CQ133" s="52">
        <v>0</v>
      </c>
      <c r="CR133" s="52">
        <v>0</v>
      </c>
      <c r="CS133" s="52">
        <v>0.32</v>
      </c>
      <c r="CT133" s="52">
        <v>0.32</v>
      </c>
      <c r="CU133" s="52">
        <v>0</v>
      </c>
      <c r="CV133" s="430">
        <f t="shared" si="2"/>
        <v>163.16999999999999</v>
      </c>
    </row>
    <row r="134" spans="1:100">
      <c r="A134" s="540" t="str">
        <f>+B134</f>
        <v>4950220</v>
      </c>
      <c r="B134" s="541" t="s">
        <v>2484</v>
      </c>
      <c r="C134" s="463" t="s">
        <v>2485</v>
      </c>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v>-579.97</v>
      </c>
      <c r="CB134" s="52">
        <v>0</v>
      </c>
      <c r="CC134" s="52">
        <v>-4529.2700000000004</v>
      </c>
      <c r="CD134" s="52">
        <v>-5291.19</v>
      </c>
      <c r="CE134" s="52">
        <v>-4288.76</v>
      </c>
      <c r="CF134" s="52">
        <v>-1041.52</v>
      </c>
      <c r="CG134" s="52">
        <v>-3553.46</v>
      </c>
      <c r="CH134" s="52">
        <v>-9865.4599999999991</v>
      </c>
      <c r="CI134" s="52">
        <v>4932.7299999999996</v>
      </c>
      <c r="CJ134" s="52">
        <v>0</v>
      </c>
      <c r="CK134" s="52">
        <v>0</v>
      </c>
      <c r="CL134" s="52">
        <v>0</v>
      </c>
      <c r="CM134" s="52">
        <v>0</v>
      </c>
      <c r="CN134" s="52">
        <v>0</v>
      </c>
      <c r="CO134" s="52">
        <v>0</v>
      </c>
      <c r="CP134" s="52">
        <v>0</v>
      </c>
      <c r="CQ134" s="52">
        <v>0</v>
      </c>
      <c r="CR134" s="52">
        <v>0</v>
      </c>
      <c r="CS134" s="52">
        <v>0</v>
      </c>
      <c r="CT134" s="52">
        <v>0</v>
      </c>
      <c r="CU134" s="52">
        <v>0</v>
      </c>
      <c r="CV134" s="430">
        <f t="shared" ref="CV134:CV197" si="4">SUM(CJ134:CU134)</f>
        <v>0</v>
      </c>
    </row>
    <row r="135" spans="1:100">
      <c r="A135" s="540" t="str">
        <f t="shared" si="3"/>
        <v>4950271</v>
      </c>
      <c r="B135" s="541" t="s">
        <v>1962</v>
      </c>
      <c r="C135" s="463" t="s">
        <v>1055</v>
      </c>
      <c r="D135" s="426">
        <v>-247786.94</v>
      </c>
      <c r="E135" s="426">
        <v>-255179.37</v>
      </c>
      <c r="F135" s="426">
        <v>-214051.12</v>
      </c>
      <c r="G135" s="426">
        <v>-193065.21</v>
      </c>
      <c r="H135" s="426">
        <v>-160404.26999999999</v>
      </c>
      <c r="I135" s="426">
        <v>-153132.13</v>
      </c>
      <c r="J135" s="426">
        <v>-140786.32</v>
      </c>
      <c r="K135" s="426">
        <v>-130752.38</v>
      </c>
      <c r="L135" s="426">
        <v>-140257.57</v>
      </c>
      <c r="M135" s="426">
        <v>-145374.07999999999</v>
      </c>
      <c r="N135" s="426">
        <v>-163926.46</v>
      </c>
      <c r="O135" s="427">
        <v>-213697.83</v>
      </c>
      <c r="P135" s="52">
        <v>-392426.97</v>
      </c>
      <c r="Q135" s="52">
        <v>-404258.14</v>
      </c>
      <c r="R135" s="52">
        <v>-391864.09</v>
      </c>
      <c r="S135" s="52">
        <v>-293880.45</v>
      </c>
      <c r="T135" s="52">
        <v>-238738.44</v>
      </c>
      <c r="U135" s="52">
        <v>-243327.4</v>
      </c>
      <c r="V135" s="52">
        <v>-222736.7</v>
      </c>
      <c r="W135" s="52">
        <v>-227074.67</v>
      </c>
      <c r="X135" s="52">
        <v>-219553.22</v>
      </c>
      <c r="Y135" s="52">
        <v>-227287.32</v>
      </c>
      <c r="Z135" s="52">
        <v>-248706.66</v>
      </c>
      <c r="AA135" s="52">
        <v>-291957.28999999998</v>
      </c>
      <c r="AB135" s="52">
        <v>-503560.9</v>
      </c>
      <c r="AC135" s="52">
        <v>-555846.15</v>
      </c>
      <c r="AD135" s="52">
        <v>-486680.24</v>
      </c>
      <c r="AE135" s="52">
        <v>-423633.84</v>
      </c>
      <c r="AF135" s="52">
        <v>-371706.55</v>
      </c>
      <c r="AG135" s="52">
        <v>-335098.07</v>
      </c>
      <c r="AH135" s="52">
        <v>-315950.17</v>
      </c>
      <c r="AI135" s="52">
        <v>-292722.45</v>
      </c>
      <c r="AJ135" s="52">
        <v>-315170.59999999998</v>
      </c>
      <c r="AK135" s="52">
        <v>-310225.51</v>
      </c>
      <c r="AL135" s="52">
        <v>-361294.9</v>
      </c>
      <c r="AM135" s="52">
        <v>-431790</v>
      </c>
      <c r="AN135" s="52">
        <v>-466458.15</v>
      </c>
      <c r="AO135" s="52">
        <v>-437701.91</v>
      </c>
      <c r="AP135" s="52">
        <v>-412161.38</v>
      </c>
      <c r="AQ135" s="52">
        <v>-401571.87</v>
      </c>
      <c r="AR135" s="52">
        <v>-342826.81</v>
      </c>
      <c r="AS135" s="52">
        <v>-308653.09999999998</v>
      </c>
      <c r="AT135" s="52">
        <v>-285347.69</v>
      </c>
      <c r="AU135" s="52">
        <v>-277844.7</v>
      </c>
      <c r="AV135" s="52">
        <v>-310899.46999999997</v>
      </c>
      <c r="AW135" s="52">
        <v>-276331.62</v>
      </c>
      <c r="AX135" s="52">
        <v>-338610.15</v>
      </c>
      <c r="AY135" s="52">
        <v>-415205.38</v>
      </c>
      <c r="AZ135" s="52">
        <v>-1347064.28</v>
      </c>
      <c r="BA135" s="52">
        <v>-1177801.92</v>
      </c>
      <c r="BB135" s="52">
        <v>-962303.96</v>
      </c>
      <c r="BC135" s="52">
        <v>-994094.4</v>
      </c>
      <c r="BD135" s="52">
        <v>-799283.78</v>
      </c>
      <c r="BE135" s="52">
        <v>-757629.51</v>
      </c>
      <c r="BF135" s="52">
        <v>-675394.22</v>
      </c>
      <c r="BG135" s="52">
        <v>-651091.89</v>
      </c>
      <c r="BH135" s="52">
        <v>-715195.42</v>
      </c>
      <c r="BI135" s="52">
        <v>-656823.29</v>
      </c>
      <c r="BJ135" s="52">
        <v>-727483.33</v>
      </c>
      <c r="BK135" s="52">
        <v>-987445.96</v>
      </c>
      <c r="BL135" s="52">
        <v>-1198922.3799999999</v>
      </c>
      <c r="BM135" s="52">
        <v>-1206056.68</v>
      </c>
      <c r="BN135" s="52">
        <v>-1002030.98</v>
      </c>
      <c r="BO135" s="52">
        <v>-928291.85</v>
      </c>
      <c r="BP135" s="52">
        <v>-834210.52</v>
      </c>
      <c r="BQ135" s="52">
        <v>-715446.95</v>
      </c>
      <c r="BR135" s="52">
        <v>-678948.45</v>
      </c>
      <c r="BS135" s="52">
        <v>-672993.03</v>
      </c>
      <c r="BT135" s="52">
        <v>-690986.28</v>
      </c>
      <c r="BU135" s="52">
        <v>-689084.13</v>
      </c>
      <c r="BV135" s="52">
        <v>-775406.97</v>
      </c>
      <c r="BW135" s="52">
        <v>-1058406.8500000001</v>
      </c>
      <c r="BX135" s="52">
        <v>-2113054.27</v>
      </c>
      <c r="BY135" s="52">
        <v>-2057696.28</v>
      </c>
      <c r="BZ135" s="52">
        <v>-1918402.13</v>
      </c>
      <c r="CA135" s="52">
        <v>-1444361.54</v>
      </c>
      <c r="CB135" s="52">
        <v>-1285441.3799999999</v>
      </c>
      <c r="CC135" s="52">
        <v>-1282825.82</v>
      </c>
      <c r="CD135" s="52">
        <v>-1174816.1299999999</v>
      </c>
      <c r="CE135" s="52">
        <v>-1166827.43</v>
      </c>
      <c r="CF135" s="52">
        <v>-1155548.96</v>
      </c>
      <c r="CG135" s="52">
        <v>-1233487.53</v>
      </c>
      <c r="CH135" s="52">
        <v>-1427128.08</v>
      </c>
      <c r="CI135" s="52">
        <v>-1822781.85</v>
      </c>
      <c r="CJ135" s="52">
        <v>-629572.49</v>
      </c>
      <c r="CK135" s="52">
        <v>-575422.13</v>
      </c>
      <c r="CL135" s="52">
        <v>-493924.82</v>
      </c>
      <c r="CM135" s="52">
        <v>-482308.89</v>
      </c>
      <c r="CN135" s="52">
        <v>-400065.18</v>
      </c>
      <c r="CO135" s="52">
        <v>-371791.02</v>
      </c>
      <c r="CP135" s="52">
        <v>-360971.6</v>
      </c>
      <c r="CQ135" s="52">
        <v>-325641.36</v>
      </c>
      <c r="CR135" s="52">
        <v>-347568.34</v>
      </c>
      <c r="CS135" s="52">
        <v>-339857.04</v>
      </c>
      <c r="CT135" s="52">
        <v>-392179.59</v>
      </c>
      <c r="CU135" s="52">
        <v>-512979.14</v>
      </c>
      <c r="CV135" s="430">
        <f t="shared" si="4"/>
        <v>-5232281.5999999996</v>
      </c>
    </row>
    <row r="136" spans="1:100">
      <c r="A136" s="540" t="str">
        <f t="shared" si="3"/>
        <v>4950800</v>
      </c>
      <c r="B136" s="541" t="s">
        <v>1963</v>
      </c>
      <c r="C136" s="463" t="s">
        <v>1056</v>
      </c>
      <c r="D136" s="428">
        <v>850.08</v>
      </c>
      <c r="E136" s="428">
        <v>907.42</v>
      </c>
      <c r="F136" s="428">
        <v>689.96</v>
      </c>
      <c r="G136" s="428">
        <v>588.42999999999995</v>
      </c>
      <c r="H136" s="428">
        <v>447.89</v>
      </c>
      <c r="I136" s="428">
        <v>410.82</v>
      </c>
      <c r="J136" s="428">
        <v>369.15</v>
      </c>
      <c r="K136" s="428">
        <v>319.33</v>
      </c>
      <c r="L136" s="428">
        <v>367.74</v>
      </c>
      <c r="M136" s="428">
        <v>359.94</v>
      </c>
      <c r="N136" s="428">
        <v>465.57</v>
      </c>
      <c r="O136" s="429">
        <v>704.92</v>
      </c>
      <c r="P136" s="52">
        <v>76463.360000000001</v>
      </c>
      <c r="Q136" s="52">
        <v>81758.59</v>
      </c>
      <c r="R136" s="52">
        <v>76079.78</v>
      </c>
      <c r="S136" s="52">
        <v>49752.95</v>
      </c>
      <c r="T136" s="52">
        <v>38054.49</v>
      </c>
      <c r="U136" s="52">
        <v>39233.199999999997</v>
      </c>
      <c r="V136" s="52">
        <v>33652.92</v>
      </c>
      <c r="W136" s="52">
        <v>32752.31</v>
      </c>
      <c r="X136" s="52">
        <v>32066.37</v>
      </c>
      <c r="Y136" s="52">
        <v>33531.78</v>
      </c>
      <c r="Z136" s="52">
        <v>38804.71</v>
      </c>
      <c r="AA136" s="52">
        <v>47690.89</v>
      </c>
      <c r="AB136" s="52">
        <v>80701</v>
      </c>
      <c r="AC136" s="52">
        <v>95618.7</v>
      </c>
      <c r="AD136" s="52">
        <v>76869.259999999995</v>
      </c>
      <c r="AE136" s="52">
        <v>61252.15</v>
      </c>
      <c r="AF136" s="52">
        <v>48586.48</v>
      </c>
      <c r="AG136" s="52">
        <v>40982.339999999997</v>
      </c>
      <c r="AH136" s="52">
        <v>36552</v>
      </c>
      <c r="AI136" s="52">
        <v>35366.720000000001</v>
      </c>
      <c r="AJ136" s="52">
        <v>37162.17</v>
      </c>
      <c r="AK136" s="52">
        <v>38171.839999999997</v>
      </c>
      <c r="AL136" s="52">
        <v>48038.75</v>
      </c>
      <c r="AM136" s="52">
        <v>62129.78</v>
      </c>
      <c r="AN136" s="52">
        <v>106427.26</v>
      </c>
      <c r="AO136" s="52">
        <v>101609.32</v>
      </c>
      <c r="AP136" s="52">
        <v>91036.04</v>
      </c>
      <c r="AQ136" s="52">
        <v>86411.25</v>
      </c>
      <c r="AR136" s="52">
        <v>70699.72</v>
      </c>
      <c r="AS136" s="52">
        <v>59485.55</v>
      </c>
      <c r="AT136" s="52">
        <v>52902.85</v>
      </c>
      <c r="AU136" s="52">
        <v>46315.95</v>
      </c>
      <c r="AV136" s="52">
        <v>58877.63</v>
      </c>
      <c r="AW136" s="52">
        <v>56469.47</v>
      </c>
      <c r="AX136" s="52">
        <v>71740.56</v>
      </c>
      <c r="AY136" s="52">
        <v>93282.51</v>
      </c>
      <c r="AZ136" s="52">
        <v>518506.66</v>
      </c>
      <c r="BA136" s="52">
        <v>433765.64</v>
      </c>
      <c r="BB136" s="52">
        <v>-322935.84000000003</v>
      </c>
      <c r="BC136" s="52">
        <v>-334636.59999999998</v>
      </c>
      <c r="BD136" s="52">
        <v>-243710.44</v>
      </c>
      <c r="BE136" s="52">
        <v>-217861.03</v>
      </c>
      <c r="BF136" s="52">
        <v>-186008.57</v>
      </c>
      <c r="BG136" s="52">
        <v>-171489.38</v>
      </c>
      <c r="BH136" s="52">
        <v>-194133.29</v>
      </c>
      <c r="BI136" s="52">
        <v>-178757.93</v>
      </c>
      <c r="BJ136" s="52">
        <v>-211297.75</v>
      </c>
      <c r="BK136" s="52">
        <v>-332110.27</v>
      </c>
      <c r="BL136" s="52">
        <v>259051.35</v>
      </c>
      <c r="BM136" s="52">
        <v>264675.61</v>
      </c>
      <c r="BN136" s="52">
        <v>196561.58</v>
      </c>
      <c r="BO136" s="52">
        <v>184483.61</v>
      </c>
      <c r="BP136" s="52">
        <v>151009.60999999999</v>
      </c>
      <c r="BQ136" s="52">
        <v>116952.12</v>
      </c>
      <c r="BR136" s="52">
        <v>113003.38</v>
      </c>
      <c r="BS136" s="52">
        <v>104871.1</v>
      </c>
      <c r="BT136" s="52">
        <v>115266.24000000001</v>
      </c>
      <c r="BU136" s="52">
        <v>113480.3</v>
      </c>
      <c r="BV136" s="52">
        <v>137270.09</v>
      </c>
      <c r="BW136" s="52">
        <v>218949.11</v>
      </c>
      <c r="BX136" s="52">
        <v>213602.64</v>
      </c>
      <c r="BY136" s="52">
        <v>211655.07</v>
      </c>
      <c r="BZ136" s="52">
        <v>190920.76</v>
      </c>
      <c r="CA136" s="52">
        <v>149770.93</v>
      </c>
      <c r="CB136" s="52">
        <v>132510.39999999999</v>
      </c>
      <c r="CC136" s="52">
        <v>122031.73</v>
      </c>
      <c r="CD136" s="52">
        <v>100923.32</v>
      </c>
      <c r="CE136" s="52">
        <v>99809.99</v>
      </c>
      <c r="CF136" s="52">
        <v>99690.33</v>
      </c>
      <c r="CG136" s="52">
        <v>106139.59</v>
      </c>
      <c r="CH136" s="52">
        <v>131534.54</v>
      </c>
      <c r="CI136" s="52">
        <v>185203.6</v>
      </c>
      <c r="CJ136" s="52">
        <v>188439.31</v>
      </c>
      <c r="CK136" s="52">
        <v>168016.97</v>
      </c>
      <c r="CL136" s="52">
        <v>136008.47</v>
      </c>
      <c r="CM136" s="52">
        <v>132306.51</v>
      </c>
      <c r="CN136" s="52">
        <v>98086.78</v>
      </c>
      <c r="CO136" s="52">
        <v>88657.85</v>
      </c>
      <c r="CP136" s="52">
        <v>81961.84</v>
      </c>
      <c r="CQ136" s="52">
        <v>75986.820000000007</v>
      </c>
      <c r="CR136" s="52">
        <v>82616.73</v>
      </c>
      <c r="CS136" s="52">
        <v>77483.39</v>
      </c>
      <c r="CT136" s="52">
        <v>98890.78</v>
      </c>
      <c r="CU136" s="52">
        <v>142992.5</v>
      </c>
      <c r="CV136" s="430">
        <f t="shared" si="4"/>
        <v>1371447.95</v>
      </c>
    </row>
    <row r="137" spans="1:100">
      <c r="A137" s="540" t="str">
        <f t="shared" si="3"/>
        <v>6010110</v>
      </c>
      <c r="B137" s="541" t="s">
        <v>1964</v>
      </c>
      <c r="C137" s="463" t="s">
        <v>1057</v>
      </c>
      <c r="D137" s="426">
        <v>922381.8</v>
      </c>
      <c r="E137" s="426">
        <v>789256.89</v>
      </c>
      <c r="F137" s="426">
        <v>834416.08</v>
      </c>
      <c r="G137" s="426">
        <v>891112.01</v>
      </c>
      <c r="H137" s="426">
        <v>891516.49</v>
      </c>
      <c r="I137" s="426">
        <v>854123.33</v>
      </c>
      <c r="J137" s="426">
        <v>941395.4</v>
      </c>
      <c r="K137" s="426">
        <v>865323.94</v>
      </c>
      <c r="L137" s="426">
        <v>905049.4</v>
      </c>
      <c r="M137" s="426">
        <v>934779.64</v>
      </c>
      <c r="N137" s="426">
        <v>810985.89</v>
      </c>
      <c r="O137" s="427">
        <v>914117.8</v>
      </c>
      <c r="P137" s="52">
        <v>634599.17000000004</v>
      </c>
      <c r="Q137" s="52">
        <v>728407.32</v>
      </c>
      <c r="R137" s="52">
        <v>787896.81</v>
      </c>
      <c r="S137" s="52">
        <v>740086.13</v>
      </c>
      <c r="T137" s="52">
        <v>730614.88</v>
      </c>
      <c r="U137" s="52">
        <v>754653.2</v>
      </c>
      <c r="V137" s="52">
        <v>780220.84</v>
      </c>
      <c r="W137" s="52">
        <v>762047</v>
      </c>
      <c r="X137" s="52">
        <v>746603.15</v>
      </c>
      <c r="Y137" s="52">
        <v>821851.87</v>
      </c>
      <c r="Z137" s="52">
        <v>754576.25</v>
      </c>
      <c r="AA137" s="52">
        <v>737184.5</v>
      </c>
      <c r="AB137" s="52">
        <v>621780.4</v>
      </c>
      <c r="AC137" s="52">
        <v>859480.43</v>
      </c>
      <c r="AD137" s="52">
        <v>836058.86</v>
      </c>
      <c r="AE137" s="52">
        <v>871061.06</v>
      </c>
      <c r="AF137" s="52">
        <v>919151.26</v>
      </c>
      <c r="AG137" s="52">
        <v>875936.88</v>
      </c>
      <c r="AH137" s="52">
        <v>792813.15</v>
      </c>
      <c r="AI137" s="52">
        <v>981860.53</v>
      </c>
      <c r="AJ137" s="52">
        <v>914137.33</v>
      </c>
      <c r="AK137" s="52">
        <v>929194.71</v>
      </c>
      <c r="AL137" s="52">
        <v>934239.41</v>
      </c>
      <c r="AM137" s="52">
        <v>788816.7</v>
      </c>
      <c r="AN137" s="52">
        <v>759800.71</v>
      </c>
      <c r="AO137" s="52">
        <v>987078.67</v>
      </c>
      <c r="AP137" s="52">
        <v>949953.48</v>
      </c>
      <c r="AQ137" s="52">
        <v>815520.58</v>
      </c>
      <c r="AR137" s="52">
        <v>1034986.28</v>
      </c>
      <c r="AS137" s="52">
        <v>886790.67</v>
      </c>
      <c r="AT137" s="52">
        <v>813518.22</v>
      </c>
      <c r="AU137" s="52">
        <v>1123611.1100000001</v>
      </c>
      <c r="AV137" s="52">
        <v>940510.94</v>
      </c>
      <c r="AW137" s="52">
        <v>1017789.6</v>
      </c>
      <c r="AX137" s="52">
        <v>1040163.72</v>
      </c>
      <c r="AY137" s="52">
        <v>801824.78</v>
      </c>
      <c r="AZ137" s="52">
        <v>865242.9</v>
      </c>
      <c r="BA137" s="52">
        <v>1087237.47</v>
      </c>
      <c r="BB137" s="52">
        <v>1137427.03</v>
      </c>
      <c r="BC137" s="52">
        <v>1029606.63</v>
      </c>
      <c r="BD137" s="52">
        <v>1175485.46</v>
      </c>
      <c r="BE137" s="52">
        <v>1057346.23</v>
      </c>
      <c r="BF137" s="52">
        <v>915589.21</v>
      </c>
      <c r="BG137" s="52">
        <v>1309299.93</v>
      </c>
      <c r="BH137" s="52">
        <v>1040041.05</v>
      </c>
      <c r="BI137" s="52">
        <v>1303461.42</v>
      </c>
      <c r="BJ137" s="52">
        <v>1231475.6599999999</v>
      </c>
      <c r="BK137" s="52">
        <v>971858.05</v>
      </c>
      <c r="BL137" s="52">
        <v>1077862.28</v>
      </c>
      <c r="BM137" s="52">
        <v>1198380.17</v>
      </c>
      <c r="BN137" s="52">
        <v>1271118.74</v>
      </c>
      <c r="BO137" s="52">
        <v>1244372.0900000001</v>
      </c>
      <c r="BP137" s="52">
        <v>1445146.89</v>
      </c>
      <c r="BQ137" s="52">
        <v>1163309.45</v>
      </c>
      <c r="BR137" s="52">
        <v>1228498.1200000001</v>
      </c>
      <c r="BS137" s="52">
        <v>1489243.76</v>
      </c>
      <c r="BT137" s="52">
        <v>1264146.6000000001</v>
      </c>
      <c r="BU137" s="52">
        <v>1455659.85</v>
      </c>
      <c r="BV137" s="52">
        <v>1318390.69</v>
      </c>
      <c r="BW137" s="52">
        <v>1196952.6200000001</v>
      </c>
      <c r="BX137" s="52">
        <v>1132654.26</v>
      </c>
      <c r="BY137" s="52">
        <v>1386931.12</v>
      </c>
      <c r="BZ137" s="52">
        <v>1621704.32</v>
      </c>
      <c r="CA137" s="52">
        <v>1525713.18</v>
      </c>
      <c r="CB137" s="52">
        <v>1633269.94</v>
      </c>
      <c r="CC137" s="52">
        <v>1541621.05</v>
      </c>
      <c r="CD137" s="52">
        <v>1572054.58</v>
      </c>
      <c r="CE137" s="52">
        <v>1525869.13</v>
      </c>
      <c r="CF137" s="52">
        <v>1513112.97</v>
      </c>
      <c r="CG137" s="52">
        <v>1662117.36</v>
      </c>
      <c r="CH137" s="52">
        <v>1492336.18</v>
      </c>
      <c r="CI137" s="52">
        <v>1038505.13</v>
      </c>
      <c r="CJ137" s="52">
        <v>1436703.09</v>
      </c>
      <c r="CK137" s="52">
        <v>1612147.66</v>
      </c>
      <c r="CL137" s="52">
        <v>1763909.31</v>
      </c>
      <c r="CM137" s="52">
        <v>1601465.38</v>
      </c>
      <c r="CN137" s="52">
        <v>1591803.42</v>
      </c>
      <c r="CO137" s="52">
        <v>1459385.32</v>
      </c>
      <c r="CP137" s="52">
        <v>1624154.63</v>
      </c>
      <c r="CQ137" s="52">
        <v>1644629.2</v>
      </c>
      <c r="CR137" s="52">
        <v>1540948.53</v>
      </c>
      <c r="CS137" s="52">
        <v>1670384.89</v>
      </c>
      <c r="CT137" s="52">
        <v>1779606.39</v>
      </c>
      <c r="CU137" s="52">
        <v>1153937.6200000001</v>
      </c>
      <c r="CV137" s="430">
        <f t="shared" si="4"/>
        <v>18879075.439999998</v>
      </c>
    </row>
    <row r="138" spans="1:100">
      <c r="A138" s="540" t="str">
        <f t="shared" si="3"/>
        <v>6010120</v>
      </c>
      <c r="B138" s="541" t="s">
        <v>1965</v>
      </c>
      <c r="C138" s="463" t="s">
        <v>1392</v>
      </c>
      <c r="D138" s="426"/>
      <c r="E138" s="426"/>
      <c r="F138" s="426"/>
      <c r="G138" s="426"/>
      <c r="H138" s="426"/>
      <c r="I138" s="426"/>
      <c r="J138" s="426"/>
      <c r="K138" s="426"/>
      <c r="L138" s="426"/>
      <c r="M138" s="426"/>
      <c r="N138" s="426"/>
      <c r="O138" s="427"/>
      <c r="P138" s="52"/>
      <c r="Q138" s="52"/>
      <c r="R138" s="52"/>
      <c r="S138" s="52"/>
      <c r="T138" s="52"/>
      <c r="U138" s="52">
        <v>1973.66</v>
      </c>
      <c r="V138" s="52">
        <v>0</v>
      </c>
      <c r="W138" s="52">
        <v>0</v>
      </c>
      <c r="X138" s="52">
        <v>0</v>
      </c>
      <c r="Y138" s="52">
        <v>0</v>
      </c>
      <c r="Z138" s="52">
        <v>0</v>
      </c>
      <c r="AA138" s="52">
        <v>0</v>
      </c>
      <c r="AB138" s="52">
        <v>0</v>
      </c>
      <c r="AC138" s="52">
        <v>0</v>
      </c>
      <c r="AD138" s="52">
        <v>0</v>
      </c>
      <c r="AE138" s="52">
        <v>0</v>
      </c>
      <c r="AF138" s="52">
        <v>0</v>
      </c>
      <c r="AG138" s="52">
        <v>0</v>
      </c>
      <c r="AH138" s="52">
        <v>0</v>
      </c>
      <c r="AI138" s="52">
        <v>0</v>
      </c>
      <c r="AJ138" s="52">
        <v>0</v>
      </c>
      <c r="AK138" s="52">
        <v>0</v>
      </c>
      <c r="AL138" s="52">
        <v>0</v>
      </c>
      <c r="AM138" s="52">
        <v>0</v>
      </c>
      <c r="AN138" s="52">
        <v>0</v>
      </c>
      <c r="AO138" s="52">
        <v>0</v>
      </c>
      <c r="AP138" s="52">
        <v>0</v>
      </c>
      <c r="AQ138" s="52">
        <v>0</v>
      </c>
      <c r="AR138" s="52">
        <v>0</v>
      </c>
      <c r="AS138" s="52">
        <v>0</v>
      </c>
      <c r="AT138" s="52">
        <v>0</v>
      </c>
      <c r="AU138" s="52">
        <v>0</v>
      </c>
      <c r="AV138" s="52">
        <v>33551.03</v>
      </c>
      <c r="AW138" s="52">
        <v>-8582.57</v>
      </c>
      <c r="AX138" s="52">
        <v>0</v>
      </c>
      <c r="AY138" s="52">
        <v>0</v>
      </c>
      <c r="AZ138" s="52">
        <v>0</v>
      </c>
      <c r="BA138" s="52">
        <v>0</v>
      </c>
      <c r="BB138" s="52">
        <v>0</v>
      </c>
      <c r="BC138" s="52">
        <v>0</v>
      </c>
      <c r="BD138" s="52">
        <v>0</v>
      </c>
      <c r="BE138" s="52">
        <v>0</v>
      </c>
      <c r="BF138" s="52">
        <v>0</v>
      </c>
      <c r="BG138" s="52">
        <v>0</v>
      </c>
      <c r="BH138" s="52">
        <v>0</v>
      </c>
      <c r="BI138" s="52">
        <v>103781.35</v>
      </c>
      <c r="BJ138" s="52">
        <v>9539.5300000000007</v>
      </c>
      <c r="BK138" s="52">
        <v>1165.8499999999999</v>
      </c>
      <c r="BL138" s="52">
        <v>-273.43</v>
      </c>
      <c r="BM138" s="52">
        <v>0</v>
      </c>
      <c r="BN138" s="52">
        <v>0</v>
      </c>
      <c r="BO138" s="52">
        <v>0</v>
      </c>
      <c r="BP138" s="52">
        <v>0</v>
      </c>
      <c r="BQ138" s="52">
        <v>0</v>
      </c>
      <c r="BR138" s="52">
        <v>0</v>
      </c>
      <c r="BS138" s="52">
        <v>0</v>
      </c>
      <c r="BT138" s="52">
        <v>0</v>
      </c>
      <c r="BU138" s="52">
        <v>318.06</v>
      </c>
      <c r="BV138" s="52">
        <v>-318.06</v>
      </c>
      <c r="BW138" s="52">
        <v>0</v>
      </c>
      <c r="BX138" s="52">
        <v>0</v>
      </c>
      <c r="BY138" s="52">
        <v>152.15</v>
      </c>
      <c r="BZ138" s="52">
        <v>-152.15</v>
      </c>
      <c r="CA138" s="52">
        <v>0</v>
      </c>
      <c r="CB138" s="52">
        <v>0</v>
      </c>
      <c r="CC138" s="52">
        <v>0</v>
      </c>
      <c r="CD138" s="52">
        <v>0</v>
      </c>
      <c r="CE138" s="52">
        <v>0</v>
      </c>
      <c r="CF138" s="52">
        <v>0</v>
      </c>
      <c r="CG138" s="52">
        <v>0</v>
      </c>
      <c r="CH138" s="52">
        <v>0</v>
      </c>
      <c r="CI138" s="52">
        <v>0</v>
      </c>
      <c r="CJ138" s="52">
        <v>0</v>
      </c>
      <c r="CK138" s="52">
        <v>0</v>
      </c>
      <c r="CL138" s="52">
        <v>0</v>
      </c>
      <c r="CM138" s="52">
        <v>0</v>
      </c>
      <c r="CN138" s="52">
        <v>0</v>
      </c>
      <c r="CO138" s="52">
        <v>0</v>
      </c>
      <c r="CP138" s="52">
        <v>218.63</v>
      </c>
      <c r="CQ138" s="52">
        <v>-218.63</v>
      </c>
      <c r="CR138" s="52">
        <v>0</v>
      </c>
      <c r="CS138" s="52">
        <v>260.14999999999998</v>
      </c>
      <c r="CT138" s="52">
        <v>-260.14999999999998</v>
      </c>
      <c r="CU138" s="52">
        <v>0</v>
      </c>
      <c r="CV138" s="430">
        <f t="shared" si="4"/>
        <v>0</v>
      </c>
    </row>
    <row r="139" spans="1:100">
      <c r="A139" s="540" t="str">
        <f t="shared" si="3"/>
        <v>6010130</v>
      </c>
      <c r="B139" s="541" t="s">
        <v>1967</v>
      </c>
      <c r="C139" s="463" t="s">
        <v>1058</v>
      </c>
      <c r="D139" s="428">
        <v>5902.86</v>
      </c>
      <c r="E139" s="428">
        <v>1793.16</v>
      </c>
      <c r="F139" s="428">
        <v>458.48</v>
      </c>
      <c r="G139" s="428">
        <v>458.48</v>
      </c>
      <c r="H139" s="428">
        <v>458.48</v>
      </c>
      <c r="I139" s="428">
        <v>458.48</v>
      </c>
      <c r="J139" s="428">
        <v>458.48</v>
      </c>
      <c r="K139" s="428">
        <v>458.48</v>
      </c>
      <c r="L139" s="428">
        <v>1248.81</v>
      </c>
      <c r="M139" s="428">
        <v>395.96</v>
      </c>
      <c r="N139" s="428">
        <v>16888.5</v>
      </c>
      <c r="O139" s="429">
        <v>12786.48</v>
      </c>
      <c r="P139" s="52">
        <v>186255.66</v>
      </c>
      <c r="Q139" s="52">
        <v>39629.07</v>
      </c>
      <c r="R139" s="52">
        <v>55713.43</v>
      </c>
      <c r="S139" s="52">
        <v>83501.570000000007</v>
      </c>
      <c r="T139" s="52">
        <v>60498.239999999998</v>
      </c>
      <c r="U139" s="52">
        <v>86779.71</v>
      </c>
      <c r="V139" s="52">
        <v>103871.74</v>
      </c>
      <c r="W139" s="52">
        <v>64950.87</v>
      </c>
      <c r="X139" s="52">
        <v>130526.33</v>
      </c>
      <c r="Y139" s="52">
        <v>65580.86</v>
      </c>
      <c r="Z139" s="52">
        <v>82394.37</v>
      </c>
      <c r="AA139" s="52">
        <v>191317.1</v>
      </c>
      <c r="AB139" s="52">
        <v>271228.43</v>
      </c>
      <c r="AC139" s="52">
        <v>50353.84</v>
      </c>
      <c r="AD139" s="52">
        <v>152343</v>
      </c>
      <c r="AE139" s="52">
        <v>46835.02</v>
      </c>
      <c r="AF139" s="52">
        <v>74582.83</v>
      </c>
      <c r="AG139" s="52">
        <v>112325.12</v>
      </c>
      <c r="AH139" s="52">
        <v>164302.32999999999</v>
      </c>
      <c r="AI139" s="52">
        <v>89260.14</v>
      </c>
      <c r="AJ139" s="52">
        <v>127780.57</v>
      </c>
      <c r="AK139" s="52">
        <v>82518.179999999993</v>
      </c>
      <c r="AL139" s="52">
        <v>126312.53</v>
      </c>
      <c r="AM139" s="52">
        <v>256942.81</v>
      </c>
      <c r="AN139" s="52">
        <v>332084.5</v>
      </c>
      <c r="AO139" s="52">
        <v>9365.33</v>
      </c>
      <c r="AP139" s="52">
        <v>115903.28</v>
      </c>
      <c r="AQ139" s="52">
        <v>162348.45000000001</v>
      </c>
      <c r="AR139" s="52">
        <v>59643.79</v>
      </c>
      <c r="AS139" s="52">
        <v>185502</v>
      </c>
      <c r="AT139" s="52">
        <v>231046.03</v>
      </c>
      <c r="AU139" s="52">
        <v>58712.34</v>
      </c>
      <c r="AV139" s="52">
        <v>141185.56</v>
      </c>
      <c r="AW139" s="52">
        <v>118248.99</v>
      </c>
      <c r="AX139" s="52">
        <v>99558.26</v>
      </c>
      <c r="AY139" s="52">
        <v>288296.78000000003</v>
      </c>
      <c r="AZ139" s="52">
        <v>393723.7</v>
      </c>
      <c r="BA139" s="52">
        <v>-6381.83</v>
      </c>
      <c r="BB139" s="52">
        <v>95758.93</v>
      </c>
      <c r="BC139" s="52">
        <v>135119.38</v>
      </c>
      <c r="BD139" s="52">
        <v>102420.52</v>
      </c>
      <c r="BE139" s="52">
        <v>134993.32</v>
      </c>
      <c r="BF139" s="52">
        <v>346587.58</v>
      </c>
      <c r="BG139" s="52">
        <v>72911.17</v>
      </c>
      <c r="BH139" s="52">
        <v>162326.12</v>
      </c>
      <c r="BI139" s="52">
        <v>133782.94</v>
      </c>
      <c r="BJ139" s="52">
        <v>139583.07</v>
      </c>
      <c r="BK139" s="52">
        <v>358401.05</v>
      </c>
      <c r="BL139" s="52">
        <v>389635.72</v>
      </c>
      <c r="BM139" s="52">
        <v>114609.27</v>
      </c>
      <c r="BN139" s="52">
        <v>137729.35999999999</v>
      </c>
      <c r="BO139" s="52">
        <v>214852.6</v>
      </c>
      <c r="BP139" s="52">
        <v>68650.960000000006</v>
      </c>
      <c r="BQ139" s="52">
        <v>175363.79</v>
      </c>
      <c r="BR139" s="52">
        <v>368632.19</v>
      </c>
      <c r="BS139" s="52">
        <v>22448.65</v>
      </c>
      <c r="BT139" s="52">
        <v>179954.09</v>
      </c>
      <c r="BU139" s="52">
        <v>154229.1</v>
      </c>
      <c r="BV139" s="52">
        <v>172506.91</v>
      </c>
      <c r="BW139" s="52">
        <v>384828.05</v>
      </c>
      <c r="BX139" s="52">
        <v>554308.97</v>
      </c>
      <c r="BY139" s="52">
        <v>54386.879999999997</v>
      </c>
      <c r="BZ139" s="52">
        <v>138951.54999999999</v>
      </c>
      <c r="CA139" s="52">
        <v>147968.39000000001</v>
      </c>
      <c r="CB139" s="52">
        <v>3915.85</v>
      </c>
      <c r="CC139" s="52">
        <v>168248.54</v>
      </c>
      <c r="CD139" s="52">
        <v>260055.27</v>
      </c>
      <c r="CE139" s="52">
        <v>135422.18</v>
      </c>
      <c r="CF139" s="52">
        <v>238289.22</v>
      </c>
      <c r="CG139" s="52">
        <v>93667.3</v>
      </c>
      <c r="CH139" s="52">
        <v>224771.85</v>
      </c>
      <c r="CI139" s="52">
        <v>834690.3</v>
      </c>
      <c r="CJ139" s="52">
        <v>321283.25</v>
      </c>
      <c r="CK139" s="52">
        <v>36287.53</v>
      </c>
      <c r="CL139" s="52">
        <v>153489.10999999999</v>
      </c>
      <c r="CM139" s="52">
        <v>213005.33</v>
      </c>
      <c r="CN139" s="52">
        <v>133293.85</v>
      </c>
      <c r="CO139" s="52">
        <v>356674.21</v>
      </c>
      <c r="CP139" s="52">
        <v>155135.82999999999</v>
      </c>
      <c r="CQ139" s="52">
        <v>150334.51999999999</v>
      </c>
      <c r="CR139" s="52">
        <v>299949.05</v>
      </c>
      <c r="CS139" s="52">
        <v>114971.74</v>
      </c>
      <c r="CT139" s="52">
        <v>187691.19</v>
      </c>
      <c r="CU139" s="52">
        <v>942253.22</v>
      </c>
      <c r="CV139" s="430">
        <f t="shared" si="4"/>
        <v>3064368.83</v>
      </c>
    </row>
    <row r="140" spans="1:100">
      <c r="A140" s="540" t="str">
        <f t="shared" si="3"/>
        <v>6010210</v>
      </c>
      <c r="B140" s="541" t="s">
        <v>1966</v>
      </c>
      <c r="C140" s="463" t="s">
        <v>1059</v>
      </c>
      <c r="D140" s="426">
        <v>1151537.71</v>
      </c>
      <c r="E140" s="426">
        <v>1022510.12</v>
      </c>
      <c r="F140" s="426">
        <v>1138012.3600000001</v>
      </c>
      <c r="G140" s="426">
        <v>1102489.55</v>
      </c>
      <c r="H140" s="426">
        <v>1121136.08</v>
      </c>
      <c r="I140" s="426">
        <v>1083663.54</v>
      </c>
      <c r="J140" s="426">
        <v>1129768.3700000001</v>
      </c>
      <c r="K140" s="426">
        <v>1118670.1000000001</v>
      </c>
      <c r="L140" s="426">
        <v>1089405.8600000001</v>
      </c>
      <c r="M140" s="426">
        <v>1131349.46</v>
      </c>
      <c r="N140" s="426">
        <v>1090782.52</v>
      </c>
      <c r="O140" s="427">
        <v>1133155.25</v>
      </c>
      <c r="P140" s="52">
        <v>827238.27</v>
      </c>
      <c r="Q140" s="52">
        <v>937908.92</v>
      </c>
      <c r="R140" s="52">
        <v>1025182.56</v>
      </c>
      <c r="S140" s="52">
        <v>976806.84</v>
      </c>
      <c r="T140" s="52">
        <v>1041048.26</v>
      </c>
      <c r="U140" s="52">
        <v>944055.86</v>
      </c>
      <c r="V140" s="52">
        <v>959129</v>
      </c>
      <c r="W140" s="52">
        <v>1013207.78</v>
      </c>
      <c r="X140" s="52">
        <v>919642.79</v>
      </c>
      <c r="Y140" s="52">
        <v>1075549.8600000001</v>
      </c>
      <c r="Z140" s="52">
        <v>998181.57</v>
      </c>
      <c r="AA140" s="52">
        <v>911161.31</v>
      </c>
      <c r="AB140" s="52">
        <v>899530.15</v>
      </c>
      <c r="AC140" s="52">
        <v>990391.36</v>
      </c>
      <c r="AD140" s="52">
        <v>940379.46</v>
      </c>
      <c r="AE140" s="52">
        <v>1028980.32</v>
      </c>
      <c r="AF140" s="52">
        <v>1050227.47</v>
      </c>
      <c r="AG140" s="52">
        <v>964991.62</v>
      </c>
      <c r="AH140" s="52">
        <v>941331.25</v>
      </c>
      <c r="AI140" s="52">
        <v>921244</v>
      </c>
      <c r="AJ140" s="52">
        <v>933516.82</v>
      </c>
      <c r="AK140" s="52">
        <v>1004022.98</v>
      </c>
      <c r="AL140" s="52">
        <v>987748.21</v>
      </c>
      <c r="AM140" s="52">
        <v>921290.25</v>
      </c>
      <c r="AN140" s="52">
        <v>831087.45</v>
      </c>
      <c r="AO140" s="52">
        <v>1057660.1399999999</v>
      </c>
      <c r="AP140" s="52">
        <v>1063996</v>
      </c>
      <c r="AQ140" s="52">
        <v>930996.09</v>
      </c>
      <c r="AR140" s="52">
        <v>1093891.99</v>
      </c>
      <c r="AS140" s="52">
        <v>990273.85</v>
      </c>
      <c r="AT140" s="52">
        <v>907495.37</v>
      </c>
      <c r="AU140" s="52">
        <v>1155452.6599999999</v>
      </c>
      <c r="AV140" s="52">
        <v>1023482.86</v>
      </c>
      <c r="AW140" s="52">
        <v>1077142.8500000001</v>
      </c>
      <c r="AX140" s="52">
        <v>1068910.31</v>
      </c>
      <c r="AY140" s="52">
        <v>942555.16</v>
      </c>
      <c r="AZ140" s="52">
        <v>868135.79</v>
      </c>
      <c r="BA140" s="52">
        <v>1113198.1299999999</v>
      </c>
      <c r="BB140" s="52">
        <v>1110402.68</v>
      </c>
      <c r="BC140" s="52">
        <v>1071425.1100000001</v>
      </c>
      <c r="BD140" s="52">
        <v>1190776.44</v>
      </c>
      <c r="BE140" s="52">
        <v>1008622.11</v>
      </c>
      <c r="BF140" s="52">
        <v>960666.95</v>
      </c>
      <c r="BG140" s="52">
        <v>1255197.99</v>
      </c>
      <c r="BH140" s="52">
        <v>1042788.89</v>
      </c>
      <c r="BI140" s="52">
        <v>1224030.77</v>
      </c>
      <c r="BJ140" s="52">
        <v>1142451.56</v>
      </c>
      <c r="BK140" s="52">
        <v>984569.86</v>
      </c>
      <c r="BL140" s="52">
        <v>992107.63</v>
      </c>
      <c r="BM140" s="52">
        <v>1073381.95</v>
      </c>
      <c r="BN140" s="52">
        <v>1103278.94</v>
      </c>
      <c r="BO140" s="52">
        <v>1054808.6200000001</v>
      </c>
      <c r="BP140" s="52">
        <v>1245706.44</v>
      </c>
      <c r="BQ140" s="52">
        <v>1018040.29</v>
      </c>
      <c r="BR140" s="52">
        <v>1041969.06</v>
      </c>
      <c r="BS140" s="52">
        <v>1272648.47</v>
      </c>
      <c r="BT140" s="52">
        <v>1077909.3899999999</v>
      </c>
      <c r="BU140" s="52">
        <v>1180548.46</v>
      </c>
      <c r="BV140" s="52">
        <v>1140638.92</v>
      </c>
      <c r="BW140" s="52">
        <v>1024196.22</v>
      </c>
      <c r="BX140" s="52">
        <v>938170.85</v>
      </c>
      <c r="BY140" s="52">
        <v>1125947.3500000001</v>
      </c>
      <c r="BZ140" s="52">
        <v>1361190.57</v>
      </c>
      <c r="CA140" s="52">
        <v>1238942.26</v>
      </c>
      <c r="CB140" s="52">
        <v>1359602.65</v>
      </c>
      <c r="CC140" s="52">
        <v>1205118.1399999999</v>
      </c>
      <c r="CD140" s="52">
        <v>1235632.3600000001</v>
      </c>
      <c r="CE140" s="52">
        <v>1260207.8</v>
      </c>
      <c r="CF140" s="52">
        <v>1154111.8600000001</v>
      </c>
      <c r="CG140" s="52">
        <v>1344075.28</v>
      </c>
      <c r="CH140" s="52">
        <v>1214229.3799999999</v>
      </c>
      <c r="CI140" s="52">
        <v>1134186.29</v>
      </c>
      <c r="CJ140" s="52">
        <v>1253804.3700000001</v>
      </c>
      <c r="CK140" s="52">
        <v>1328990.52</v>
      </c>
      <c r="CL140" s="52">
        <v>1407349.56</v>
      </c>
      <c r="CM140" s="52">
        <v>1348841.1</v>
      </c>
      <c r="CN140" s="52">
        <v>1323475.73</v>
      </c>
      <c r="CO140" s="52">
        <v>1215005.98</v>
      </c>
      <c r="CP140" s="52">
        <v>1428457.14</v>
      </c>
      <c r="CQ140" s="52">
        <v>1392481.36</v>
      </c>
      <c r="CR140" s="52">
        <v>1300427.45</v>
      </c>
      <c r="CS140" s="52">
        <v>1384848.55</v>
      </c>
      <c r="CT140" s="52">
        <v>1422657.95</v>
      </c>
      <c r="CU140" s="52">
        <v>1005477.9</v>
      </c>
      <c r="CV140" s="430">
        <f t="shared" si="4"/>
        <v>15811817.610000001</v>
      </c>
    </row>
    <row r="141" spans="1:100">
      <c r="A141" s="540" t="str">
        <f t="shared" si="3"/>
        <v>6010220</v>
      </c>
      <c r="B141" s="541" t="s">
        <v>1968</v>
      </c>
      <c r="C141" s="463" t="s">
        <v>1060</v>
      </c>
      <c r="D141" s="428">
        <v>150648.18</v>
      </c>
      <c r="E141" s="428">
        <v>129272.97</v>
      </c>
      <c r="F141" s="428">
        <v>157589.79999999999</v>
      </c>
      <c r="G141" s="428">
        <v>161151.72</v>
      </c>
      <c r="H141" s="428">
        <v>169093.6</v>
      </c>
      <c r="I141" s="428">
        <v>149056.32000000001</v>
      </c>
      <c r="J141" s="428">
        <v>148537.16</v>
      </c>
      <c r="K141" s="428">
        <v>200617.56</v>
      </c>
      <c r="L141" s="428">
        <v>161494.76</v>
      </c>
      <c r="M141" s="428">
        <v>166559.66</v>
      </c>
      <c r="N141" s="428">
        <v>155664.94</v>
      </c>
      <c r="O141" s="429">
        <v>163289.99</v>
      </c>
      <c r="P141" s="52">
        <v>119900.14</v>
      </c>
      <c r="Q141" s="52">
        <v>158827.17000000001</v>
      </c>
      <c r="R141" s="52">
        <v>171688.57</v>
      </c>
      <c r="S141" s="52">
        <v>159385.74</v>
      </c>
      <c r="T141" s="52">
        <v>172032.31</v>
      </c>
      <c r="U141" s="52">
        <v>164256.35</v>
      </c>
      <c r="V141" s="52">
        <v>169097.8</v>
      </c>
      <c r="W141" s="52">
        <v>202915.4</v>
      </c>
      <c r="X141" s="52">
        <v>203163.66</v>
      </c>
      <c r="Y141" s="52">
        <v>222049.9</v>
      </c>
      <c r="Z141" s="52">
        <v>211397.81</v>
      </c>
      <c r="AA141" s="52">
        <v>240111.47</v>
      </c>
      <c r="AB141" s="52">
        <v>177674.77</v>
      </c>
      <c r="AC141" s="52">
        <v>214155.93</v>
      </c>
      <c r="AD141" s="52">
        <v>189036.49</v>
      </c>
      <c r="AE141" s="52">
        <v>188030.69</v>
      </c>
      <c r="AF141" s="52">
        <v>211451.29</v>
      </c>
      <c r="AG141" s="52">
        <v>200207.59</v>
      </c>
      <c r="AH141" s="52">
        <v>196426.18</v>
      </c>
      <c r="AI141" s="52">
        <v>190419.6</v>
      </c>
      <c r="AJ141" s="52">
        <v>199621.39</v>
      </c>
      <c r="AK141" s="52">
        <v>235278.6</v>
      </c>
      <c r="AL141" s="52">
        <v>234818.45</v>
      </c>
      <c r="AM141" s="52">
        <v>254028.12</v>
      </c>
      <c r="AN141" s="52">
        <v>221819.17</v>
      </c>
      <c r="AO141" s="52">
        <v>211113.62</v>
      </c>
      <c r="AP141" s="52">
        <v>189305.57</v>
      </c>
      <c r="AQ141" s="52">
        <v>209263.82</v>
      </c>
      <c r="AR141" s="52">
        <v>201884.43</v>
      </c>
      <c r="AS141" s="52">
        <v>188808.36</v>
      </c>
      <c r="AT141" s="52">
        <v>223339.94</v>
      </c>
      <c r="AU141" s="52">
        <v>214316.75</v>
      </c>
      <c r="AV141" s="52">
        <v>238915.07</v>
      </c>
      <c r="AW141" s="52">
        <v>197436.68</v>
      </c>
      <c r="AX141" s="52">
        <v>270581.43</v>
      </c>
      <c r="AY141" s="52">
        <v>237378.26</v>
      </c>
      <c r="AZ141" s="52">
        <v>278112.52</v>
      </c>
      <c r="BA141" s="52">
        <v>170314.6</v>
      </c>
      <c r="BB141" s="52">
        <v>184128.69</v>
      </c>
      <c r="BC141" s="52">
        <v>218140.63</v>
      </c>
      <c r="BD141" s="52">
        <v>216633.74</v>
      </c>
      <c r="BE141" s="52">
        <v>213964.15</v>
      </c>
      <c r="BF141" s="52">
        <v>176217.31</v>
      </c>
      <c r="BG141" s="52">
        <v>214055.4</v>
      </c>
      <c r="BH141" s="52">
        <v>221961.91</v>
      </c>
      <c r="BI141" s="52">
        <v>509497.82</v>
      </c>
      <c r="BJ141" s="52">
        <v>200815.3</v>
      </c>
      <c r="BK141" s="52">
        <v>235200.37</v>
      </c>
      <c r="BL141" s="52">
        <v>239844.84</v>
      </c>
      <c r="BM141" s="52">
        <v>230188.21</v>
      </c>
      <c r="BN141" s="52">
        <v>230843.82</v>
      </c>
      <c r="BO141" s="52">
        <v>232026.15</v>
      </c>
      <c r="BP141" s="52">
        <v>231142.48</v>
      </c>
      <c r="BQ141" s="52">
        <v>186333.02</v>
      </c>
      <c r="BR141" s="52">
        <v>247396.95</v>
      </c>
      <c r="BS141" s="52">
        <v>291940.89</v>
      </c>
      <c r="BT141" s="52">
        <v>245033.16</v>
      </c>
      <c r="BU141" s="52">
        <v>270051.49</v>
      </c>
      <c r="BV141" s="52">
        <v>264866.13</v>
      </c>
      <c r="BW141" s="52">
        <v>320264.68</v>
      </c>
      <c r="BX141" s="52">
        <v>215596.11</v>
      </c>
      <c r="BY141" s="52">
        <v>232066.22</v>
      </c>
      <c r="BZ141" s="52">
        <v>266535.67</v>
      </c>
      <c r="CA141" s="52">
        <v>122396.91</v>
      </c>
      <c r="CB141" s="52">
        <v>156724.6</v>
      </c>
      <c r="CC141" s="52">
        <v>175535.53</v>
      </c>
      <c r="CD141" s="52">
        <v>178589.99</v>
      </c>
      <c r="CE141" s="52">
        <v>185946.02</v>
      </c>
      <c r="CF141" s="52">
        <v>206373.07</v>
      </c>
      <c r="CG141" s="52">
        <v>195606.63</v>
      </c>
      <c r="CH141" s="52">
        <v>241089.82</v>
      </c>
      <c r="CI141" s="52">
        <v>291314.99</v>
      </c>
      <c r="CJ141" s="52">
        <v>263114.08</v>
      </c>
      <c r="CK141" s="52">
        <v>239077.89</v>
      </c>
      <c r="CL141" s="52">
        <v>336763.62</v>
      </c>
      <c r="CM141" s="52">
        <v>259953.68</v>
      </c>
      <c r="CN141" s="52">
        <v>278330.96000000002</v>
      </c>
      <c r="CO141" s="52">
        <v>212017.66</v>
      </c>
      <c r="CP141" s="52">
        <v>319008.81</v>
      </c>
      <c r="CQ141" s="52">
        <v>257775.88</v>
      </c>
      <c r="CR141" s="52">
        <v>277011.74</v>
      </c>
      <c r="CS141" s="52">
        <v>312950.76</v>
      </c>
      <c r="CT141" s="52">
        <v>295578.95</v>
      </c>
      <c r="CU141" s="52">
        <v>301781.98</v>
      </c>
      <c r="CV141" s="430">
        <f t="shared" si="4"/>
        <v>3353366.0100000002</v>
      </c>
    </row>
    <row r="142" spans="1:100">
      <c r="A142" s="540" t="str">
        <f t="shared" si="3"/>
        <v>6010230</v>
      </c>
      <c r="B142" s="541" t="s">
        <v>1969</v>
      </c>
      <c r="C142" s="463" t="s">
        <v>1061</v>
      </c>
      <c r="D142" s="426">
        <v>1167.04</v>
      </c>
      <c r="E142" s="426">
        <v>3567.66</v>
      </c>
      <c r="F142" s="426">
        <v>5755.32</v>
      </c>
      <c r="G142" s="426">
        <v>1415.57</v>
      </c>
      <c r="H142" s="426">
        <v>3254.56</v>
      </c>
      <c r="I142" s="426">
        <v>8297.89</v>
      </c>
      <c r="J142" s="426">
        <v>9408.66</v>
      </c>
      <c r="K142" s="426">
        <v>12126.73</v>
      </c>
      <c r="L142" s="426">
        <v>5631.25</v>
      </c>
      <c r="M142" s="426">
        <v>-1063.77</v>
      </c>
      <c r="N142" s="426">
        <v>1208.72</v>
      </c>
      <c r="O142" s="427">
        <v>5708.72</v>
      </c>
      <c r="P142" s="52">
        <v>329204.15000000002</v>
      </c>
      <c r="Q142" s="52">
        <v>96475.58</v>
      </c>
      <c r="R142" s="52">
        <v>142343.71</v>
      </c>
      <c r="S142" s="52">
        <v>162456.91</v>
      </c>
      <c r="T142" s="52">
        <v>135130.35999999999</v>
      </c>
      <c r="U142" s="52">
        <v>184623.59</v>
      </c>
      <c r="V142" s="52">
        <v>202593.63</v>
      </c>
      <c r="W142" s="52">
        <v>128051</v>
      </c>
      <c r="X142" s="52">
        <v>221982.15</v>
      </c>
      <c r="Y142" s="52">
        <v>62720.23</v>
      </c>
      <c r="Z142" s="52">
        <v>104519.7</v>
      </c>
      <c r="AA142" s="52">
        <v>252000.59</v>
      </c>
      <c r="AB142" s="52">
        <v>303673.37</v>
      </c>
      <c r="AC142" s="52">
        <v>118947.71</v>
      </c>
      <c r="AD142" s="52">
        <v>243578.06</v>
      </c>
      <c r="AE142" s="52">
        <v>101576</v>
      </c>
      <c r="AF142" s="52">
        <v>122027.2</v>
      </c>
      <c r="AG142" s="52">
        <v>190163.75</v>
      </c>
      <c r="AH142" s="52">
        <v>259578.6</v>
      </c>
      <c r="AI142" s="52">
        <v>39899.230000000003</v>
      </c>
      <c r="AJ142" s="52">
        <v>167780.61</v>
      </c>
      <c r="AK142" s="52">
        <v>136252.54999999999</v>
      </c>
      <c r="AL142" s="52">
        <v>130160.2</v>
      </c>
      <c r="AM142" s="52">
        <v>248993.03</v>
      </c>
      <c r="AN142" s="52">
        <v>375324.01</v>
      </c>
      <c r="AO142" s="52">
        <v>48247.38</v>
      </c>
      <c r="AP142" s="52">
        <v>140744.04</v>
      </c>
      <c r="AQ142" s="52">
        <v>220147.52</v>
      </c>
      <c r="AR142" s="52">
        <v>103384.53</v>
      </c>
      <c r="AS142" s="52">
        <v>183248.01</v>
      </c>
      <c r="AT142" s="52">
        <v>270866.03999999998</v>
      </c>
      <c r="AU142" s="52">
        <v>61365.97</v>
      </c>
      <c r="AV142" s="52">
        <v>149797.38</v>
      </c>
      <c r="AW142" s="52">
        <v>138663.37</v>
      </c>
      <c r="AX142" s="52">
        <v>124722.85</v>
      </c>
      <c r="AY142" s="52">
        <v>271080.28999999998</v>
      </c>
      <c r="AZ142" s="52">
        <v>415728.51</v>
      </c>
      <c r="BA142" s="52">
        <v>27395.47</v>
      </c>
      <c r="BB142" s="52">
        <v>154659.95000000001</v>
      </c>
      <c r="BC142" s="52">
        <v>175623.39</v>
      </c>
      <c r="BD142" s="52">
        <v>128057.1</v>
      </c>
      <c r="BE142" s="52">
        <v>193570.42</v>
      </c>
      <c r="BF142" s="52">
        <v>304765.44</v>
      </c>
      <c r="BG142" s="52">
        <v>58586.62</v>
      </c>
      <c r="BH142" s="52">
        <v>169351.89</v>
      </c>
      <c r="BI142" s="52">
        <v>112577.26</v>
      </c>
      <c r="BJ142" s="52">
        <v>120777.49</v>
      </c>
      <c r="BK142" s="52">
        <v>275246.58</v>
      </c>
      <c r="BL142" s="52">
        <v>361761.63</v>
      </c>
      <c r="BM142" s="52">
        <v>104738.5</v>
      </c>
      <c r="BN142" s="52">
        <v>139049.63</v>
      </c>
      <c r="BO142" s="52">
        <v>218540.83</v>
      </c>
      <c r="BP142" s="52">
        <v>89591.88</v>
      </c>
      <c r="BQ142" s="52">
        <v>222853.22</v>
      </c>
      <c r="BR142" s="52">
        <v>301864.37</v>
      </c>
      <c r="BS142" s="52">
        <v>34151.300000000003</v>
      </c>
      <c r="BT142" s="52">
        <v>175217.73</v>
      </c>
      <c r="BU142" s="52">
        <v>141232.39000000001</v>
      </c>
      <c r="BV142" s="52">
        <v>116887.3</v>
      </c>
      <c r="BW142" s="52">
        <v>273742.5</v>
      </c>
      <c r="BX142" s="52">
        <v>431970.81</v>
      </c>
      <c r="BY142" s="52">
        <v>117498</v>
      </c>
      <c r="BZ142" s="52">
        <v>188912.59</v>
      </c>
      <c r="CA142" s="52">
        <v>164588.98000000001</v>
      </c>
      <c r="CB142" s="52">
        <v>9601.57</v>
      </c>
      <c r="CC142" s="52">
        <v>185953.34</v>
      </c>
      <c r="CD142" s="52">
        <v>209340.13</v>
      </c>
      <c r="CE142" s="52">
        <v>122494.62</v>
      </c>
      <c r="CF142" s="52">
        <v>239736.17</v>
      </c>
      <c r="CG142" s="52">
        <v>67259.350000000006</v>
      </c>
      <c r="CH142" s="52">
        <v>136318.85999999999</v>
      </c>
      <c r="CI142" s="52">
        <v>613889.06000000006</v>
      </c>
      <c r="CJ142" s="52">
        <v>261941.93</v>
      </c>
      <c r="CK142" s="52">
        <v>100864.03</v>
      </c>
      <c r="CL142" s="52">
        <v>228401.17</v>
      </c>
      <c r="CM142" s="52">
        <v>224040.23</v>
      </c>
      <c r="CN142" s="52">
        <v>148098.21</v>
      </c>
      <c r="CO142" s="52">
        <v>357997.86</v>
      </c>
      <c r="CP142" s="52">
        <v>192713.52</v>
      </c>
      <c r="CQ142" s="52">
        <v>199981.33</v>
      </c>
      <c r="CR142" s="52">
        <v>277884.49</v>
      </c>
      <c r="CS142" s="52">
        <v>105010.77</v>
      </c>
      <c r="CT142" s="52">
        <v>146722.29</v>
      </c>
      <c r="CU142" s="52">
        <v>642551.68999999994</v>
      </c>
      <c r="CV142" s="430">
        <f t="shared" si="4"/>
        <v>2886207.52</v>
      </c>
    </row>
    <row r="143" spans="1:100">
      <c r="A143" s="540" t="str">
        <f t="shared" si="3"/>
        <v>6010310</v>
      </c>
      <c r="B143" s="541" t="s">
        <v>1970</v>
      </c>
      <c r="C143" s="463" t="s">
        <v>1062</v>
      </c>
      <c r="D143" s="428">
        <v>557663.41</v>
      </c>
      <c r="E143" s="428">
        <v>498218.7</v>
      </c>
      <c r="F143" s="428">
        <v>560036.39</v>
      </c>
      <c r="G143" s="428">
        <v>535359.54</v>
      </c>
      <c r="H143" s="428">
        <v>555307.65</v>
      </c>
      <c r="I143" s="428">
        <v>525565.89</v>
      </c>
      <c r="J143" s="428">
        <v>534709.73</v>
      </c>
      <c r="K143" s="428">
        <v>541251.6</v>
      </c>
      <c r="L143" s="428">
        <v>536973.18000000005</v>
      </c>
      <c r="M143" s="428">
        <v>546190.53</v>
      </c>
      <c r="N143" s="428">
        <v>541102.13</v>
      </c>
      <c r="O143" s="429">
        <v>556339.43000000005</v>
      </c>
      <c r="P143" s="52">
        <v>379248.67</v>
      </c>
      <c r="Q143" s="52">
        <v>431949.18</v>
      </c>
      <c r="R143" s="52">
        <v>460160.43</v>
      </c>
      <c r="S143" s="52">
        <v>434314.16</v>
      </c>
      <c r="T143" s="52">
        <v>449454.41</v>
      </c>
      <c r="U143" s="52">
        <v>420124.9</v>
      </c>
      <c r="V143" s="52">
        <v>424252.96</v>
      </c>
      <c r="W143" s="52">
        <v>413860.45</v>
      </c>
      <c r="X143" s="52">
        <v>387236.79</v>
      </c>
      <c r="Y143" s="52">
        <v>503463.93</v>
      </c>
      <c r="Z143" s="52">
        <v>472324.98</v>
      </c>
      <c r="AA143" s="52">
        <v>440495.4</v>
      </c>
      <c r="AB143" s="52">
        <v>402792.2</v>
      </c>
      <c r="AC143" s="52">
        <v>443620.88</v>
      </c>
      <c r="AD143" s="52">
        <v>461008.89</v>
      </c>
      <c r="AE143" s="52">
        <v>463843.85</v>
      </c>
      <c r="AF143" s="52">
        <v>483790.19</v>
      </c>
      <c r="AG143" s="52">
        <v>413295.95</v>
      </c>
      <c r="AH143" s="52">
        <v>381581.82</v>
      </c>
      <c r="AI143" s="52">
        <v>693174.1</v>
      </c>
      <c r="AJ143" s="52">
        <v>496898.2</v>
      </c>
      <c r="AK143" s="52">
        <v>524076.72</v>
      </c>
      <c r="AL143" s="52">
        <v>508165.47</v>
      </c>
      <c r="AM143" s="52">
        <v>454759.03</v>
      </c>
      <c r="AN143" s="52">
        <v>394006.7</v>
      </c>
      <c r="AO143" s="52">
        <v>503748.72</v>
      </c>
      <c r="AP143" s="52">
        <v>505902.08000000002</v>
      </c>
      <c r="AQ143" s="52">
        <v>426462.93</v>
      </c>
      <c r="AR143" s="52">
        <v>521342.28</v>
      </c>
      <c r="AS143" s="52">
        <v>444508.86</v>
      </c>
      <c r="AT143" s="52">
        <v>431496.75</v>
      </c>
      <c r="AU143" s="52">
        <v>546938.71</v>
      </c>
      <c r="AV143" s="52">
        <v>457995.07</v>
      </c>
      <c r="AW143" s="52">
        <v>495116.68</v>
      </c>
      <c r="AX143" s="52">
        <v>489227.62</v>
      </c>
      <c r="AY143" s="52">
        <v>416782.02</v>
      </c>
      <c r="AZ143" s="52">
        <v>376279.51</v>
      </c>
      <c r="BA143" s="52">
        <v>481773.8</v>
      </c>
      <c r="BB143" s="52">
        <v>459500.39</v>
      </c>
      <c r="BC143" s="52">
        <v>419223.09</v>
      </c>
      <c r="BD143" s="52">
        <v>460514.3</v>
      </c>
      <c r="BE143" s="52">
        <v>440335.23</v>
      </c>
      <c r="BF143" s="52">
        <v>403215.65</v>
      </c>
      <c r="BG143" s="52">
        <v>516391.75</v>
      </c>
      <c r="BH143" s="52">
        <v>420729.26</v>
      </c>
      <c r="BI143" s="52">
        <v>509809.84</v>
      </c>
      <c r="BJ143" s="52">
        <v>484625.36</v>
      </c>
      <c r="BK143" s="52">
        <v>407705.44</v>
      </c>
      <c r="BL143" s="52">
        <v>394326.6</v>
      </c>
      <c r="BM143" s="52">
        <v>431873.38</v>
      </c>
      <c r="BN143" s="52">
        <v>434235.86</v>
      </c>
      <c r="BO143" s="52">
        <v>411862.42</v>
      </c>
      <c r="BP143" s="52">
        <v>473513.66</v>
      </c>
      <c r="BQ143" s="52">
        <v>405310.44</v>
      </c>
      <c r="BR143" s="52">
        <v>408334.58</v>
      </c>
      <c r="BS143" s="52">
        <v>529172.98</v>
      </c>
      <c r="BT143" s="52">
        <v>459615.63</v>
      </c>
      <c r="BU143" s="52">
        <v>519937.79</v>
      </c>
      <c r="BV143" s="52">
        <v>474765.28</v>
      </c>
      <c r="BW143" s="52">
        <v>437082.64</v>
      </c>
      <c r="BX143" s="52">
        <v>372534.95</v>
      </c>
      <c r="BY143" s="52">
        <v>451702.02</v>
      </c>
      <c r="BZ143" s="52">
        <v>461043.35</v>
      </c>
      <c r="CA143" s="52">
        <v>466028.18</v>
      </c>
      <c r="CB143" s="52">
        <v>498816.08</v>
      </c>
      <c r="CC143" s="52">
        <v>458024.7</v>
      </c>
      <c r="CD143" s="52">
        <v>488099.8</v>
      </c>
      <c r="CE143" s="52">
        <v>478208.49</v>
      </c>
      <c r="CF143" s="52">
        <v>438647.19</v>
      </c>
      <c r="CG143" s="52">
        <v>517728.3</v>
      </c>
      <c r="CH143" s="52">
        <v>471390.75</v>
      </c>
      <c r="CI143" s="52">
        <v>143255.79999999999</v>
      </c>
      <c r="CJ143" s="52">
        <v>325714.21999999997</v>
      </c>
      <c r="CK143" s="52">
        <v>343612.64</v>
      </c>
      <c r="CL143" s="52">
        <v>391275.77</v>
      </c>
      <c r="CM143" s="52">
        <v>362775.2</v>
      </c>
      <c r="CN143" s="52">
        <v>356735.89</v>
      </c>
      <c r="CO143" s="52">
        <v>327130.88</v>
      </c>
      <c r="CP143" s="52">
        <v>378700.78</v>
      </c>
      <c r="CQ143" s="52">
        <v>358859.78</v>
      </c>
      <c r="CR143" s="52">
        <v>342224.71</v>
      </c>
      <c r="CS143" s="52">
        <v>374424.32000000001</v>
      </c>
      <c r="CT143" s="52">
        <v>368397.47</v>
      </c>
      <c r="CU143" s="52">
        <v>285632.46000000002</v>
      </c>
      <c r="CV143" s="430">
        <f t="shared" si="4"/>
        <v>4215484.12</v>
      </c>
    </row>
    <row r="144" spans="1:100">
      <c r="A144" s="540" t="str">
        <f t="shared" si="3"/>
        <v>6010320</v>
      </c>
      <c r="B144" s="541" t="s">
        <v>1971</v>
      </c>
      <c r="C144" s="463" t="s">
        <v>1063</v>
      </c>
      <c r="D144" s="426">
        <v>62074.91</v>
      </c>
      <c r="E144" s="426">
        <v>47872.58</v>
      </c>
      <c r="F144" s="426">
        <v>52343.93</v>
      </c>
      <c r="G144" s="426">
        <v>69863.03</v>
      </c>
      <c r="H144" s="426">
        <v>52607.38</v>
      </c>
      <c r="I144" s="426">
        <v>52555.9</v>
      </c>
      <c r="J144" s="426">
        <v>59199.85</v>
      </c>
      <c r="K144" s="426">
        <v>50736.44</v>
      </c>
      <c r="L144" s="426">
        <v>68482.39</v>
      </c>
      <c r="M144" s="426">
        <v>62251.94</v>
      </c>
      <c r="N144" s="426">
        <v>71205.33</v>
      </c>
      <c r="O144" s="427">
        <v>74202.25</v>
      </c>
      <c r="P144" s="52">
        <v>44469.47</v>
      </c>
      <c r="Q144" s="52">
        <v>55466.5</v>
      </c>
      <c r="R144" s="52">
        <v>65523.55</v>
      </c>
      <c r="S144" s="52">
        <v>57076.83</v>
      </c>
      <c r="T144" s="52">
        <v>81901.08</v>
      </c>
      <c r="U144" s="52">
        <v>83393.45</v>
      </c>
      <c r="V144" s="52">
        <v>74622.009999999995</v>
      </c>
      <c r="W144" s="52">
        <v>83353.78</v>
      </c>
      <c r="X144" s="52">
        <v>95524.86</v>
      </c>
      <c r="Y144" s="52">
        <v>109500.64</v>
      </c>
      <c r="Z144" s="52">
        <v>131636.51</v>
      </c>
      <c r="AA144" s="52">
        <v>131453.25</v>
      </c>
      <c r="AB144" s="52">
        <v>88305.93</v>
      </c>
      <c r="AC144" s="52">
        <v>119474.11</v>
      </c>
      <c r="AD144" s="52">
        <v>104068.87</v>
      </c>
      <c r="AE144" s="52">
        <v>89459.16</v>
      </c>
      <c r="AF144" s="52">
        <v>81612.14</v>
      </c>
      <c r="AG144" s="52">
        <v>103327.36</v>
      </c>
      <c r="AH144" s="52">
        <v>97383.52</v>
      </c>
      <c r="AI144" s="52">
        <v>130831.79</v>
      </c>
      <c r="AJ144" s="52">
        <v>124621.64</v>
      </c>
      <c r="AK144" s="52">
        <v>157150.46</v>
      </c>
      <c r="AL144" s="52">
        <v>138895.39000000001</v>
      </c>
      <c r="AM144" s="52">
        <v>113233.72</v>
      </c>
      <c r="AN144" s="52">
        <v>202963.48</v>
      </c>
      <c r="AO144" s="52">
        <v>56467.39</v>
      </c>
      <c r="AP144" s="52">
        <v>104412.11</v>
      </c>
      <c r="AQ144" s="52">
        <v>122194.46</v>
      </c>
      <c r="AR144" s="52">
        <v>92821.42</v>
      </c>
      <c r="AS144" s="52">
        <v>98886.78</v>
      </c>
      <c r="AT144" s="52">
        <v>83748.62</v>
      </c>
      <c r="AU144" s="52">
        <v>141660.29</v>
      </c>
      <c r="AV144" s="52">
        <v>167002.82</v>
      </c>
      <c r="AW144" s="52">
        <v>79527.179999999993</v>
      </c>
      <c r="AX144" s="52">
        <v>129356.06</v>
      </c>
      <c r="AY144" s="52">
        <v>110699.75</v>
      </c>
      <c r="AZ144" s="52">
        <v>119775.47</v>
      </c>
      <c r="BA144" s="52">
        <v>146964.69</v>
      </c>
      <c r="BB144" s="52">
        <v>81722.649999999994</v>
      </c>
      <c r="BC144" s="52">
        <v>102887.74</v>
      </c>
      <c r="BD144" s="52">
        <v>87042.14</v>
      </c>
      <c r="BE144" s="52">
        <v>116157.75999999999</v>
      </c>
      <c r="BF144" s="52">
        <v>103126.53</v>
      </c>
      <c r="BG144" s="52">
        <v>125933.27</v>
      </c>
      <c r="BH144" s="52">
        <v>91040.06</v>
      </c>
      <c r="BI144" s="52">
        <v>248767.4</v>
      </c>
      <c r="BJ144" s="52">
        <v>112846.98</v>
      </c>
      <c r="BK144" s="52">
        <v>132205.94</v>
      </c>
      <c r="BL144" s="52">
        <v>87561.22</v>
      </c>
      <c r="BM144" s="52">
        <v>124250.34</v>
      </c>
      <c r="BN144" s="52">
        <v>113649.09</v>
      </c>
      <c r="BO144" s="52">
        <v>98689.34</v>
      </c>
      <c r="BP144" s="52">
        <v>115103.12</v>
      </c>
      <c r="BQ144" s="52">
        <v>110807.14</v>
      </c>
      <c r="BR144" s="52">
        <v>134024.12</v>
      </c>
      <c r="BS144" s="52">
        <v>132806.72</v>
      </c>
      <c r="BT144" s="52">
        <v>123500.3</v>
      </c>
      <c r="BU144" s="52">
        <v>143845.54999999999</v>
      </c>
      <c r="BV144" s="52">
        <v>125470.54</v>
      </c>
      <c r="BW144" s="52">
        <v>140071.29999999999</v>
      </c>
      <c r="BX144" s="52">
        <v>145170.31</v>
      </c>
      <c r="BY144" s="52">
        <v>103954.5</v>
      </c>
      <c r="BZ144" s="52">
        <v>114130.97</v>
      </c>
      <c r="CA144" s="52">
        <v>57551.16</v>
      </c>
      <c r="CB144" s="52">
        <v>85327.88</v>
      </c>
      <c r="CC144" s="52">
        <v>56883.32</v>
      </c>
      <c r="CD144" s="52">
        <v>93600.72</v>
      </c>
      <c r="CE144" s="52">
        <v>95937.59</v>
      </c>
      <c r="CF144" s="52">
        <v>85749.36</v>
      </c>
      <c r="CG144" s="52">
        <v>124475.42</v>
      </c>
      <c r="CH144" s="52">
        <v>93488.15</v>
      </c>
      <c r="CI144" s="52">
        <v>83047.75</v>
      </c>
      <c r="CJ144" s="52">
        <v>92227</v>
      </c>
      <c r="CK144" s="52">
        <v>78870.94</v>
      </c>
      <c r="CL144" s="52">
        <v>90718.76</v>
      </c>
      <c r="CM144" s="52">
        <v>84516.32</v>
      </c>
      <c r="CN144" s="52">
        <v>88484.29</v>
      </c>
      <c r="CO144" s="52">
        <v>96180.88</v>
      </c>
      <c r="CP144" s="52">
        <v>115852.96</v>
      </c>
      <c r="CQ144" s="52">
        <v>85773.65</v>
      </c>
      <c r="CR144" s="52">
        <v>124608.99</v>
      </c>
      <c r="CS144" s="52">
        <v>81027.179999999993</v>
      </c>
      <c r="CT144" s="52">
        <v>110315.92</v>
      </c>
      <c r="CU144" s="52">
        <v>96986.06</v>
      </c>
      <c r="CV144" s="430">
        <f t="shared" si="4"/>
        <v>1145562.95</v>
      </c>
    </row>
    <row r="145" spans="1:100">
      <c r="A145" s="540" t="str">
        <f t="shared" si="3"/>
        <v>6010330</v>
      </c>
      <c r="B145" s="541" t="s">
        <v>1972</v>
      </c>
      <c r="C145" s="463" t="s">
        <v>1064</v>
      </c>
      <c r="D145" s="428">
        <v>1866.76</v>
      </c>
      <c r="E145" s="428">
        <v>291.76</v>
      </c>
      <c r="F145" s="428">
        <v>830.64</v>
      </c>
      <c r="G145" s="428">
        <v>3791.84</v>
      </c>
      <c r="H145" s="428">
        <v>5783.8</v>
      </c>
      <c r="I145" s="428">
        <v>2810.3</v>
      </c>
      <c r="J145" s="428">
        <v>966.76</v>
      </c>
      <c r="K145" s="428">
        <v>333.44</v>
      </c>
      <c r="L145" s="428">
        <v>2028.19</v>
      </c>
      <c r="M145" s="428">
        <v>-486.27</v>
      </c>
      <c r="N145" s="428">
        <v>375.12</v>
      </c>
      <c r="O145" s="429">
        <v>1575.12</v>
      </c>
      <c r="P145" s="52">
        <v>176744.66</v>
      </c>
      <c r="Q145" s="52">
        <v>72537.429999999993</v>
      </c>
      <c r="R145" s="52">
        <v>76035.98</v>
      </c>
      <c r="S145" s="52">
        <v>80452.89</v>
      </c>
      <c r="T145" s="52">
        <v>53621.09</v>
      </c>
      <c r="U145" s="52">
        <v>86892.21</v>
      </c>
      <c r="V145" s="52">
        <v>88268.52</v>
      </c>
      <c r="W145" s="52">
        <v>59974.39</v>
      </c>
      <c r="X145" s="52">
        <v>97203.77</v>
      </c>
      <c r="Y145" s="52">
        <v>17024.060000000001</v>
      </c>
      <c r="Z145" s="52">
        <v>48903.09</v>
      </c>
      <c r="AA145" s="52">
        <v>109861.6</v>
      </c>
      <c r="AB145" s="52">
        <v>139066.34</v>
      </c>
      <c r="AC145" s="52">
        <v>70932.990000000005</v>
      </c>
      <c r="AD145" s="52">
        <v>96354.44</v>
      </c>
      <c r="AE145" s="52">
        <v>66149.91</v>
      </c>
      <c r="AF145" s="52">
        <v>51116.9</v>
      </c>
      <c r="AG145" s="52">
        <v>100423.91</v>
      </c>
      <c r="AH145" s="52">
        <v>132458.87</v>
      </c>
      <c r="AI145" s="52">
        <v>89647.24</v>
      </c>
      <c r="AJ145" s="52">
        <v>95020.88</v>
      </c>
      <c r="AK145" s="52">
        <v>55975.88</v>
      </c>
      <c r="AL145" s="52">
        <v>66537.77</v>
      </c>
      <c r="AM145" s="52">
        <v>121183.96</v>
      </c>
      <c r="AN145" s="52">
        <v>186278.96</v>
      </c>
      <c r="AO145" s="52">
        <v>17486.87</v>
      </c>
      <c r="AP145" s="52">
        <v>88483.48</v>
      </c>
      <c r="AQ145" s="52">
        <v>97834.21</v>
      </c>
      <c r="AR145" s="52">
        <v>43290.81</v>
      </c>
      <c r="AS145" s="52">
        <v>106142.71</v>
      </c>
      <c r="AT145" s="52">
        <v>120905.22</v>
      </c>
      <c r="AU145" s="52">
        <v>26941.32</v>
      </c>
      <c r="AV145" s="52">
        <v>81600.179999999993</v>
      </c>
      <c r="AW145" s="52">
        <v>60949.64</v>
      </c>
      <c r="AX145" s="52">
        <v>67151.05</v>
      </c>
      <c r="AY145" s="52">
        <v>125991.03</v>
      </c>
      <c r="AZ145" s="52">
        <v>196092.01</v>
      </c>
      <c r="BA145" s="52">
        <v>11752.19</v>
      </c>
      <c r="BB145" s="52">
        <v>71111.81</v>
      </c>
      <c r="BC145" s="52">
        <v>60876.24</v>
      </c>
      <c r="BD145" s="52">
        <v>58105.39</v>
      </c>
      <c r="BE145" s="52">
        <v>93929.7</v>
      </c>
      <c r="BF145" s="52">
        <v>131198.82</v>
      </c>
      <c r="BG145" s="52">
        <v>14228.46</v>
      </c>
      <c r="BH145" s="52">
        <v>76667.75</v>
      </c>
      <c r="BI145" s="52">
        <v>55931.94</v>
      </c>
      <c r="BJ145" s="52">
        <v>63039.72</v>
      </c>
      <c r="BK145" s="52">
        <v>131500.97</v>
      </c>
      <c r="BL145" s="52">
        <v>159317.29</v>
      </c>
      <c r="BM145" s="52">
        <v>56599.02</v>
      </c>
      <c r="BN145" s="52">
        <v>89829.52</v>
      </c>
      <c r="BO145" s="52">
        <v>87561.16</v>
      </c>
      <c r="BP145" s="52">
        <v>55438.12</v>
      </c>
      <c r="BQ145" s="52">
        <v>86099.46</v>
      </c>
      <c r="BR145" s="52">
        <v>114243.66</v>
      </c>
      <c r="BS145" s="52">
        <v>6624.91</v>
      </c>
      <c r="BT145" s="52">
        <v>71987.820000000007</v>
      </c>
      <c r="BU145" s="52">
        <v>36625.17</v>
      </c>
      <c r="BV145" s="52">
        <v>45742.79</v>
      </c>
      <c r="BW145" s="52">
        <v>115044.78</v>
      </c>
      <c r="BX145" s="52">
        <v>192997.85</v>
      </c>
      <c r="BY145" s="52">
        <v>49939.39</v>
      </c>
      <c r="BZ145" s="52">
        <v>71653.77</v>
      </c>
      <c r="CA145" s="52">
        <v>70570.27</v>
      </c>
      <c r="CB145" s="52">
        <v>7802.17</v>
      </c>
      <c r="CC145" s="52">
        <v>81946.929999999993</v>
      </c>
      <c r="CD145" s="52">
        <v>80561.83</v>
      </c>
      <c r="CE145" s="52">
        <v>46149.69</v>
      </c>
      <c r="CF145" s="52">
        <v>109701.74</v>
      </c>
      <c r="CG145" s="52">
        <v>24544.14</v>
      </c>
      <c r="CH145" s="52">
        <v>41710.01</v>
      </c>
      <c r="CI145" s="52">
        <v>151707.59</v>
      </c>
      <c r="CJ145" s="52">
        <v>79724.86</v>
      </c>
      <c r="CK145" s="52">
        <v>37992.769999999997</v>
      </c>
      <c r="CL145" s="52">
        <v>50619.73</v>
      </c>
      <c r="CM145" s="52">
        <v>58178.63</v>
      </c>
      <c r="CN145" s="52">
        <v>43323.98</v>
      </c>
      <c r="CO145" s="52">
        <v>107106.65</v>
      </c>
      <c r="CP145" s="52">
        <v>60547.22</v>
      </c>
      <c r="CQ145" s="52">
        <v>60971.08</v>
      </c>
      <c r="CR145" s="52">
        <v>87844.62</v>
      </c>
      <c r="CS145" s="52">
        <v>27831.74</v>
      </c>
      <c r="CT145" s="52">
        <v>46553.59</v>
      </c>
      <c r="CU145" s="52">
        <v>146739.68</v>
      </c>
      <c r="CV145" s="430">
        <f t="shared" si="4"/>
        <v>807434.55</v>
      </c>
    </row>
    <row r="146" spans="1:100">
      <c r="A146" s="540" t="str">
        <f t="shared" si="3"/>
        <v>6010400</v>
      </c>
      <c r="B146" s="541" t="s">
        <v>2245</v>
      </c>
      <c r="C146" s="463" t="s">
        <v>2246</v>
      </c>
      <c r="D146" s="428"/>
      <c r="E146" s="428"/>
      <c r="F146" s="428"/>
      <c r="G146" s="428"/>
      <c r="H146" s="428"/>
      <c r="I146" s="428"/>
      <c r="J146" s="428"/>
      <c r="K146" s="428"/>
      <c r="L146" s="428"/>
      <c r="M146" s="428"/>
      <c r="N146" s="428"/>
      <c r="O146" s="429"/>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v>0</v>
      </c>
      <c r="BG146" s="52">
        <v>1638.5</v>
      </c>
      <c r="BH146" s="52">
        <v>-1638.5</v>
      </c>
      <c r="BI146" s="52">
        <v>0</v>
      </c>
      <c r="BJ146" s="52">
        <v>162</v>
      </c>
      <c r="BK146" s="52">
        <v>-162</v>
      </c>
      <c r="BL146" s="52">
        <v>0</v>
      </c>
      <c r="BM146" s="52">
        <v>0</v>
      </c>
      <c r="BN146" s="52">
        <v>0</v>
      </c>
      <c r="BO146" s="52">
        <v>0</v>
      </c>
      <c r="BP146" s="52">
        <v>0</v>
      </c>
      <c r="BQ146" s="52">
        <v>0</v>
      </c>
      <c r="BR146" s="52">
        <v>0</v>
      </c>
      <c r="BS146" s="52">
        <v>0</v>
      </c>
      <c r="BT146" s="52">
        <v>0</v>
      </c>
      <c r="BU146" s="52">
        <v>0</v>
      </c>
      <c r="BV146" s="52">
        <v>0</v>
      </c>
      <c r="BW146" s="52">
        <v>0</v>
      </c>
      <c r="BX146" s="52">
        <v>0</v>
      </c>
      <c r="BY146" s="52">
        <v>0</v>
      </c>
      <c r="BZ146" s="52">
        <v>0</v>
      </c>
      <c r="CA146" s="52">
        <v>0</v>
      </c>
      <c r="CB146" s="52">
        <v>0</v>
      </c>
      <c r="CC146" s="52">
        <v>0</v>
      </c>
      <c r="CD146" s="52">
        <v>0</v>
      </c>
      <c r="CE146" s="52">
        <v>0</v>
      </c>
      <c r="CF146" s="52">
        <v>0</v>
      </c>
      <c r="CG146" s="52">
        <v>0</v>
      </c>
      <c r="CH146" s="52">
        <v>0</v>
      </c>
      <c r="CI146" s="52">
        <v>0</v>
      </c>
      <c r="CJ146" s="52">
        <v>0</v>
      </c>
      <c r="CK146" s="52">
        <v>0</v>
      </c>
      <c r="CL146" s="52">
        <v>0</v>
      </c>
      <c r="CM146" s="52">
        <v>0</v>
      </c>
      <c r="CN146" s="52">
        <v>0</v>
      </c>
      <c r="CO146" s="52">
        <v>0</v>
      </c>
      <c r="CP146" s="52">
        <v>0</v>
      </c>
      <c r="CQ146" s="52">
        <v>0</v>
      </c>
      <c r="CR146" s="52">
        <v>0</v>
      </c>
      <c r="CS146" s="52">
        <v>0</v>
      </c>
      <c r="CT146" s="52">
        <v>0</v>
      </c>
      <c r="CU146" s="52">
        <v>0</v>
      </c>
      <c r="CV146" s="430">
        <f t="shared" si="4"/>
        <v>0</v>
      </c>
    </row>
    <row r="147" spans="1:100">
      <c r="A147" s="540" t="str">
        <f t="shared" si="3"/>
        <v>6010900</v>
      </c>
      <c r="B147" s="541" t="s">
        <v>2470</v>
      </c>
      <c r="C147" s="463" t="s">
        <v>2471</v>
      </c>
      <c r="D147" s="428"/>
      <c r="E147" s="428"/>
      <c r="F147" s="428"/>
      <c r="G147" s="428"/>
      <c r="H147" s="428"/>
      <c r="I147" s="428"/>
      <c r="J147" s="428"/>
      <c r="K147" s="428"/>
      <c r="L147" s="428"/>
      <c r="M147" s="428"/>
      <c r="N147" s="428"/>
      <c r="O147" s="429"/>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v>0</v>
      </c>
      <c r="BY147" s="52">
        <v>0</v>
      </c>
      <c r="BZ147" s="52">
        <v>0</v>
      </c>
      <c r="CA147" s="52">
        <v>0</v>
      </c>
      <c r="CB147" s="52">
        <v>0</v>
      </c>
      <c r="CC147" s="52">
        <v>0</v>
      </c>
      <c r="CD147" s="52">
        <v>0</v>
      </c>
      <c r="CE147" s="52">
        <v>0</v>
      </c>
      <c r="CF147" s="52">
        <v>0</v>
      </c>
      <c r="CG147" s="52">
        <v>0</v>
      </c>
      <c r="CH147" s="52">
        <v>0</v>
      </c>
      <c r="CI147" s="52">
        <v>0</v>
      </c>
      <c r="CJ147" s="52">
        <v>0</v>
      </c>
      <c r="CK147" s="52">
        <v>0</v>
      </c>
      <c r="CL147" s="52">
        <v>0</v>
      </c>
      <c r="CM147" s="52">
        <v>0</v>
      </c>
      <c r="CN147" s="52">
        <v>0</v>
      </c>
      <c r="CO147" s="52">
        <v>0</v>
      </c>
      <c r="CP147" s="52">
        <v>0</v>
      </c>
      <c r="CQ147" s="52">
        <v>0</v>
      </c>
      <c r="CR147" s="52">
        <v>0</v>
      </c>
      <c r="CS147" s="52">
        <v>0</v>
      </c>
      <c r="CT147" s="52">
        <v>0</v>
      </c>
      <c r="CU147" s="52">
        <v>0</v>
      </c>
      <c r="CV147" s="430">
        <f t="shared" si="4"/>
        <v>0</v>
      </c>
    </row>
    <row r="148" spans="1:100">
      <c r="A148" s="540" t="str">
        <f t="shared" si="3"/>
        <v>6010910</v>
      </c>
      <c r="B148" s="541" t="s">
        <v>1973</v>
      </c>
      <c r="C148" s="463" t="s">
        <v>1065</v>
      </c>
      <c r="D148" s="428">
        <v>10544.83</v>
      </c>
      <c r="E148" s="428">
        <v>8307.51</v>
      </c>
      <c r="F148" s="428">
        <v>296.95999999999998</v>
      </c>
      <c r="G148" s="428">
        <v>1410.56</v>
      </c>
      <c r="H148" s="428">
        <v>61315.21</v>
      </c>
      <c r="I148" s="428">
        <v>7128.13</v>
      </c>
      <c r="J148" s="428">
        <v>4677.07</v>
      </c>
      <c r="K148" s="428">
        <v>3093.92</v>
      </c>
      <c r="L148" s="428">
        <v>3158.06</v>
      </c>
      <c r="M148" s="428">
        <v>2139.2600000000002</v>
      </c>
      <c r="N148" s="428">
        <v>593.91999999999996</v>
      </c>
      <c r="O148" s="429">
        <v>24757.279999999999</v>
      </c>
      <c r="P148" s="52">
        <v>32557.360000000001</v>
      </c>
      <c r="Q148" s="52">
        <v>15621.47</v>
      </c>
      <c r="R148" s="52">
        <v>593.91</v>
      </c>
      <c r="S148" s="52">
        <v>10015.91</v>
      </c>
      <c r="T148" s="52">
        <v>296.95999999999998</v>
      </c>
      <c r="U148" s="52">
        <v>23170.36</v>
      </c>
      <c r="V148" s="52">
        <v>1336.36</v>
      </c>
      <c r="W148" s="52">
        <v>29002.82</v>
      </c>
      <c r="X148" s="52">
        <v>41315.81</v>
      </c>
      <c r="Y148" s="52">
        <v>21996.82</v>
      </c>
      <c r="Z148" s="52">
        <v>21982.76</v>
      </c>
      <c r="AA148" s="52">
        <v>83739.600000000006</v>
      </c>
      <c r="AB148" s="52">
        <v>27834.67</v>
      </c>
      <c r="AC148" s="52">
        <v>30100.09</v>
      </c>
      <c r="AD148" s="52">
        <v>18167.37</v>
      </c>
      <c r="AE148" s="52">
        <v>7385.72</v>
      </c>
      <c r="AF148" s="52">
        <v>4853.8599999999997</v>
      </c>
      <c r="AG148" s="52">
        <v>10226.959999999999</v>
      </c>
      <c r="AH148" s="52">
        <v>1410.56</v>
      </c>
      <c r="AI148" s="52">
        <v>1749.39</v>
      </c>
      <c r="AJ148" s="52">
        <v>6310.38</v>
      </c>
      <c r="AK148" s="52">
        <v>3979.37</v>
      </c>
      <c r="AL148" s="52">
        <v>6650.26</v>
      </c>
      <c r="AM148" s="52">
        <v>30836.75</v>
      </c>
      <c r="AN148" s="52">
        <v>82662.27</v>
      </c>
      <c r="AO148" s="52">
        <v>445.43</v>
      </c>
      <c r="AP148" s="52">
        <v>56673.06</v>
      </c>
      <c r="AQ148" s="52">
        <v>3910.56</v>
      </c>
      <c r="AR148" s="52">
        <v>519.66999999999996</v>
      </c>
      <c r="AS148" s="52">
        <v>296.97000000000003</v>
      </c>
      <c r="AT148" s="52">
        <v>10373.34</v>
      </c>
      <c r="AU148" s="52">
        <v>26133.59</v>
      </c>
      <c r="AV148" s="52">
        <v>593.88</v>
      </c>
      <c r="AW148" s="52">
        <v>50863.62</v>
      </c>
      <c r="AX148" s="52">
        <v>13543.26</v>
      </c>
      <c r="AY148" s="52">
        <v>445.43</v>
      </c>
      <c r="AZ148" s="52">
        <v>10413.219999999999</v>
      </c>
      <c r="BA148" s="52">
        <v>43455.7</v>
      </c>
      <c r="BB148" s="52">
        <v>5173.16</v>
      </c>
      <c r="BC148" s="52">
        <v>49042.91</v>
      </c>
      <c r="BD148" s="52">
        <v>18284.29</v>
      </c>
      <c r="BE148" s="52">
        <v>510.64</v>
      </c>
      <c r="BF148" s="52">
        <v>19635.11</v>
      </c>
      <c r="BG148" s="52">
        <v>25853.17</v>
      </c>
      <c r="BH148" s="52">
        <v>25870.639999999999</v>
      </c>
      <c r="BI148" s="52">
        <v>14055.63</v>
      </c>
      <c r="BJ148" s="52">
        <v>15239.6</v>
      </c>
      <c r="BK148" s="52">
        <v>44426.42</v>
      </c>
      <c r="BL148" s="52">
        <v>91528.13</v>
      </c>
      <c r="BM148" s="52">
        <v>426.42</v>
      </c>
      <c r="BN148" s="52">
        <v>21606.25</v>
      </c>
      <c r="BO148" s="52">
        <v>4852.87</v>
      </c>
      <c r="BP148" s="52">
        <v>3837.96</v>
      </c>
      <c r="BQ148" s="52">
        <v>14810.58</v>
      </c>
      <c r="BR148" s="52">
        <v>74438.53</v>
      </c>
      <c r="BS148" s="52">
        <v>20696.97</v>
      </c>
      <c r="BT148" s="52">
        <v>8284.2800000000007</v>
      </c>
      <c r="BU148" s="52">
        <v>6279.32</v>
      </c>
      <c r="BV148" s="52">
        <v>43483.3</v>
      </c>
      <c r="BW148" s="52">
        <v>49708.35</v>
      </c>
      <c r="BX148" s="52">
        <v>8494.6299999999992</v>
      </c>
      <c r="BY148" s="52">
        <v>20000</v>
      </c>
      <c r="BZ148" s="52">
        <v>138149.57999999999</v>
      </c>
      <c r="CA148" s="52">
        <v>835.98</v>
      </c>
      <c r="CB148" s="52">
        <v>14356.79</v>
      </c>
      <c r="CC148" s="52">
        <v>14419.06</v>
      </c>
      <c r="CD148" s="52">
        <v>15414.64</v>
      </c>
      <c r="CE148" s="52">
        <v>9372.89</v>
      </c>
      <c r="CF148" s="52">
        <v>1512.53</v>
      </c>
      <c r="CG148" s="52">
        <v>142.15</v>
      </c>
      <c r="CH148" s="52">
        <v>3844.61</v>
      </c>
      <c r="CI148" s="52">
        <v>10948.52</v>
      </c>
      <c r="CJ148" s="52">
        <v>43626.23</v>
      </c>
      <c r="CK148" s="52">
        <v>213.22</v>
      </c>
      <c r="CL148" s="52">
        <v>15972.2</v>
      </c>
      <c r="CM148" s="52">
        <v>5259.75</v>
      </c>
      <c r="CN148" s="52">
        <v>995.35</v>
      </c>
      <c r="CO148" s="52">
        <v>2035.35</v>
      </c>
      <c r="CP148" s="52">
        <v>17495</v>
      </c>
      <c r="CQ148" s="52">
        <v>14063.57</v>
      </c>
      <c r="CR148" s="52">
        <v>82132.2</v>
      </c>
      <c r="CS148" s="52">
        <v>13250</v>
      </c>
      <c r="CT148" s="52">
        <v>76282.679999999993</v>
      </c>
      <c r="CU148" s="52">
        <v>40764.39</v>
      </c>
      <c r="CV148" s="430">
        <f t="shared" si="4"/>
        <v>312089.94</v>
      </c>
    </row>
    <row r="149" spans="1:100">
      <c r="A149" s="1178" t="str">
        <f>+B149</f>
        <v>6010990</v>
      </c>
      <c r="B149" s="1179" t="s">
        <v>2687</v>
      </c>
      <c r="C149" s="1081" t="s">
        <v>2688</v>
      </c>
      <c r="D149" s="428"/>
      <c r="E149" s="428"/>
      <c r="F149" s="428"/>
      <c r="G149" s="428"/>
      <c r="H149" s="428"/>
      <c r="I149" s="428"/>
      <c r="J149" s="428"/>
      <c r="K149" s="428"/>
      <c r="L149" s="428"/>
      <c r="M149" s="428"/>
      <c r="N149" s="428"/>
      <c r="O149" s="429"/>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v>0</v>
      </c>
      <c r="BG149" s="52">
        <v>1638.5</v>
      </c>
      <c r="BH149" s="52">
        <v>-1638.5</v>
      </c>
      <c r="BI149" s="52">
        <v>0</v>
      </c>
      <c r="BJ149" s="52">
        <v>162</v>
      </c>
      <c r="BK149" s="52">
        <v>-162</v>
      </c>
      <c r="BL149" s="52">
        <v>0</v>
      </c>
      <c r="BM149" s="52">
        <v>0</v>
      </c>
      <c r="BN149" s="52">
        <v>0</v>
      </c>
      <c r="BO149" s="52">
        <v>0</v>
      </c>
      <c r="BP149" s="52">
        <v>0</v>
      </c>
      <c r="BQ149" s="52">
        <v>0</v>
      </c>
      <c r="BR149" s="52">
        <v>0</v>
      </c>
      <c r="BS149" s="52">
        <v>0</v>
      </c>
      <c r="BT149" s="52">
        <v>0</v>
      </c>
      <c r="BU149" s="52">
        <v>0</v>
      </c>
      <c r="BV149" s="52">
        <v>0</v>
      </c>
      <c r="BW149" s="52">
        <v>0</v>
      </c>
      <c r="BX149" s="52">
        <v>0</v>
      </c>
      <c r="BY149" s="52">
        <v>0</v>
      </c>
      <c r="BZ149" s="52">
        <v>0</v>
      </c>
      <c r="CA149" s="52">
        <v>0</v>
      </c>
      <c r="CB149" s="52">
        <v>0</v>
      </c>
      <c r="CC149" s="52">
        <v>0</v>
      </c>
      <c r="CD149" s="52">
        <v>0</v>
      </c>
      <c r="CE149" s="52">
        <v>0</v>
      </c>
      <c r="CF149" s="52">
        <v>0</v>
      </c>
      <c r="CG149" s="52">
        <v>0</v>
      </c>
      <c r="CH149" s="52">
        <v>0</v>
      </c>
      <c r="CI149" s="52">
        <v>0</v>
      </c>
      <c r="CJ149" s="52">
        <v>0</v>
      </c>
      <c r="CK149" s="52">
        <v>0</v>
      </c>
      <c r="CL149" s="52">
        <v>0</v>
      </c>
      <c r="CM149" s="52">
        <v>0</v>
      </c>
      <c r="CN149" s="52">
        <v>338698.26</v>
      </c>
      <c r="CO149" s="52">
        <v>61885.13</v>
      </c>
      <c r="CP149" s="52">
        <v>60464.06</v>
      </c>
      <c r="CQ149" s="52">
        <v>58623.76</v>
      </c>
      <c r="CR149" s="52">
        <v>87363.09</v>
      </c>
      <c r="CS149" s="52">
        <v>59789.51</v>
      </c>
      <c r="CT149" s="52">
        <v>59719.44</v>
      </c>
      <c r="CU149" s="52">
        <v>60687.54</v>
      </c>
      <c r="CV149" s="430">
        <f t="shared" si="4"/>
        <v>787230.79</v>
      </c>
    </row>
    <row r="150" spans="1:100">
      <c r="A150" s="540" t="str">
        <f t="shared" ref="A150:A219" si="5">+B150</f>
        <v>6018999</v>
      </c>
      <c r="B150" s="541" t="s">
        <v>1974</v>
      </c>
      <c r="C150" s="463" t="s">
        <v>1066</v>
      </c>
      <c r="D150" s="428">
        <v>52171.68</v>
      </c>
      <c r="E150" s="428">
        <v>138265.62</v>
      </c>
      <c r="F150" s="428">
        <v>1643.62</v>
      </c>
      <c r="G150" s="428">
        <v>49930.37</v>
      </c>
      <c r="H150" s="428">
        <v>71134.42</v>
      </c>
      <c r="I150" s="428">
        <v>102730.86</v>
      </c>
      <c r="J150" s="428">
        <v>50214</v>
      </c>
      <c r="K150" s="428">
        <v>46534.98</v>
      </c>
      <c r="L150" s="428">
        <v>47126.080000000002</v>
      </c>
      <c r="M150" s="428">
        <v>27874.47</v>
      </c>
      <c r="N150" s="428">
        <v>221837.99</v>
      </c>
      <c r="O150" s="429">
        <v>-156336.45000000001</v>
      </c>
      <c r="P150" s="52">
        <v>97494.18</v>
      </c>
      <c r="Q150" s="52">
        <v>122557.95</v>
      </c>
      <c r="R150" s="52">
        <v>-20951.97</v>
      </c>
      <c r="S150" s="52">
        <v>40207.870000000003</v>
      </c>
      <c r="T150" s="52">
        <v>125060.27</v>
      </c>
      <c r="U150" s="52">
        <v>74205.259999999995</v>
      </c>
      <c r="V150" s="52">
        <v>62683.95</v>
      </c>
      <c r="W150" s="52">
        <v>60060.79</v>
      </c>
      <c r="X150" s="52">
        <v>58031.5</v>
      </c>
      <c r="Y150" s="52">
        <v>56076.79</v>
      </c>
      <c r="Z150" s="52">
        <v>100749.72</v>
      </c>
      <c r="AA150" s="52">
        <v>129025.91</v>
      </c>
      <c r="AB150" s="52">
        <v>83678.25</v>
      </c>
      <c r="AC150" s="52">
        <v>65207.63</v>
      </c>
      <c r="AD150" s="52">
        <v>63820.43</v>
      </c>
      <c r="AE150" s="52">
        <v>149745.65</v>
      </c>
      <c r="AF150" s="52">
        <v>52247.46</v>
      </c>
      <c r="AG150" s="52">
        <v>82748.06</v>
      </c>
      <c r="AH150" s="52">
        <v>69788.960000000006</v>
      </c>
      <c r="AI150" s="52">
        <v>118602.85</v>
      </c>
      <c r="AJ150" s="52">
        <v>156874.47</v>
      </c>
      <c r="AK150" s="52">
        <v>98035.55</v>
      </c>
      <c r="AL150" s="52">
        <v>40106.58</v>
      </c>
      <c r="AM150" s="52">
        <v>230848.99</v>
      </c>
      <c r="AN150" s="52">
        <v>76890.78</v>
      </c>
      <c r="AO150" s="52">
        <v>119546.62</v>
      </c>
      <c r="AP150" s="52">
        <v>102430.49</v>
      </c>
      <c r="AQ150" s="52">
        <v>119546.96</v>
      </c>
      <c r="AR150" s="52">
        <v>87694.65</v>
      </c>
      <c r="AS150" s="52">
        <v>77803.740000000005</v>
      </c>
      <c r="AT150" s="52">
        <v>84394.58</v>
      </c>
      <c r="AU150" s="52">
        <v>94989.27</v>
      </c>
      <c r="AV150" s="52">
        <v>118662.45</v>
      </c>
      <c r="AW150" s="52">
        <v>140351.76999999999</v>
      </c>
      <c r="AX150" s="52">
        <v>85295.2</v>
      </c>
      <c r="AY150" s="52">
        <v>138066.69</v>
      </c>
      <c r="AZ150" s="52">
        <v>83874.81</v>
      </c>
      <c r="BA150" s="52">
        <v>56854.25</v>
      </c>
      <c r="BB150" s="52">
        <v>84253.07</v>
      </c>
      <c r="BC150" s="52">
        <v>141442.32999999999</v>
      </c>
      <c r="BD150" s="52">
        <v>94955.35</v>
      </c>
      <c r="BE150" s="52">
        <v>88285.32</v>
      </c>
      <c r="BF150" s="52">
        <v>95776</v>
      </c>
      <c r="BG150" s="52">
        <v>101611.41</v>
      </c>
      <c r="BH150" s="52">
        <v>137173.31</v>
      </c>
      <c r="BI150" s="52">
        <v>94970.82</v>
      </c>
      <c r="BJ150" s="52">
        <v>151598.85999999999</v>
      </c>
      <c r="BK150" s="52">
        <v>191222.76</v>
      </c>
      <c r="BL150" s="52">
        <v>99560.320000000007</v>
      </c>
      <c r="BM150" s="52">
        <v>162889.5</v>
      </c>
      <c r="BN150" s="52">
        <v>108285.27</v>
      </c>
      <c r="BO150" s="52">
        <v>101673.99</v>
      </c>
      <c r="BP150" s="52">
        <v>148875.01</v>
      </c>
      <c r="BQ150" s="52">
        <v>134112.93</v>
      </c>
      <c r="BR150" s="52">
        <v>149746.91</v>
      </c>
      <c r="BS150" s="52">
        <v>156432.38</v>
      </c>
      <c r="BT150" s="52">
        <v>218592.89</v>
      </c>
      <c r="BU150" s="52">
        <v>164482.68</v>
      </c>
      <c r="BV150" s="52">
        <v>138227.18</v>
      </c>
      <c r="BW150" s="52">
        <v>136166.06</v>
      </c>
      <c r="BX150" s="52">
        <v>233753.48</v>
      </c>
      <c r="BY150" s="52">
        <v>308891.21000000002</v>
      </c>
      <c r="BZ150" s="52">
        <v>-75955.759999999995</v>
      </c>
      <c r="CA150" s="52">
        <v>165727.1</v>
      </c>
      <c r="CB150" s="52">
        <v>135991.75</v>
      </c>
      <c r="CC150" s="52">
        <v>142798.79</v>
      </c>
      <c r="CD150" s="52">
        <v>128498.22</v>
      </c>
      <c r="CE150" s="52">
        <v>174149.84</v>
      </c>
      <c r="CF150" s="52">
        <v>209076.15</v>
      </c>
      <c r="CG150" s="52">
        <v>182485.94</v>
      </c>
      <c r="CH150" s="52">
        <v>186317.49</v>
      </c>
      <c r="CI150" s="52">
        <v>188739.98</v>
      </c>
      <c r="CJ150" s="52">
        <v>266200.15000000002</v>
      </c>
      <c r="CK150" s="52">
        <v>235077.12</v>
      </c>
      <c r="CL150" s="52">
        <v>273274</v>
      </c>
      <c r="CM150" s="52">
        <v>423247.9</v>
      </c>
      <c r="CN150" s="52">
        <v>-21691.360000000001</v>
      </c>
      <c r="CO150" s="52">
        <v>228146.83</v>
      </c>
      <c r="CP150" s="52">
        <v>106339.78</v>
      </c>
      <c r="CQ150" s="52">
        <v>185555.56</v>
      </c>
      <c r="CR150" s="52">
        <v>175745.44</v>
      </c>
      <c r="CS150" s="52">
        <v>314862.65999999997</v>
      </c>
      <c r="CT150" s="52">
        <v>258331.29</v>
      </c>
      <c r="CU150" s="52">
        <v>415236.26</v>
      </c>
      <c r="CV150" s="430">
        <f t="shared" si="4"/>
        <v>2860325.63</v>
      </c>
    </row>
    <row r="151" spans="1:100">
      <c r="A151" s="540" t="str">
        <f t="shared" si="5"/>
        <v>6019000</v>
      </c>
      <c r="B151" s="541" t="s">
        <v>1975</v>
      </c>
      <c r="C151" s="463" t="s">
        <v>1067</v>
      </c>
      <c r="D151" s="426">
        <v>-3364.22</v>
      </c>
      <c r="E151" s="426">
        <v>0</v>
      </c>
      <c r="F151" s="426">
        <v>-27876.59</v>
      </c>
      <c r="G151" s="426">
        <v>0</v>
      </c>
      <c r="H151" s="426">
        <v>-20750.310000000001</v>
      </c>
      <c r="I151" s="426">
        <v>-28207.46</v>
      </c>
      <c r="J151" s="426">
        <v>0</v>
      </c>
      <c r="K151" s="426">
        <v>0</v>
      </c>
      <c r="L151" s="426">
        <v>0</v>
      </c>
      <c r="M151" s="426">
        <v>21024.09</v>
      </c>
      <c r="N151" s="426">
        <v>-143984.14000000001</v>
      </c>
      <c r="O151" s="427">
        <v>213469.65</v>
      </c>
      <c r="P151" s="52">
        <v>0</v>
      </c>
      <c r="Q151" s="52">
        <v>-57669.1</v>
      </c>
      <c r="R151" s="52">
        <v>34452.97</v>
      </c>
      <c r="S151" s="52">
        <v>0</v>
      </c>
      <c r="T151" s="52">
        <v>-48251.14</v>
      </c>
      <c r="U151" s="52">
        <v>-24604.36</v>
      </c>
      <c r="V151" s="52">
        <v>2399.8000000000002</v>
      </c>
      <c r="W151" s="52">
        <v>-16647.02</v>
      </c>
      <c r="X151" s="52">
        <v>-9976.99</v>
      </c>
      <c r="Y151" s="52">
        <v>-12406.42</v>
      </c>
      <c r="Z151" s="52">
        <v>-7168.57</v>
      </c>
      <c r="AA151" s="52">
        <v>-78492.149999999994</v>
      </c>
      <c r="AB151" s="52">
        <v>-22018.52</v>
      </c>
      <c r="AC151" s="52">
        <v>-7437.44</v>
      </c>
      <c r="AD151" s="52">
        <v>-12545.44</v>
      </c>
      <c r="AE151" s="52">
        <v>-7152.56</v>
      </c>
      <c r="AF151" s="52">
        <v>0</v>
      </c>
      <c r="AG151" s="52">
        <v>56847.6</v>
      </c>
      <c r="AH151" s="52">
        <v>24801.29</v>
      </c>
      <c r="AI151" s="52">
        <v>22783.200000000001</v>
      </c>
      <c r="AJ151" s="52">
        <v>-9756.39</v>
      </c>
      <c r="AK151" s="52">
        <v>-9073.69</v>
      </c>
      <c r="AL151" s="52">
        <v>28972.48</v>
      </c>
      <c r="AM151" s="52">
        <v>-63689.64</v>
      </c>
      <c r="AN151" s="52">
        <v>-10707.23</v>
      </c>
      <c r="AO151" s="52">
        <v>-7777.91</v>
      </c>
      <c r="AP151" s="52">
        <v>-11059.74</v>
      </c>
      <c r="AQ151" s="52">
        <v>-8964.8700000000008</v>
      </c>
      <c r="AR151" s="52">
        <v>-12254.65</v>
      </c>
      <c r="AS151" s="52">
        <v>-9395.0499999999993</v>
      </c>
      <c r="AT151" s="52">
        <v>-12751.84</v>
      </c>
      <c r="AU151" s="52">
        <v>-12674.96</v>
      </c>
      <c r="AV151" s="52">
        <v>-2663</v>
      </c>
      <c r="AW151" s="52">
        <v>-17088.39</v>
      </c>
      <c r="AX151" s="52">
        <v>-12656.48</v>
      </c>
      <c r="AY151" s="52">
        <v>36114.199999999997</v>
      </c>
      <c r="AZ151" s="52">
        <v>-15683.22</v>
      </c>
      <c r="BA151" s="52">
        <v>-9713.52</v>
      </c>
      <c r="BB151" s="52">
        <v>-5000.5600000000004</v>
      </c>
      <c r="BC151" s="52">
        <v>-25047.89</v>
      </c>
      <c r="BD151" s="52">
        <v>-14991.39</v>
      </c>
      <c r="BE151" s="52">
        <v>-12679.4</v>
      </c>
      <c r="BF151" s="52">
        <v>-17760.34</v>
      </c>
      <c r="BG151" s="52">
        <v>-20805.12</v>
      </c>
      <c r="BH151" s="52">
        <v>-5389.21</v>
      </c>
      <c r="BI151" s="52">
        <v>-61426.91</v>
      </c>
      <c r="BJ151" s="52">
        <v>-29320.720000000001</v>
      </c>
      <c r="BK151" s="52">
        <v>224655.73</v>
      </c>
      <c r="BL151" s="52">
        <v>-22071.97</v>
      </c>
      <c r="BM151" s="52">
        <v>-16501.77</v>
      </c>
      <c r="BN151" s="52">
        <v>-23328.51</v>
      </c>
      <c r="BO151" s="52">
        <v>-12761.06</v>
      </c>
      <c r="BP151" s="52">
        <v>-36099.550000000003</v>
      </c>
      <c r="BQ151" s="52">
        <v>-27877.69</v>
      </c>
      <c r="BR151" s="52">
        <v>-66309.649999999994</v>
      </c>
      <c r="BS151" s="52">
        <v>-75205.820000000007</v>
      </c>
      <c r="BT151" s="52">
        <v>-41264.54</v>
      </c>
      <c r="BU151" s="52">
        <v>-59580.07</v>
      </c>
      <c r="BV151" s="52">
        <v>-35435.29</v>
      </c>
      <c r="BW151" s="52">
        <v>-27505.66</v>
      </c>
      <c r="BX151" s="52">
        <v>-25853.89</v>
      </c>
      <c r="BY151" s="52">
        <v>100289.87</v>
      </c>
      <c r="BZ151" s="52">
        <v>-10372.200000000001</v>
      </c>
      <c r="CA151" s="52">
        <v>-10925.31</v>
      </c>
      <c r="CB151" s="52">
        <v>-10017.56</v>
      </c>
      <c r="CC151" s="52">
        <v>-10967.12</v>
      </c>
      <c r="CD151" s="52">
        <v>-12831.94</v>
      </c>
      <c r="CE151" s="52">
        <v>-10704.81</v>
      </c>
      <c r="CF151" s="52">
        <v>-90569.71</v>
      </c>
      <c r="CG151" s="52">
        <v>-39708.25</v>
      </c>
      <c r="CH151" s="52">
        <v>-37818.57</v>
      </c>
      <c r="CI151" s="52">
        <v>-33973.9</v>
      </c>
      <c r="CJ151" s="52">
        <v>-59724.45</v>
      </c>
      <c r="CK151" s="52">
        <v>-54475.63</v>
      </c>
      <c r="CL151" s="52">
        <v>-96009.84</v>
      </c>
      <c r="CM151" s="52">
        <v>-45290.49</v>
      </c>
      <c r="CN151" s="52">
        <v>-60412.39</v>
      </c>
      <c r="CO151" s="52">
        <v>-65145.3</v>
      </c>
      <c r="CP151" s="52">
        <v>-68105.66</v>
      </c>
      <c r="CQ151" s="52">
        <v>-70105.78</v>
      </c>
      <c r="CR151" s="52">
        <v>-58307.46</v>
      </c>
      <c r="CS151" s="52">
        <v>-111738.56</v>
      </c>
      <c r="CT151" s="52">
        <v>-126669.06</v>
      </c>
      <c r="CU151" s="52">
        <v>-309732.95</v>
      </c>
      <c r="CV151" s="430">
        <f t="shared" si="4"/>
        <v>-1125717.57</v>
      </c>
    </row>
    <row r="152" spans="1:100">
      <c r="A152" s="540" t="str">
        <f t="shared" si="5"/>
        <v>6019900</v>
      </c>
      <c r="B152" s="541" t="s">
        <v>1976</v>
      </c>
      <c r="C152" s="463" t="s">
        <v>1068</v>
      </c>
      <c r="D152" s="428">
        <v>-578807.18999999994</v>
      </c>
      <c r="E152" s="428">
        <v>-482996.23</v>
      </c>
      <c r="F152" s="428">
        <v>-569971.55000000005</v>
      </c>
      <c r="G152" s="428">
        <v>-574244.54</v>
      </c>
      <c r="H152" s="428">
        <v>-596209.27</v>
      </c>
      <c r="I152" s="428">
        <v>-541627.57999999996</v>
      </c>
      <c r="J152" s="428">
        <v>-517880.79</v>
      </c>
      <c r="K152" s="428">
        <v>-504117.59</v>
      </c>
      <c r="L152" s="428">
        <v>-593115.31999999995</v>
      </c>
      <c r="M152" s="428">
        <v>-639120.79</v>
      </c>
      <c r="N152" s="428">
        <v>-624828.27</v>
      </c>
      <c r="O152" s="429">
        <v>-611301.31000000006</v>
      </c>
      <c r="P152" s="52">
        <v>-506561.82</v>
      </c>
      <c r="Q152" s="52">
        <v>-360950.73</v>
      </c>
      <c r="R152" s="52">
        <v>-592908.54</v>
      </c>
      <c r="S152" s="52">
        <v>-466509.73</v>
      </c>
      <c r="T152" s="52">
        <v>-474315.01</v>
      </c>
      <c r="U152" s="52">
        <v>-474968.93</v>
      </c>
      <c r="V152" s="52">
        <v>-455410.84</v>
      </c>
      <c r="W152" s="52">
        <v>-493864.73</v>
      </c>
      <c r="X152" s="52">
        <v>-448675.2</v>
      </c>
      <c r="Y152" s="52">
        <v>-444675.33</v>
      </c>
      <c r="Z152" s="52">
        <v>-453568.69</v>
      </c>
      <c r="AA152" s="52">
        <v>-435932.85</v>
      </c>
      <c r="AB152" s="52">
        <v>-411365.37</v>
      </c>
      <c r="AC152" s="52">
        <v>-452537.9</v>
      </c>
      <c r="AD152" s="52">
        <v>-476921.55</v>
      </c>
      <c r="AE152" s="52">
        <v>-431663.28</v>
      </c>
      <c r="AF152" s="52">
        <v>-436811.44</v>
      </c>
      <c r="AG152" s="52">
        <v>-427980.43</v>
      </c>
      <c r="AH152" s="52">
        <v>-417780.23</v>
      </c>
      <c r="AI152" s="52">
        <v>-459577.04</v>
      </c>
      <c r="AJ152" s="52">
        <v>-378295.55</v>
      </c>
      <c r="AK152" s="52">
        <v>-334710.21999999997</v>
      </c>
      <c r="AL152" s="52">
        <v>-324394.89</v>
      </c>
      <c r="AM152" s="52">
        <v>-348172.75</v>
      </c>
      <c r="AN152" s="52">
        <v>-308154.53999999998</v>
      </c>
      <c r="AO152" s="52">
        <v>-287464.53999999998</v>
      </c>
      <c r="AP152" s="52">
        <v>-382432.61</v>
      </c>
      <c r="AQ152" s="52">
        <v>-330258.15000000002</v>
      </c>
      <c r="AR152" s="52">
        <v>-413269.77</v>
      </c>
      <c r="AS152" s="52">
        <v>-334695.53000000003</v>
      </c>
      <c r="AT152" s="52">
        <v>-343338.03</v>
      </c>
      <c r="AU152" s="52">
        <v>-488691.16</v>
      </c>
      <c r="AV152" s="52">
        <v>-384924.71</v>
      </c>
      <c r="AW152" s="52">
        <v>-380035.14</v>
      </c>
      <c r="AX152" s="52">
        <v>-403856.21</v>
      </c>
      <c r="AY152" s="52">
        <v>-346076.29</v>
      </c>
      <c r="AZ152" s="52">
        <v>-370027.33</v>
      </c>
      <c r="BA152" s="52">
        <v>-335077.32</v>
      </c>
      <c r="BB152" s="52">
        <v>-389782.29</v>
      </c>
      <c r="BC152" s="52">
        <v>-365805.78</v>
      </c>
      <c r="BD152" s="52">
        <v>-374709.53</v>
      </c>
      <c r="BE152" s="52">
        <v>-402514.72</v>
      </c>
      <c r="BF152" s="52">
        <v>-383667.04</v>
      </c>
      <c r="BG152" s="52">
        <v>-542998.73</v>
      </c>
      <c r="BH152" s="52">
        <v>-482940.07</v>
      </c>
      <c r="BI152" s="52">
        <v>-907261.51</v>
      </c>
      <c r="BJ152" s="52">
        <v>-707589.8</v>
      </c>
      <c r="BK152" s="52">
        <v>-644405.22</v>
      </c>
      <c r="BL152" s="52">
        <v>-584679.62</v>
      </c>
      <c r="BM152" s="52">
        <v>-465463.27</v>
      </c>
      <c r="BN152" s="52">
        <v>-532751.46</v>
      </c>
      <c r="BO152" s="52">
        <v>-474564.4</v>
      </c>
      <c r="BP152" s="52">
        <v>-477933.41</v>
      </c>
      <c r="BQ152" s="52">
        <v>-454447.32</v>
      </c>
      <c r="BR152" s="52">
        <v>-485072.63</v>
      </c>
      <c r="BS152" s="52">
        <v>-483987.27</v>
      </c>
      <c r="BT152" s="52">
        <v>-455116.79</v>
      </c>
      <c r="BU152" s="52">
        <v>-495885.91</v>
      </c>
      <c r="BV152" s="52">
        <v>-428304.2</v>
      </c>
      <c r="BW152" s="52">
        <v>-506038.2</v>
      </c>
      <c r="BX152" s="52">
        <v>-476676.28</v>
      </c>
      <c r="BY152" s="52">
        <v>-444342.28</v>
      </c>
      <c r="BZ152" s="52">
        <v>-500429.97</v>
      </c>
      <c r="CA152" s="52">
        <v>-468588.49</v>
      </c>
      <c r="CB152" s="52">
        <v>-598264.98</v>
      </c>
      <c r="CC152" s="52">
        <v>-552419.28</v>
      </c>
      <c r="CD152" s="52">
        <v>-575609.87</v>
      </c>
      <c r="CE152" s="52">
        <v>-464216.31</v>
      </c>
      <c r="CF152" s="52">
        <v>-541237.72</v>
      </c>
      <c r="CG152" s="52">
        <v>-613356.75</v>
      </c>
      <c r="CH152" s="52">
        <v>-676878.01</v>
      </c>
      <c r="CI152" s="52">
        <v>-689529.56</v>
      </c>
      <c r="CJ152" s="52">
        <v>-532750.43000000005</v>
      </c>
      <c r="CK152" s="52">
        <v>-647225.18999999994</v>
      </c>
      <c r="CL152" s="52">
        <v>-716849.66</v>
      </c>
      <c r="CM152" s="52">
        <v>-683520.07</v>
      </c>
      <c r="CN152" s="52">
        <v>-680042.97</v>
      </c>
      <c r="CO152" s="52">
        <v>-674542.17</v>
      </c>
      <c r="CP152" s="52">
        <v>-696240.98</v>
      </c>
      <c r="CQ152" s="52">
        <v>-670679.44999999995</v>
      </c>
      <c r="CR152" s="52">
        <v>-815495.44</v>
      </c>
      <c r="CS152" s="52">
        <v>-747224.63</v>
      </c>
      <c r="CT152" s="52">
        <v>-726249.78</v>
      </c>
      <c r="CU152" s="52">
        <v>-778460.84</v>
      </c>
      <c r="CV152" s="430">
        <f t="shared" si="4"/>
        <v>-8369281.6100000013</v>
      </c>
    </row>
    <row r="153" spans="1:100">
      <c r="A153" s="540" t="str">
        <f t="shared" si="5"/>
        <v>6019910</v>
      </c>
      <c r="B153" s="541" t="s">
        <v>1977</v>
      </c>
      <c r="C153" s="463" t="s">
        <v>1069</v>
      </c>
      <c r="D153" s="426">
        <v>-34881.93</v>
      </c>
      <c r="E153" s="426">
        <v>-33750.76</v>
      </c>
      <c r="F153" s="426">
        <v>-39498.300000000003</v>
      </c>
      <c r="G153" s="426">
        <v>-42403.11</v>
      </c>
      <c r="H153" s="426">
        <v>-51484.43</v>
      </c>
      <c r="I153" s="426">
        <v>-38548.230000000003</v>
      </c>
      <c r="J153" s="426">
        <v>-39699.47</v>
      </c>
      <c r="K153" s="426">
        <v>-68918.679999999993</v>
      </c>
      <c r="L153" s="426">
        <v>-84317.6</v>
      </c>
      <c r="M153" s="426">
        <v>-79484.039999999994</v>
      </c>
      <c r="N153" s="426">
        <v>-82362.7</v>
      </c>
      <c r="O153" s="427">
        <v>-76641.850000000006</v>
      </c>
      <c r="P153" s="52">
        <v>-60163.97</v>
      </c>
      <c r="Q153" s="52">
        <v>-41244.5</v>
      </c>
      <c r="R153" s="52">
        <v>-77431.990000000005</v>
      </c>
      <c r="S153" s="52">
        <v>-48683.66</v>
      </c>
      <c r="T153" s="52">
        <v>-86649.65</v>
      </c>
      <c r="U153" s="52">
        <v>-69488.89</v>
      </c>
      <c r="V153" s="52">
        <v>-69698.39</v>
      </c>
      <c r="W153" s="52">
        <v>-73526.89</v>
      </c>
      <c r="X153" s="52">
        <v>-56612.41</v>
      </c>
      <c r="Y153" s="52">
        <v>-71237.149999999994</v>
      </c>
      <c r="Z153" s="52">
        <v>-86014.84</v>
      </c>
      <c r="AA153" s="52">
        <v>-142692.04999999999</v>
      </c>
      <c r="AB153" s="52">
        <v>-48359.89</v>
      </c>
      <c r="AC153" s="52">
        <v>-57141.5</v>
      </c>
      <c r="AD153" s="52">
        <v>-69073.78</v>
      </c>
      <c r="AE153" s="52">
        <v>-59499.07</v>
      </c>
      <c r="AF153" s="52">
        <v>-59221.18</v>
      </c>
      <c r="AG153" s="52">
        <v>-61461.69</v>
      </c>
      <c r="AH153" s="52">
        <v>-65039.15</v>
      </c>
      <c r="AI153" s="52">
        <v>-66075.520000000004</v>
      </c>
      <c r="AJ153" s="52">
        <v>-66498.2</v>
      </c>
      <c r="AK153" s="52">
        <v>-150670.99</v>
      </c>
      <c r="AL153" s="52">
        <v>-64510.239999999998</v>
      </c>
      <c r="AM153" s="52">
        <v>-93801.61</v>
      </c>
      <c r="AN153" s="52">
        <v>-51286.559999999998</v>
      </c>
      <c r="AO153" s="52">
        <v>-64887.17</v>
      </c>
      <c r="AP153" s="52">
        <v>-66498.39</v>
      </c>
      <c r="AQ153" s="52">
        <v>-98184.58</v>
      </c>
      <c r="AR153" s="52">
        <v>-74503.28</v>
      </c>
      <c r="AS153" s="52">
        <v>-65837.58</v>
      </c>
      <c r="AT153" s="52">
        <v>-61526.34</v>
      </c>
      <c r="AU153" s="52">
        <v>-84161.1</v>
      </c>
      <c r="AV153" s="52">
        <v>-151811.16</v>
      </c>
      <c r="AW153" s="52">
        <v>-82076.22</v>
      </c>
      <c r="AX153" s="52">
        <v>-117476.35</v>
      </c>
      <c r="AY153" s="52">
        <v>-81959.429999999993</v>
      </c>
      <c r="AZ153" s="52">
        <v>-77313.22</v>
      </c>
      <c r="BA153" s="52">
        <v>-83203.98</v>
      </c>
      <c r="BB153" s="52">
        <v>-63184.31</v>
      </c>
      <c r="BC153" s="52">
        <v>-68799.13</v>
      </c>
      <c r="BD153" s="52">
        <v>-56310.239999999998</v>
      </c>
      <c r="BE153" s="52">
        <v>-58128.33</v>
      </c>
      <c r="BF153" s="52">
        <v>-63394.25</v>
      </c>
      <c r="BG153" s="52">
        <v>-81013.02</v>
      </c>
      <c r="BH153" s="52">
        <v>-90887.97</v>
      </c>
      <c r="BI153" s="52">
        <v>-596337.19999999995</v>
      </c>
      <c r="BJ153" s="52">
        <v>-368565.12</v>
      </c>
      <c r="BK153" s="52">
        <v>-131559.96</v>
      </c>
      <c r="BL153" s="52">
        <v>-100447.99</v>
      </c>
      <c r="BM153" s="52">
        <v>-72955.22</v>
      </c>
      <c r="BN153" s="52">
        <v>-64315.45</v>
      </c>
      <c r="BO153" s="52">
        <v>-72700.72</v>
      </c>
      <c r="BP153" s="52">
        <v>-89418.38</v>
      </c>
      <c r="BQ153" s="52">
        <v>-66315.97</v>
      </c>
      <c r="BR153" s="52">
        <v>-67379.399999999994</v>
      </c>
      <c r="BS153" s="52">
        <v>-81053.48</v>
      </c>
      <c r="BT153" s="52">
        <v>-66158.3</v>
      </c>
      <c r="BU153" s="52">
        <v>-82997.39</v>
      </c>
      <c r="BV153" s="52">
        <v>-72749.960000000006</v>
      </c>
      <c r="BW153" s="52">
        <v>-121794.16</v>
      </c>
      <c r="BX153" s="52">
        <v>-105185.26</v>
      </c>
      <c r="BY153" s="52">
        <v>-66569.399999999994</v>
      </c>
      <c r="BZ153" s="52">
        <v>-86937.4</v>
      </c>
      <c r="CA153" s="52">
        <v>-39094.79</v>
      </c>
      <c r="CB153" s="52">
        <v>-33617.5</v>
      </c>
      <c r="CC153" s="52">
        <v>-47989.85</v>
      </c>
      <c r="CD153" s="52">
        <v>-62520.15</v>
      </c>
      <c r="CE153" s="52">
        <v>-85945.91</v>
      </c>
      <c r="CF153" s="52">
        <v>-75018.990000000005</v>
      </c>
      <c r="CG153" s="52">
        <v>-95185.9</v>
      </c>
      <c r="CH153" s="52">
        <v>-136228.85</v>
      </c>
      <c r="CI153" s="52">
        <v>-125766.88</v>
      </c>
      <c r="CJ153" s="52">
        <v>-94568.77</v>
      </c>
      <c r="CK153" s="52">
        <v>-86407.41</v>
      </c>
      <c r="CL153" s="52">
        <v>-107875.88</v>
      </c>
      <c r="CM153" s="52">
        <v>-97068.56</v>
      </c>
      <c r="CN153" s="52">
        <v>-116449.31</v>
      </c>
      <c r="CO153" s="52">
        <v>-114814.39999999999</v>
      </c>
      <c r="CP153" s="52">
        <v>-125281.27</v>
      </c>
      <c r="CQ153" s="52">
        <v>-112991.1</v>
      </c>
      <c r="CR153" s="52">
        <v>-104697.83</v>
      </c>
      <c r="CS153" s="52">
        <v>-121940.85</v>
      </c>
      <c r="CT153" s="52">
        <v>-106943.98</v>
      </c>
      <c r="CU153" s="52">
        <v>-124223.35</v>
      </c>
      <c r="CV153" s="430">
        <f t="shared" si="4"/>
        <v>-1313262.71</v>
      </c>
    </row>
    <row r="154" spans="1:100">
      <c r="A154" s="540" t="str">
        <f t="shared" si="5"/>
        <v>6020010</v>
      </c>
      <c r="B154" s="541" t="s">
        <v>1978</v>
      </c>
      <c r="C154" s="463" t="s">
        <v>1070</v>
      </c>
      <c r="D154" s="428">
        <v>5742.89</v>
      </c>
      <c r="E154" s="428">
        <v>8383.6</v>
      </c>
      <c r="F154" s="428">
        <v>5756.23</v>
      </c>
      <c r="G154" s="428">
        <v>8592.99</v>
      </c>
      <c r="H154" s="428">
        <v>5770.43</v>
      </c>
      <c r="I154" s="428">
        <v>5736.55</v>
      </c>
      <c r="J154" s="428">
        <v>8428.25</v>
      </c>
      <c r="K154" s="428">
        <v>5717.38</v>
      </c>
      <c r="L154" s="428">
        <v>5770.76</v>
      </c>
      <c r="M154" s="428">
        <v>5706.22</v>
      </c>
      <c r="N154" s="428">
        <v>8588.56</v>
      </c>
      <c r="O154" s="429">
        <v>5820.32</v>
      </c>
      <c r="P154" s="52">
        <v>5787.25</v>
      </c>
      <c r="Q154" s="52">
        <v>8564.2999999999993</v>
      </c>
      <c r="R154" s="52">
        <v>5680.11</v>
      </c>
      <c r="S154" s="52">
        <v>5685.31</v>
      </c>
      <c r="T154" s="52">
        <v>8384.3700000000008</v>
      </c>
      <c r="U154" s="52">
        <v>5686.93</v>
      </c>
      <c r="V154" s="52">
        <v>8653.8700000000008</v>
      </c>
      <c r="W154" s="52">
        <v>5724.73</v>
      </c>
      <c r="X154" s="52">
        <v>5720.22</v>
      </c>
      <c r="Y154" s="52">
        <v>0</v>
      </c>
      <c r="Z154" s="52">
        <v>14430.17</v>
      </c>
      <c r="AA154" s="52">
        <v>6040.03</v>
      </c>
      <c r="AB154" s="52">
        <v>8786.24</v>
      </c>
      <c r="AC154" s="52">
        <v>6101.03</v>
      </c>
      <c r="AD154" s="52">
        <v>6101.82</v>
      </c>
      <c r="AE154" s="52">
        <v>6114.41</v>
      </c>
      <c r="AF154" s="52">
        <v>8494.51</v>
      </c>
      <c r="AG154" s="52">
        <v>8366.85</v>
      </c>
      <c r="AH154" s="52">
        <v>6432.26</v>
      </c>
      <c r="AI154" s="52">
        <v>7592</v>
      </c>
      <c r="AJ154" s="52">
        <v>7008.39</v>
      </c>
      <c r="AK154" s="52">
        <v>6480.03</v>
      </c>
      <c r="AL154" s="52">
        <v>7051.05</v>
      </c>
      <c r="AM154" s="52">
        <v>7629.31</v>
      </c>
      <c r="AN154" s="52">
        <v>7182.31</v>
      </c>
      <c r="AO154" s="52">
        <v>4954.2700000000004</v>
      </c>
      <c r="AP154" s="52">
        <v>9779.91</v>
      </c>
      <c r="AQ154" s="52">
        <v>7334.49</v>
      </c>
      <c r="AR154" s="52">
        <v>6746.91</v>
      </c>
      <c r="AS154" s="52">
        <v>6950.15</v>
      </c>
      <c r="AT154" s="52">
        <v>6932.93</v>
      </c>
      <c r="AU154" s="52">
        <v>8050.59</v>
      </c>
      <c r="AV154" s="52">
        <v>9223.18</v>
      </c>
      <c r="AW154" s="52">
        <v>6929.52</v>
      </c>
      <c r="AX154" s="52">
        <v>8078.67</v>
      </c>
      <c r="AY154" s="52">
        <v>6980.92</v>
      </c>
      <c r="AZ154" s="52">
        <v>7267.32</v>
      </c>
      <c r="BA154" s="52">
        <v>5467.57</v>
      </c>
      <c r="BB154" s="52">
        <v>8944.1</v>
      </c>
      <c r="BC154" s="52">
        <v>6057.64</v>
      </c>
      <c r="BD154" s="52">
        <v>7890.54</v>
      </c>
      <c r="BE154" s="52">
        <v>6650.31</v>
      </c>
      <c r="BF154" s="52">
        <v>8425.1299999999992</v>
      </c>
      <c r="BG154" s="52">
        <v>7446.02</v>
      </c>
      <c r="BH154" s="52">
        <v>7297.11</v>
      </c>
      <c r="BI154" s="52">
        <v>7973.91</v>
      </c>
      <c r="BJ154" s="52">
        <v>7434.04</v>
      </c>
      <c r="BK154" s="52">
        <v>6898.16</v>
      </c>
      <c r="BL154" s="52">
        <v>4169.1000000000004</v>
      </c>
      <c r="BM154" s="52">
        <v>6520.78</v>
      </c>
      <c r="BN154" s="52">
        <v>4349.0600000000004</v>
      </c>
      <c r="BO154" s="52">
        <v>8054.37</v>
      </c>
      <c r="BP154" s="52">
        <v>4330.29</v>
      </c>
      <c r="BQ154" s="52">
        <v>4580.7299999999996</v>
      </c>
      <c r="BR154" s="52">
        <v>4893.76</v>
      </c>
      <c r="BS154" s="52">
        <v>5003.6400000000003</v>
      </c>
      <c r="BT154" s="52">
        <v>4830.84</v>
      </c>
      <c r="BU154" s="52">
        <v>3843.08</v>
      </c>
      <c r="BV154" s="52">
        <v>5268.36</v>
      </c>
      <c r="BW154" s="52">
        <v>5090.57</v>
      </c>
      <c r="BX154" s="52">
        <v>3205.28</v>
      </c>
      <c r="BY154" s="52">
        <v>4471.03</v>
      </c>
      <c r="BZ154" s="52">
        <v>3674.79</v>
      </c>
      <c r="CA154" s="52">
        <v>7162.91</v>
      </c>
      <c r="CB154" s="52">
        <v>2091.96</v>
      </c>
      <c r="CC154" s="52">
        <v>7535.05</v>
      </c>
      <c r="CD154" s="52">
        <v>5147.38</v>
      </c>
      <c r="CE154" s="52">
        <v>5008.92</v>
      </c>
      <c r="CF154" s="52">
        <v>989.04</v>
      </c>
      <c r="CG154" s="52">
        <v>8380.84</v>
      </c>
      <c r="CH154" s="52">
        <v>5532.3</v>
      </c>
      <c r="CI154" s="52">
        <v>4809.63</v>
      </c>
      <c r="CJ154" s="52">
        <v>4523.57</v>
      </c>
      <c r="CK154" s="52">
        <v>4408.75</v>
      </c>
      <c r="CL154" s="52">
        <v>5586.11</v>
      </c>
      <c r="CM154" s="52">
        <v>3581.58</v>
      </c>
      <c r="CN154" s="52">
        <v>5276.05</v>
      </c>
      <c r="CO154" s="52">
        <v>4337.71</v>
      </c>
      <c r="CP154" s="52">
        <v>5929.56</v>
      </c>
      <c r="CQ154" s="52">
        <v>4877.12</v>
      </c>
      <c r="CR154" s="52">
        <v>3940.36</v>
      </c>
      <c r="CS154" s="52">
        <v>3519.54</v>
      </c>
      <c r="CT154" s="52">
        <v>5754.74</v>
      </c>
      <c r="CU154" s="52">
        <v>5169.38</v>
      </c>
      <c r="CV154" s="430">
        <f t="shared" si="4"/>
        <v>56904.47</v>
      </c>
    </row>
    <row r="155" spans="1:100">
      <c r="A155" s="540" t="str">
        <f t="shared" si="5"/>
        <v>6020020</v>
      </c>
      <c r="B155" s="541" t="s">
        <v>1979</v>
      </c>
      <c r="C155" s="463" t="s">
        <v>1071</v>
      </c>
      <c r="D155" s="426">
        <v>3827.33</v>
      </c>
      <c r="E155" s="426">
        <v>0</v>
      </c>
      <c r="F155" s="426">
        <v>1866.38</v>
      </c>
      <c r="G155" s="426">
        <v>2425.04</v>
      </c>
      <c r="H155" s="426">
        <v>9718.09</v>
      </c>
      <c r="I155" s="426">
        <v>5656.35</v>
      </c>
      <c r="J155" s="426">
        <v>4102.8999999999996</v>
      </c>
      <c r="K155" s="426">
        <v>5303.26</v>
      </c>
      <c r="L155" s="426">
        <v>3467.26</v>
      </c>
      <c r="M155" s="426">
        <v>7945.13</v>
      </c>
      <c r="N155" s="426">
        <v>0</v>
      </c>
      <c r="O155" s="427">
        <v>9551.83</v>
      </c>
      <c r="P155" s="52">
        <v>3144.59</v>
      </c>
      <c r="Q155" s="52">
        <v>0</v>
      </c>
      <c r="R155" s="52">
        <v>6500.72</v>
      </c>
      <c r="S155" s="52">
        <v>1728.32</v>
      </c>
      <c r="T155" s="52">
        <v>11002.73</v>
      </c>
      <c r="U155" s="52">
        <v>2291.6</v>
      </c>
      <c r="V155" s="52">
        <v>9850.2800000000007</v>
      </c>
      <c r="W155" s="52">
        <v>11920.59</v>
      </c>
      <c r="X155" s="52">
        <v>693</v>
      </c>
      <c r="Y155" s="52">
        <v>6089.23</v>
      </c>
      <c r="Z155" s="52">
        <v>1453.17</v>
      </c>
      <c r="AA155" s="52">
        <v>8203.67</v>
      </c>
      <c r="AB155" s="52">
        <v>10560.69</v>
      </c>
      <c r="AC155" s="52">
        <v>0</v>
      </c>
      <c r="AD155" s="52">
        <v>5630.87</v>
      </c>
      <c r="AE155" s="52">
        <v>0</v>
      </c>
      <c r="AF155" s="52">
        <v>9804.32</v>
      </c>
      <c r="AG155" s="52">
        <v>2628.32</v>
      </c>
      <c r="AH155" s="52">
        <v>1945.68</v>
      </c>
      <c r="AI155" s="52">
        <v>5715.09</v>
      </c>
      <c r="AJ155" s="52">
        <v>1511.64</v>
      </c>
      <c r="AK155" s="52">
        <v>1314.89</v>
      </c>
      <c r="AL155" s="52">
        <v>2680.94</v>
      </c>
      <c r="AM155" s="52">
        <v>6974.93</v>
      </c>
      <c r="AN155" s="52">
        <v>1084.45</v>
      </c>
      <c r="AO155" s="52">
        <v>3784.74</v>
      </c>
      <c r="AP155" s="52">
        <v>5598.52</v>
      </c>
      <c r="AQ155" s="52">
        <v>0</v>
      </c>
      <c r="AR155" s="52">
        <v>6579.64</v>
      </c>
      <c r="AS155" s="52">
        <v>-600</v>
      </c>
      <c r="AT155" s="52">
        <v>6475.38</v>
      </c>
      <c r="AU155" s="52">
        <v>2677.15</v>
      </c>
      <c r="AV155" s="52">
        <v>3613.03</v>
      </c>
      <c r="AW155" s="52">
        <v>2198.34</v>
      </c>
      <c r="AX155" s="52">
        <v>313.17</v>
      </c>
      <c r="AY155" s="52">
        <v>5981.4</v>
      </c>
      <c r="AZ155" s="52">
        <v>6486.19</v>
      </c>
      <c r="BA155" s="52">
        <v>0</v>
      </c>
      <c r="BB155" s="52">
        <v>1143.0999999999999</v>
      </c>
      <c r="BC155" s="52">
        <v>0</v>
      </c>
      <c r="BD155" s="52">
        <v>1278.77</v>
      </c>
      <c r="BE155" s="52">
        <v>313.17</v>
      </c>
      <c r="BF155" s="52">
        <v>2490.16</v>
      </c>
      <c r="BG155" s="52">
        <v>3094.75</v>
      </c>
      <c r="BH155" s="52">
        <v>8109.39</v>
      </c>
      <c r="BI155" s="52">
        <v>3345.2</v>
      </c>
      <c r="BJ155" s="52">
        <v>778.14</v>
      </c>
      <c r="BK155" s="52">
        <v>4114.47</v>
      </c>
      <c r="BL155" s="52">
        <v>479.52</v>
      </c>
      <c r="BM155" s="52">
        <v>0</v>
      </c>
      <c r="BN155" s="52">
        <v>4175.83</v>
      </c>
      <c r="BO155" s="52">
        <v>0</v>
      </c>
      <c r="BP155" s="52">
        <v>7025.63</v>
      </c>
      <c r="BQ155" s="52">
        <v>1673.7</v>
      </c>
      <c r="BR155" s="52">
        <v>456.37</v>
      </c>
      <c r="BS155" s="52">
        <v>7024.85</v>
      </c>
      <c r="BT155" s="52">
        <v>5557.48</v>
      </c>
      <c r="BU155" s="52">
        <v>10275.25</v>
      </c>
      <c r="BV155" s="52">
        <v>2299.25</v>
      </c>
      <c r="BW155" s="52">
        <v>7585.29</v>
      </c>
      <c r="BX155" s="52">
        <v>5152.88</v>
      </c>
      <c r="BY155" s="52">
        <v>0</v>
      </c>
      <c r="BZ155" s="52">
        <v>4987.41</v>
      </c>
      <c r="CA155" s="52">
        <v>313.17</v>
      </c>
      <c r="CB155" s="52">
        <v>8401.26</v>
      </c>
      <c r="CC155" s="52">
        <v>1608.57</v>
      </c>
      <c r="CD155" s="52">
        <v>9938.5300000000007</v>
      </c>
      <c r="CE155" s="52">
        <v>0</v>
      </c>
      <c r="CF155" s="52">
        <v>6520.83</v>
      </c>
      <c r="CG155" s="52">
        <v>10282.540000000001</v>
      </c>
      <c r="CH155" s="52">
        <v>0</v>
      </c>
      <c r="CI155" s="52">
        <v>2102</v>
      </c>
      <c r="CJ155" s="52">
        <v>0</v>
      </c>
      <c r="CK155" s="52">
        <v>2569.79</v>
      </c>
      <c r="CL155" s="52">
        <v>3085.73</v>
      </c>
      <c r="CM155" s="52">
        <v>0</v>
      </c>
      <c r="CN155" s="52">
        <v>16000.11</v>
      </c>
      <c r="CO155" s="52">
        <v>3267.75</v>
      </c>
      <c r="CP155" s="52">
        <v>7384.64</v>
      </c>
      <c r="CQ155" s="52">
        <v>1720.57</v>
      </c>
      <c r="CR155" s="52">
        <v>2648.31</v>
      </c>
      <c r="CS155" s="52">
        <v>3251.96</v>
      </c>
      <c r="CT155" s="52">
        <v>670.57</v>
      </c>
      <c r="CU155" s="52">
        <v>10121.32</v>
      </c>
      <c r="CV155" s="430">
        <f t="shared" si="4"/>
        <v>50720.75</v>
      </c>
    </row>
    <row r="156" spans="1:100">
      <c r="A156" s="540" t="str">
        <f t="shared" si="5"/>
        <v>6020030</v>
      </c>
      <c r="B156" s="541" t="s">
        <v>1980</v>
      </c>
      <c r="C156" s="463" t="s">
        <v>1072</v>
      </c>
      <c r="D156" s="426">
        <v>5271.93</v>
      </c>
      <c r="E156" s="426">
        <v>7101.76</v>
      </c>
      <c r="F156" s="426">
        <v>7114.74</v>
      </c>
      <c r="G156" s="426">
        <v>7054.32</v>
      </c>
      <c r="H156" s="426">
        <v>7065.84</v>
      </c>
      <c r="I156" s="426">
        <v>7066.17</v>
      </c>
      <c r="J156" s="426">
        <v>7072.53</v>
      </c>
      <c r="K156" s="426">
        <v>7089.62</v>
      </c>
      <c r="L156" s="426">
        <v>7118.53</v>
      </c>
      <c r="M156" s="426">
        <v>7120.87</v>
      </c>
      <c r="N156" s="426">
        <v>7136.27</v>
      </c>
      <c r="O156" s="427">
        <v>3307.67</v>
      </c>
      <c r="P156" s="52">
        <v>3221.77</v>
      </c>
      <c r="Q156" s="52">
        <v>3175.85</v>
      </c>
      <c r="R156" s="52">
        <v>3203.85</v>
      </c>
      <c r="S156" s="52">
        <v>3188.1</v>
      </c>
      <c r="T156" s="52">
        <v>3190.34</v>
      </c>
      <c r="U156" s="52">
        <v>3187.47</v>
      </c>
      <c r="V156" s="52">
        <v>3177.11</v>
      </c>
      <c r="W156" s="52">
        <v>3175.57</v>
      </c>
      <c r="X156" s="52">
        <v>3195.38</v>
      </c>
      <c r="Y156" s="52">
        <v>0</v>
      </c>
      <c r="Z156" s="52">
        <v>6473.99</v>
      </c>
      <c r="AA156" s="52">
        <v>3289.32</v>
      </c>
      <c r="AB156" s="52">
        <v>3354.86</v>
      </c>
      <c r="AC156" s="52">
        <v>3397.7</v>
      </c>
      <c r="AD156" s="52">
        <v>3394.9</v>
      </c>
      <c r="AE156" s="52">
        <v>3404.28</v>
      </c>
      <c r="AF156" s="52">
        <v>3433.05</v>
      </c>
      <c r="AG156" s="52">
        <v>3432.42</v>
      </c>
      <c r="AH156" s="52">
        <v>3466.23</v>
      </c>
      <c r="AI156" s="52">
        <v>3495.28</v>
      </c>
      <c r="AJ156" s="52">
        <v>3536.16</v>
      </c>
      <c r="AK156" s="52">
        <v>3570.52</v>
      </c>
      <c r="AL156" s="52">
        <v>3569.55</v>
      </c>
      <c r="AM156" s="52">
        <v>3552.26</v>
      </c>
      <c r="AN156" s="52">
        <v>3609.78</v>
      </c>
      <c r="AO156" s="52">
        <v>73.5</v>
      </c>
      <c r="AP156" s="52">
        <v>17413.64</v>
      </c>
      <c r="AQ156" s="52">
        <v>6932.99</v>
      </c>
      <c r="AR156" s="52">
        <v>6918.78</v>
      </c>
      <c r="AS156" s="52">
        <v>6974.35</v>
      </c>
      <c r="AT156" s="52">
        <v>6925.46</v>
      </c>
      <c r="AU156" s="52">
        <v>7122.48</v>
      </c>
      <c r="AV156" s="52">
        <v>7184.02</v>
      </c>
      <c r="AW156" s="52">
        <v>7187.2</v>
      </c>
      <c r="AX156" s="52">
        <v>7189.98</v>
      </c>
      <c r="AY156" s="52">
        <v>7199.76</v>
      </c>
      <c r="AZ156" s="52">
        <v>7369.66</v>
      </c>
      <c r="BA156" s="52">
        <v>7315.59</v>
      </c>
      <c r="BB156" s="52">
        <v>7460.9</v>
      </c>
      <c r="BC156" s="52">
        <v>7477.46</v>
      </c>
      <c r="BD156" s="52">
        <v>7530.05</v>
      </c>
      <c r="BE156" s="52">
        <v>7491.39</v>
      </c>
      <c r="BF156" s="52">
        <v>7485.46</v>
      </c>
      <c r="BG156" s="52">
        <v>7729.23</v>
      </c>
      <c r="BH156" s="52">
        <v>7744.3</v>
      </c>
      <c r="BI156" s="52">
        <v>7877.07</v>
      </c>
      <c r="BJ156" s="52">
        <v>7997.1</v>
      </c>
      <c r="BK156" s="52">
        <v>7977.16</v>
      </c>
      <c r="BL156" s="52">
        <v>0</v>
      </c>
      <c r="BM156" s="52">
        <v>177.84</v>
      </c>
      <c r="BN156" s="52">
        <v>6624.31</v>
      </c>
      <c r="BO156" s="52">
        <v>6629.11</v>
      </c>
      <c r="BP156" s="52">
        <v>6658.06</v>
      </c>
      <c r="BQ156" s="52">
        <v>7104.33</v>
      </c>
      <c r="BR156" s="52">
        <v>6731.47</v>
      </c>
      <c r="BS156" s="52">
        <v>6752.79</v>
      </c>
      <c r="BT156" s="52">
        <v>7263.47</v>
      </c>
      <c r="BU156" s="52">
        <v>0</v>
      </c>
      <c r="BV156" s="52">
        <v>14673.68</v>
      </c>
      <c r="BW156" s="52">
        <v>14304.33</v>
      </c>
      <c r="BX156" s="52">
        <v>6000</v>
      </c>
      <c r="BY156" s="52">
        <v>8622.19</v>
      </c>
      <c r="BZ156" s="52">
        <v>7754.41</v>
      </c>
      <c r="CA156" s="52">
        <v>7176.7</v>
      </c>
      <c r="CB156" s="52">
        <v>7701.91</v>
      </c>
      <c r="CC156" s="52">
        <v>7496.76</v>
      </c>
      <c r="CD156" s="52">
        <v>7566.07</v>
      </c>
      <c r="CE156" s="52">
        <v>7592.75</v>
      </c>
      <c r="CF156" s="52">
        <v>7619.76</v>
      </c>
      <c r="CG156" s="52">
        <v>7660.35</v>
      </c>
      <c r="CH156" s="52">
        <v>7662.29</v>
      </c>
      <c r="CI156" s="52">
        <v>7507.7</v>
      </c>
      <c r="CJ156" s="52">
        <v>8015.45</v>
      </c>
      <c r="CK156" s="52">
        <v>7811.73</v>
      </c>
      <c r="CL156" s="52">
        <v>7841.72</v>
      </c>
      <c r="CM156" s="52">
        <v>7755.53</v>
      </c>
      <c r="CN156" s="52">
        <v>7549.65</v>
      </c>
      <c r="CO156" s="52">
        <v>7891.42</v>
      </c>
      <c r="CP156" s="52">
        <v>7768.64</v>
      </c>
      <c r="CQ156" s="52">
        <v>7788.82</v>
      </c>
      <c r="CR156" s="52">
        <v>7887.43</v>
      </c>
      <c r="CS156" s="52">
        <v>0</v>
      </c>
      <c r="CT156" s="52">
        <v>7923.23</v>
      </c>
      <c r="CU156" s="52">
        <v>15996.24</v>
      </c>
      <c r="CV156" s="430">
        <f t="shared" si="4"/>
        <v>94229.86</v>
      </c>
    </row>
    <row r="157" spans="1:100">
      <c r="A157" s="540" t="str">
        <f t="shared" si="5"/>
        <v>6020040</v>
      </c>
      <c r="B157" s="541" t="s">
        <v>1981</v>
      </c>
      <c r="C157" s="463" t="s">
        <v>1073</v>
      </c>
      <c r="D157" s="428">
        <v>1608.9</v>
      </c>
      <c r="E157" s="428">
        <v>1608.9</v>
      </c>
      <c r="F157" s="428">
        <v>1463.5</v>
      </c>
      <c r="G157" s="428">
        <v>1569.2</v>
      </c>
      <c r="H157" s="428">
        <v>0</v>
      </c>
      <c r="I157" s="428">
        <v>3289.1</v>
      </c>
      <c r="J157" s="428">
        <v>1677.3</v>
      </c>
      <c r="K157" s="428">
        <v>1644.4</v>
      </c>
      <c r="L157" s="428">
        <v>1599.6</v>
      </c>
      <c r="M157" s="428">
        <v>1599.6</v>
      </c>
      <c r="N157" s="428">
        <v>0</v>
      </c>
      <c r="O157" s="429">
        <v>3303.2</v>
      </c>
      <c r="P157" s="52">
        <v>1652.4</v>
      </c>
      <c r="Q157" s="52">
        <v>1516.5</v>
      </c>
      <c r="R157" s="52">
        <v>1536.1</v>
      </c>
      <c r="S157" s="52">
        <v>1536.1</v>
      </c>
      <c r="T157" s="52">
        <v>1536.1</v>
      </c>
      <c r="U157" s="52">
        <v>1536.1</v>
      </c>
      <c r="V157" s="52">
        <v>0</v>
      </c>
      <c r="W157" s="52">
        <v>3122.3</v>
      </c>
      <c r="X157" s="52">
        <v>1456.1</v>
      </c>
      <c r="Y157" s="52">
        <v>1487.9</v>
      </c>
      <c r="Z157" s="52">
        <v>0</v>
      </c>
      <c r="AA157" s="52">
        <v>2941</v>
      </c>
      <c r="AB157" s="52">
        <v>0</v>
      </c>
      <c r="AC157" s="52">
        <v>2941</v>
      </c>
      <c r="AD157" s="52">
        <v>1432</v>
      </c>
      <c r="AE157" s="52">
        <v>1433.7</v>
      </c>
      <c r="AF157" s="52">
        <v>1584.9</v>
      </c>
      <c r="AG157" s="52">
        <v>1435.1</v>
      </c>
      <c r="AH157" s="52">
        <v>1422.5</v>
      </c>
      <c r="AI157" s="52">
        <v>1437.7</v>
      </c>
      <c r="AJ157" s="52">
        <v>1157.4000000000001</v>
      </c>
      <c r="AK157" s="52">
        <v>0</v>
      </c>
      <c r="AL157" s="52">
        <v>2628.4</v>
      </c>
      <c r="AM157" s="52">
        <v>1383.8</v>
      </c>
      <c r="AN157" s="52">
        <v>1301.9000000000001</v>
      </c>
      <c r="AO157" s="52">
        <v>1310.3</v>
      </c>
      <c r="AP157" s="52">
        <v>1309.5999999999999</v>
      </c>
      <c r="AQ157" s="52">
        <v>1288.4000000000001</v>
      </c>
      <c r="AR157" s="52">
        <v>1258.9000000000001</v>
      </c>
      <c r="AS157" s="52">
        <v>1268.5999999999999</v>
      </c>
      <c r="AT157" s="52">
        <v>0</v>
      </c>
      <c r="AU157" s="52">
        <v>4519.7</v>
      </c>
      <c r="AV157" s="52">
        <v>0</v>
      </c>
      <c r="AW157" s="52">
        <v>1525.9</v>
      </c>
      <c r="AX157" s="52">
        <v>4906.8999999999996</v>
      </c>
      <c r="AY157" s="52">
        <v>1595.2</v>
      </c>
      <c r="AZ157" s="52">
        <v>1580.2</v>
      </c>
      <c r="BA157" s="52">
        <v>1563</v>
      </c>
      <c r="BB157" s="52">
        <v>1558.1</v>
      </c>
      <c r="BC157" s="52">
        <v>1574.7</v>
      </c>
      <c r="BD157" s="52">
        <v>1719.01</v>
      </c>
      <c r="BE157" s="52">
        <v>1704.5</v>
      </c>
      <c r="BF157" s="52">
        <v>1561.7</v>
      </c>
      <c r="BG157" s="52">
        <v>981.9</v>
      </c>
      <c r="BH157" s="52">
        <v>1987.3</v>
      </c>
      <c r="BI157" s="52">
        <v>1950.9</v>
      </c>
      <c r="BJ157" s="52">
        <v>1963.6</v>
      </c>
      <c r="BK157" s="52">
        <v>2015.1</v>
      </c>
      <c r="BL157" s="52">
        <v>1930.9</v>
      </c>
      <c r="BM157" s="52">
        <v>1976.5</v>
      </c>
      <c r="BN157" s="52">
        <v>1923.9</v>
      </c>
      <c r="BO157" s="52">
        <v>1944.7</v>
      </c>
      <c r="BP157" s="52">
        <v>1946.8</v>
      </c>
      <c r="BQ157" s="52">
        <v>1945.1</v>
      </c>
      <c r="BR157" s="52">
        <v>1984.4</v>
      </c>
      <c r="BS157" s="52">
        <v>1942.9</v>
      </c>
      <c r="BT157" s="52">
        <v>2299.1999999999998</v>
      </c>
      <c r="BU157" s="52">
        <v>2452.6</v>
      </c>
      <c r="BV157" s="52">
        <v>2358.4</v>
      </c>
      <c r="BW157" s="52">
        <v>2350.1</v>
      </c>
      <c r="BX157" s="52">
        <v>2377</v>
      </c>
      <c r="BY157" s="52">
        <v>2392.5</v>
      </c>
      <c r="BZ157" s="52">
        <v>0</v>
      </c>
      <c r="CA157" s="52">
        <v>2380.6</v>
      </c>
      <c r="CB157" s="52">
        <v>2453.8000000000002</v>
      </c>
      <c r="CC157" s="52">
        <v>2427.5</v>
      </c>
      <c r="CD157" s="52">
        <v>2458.5</v>
      </c>
      <c r="CE157" s="52">
        <v>2483.4</v>
      </c>
      <c r="CF157" s="52">
        <v>2912.8</v>
      </c>
      <c r="CG157" s="52">
        <v>0</v>
      </c>
      <c r="CH157" s="52">
        <v>2919.6</v>
      </c>
      <c r="CI157" s="52">
        <v>5881</v>
      </c>
      <c r="CJ157" s="52">
        <v>0</v>
      </c>
      <c r="CK157" s="52">
        <v>2905.99</v>
      </c>
      <c r="CL157" s="52">
        <v>5838.1</v>
      </c>
      <c r="CM157" s="52">
        <v>0</v>
      </c>
      <c r="CN157" s="52">
        <v>2918.4</v>
      </c>
      <c r="CO157" s="52">
        <v>2865.14</v>
      </c>
      <c r="CP157" s="52">
        <v>5326.5</v>
      </c>
      <c r="CQ157" s="52">
        <v>0</v>
      </c>
      <c r="CR157" s="52">
        <v>2919.5</v>
      </c>
      <c r="CS157" s="52">
        <v>2935.5</v>
      </c>
      <c r="CT157" s="52">
        <v>0</v>
      </c>
      <c r="CU157" s="52">
        <v>5737.2</v>
      </c>
      <c r="CV157" s="430">
        <f t="shared" si="4"/>
        <v>31446.329999999998</v>
      </c>
    </row>
    <row r="158" spans="1:100">
      <c r="A158" s="540" t="str">
        <f t="shared" si="5"/>
        <v>6020050</v>
      </c>
      <c r="B158" s="541" t="s">
        <v>1982</v>
      </c>
      <c r="C158" s="463" t="s">
        <v>1074</v>
      </c>
      <c r="D158" s="428">
        <v>369577</v>
      </c>
      <c r="E158" s="428">
        <v>271332</v>
      </c>
      <c r="F158" s="428">
        <v>488040</v>
      </c>
      <c r="G158" s="428">
        <v>257464</v>
      </c>
      <c r="H158" s="428">
        <v>562679</v>
      </c>
      <c r="I158" s="428">
        <v>442489</v>
      </c>
      <c r="J158" s="428">
        <v>366678</v>
      </c>
      <c r="K158" s="428">
        <v>500791</v>
      </c>
      <c r="L158" s="428">
        <v>467130</v>
      </c>
      <c r="M158" s="428">
        <v>323653</v>
      </c>
      <c r="N158" s="428">
        <v>533974</v>
      </c>
      <c r="O158" s="429">
        <v>756975</v>
      </c>
      <c r="P158" s="52">
        <v>329583</v>
      </c>
      <c r="Q158" s="52">
        <v>346734</v>
      </c>
      <c r="R158" s="52">
        <v>482012</v>
      </c>
      <c r="S158" s="52">
        <v>214562</v>
      </c>
      <c r="T158" s="52">
        <v>602034</v>
      </c>
      <c r="U158" s="52">
        <v>481944</v>
      </c>
      <c r="V158" s="52">
        <v>239192</v>
      </c>
      <c r="W158" s="52">
        <v>572552</v>
      </c>
      <c r="X158" s="52">
        <v>242693</v>
      </c>
      <c r="Y158" s="52">
        <v>451930</v>
      </c>
      <c r="Z158" s="52">
        <v>628955</v>
      </c>
      <c r="AA158" s="52">
        <v>576677</v>
      </c>
      <c r="AB158" s="52">
        <v>401747</v>
      </c>
      <c r="AC158" s="52">
        <v>595715</v>
      </c>
      <c r="AD158" s="52">
        <v>257689</v>
      </c>
      <c r="AE158" s="52">
        <v>373084</v>
      </c>
      <c r="AF158" s="52">
        <v>513336</v>
      </c>
      <c r="AG158" s="52">
        <v>248101</v>
      </c>
      <c r="AH158" s="52">
        <v>384441</v>
      </c>
      <c r="AI158" s="52">
        <v>426890</v>
      </c>
      <c r="AJ158" s="52">
        <v>270910</v>
      </c>
      <c r="AK158" s="52">
        <v>505576</v>
      </c>
      <c r="AL158" s="52">
        <v>407653</v>
      </c>
      <c r="AM158" s="52">
        <v>638464</v>
      </c>
      <c r="AN158" s="52">
        <v>434393</v>
      </c>
      <c r="AO158" s="52">
        <v>260830</v>
      </c>
      <c r="AP158" s="52">
        <v>238936</v>
      </c>
      <c r="AQ158" s="52">
        <v>294959</v>
      </c>
      <c r="AR158" s="52">
        <v>250219.82</v>
      </c>
      <c r="AS158" s="52">
        <v>341916</v>
      </c>
      <c r="AT158" s="52">
        <v>308205</v>
      </c>
      <c r="AU158" s="52">
        <v>480507</v>
      </c>
      <c r="AV158" s="52">
        <v>178779</v>
      </c>
      <c r="AW158" s="52">
        <v>309328</v>
      </c>
      <c r="AX158" s="52">
        <v>513376</v>
      </c>
      <c r="AY158" s="52">
        <v>262763</v>
      </c>
      <c r="AZ158" s="52">
        <v>545878</v>
      </c>
      <c r="BA158" s="52">
        <v>362153</v>
      </c>
      <c r="BB158" s="52">
        <v>484912</v>
      </c>
      <c r="BC158" s="52">
        <v>588616</v>
      </c>
      <c r="BD158" s="52">
        <v>341869</v>
      </c>
      <c r="BE158" s="52">
        <v>661265</v>
      </c>
      <c r="BF158" s="52">
        <v>548926</v>
      </c>
      <c r="BG158" s="52">
        <v>658392</v>
      </c>
      <c r="BH158" s="52">
        <v>704135</v>
      </c>
      <c r="BI158" s="52">
        <v>871702</v>
      </c>
      <c r="BJ158" s="52">
        <v>980181</v>
      </c>
      <c r="BK158" s="52">
        <v>1002829</v>
      </c>
      <c r="BL158" s="52">
        <v>932637</v>
      </c>
      <c r="BM158" s="52">
        <v>500167</v>
      </c>
      <c r="BN158" s="52">
        <v>523026</v>
      </c>
      <c r="BO158" s="52">
        <v>588423</v>
      </c>
      <c r="BP158" s="52">
        <v>687838</v>
      </c>
      <c r="BQ158" s="52">
        <v>769703</v>
      </c>
      <c r="BR158" s="52">
        <v>290954</v>
      </c>
      <c r="BS158" s="52">
        <v>530915</v>
      </c>
      <c r="BT158" s="52">
        <v>361460</v>
      </c>
      <c r="BU158" s="52">
        <v>449870</v>
      </c>
      <c r="BV158" s="52">
        <v>379470</v>
      </c>
      <c r="BW158" s="52">
        <v>618873</v>
      </c>
      <c r="BX158" s="52">
        <v>344542</v>
      </c>
      <c r="BY158" s="52">
        <v>1119698</v>
      </c>
      <c r="BZ158" s="52">
        <v>489250</v>
      </c>
      <c r="CA158" s="52">
        <v>477693</v>
      </c>
      <c r="CB158" s="52">
        <v>306175</v>
      </c>
      <c r="CC158" s="52">
        <v>356288</v>
      </c>
      <c r="CD158" s="52">
        <v>393551</v>
      </c>
      <c r="CE158" s="52">
        <v>371737</v>
      </c>
      <c r="CF158" s="52">
        <v>281473</v>
      </c>
      <c r="CG158" s="52">
        <v>627260</v>
      </c>
      <c r="CH158" s="52">
        <v>973121</v>
      </c>
      <c r="CI158" s="52">
        <v>674775</v>
      </c>
      <c r="CJ158" s="52">
        <v>1157394</v>
      </c>
      <c r="CK158" s="52">
        <v>531719</v>
      </c>
      <c r="CL158" s="52">
        <v>923070</v>
      </c>
      <c r="CM158" s="52">
        <v>748611</v>
      </c>
      <c r="CN158" s="52">
        <v>646097</v>
      </c>
      <c r="CO158" s="52">
        <v>299837</v>
      </c>
      <c r="CP158" s="52">
        <v>827019</v>
      </c>
      <c r="CQ158" s="52">
        <v>1188490</v>
      </c>
      <c r="CR158" s="52">
        <v>280856.15000000002</v>
      </c>
      <c r="CS158" s="52">
        <v>740229</v>
      </c>
      <c r="CT158" s="52">
        <v>892356</v>
      </c>
      <c r="CU158" s="52">
        <v>637984</v>
      </c>
      <c r="CV158" s="430">
        <f t="shared" si="4"/>
        <v>8873662.1500000004</v>
      </c>
    </row>
    <row r="159" spans="1:100">
      <c r="A159" s="540" t="str">
        <f t="shared" si="5"/>
        <v>6020060</v>
      </c>
      <c r="B159" s="541" t="s">
        <v>1983</v>
      </c>
      <c r="C159" s="463" t="s">
        <v>1075</v>
      </c>
      <c r="D159" s="426">
        <v>148250</v>
      </c>
      <c r="E159" s="426">
        <v>148250</v>
      </c>
      <c r="F159" s="426">
        <v>148250</v>
      </c>
      <c r="G159" s="426">
        <v>143264</v>
      </c>
      <c r="H159" s="426">
        <v>147003</v>
      </c>
      <c r="I159" s="426">
        <v>147003</v>
      </c>
      <c r="J159" s="426">
        <v>147003</v>
      </c>
      <c r="K159" s="426">
        <v>147003</v>
      </c>
      <c r="L159" s="426">
        <v>134418</v>
      </c>
      <c r="M159" s="426">
        <v>134418</v>
      </c>
      <c r="N159" s="426">
        <v>134418</v>
      </c>
      <c r="O159" s="427">
        <v>134418</v>
      </c>
      <c r="P159" s="52">
        <v>95083</v>
      </c>
      <c r="Q159" s="52">
        <v>142852</v>
      </c>
      <c r="R159" s="52">
        <v>118966</v>
      </c>
      <c r="S159" s="52">
        <v>118966</v>
      </c>
      <c r="T159" s="52">
        <v>256696</v>
      </c>
      <c r="U159" s="52">
        <v>146512</v>
      </c>
      <c r="V159" s="52">
        <v>146512</v>
      </c>
      <c r="W159" s="52">
        <v>146512</v>
      </c>
      <c r="X159" s="52">
        <v>146512</v>
      </c>
      <c r="Y159" s="52">
        <v>146512</v>
      </c>
      <c r="Z159" s="52">
        <v>146512</v>
      </c>
      <c r="AA159" s="52">
        <v>146512</v>
      </c>
      <c r="AB159" s="52">
        <v>131121</v>
      </c>
      <c r="AC159" s="52">
        <v>131121</v>
      </c>
      <c r="AD159" s="52">
        <v>131121</v>
      </c>
      <c r="AE159" s="52">
        <v>155573</v>
      </c>
      <c r="AF159" s="52">
        <v>137234</v>
      </c>
      <c r="AG159" s="52">
        <v>137234</v>
      </c>
      <c r="AH159" s="52">
        <v>137234</v>
      </c>
      <c r="AI159" s="52">
        <v>137234</v>
      </c>
      <c r="AJ159" s="52">
        <v>167356</v>
      </c>
      <c r="AK159" s="52">
        <v>140581</v>
      </c>
      <c r="AL159" s="52">
        <v>140581</v>
      </c>
      <c r="AM159" s="52">
        <v>140581</v>
      </c>
      <c r="AN159" s="52">
        <v>127312</v>
      </c>
      <c r="AO159" s="52">
        <v>127312</v>
      </c>
      <c r="AP159" s="52">
        <v>127312</v>
      </c>
      <c r="AQ159" s="52">
        <v>127312</v>
      </c>
      <c r="AR159" s="52">
        <v>127312</v>
      </c>
      <c r="AS159" s="52">
        <v>201047</v>
      </c>
      <c r="AT159" s="52">
        <v>139601</v>
      </c>
      <c r="AU159" s="52">
        <v>139601</v>
      </c>
      <c r="AV159" s="52">
        <v>139601</v>
      </c>
      <c r="AW159" s="52">
        <v>139601</v>
      </c>
      <c r="AX159" s="52">
        <v>139601</v>
      </c>
      <c r="AY159" s="52">
        <v>139601</v>
      </c>
      <c r="AZ159" s="52">
        <v>129389</v>
      </c>
      <c r="BA159" s="52">
        <v>129389</v>
      </c>
      <c r="BB159" s="52">
        <v>129389</v>
      </c>
      <c r="BC159" s="52">
        <v>129389</v>
      </c>
      <c r="BD159" s="52">
        <v>259582</v>
      </c>
      <c r="BE159" s="52">
        <v>155428</v>
      </c>
      <c r="BF159" s="52">
        <v>155428</v>
      </c>
      <c r="BG159" s="52">
        <v>155428</v>
      </c>
      <c r="BH159" s="52">
        <v>155428</v>
      </c>
      <c r="BI159" s="52">
        <v>155428</v>
      </c>
      <c r="BJ159" s="52">
        <v>155428</v>
      </c>
      <c r="BK159" s="52">
        <v>155428</v>
      </c>
      <c r="BL159" s="52">
        <v>134112</v>
      </c>
      <c r="BM159" s="52">
        <v>134112</v>
      </c>
      <c r="BN159" s="52">
        <v>134112</v>
      </c>
      <c r="BO159" s="52">
        <v>134112</v>
      </c>
      <c r="BP159" s="52">
        <v>134112</v>
      </c>
      <c r="BQ159" s="52">
        <v>59826</v>
      </c>
      <c r="BR159" s="52">
        <v>121732</v>
      </c>
      <c r="BS159" s="52">
        <v>121732</v>
      </c>
      <c r="BT159" s="52">
        <v>121732</v>
      </c>
      <c r="BU159" s="52">
        <v>121732</v>
      </c>
      <c r="BV159" s="52">
        <v>145708</v>
      </c>
      <c r="BW159" s="52">
        <v>184229</v>
      </c>
      <c r="BX159" s="52">
        <v>147416</v>
      </c>
      <c r="BY159" s="52">
        <v>147416</v>
      </c>
      <c r="BZ159" s="52">
        <v>147416</v>
      </c>
      <c r="CA159" s="52">
        <v>147416</v>
      </c>
      <c r="CB159" s="52">
        <v>147416</v>
      </c>
      <c r="CC159" s="52">
        <v>218594</v>
      </c>
      <c r="CD159" s="52">
        <v>159280</v>
      </c>
      <c r="CE159" s="52">
        <v>159280</v>
      </c>
      <c r="CF159" s="52">
        <v>159280</v>
      </c>
      <c r="CG159" s="52">
        <v>159280</v>
      </c>
      <c r="CH159" s="52">
        <v>159280</v>
      </c>
      <c r="CI159" s="52">
        <v>159280</v>
      </c>
      <c r="CJ159" s="52">
        <v>152033</v>
      </c>
      <c r="CK159" s="52">
        <v>152033</v>
      </c>
      <c r="CL159" s="52">
        <v>152033</v>
      </c>
      <c r="CM159" s="52">
        <v>152033</v>
      </c>
      <c r="CN159" s="52">
        <v>152033</v>
      </c>
      <c r="CO159" s="52">
        <v>152033</v>
      </c>
      <c r="CP159" s="52">
        <v>335991</v>
      </c>
      <c r="CQ159" s="52">
        <v>178312</v>
      </c>
      <c r="CR159" s="52">
        <v>178312</v>
      </c>
      <c r="CS159" s="52">
        <v>178312</v>
      </c>
      <c r="CT159" s="52">
        <v>178312</v>
      </c>
      <c r="CU159" s="52">
        <v>178312</v>
      </c>
      <c r="CV159" s="430">
        <f t="shared" si="4"/>
        <v>2139749</v>
      </c>
    </row>
    <row r="160" spans="1:100">
      <c r="A160" s="540" t="str">
        <f t="shared" si="5"/>
        <v>6020080</v>
      </c>
      <c r="B160" s="541" t="s">
        <v>1984</v>
      </c>
      <c r="C160" s="463" t="s">
        <v>1076</v>
      </c>
      <c r="D160" s="426">
        <v>80417</v>
      </c>
      <c r="E160" s="426">
        <v>80417</v>
      </c>
      <c r="F160" s="426">
        <v>80417</v>
      </c>
      <c r="G160" s="426">
        <v>83969</v>
      </c>
      <c r="H160" s="426">
        <v>81305</v>
      </c>
      <c r="I160" s="426">
        <v>81305</v>
      </c>
      <c r="J160" s="426">
        <v>81305</v>
      </c>
      <c r="K160" s="426">
        <v>81305</v>
      </c>
      <c r="L160" s="426">
        <v>81305</v>
      </c>
      <c r="M160" s="426">
        <v>81305</v>
      </c>
      <c r="N160" s="426">
        <v>81305</v>
      </c>
      <c r="O160" s="427">
        <v>81305</v>
      </c>
      <c r="P160" s="52">
        <v>72667</v>
      </c>
      <c r="Q160" s="52">
        <v>72978</v>
      </c>
      <c r="R160" s="52">
        <v>72823</v>
      </c>
      <c r="S160" s="52">
        <v>72823</v>
      </c>
      <c r="T160" s="52">
        <v>65071</v>
      </c>
      <c r="U160" s="52">
        <v>71273</v>
      </c>
      <c r="V160" s="52">
        <v>71273</v>
      </c>
      <c r="W160" s="52">
        <v>71375.360000000001</v>
      </c>
      <c r="X160" s="52">
        <v>71273</v>
      </c>
      <c r="Y160" s="52">
        <v>71273</v>
      </c>
      <c r="Z160" s="52">
        <v>71273</v>
      </c>
      <c r="AA160" s="52">
        <v>71273</v>
      </c>
      <c r="AB160" s="52">
        <v>70082</v>
      </c>
      <c r="AC160" s="52">
        <v>70082</v>
      </c>
      <c r="AD160" s="52">
        <v>70082</v>
      </c>
      <c r="AE160" s="52">
        <v>67014</v>
      </c>
      <c r="AF160" s="52">
        <v>69315</v>
      </c>
      <c r="AG160" s="52">
        <v>69315</v>
      </c>
      <c r="AH160" s="52">
        <v>69315</v>
      </c>
      <c r="AI160" s="52">
        <v>69315</v>
      </c>
      <c r="AJ160" s="52">
        <v>71979</v>
      </c>
      <c r="AK160" s="52">
        <v>70203</v>
      </c>
      <c r="AL160" s="52">
        <v>70202</v>
      </c>
      <c r="AM160" s="52">
        <v>70202</v>
      </c>
      <c r="AN160" s="52">
        <v>69979</v>
      </c>
      <c r="AO160" s="52">
        <v>69979</v>
      </c>
      <c r="AP160" s="52">
        <v>69979</v>
      </c>
      <c r="AQ160" s="52">
        <v>69979</v>
      </c>
      <c r="AR160" s="52">
        <v>69979</v>
      </c>
      <c r="AS160" s="52">
        <v>64811</v>
      </c>
      <c r="AT160" s="52">
        <v>69118</v>
      </c>
      <c r="AU160" s="52">
        <v>69118</v>
      </c>
      <c r="AV160" s="52">
        <v>69118</v>
      </c>
      <c r="AW160" s="52">
        <v>69118</v>
      </c>
      <c r="AX160" s="52">
        <v>69118</v>
      </c>
      <c r="AY160" s="52">
        <v>69118</v>
      </c>
      <c r="AZ160" s="52">
        <v>73390</v>
      </c>
      <c r="BA160" s="52">
        <v>73390</v>
      </c>
      <c r="BB160" s="52">
        <v>73390</v>
      </c>
      <c r="BC160" s="52">
        <v>73390</v>
      </c>
      <c r="BD160" s="52">
        <v>71350</v>
      </c>
      <c r="BE160" s="52">
        <v>72982</v>
      </c>
      <c r="BF160" s="52">
        <v>72982</v>
      </c>
      <c r="BG160" s="52">
        <v>72982</v>
      </c>
      <c r="BH160" s="52">
        <v>72982</v>
      </c>
      <c r="BI160" s="52">
        <v>72982</v>
      </c>
      <c r="BJ160" s="52">
        <v>72982</v>
      </c>
      <c r="BK160" s="52">
        <v>72982</v>
      </c>
      <c r="BL160" s="52">
        <v>70528</v>
      </c>
      <c r="BM160" s="52">
        <v>70528</v>
      </c>
      <c r="BN160" s="52">
        <v>70528</v>
      </c>
      <c r="BO160" s="52">
        <v>70528</v>
      </c>
      <c r="BP160" s="52">
        <v>70528</v>
      </c>
      <c r="BQ160" s="52">
        <v>69103</v>
      </c>
      <c r="BR160" s="52">
        <v>70290</v>
      </c>
      <c r="BS160" s="52">
        <v>70290</v>
      </c>
      <c r="BT160" s="52">
        <v>70290</v>
      </c>
      <c r="BU160" s="52">
        <v>70290</v>
      </c>
      <c r="BV160" s="52">
        <v>70290</v>
      </c>
      <c r="BW160" s="52">
        <v>70290</v>
      </c>
      <c r="BX160" s="52">
        <v>74162</v>
      </c>
      <c r="BY160" s="52">
        <v>74162</v>
      </c>
      <c r="BZ160" s="52">
        <v>74162</v>
      </c>
      <c r="CA160" s="52">
        <v>74162</v>
      </c>
      <c r="CB160" s="52">
        <v>74162</v>
      </c>
      <c r="CC160" s="52">
        <v>76698</v>
      </c>
      <c r="CD160" s="52">
        <v>74584</v>
      </c>
      <c r="CE160" s="52">
        <v>74584</v>
      </c>
      <c r="CF160" s="52">
        <v>74584</v>
      </c>
      <c r="CG160" s="52">
        <v>74584</v>
      </c>
      <c r="CH160" s="52">
        <v>74584</v>
      </c>
      <c r="CI160" s="52">
        <v>74584</v>
      </c>
      <c r="CJ160" s="52">
        <v>106576</v>
      </c>
      <c r="CK160" s="52">
        <v>106576</v>
      </c>
      <c r="CL160" s="52">
        <v>106576</v>
      </c>
      <c r="CM160" s="52">
        <v>106576</v>
      </c>
      <c r="CN160" s="52">
        <v>106576</v>
      </c>
      <c r="CO160" s="52">
        <v>106576</v>
      </c>
      <c r="CP160" s="52">
        <v>157517</v>
      </c>
      <c r="CQ160" s="52">
        <v>113854</v>
      </c>
      <c r="CR160" s="52">
        <v>113854</v>
      </c>
      <c r="CS160" s="52">
        <v>113854</v>
      </c>
      <c r="CT160" s="52">
        <v>113854</v>
      </c>
      <c r="CU160" s="52">
        <v>113854</v>
      </c>
      <c r="CV160" s="430">
        <f t="shared" si="4"/>
        <v>1366243</v>
      </c>
    </row>
    <row r="161" spans="1:100">
      <c r="A161" s="540" t="str">
        <f t="shared" si="5"/>
        <v>6020100</v>
      </c>
      <c r="B161" s="541" t="s">
        <v>1985</v>
      </c>
      <c r="C161" s="463" t="s">
        <v>1077</v>
      </c>
      <c r="D161" s="426">
        <v>87085</v>
      </c>
      <c r="E161" s="426">
        <v>102727</v>
      </c>
      <c r="F161" s="426">
        <v>113134.26</v>
      </c>
      <c r="G161" s="426">
        <v>93628.92</v>
      </c>
      <c r="H161" s="426">
        <v>89965.24</v>
      </c>
      <c r="I161" s="426">
        <v>86701.41</v>
      </c>
      <c r="J161" s="426">
        <v>89674</v>
      </c>
      <c r="K161" s="426">
        <v>89737.57</v>
      </c>
      <c r="L161" s="426">
        <v>87043.48</v>
      </c>
      <c r="M161" s="426">
        <v>89967.17</v>
      </c>
      <c r="N161" s="426">
        <v>86939.520000000004</v>
      </c>
      <c r="O161" s="427">
        <v>506.83</v>
      </c>
      <c r="P161" s="52">
        <v>89889</v>
      </c>
      <c r="Q161" s="52">
        <v>107188</v>
      </c>
      <c r="R161" s="52">
        <v>122132</v>
      </c>
      <c r="S161" s="52">
        <v>96225</v>
      </c>
      <c r="T161" s="52">
        <v>93925</v>
      </c>
      <c r="U161" s="52">
        <v>58928.1</v>
      </c>
      <c r="V161" s="52">
        <v>86827.33</v>
      </c>
      <c r="W161" s="52">
        <v>86846.64</v>
      </c>
      <c r="X161" s="52">
        <v>84050.26</v>
      </c>
      <c r="Y161" s="52">
        <v>86843.5</v>
      </c>
      <c r="Z161" s="52">
        <v>84020.800000000003</v>
      </c>
      <c r="AA161" s="52">
        <v>86785.7</v>
      </c>
      <c r="AB161" s="52">
        <v>64051</v>
      </c>
      <c r="AC161" s="52">
        <v>83951</v>
      </c>
      <c r="AD161" s="52">
        <v>88048.61</v>
      </c>
      <c r="AE161" s="52">
        <v>89015.3</v>
      </c>
      <c r="AF161" s="52">
        <v>94878.2</v>
      </c>
      <c r="AG161" s="52">
        <v>91901.56</v>
      </c>
      <c r="AH161" s="52">
        <v>61779.29</v>
      </c>
      <c r="AI161" s="52">
        <v>61779.29</v>
      </c>
      <c r="AJ161" s="52">
        <v>59872.11</v>
      </c>
      <c r="AK161" s="52">
        <v>59872.11</v>
      </c>
      <c r="AL161" s="52">
        <v>59872.11</v>
      </c>
      <c r="AM161" s="52">
        <v>59872.11</v>
      </c>
      <c r="AN161" s="52">
        <v>59872.11</v>
      </c>
      <c r="AO161" s="52">
        <v>100850.11</v>
      </c>
      <c r="AP161" s="52">
        <v>106192.41</v>
      </c>
      <c r="AQ161" s="52">
        <v>77874.59</v>
      </c>
      <c r="AR161" s="52">
        <v>43155.11</v>
      </c>
      <c r="AS161" s="52">
        <v>153217.82</v>
      </c>
      <c r="AT161" s="52">
        <v>64203.8</v>
      </c>
      <c r="AU161" s="52">
        <v>57481.11</v>
      </c>
      <c r="AV161" s="52">
        <v>152251.49</v>
      </c>
      <c r="AW161" s="52">
        <v>80957.38</v>
      </c>
      <c r="AX161" s="52">
        <v>57662.87</v>
      </c>
      <c r="AY161" s="52">
        <v>85885.14</v>
      </c>
      <c r="AZ161" s="52">
        <v>45157.21</v>
      </c>
      <c r="BA161" s="52">
        <v>45396.1</v>
      </c>
      <c r="BB161" s="52">
        <v>164313.1</v>
      </c>
      <c r="BC161" s="52">
        <v>45396.1</v>
      </c>
      <c r="BD161" s="52">
        <v>45396.1</v>
      </c>
      <c r="BE161" s="52">
        <v>256982.52</v>
      </c>
      <c r="BF161" s="52">
        <v>40493.589999999997</v>
      </c>
      <c r="BG161" s="52">
        <v>45492.1</v>
      </c>
      <c r="BH161" s="52">
        <v>191153.8</v>
      </c>
      <c r="BI161" s="52">
        <v>44596.1</v>
      </c>
      <c r="BJ161" s="52">
        <v>44596.1</v>
      </c>
      <c r="BK161" s="52">
        <v>341232.38</v>
      </c>
      <c r="BL161" s="52">
        <v>0</v>
      </c>
      <c r="BM161" s="52">
        <v>0</v>
      </c>
      <c r="BN161" s="52">
        <v>527233.69999999995</v>
      </c>
      <c r="BO161" s="52">
        <v>0</v>
      </c>
      <c r="BP161" s="52">
        <v>0</v>
      </c>
      <c r="BQ161" s="52">
        <v>514313</v>
      </c>
      <c r="BR161" s="52">
        <v>0</v>
      </c>
      <c r="BS161" s="52">
        <v>0</v>
      </c>
      <c r="BT161" s="52">
        <v>1088488.8</v>
      </c>
      <c r="BU161" s="52">
        <v>8803.83</v>
      </c>
      <c r="BV161" s="52">
        <v>0</v>
      </c>
      <c r="BW161" s="52">
        <v>-180154.66</v>
      </c>
      <c r="BX161" s="52">
        <v>0</v>
      </c>
      <c r="BY161" s="52">
        <v>0</v>
      </c>
      <c r="BZ161" s="52">
        <v>433010.22</v>
      </c>
      <c r="CA161" s="52">
        <v>0</v>
      </c>
      <c r="CB161" s="52">
        <v>0</v>
      </c>
      <c r="CC161" s="52">
        <v>290823.61</v>
      </c>
      <c r="CD161" s="52">
        <v>0</v>
      </c>
      <c r="CE161" s="52">
        <v>0</v>
      </c>
      <c r="CF161" s="52">
        <v>424925.07</v>
      </c>
      <c r="CG161" s="52">
        <v>0</v>
      </c>
      <c r="CH161" s="52">
        <v>0</v>
      </c>
      <c r="CI161" s="52">
        <v>771058.32</v>
      </c>
      <c r="CJ161" s="52">
        <v>0</v>
      </c>
      <c r="CK161" s="52">
        <v>0</v>
      </c>
      <c r="CL161" s="52">
        <v>-14259.2</v>
      </c>
      <c r="CM161" s="52">
        <v>0</v>
      </c>
      <c r="CN161" s="52">
        <v>0</v>
      </c>
      <c r="CO161" s="52">
        <v>591158.48</v>
      </c>
      <c r="CP161" s="52">
        <v>0</v>
      </c>
      <c r="CQ161" s="52">
        <v>0</v>
      </c>
      <c r="CR161" s="52">
        <v>112274.93</v>
      </c>
      <c r="CS161" s="52">
        <v>0</v>
      </c>
      <c r="CT161" s="52">
        <v>0</v>
      </c>
      <c r="CU161" s="52">
        <v>446187.4</v>
      </c>
      <c r="CV161" s="430">
        <f t="shared" si="4"/>
        <v>1135361.6099999999</v>
      </c>
    </row>
    <row r="162" spans="1:100">
      <c r="A162" s="540" t="str">
        <f t="shared" si="5"/>
        <v>6020101</v>
      </c>
      <c r="B162" s="541" t="s">
        <v>2468</v>
      </c>
      <c r="C162" s="463" t="s">
        <v>2469</v>
      </c>
      <c r="D162" s="428"/>
      <c r="E162" s="428"/>
      <c r="F162" s="428"/>
      <c r="G162" s="428"/>
      <c r="H162" s="428"/>
      <c r="I162" s="428"/>
      <c r="J162" s="428"/>
      <c r="K162" s="428"/>
      <c r="L162" s="428"/>
      <c r="M162" s="428"/>
      <c r="N162" s="428"/>
      <c r="O162" s="429"/>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v>0</v>
      </c>
      <c r="BY162" s="52">
        <v>0</v>
      </c>
      <c r="BZ162" s="52">
        <v>4358.92</v>
      </c>
      <c r="CA162" s="52">
        <v>0</v>
      </c>
      <c r="CB162" s="52">
        <v>0</v>
      </c>
      <c r="CC162" s="52">
        <v>-3217.89</v>
      </c>
      <c r="CD162" s="52">
        <v>0</v>
      </c>
      <c r="CE162" s="52">
        <v>0</v>
      </c>
      <c r="CF162" s="52">
        <v>870.97</v>
      </c>
      <c r="CG162" s="52">
        <v>0</v>
      </c>
      <c r="CH162" s="52">
        <v>0</v>
      </c>
      <c r="CI162" s="52">
        <v>1608.28</v>
      </c>
      <c r="CJ162" s="52">
        <v>0</v>
      </c>
      <c r="CK162" s="52">
        <v>0</v>
      </c>
      <c r="CL162" s="52">
        <v>-9939.86</v>
      </c>
      <c r="CM162" s="52">
        <v>0</v>
      </c>
      <c r="CN162" s="52">
        <v>0</v>
      </c>
      <c r="CO162" s="52">
        <v>27382.61</v>
      </c>
      <c r="CP162" s="52">
        <v>0</v>
      </c>
      <c r="CQ162" s="52">
        <v>0</v>
      </c>
      <c r="CR162" s="52">
        <v>14883.26</v>
      </c>
      <c r="CS162" s="52">
        <v>0</v>
      </c>
      <c r="CT162" s="52">
        <v>0</v>
      </c>
      <c r="CU162" s="52">
        <v>5667.17</v>
      </c>
      <c r="CV162" s="430">
        <f t="shared" si="4"/>
        <v>37993.18</v>
      </c>
    </row>
    <row r="163" spans="1:100">
      <c r="A163" s="540" t="str">
        <f t="shared" si="5"/>
        <v>6020110</v>
      </c>
      <c r="B163" s="541" t="s">
        <v>1986</v>
      </c>
      <c r="C163" s="463" t="s">
        <v>1078</v>
      </c>
      <c r="D163" s="428">
        <v>0</v>
      </c>
      <c r="E163" s="428">
        <v>790.03</v>
      </c>
      <c r="F163" s="428">
        <v>215.78</v>
      </c>
      <c r="G163" s="428">
        <v>399.2</v>
      </c>
      <c r="H163" s="428">
        <v>455</v>
      </c>
      <c r="I163" s="428">
        <v>97.9</v>
      </c>
      <c r="J163" s="428">
        <v>0</v>
      </c>
      <c r="K163" s="428">
        <v>0</v>
      </c>
      <c r="L163" s="428">
        <v>105.59</v>
      </c>
      <c r="M163" s="428">
        <v>1834.85</v>
      </c>
      <c r="N163" s="428">
        <v>1200.4000000000001</v>
      </c>
      <c r="O163" s="429">
        <v>302.11</v>
      </c>
      <c r="P163" s="52">
        <v>0</v>
      </c>
      <c r="Q163" s="52">
        <v>458.87</v>
      </c>
      <c r="R163" s="52">
        <v>155.24</v>
      </c>
      <c r="S163" s="52">
        <v>745.75</v>
      </c>
      <c r="T163" s="52">
        <v>107.23</v>
      </c>
      <c r="U163" s="52">
        <v>467.08</v>
      </c>
      <c r="V163" s="52">
        <v>337</v>
      </c>
      <c r="W163" s="52">
        <v>428.65</v>
      </c>
      <c r="X163" s="52">
        <v>2437.73</v>
      </c>
      <c r="Y163" s="52">
        <v>1254.78</v>
      </c>
      <c r="Z163" s="52">
        <v>434.25</v>
      </c>
      <c r="AA163" s="52">
        <v>222</v>
      </c>
      <c r="AB163" s="52">
        <v>0</v>
      </c>
      <c r="AC163" s="52">
        <v>286.54000000000002</v>
      </c>
      <c r="AD163" s="52">
        <v>300.48</v>
      </c>
      <c r="AE163" s="52">
        <v>-30</v>
      </c>
      <c r="AF163" s="52">
        <v>86.85</v>
      </c>
      <c r="AG163" s="52">
        <v>413.31</v>
      </c>
      <c r="AH163" s="52">
        <v>83.9</v>
      </c>
      <c r="AI163" s="52">
        <v>91.21</v>
      </c>
      <c r="AJ163" s="52">
        <v>172.63</v>
      </c>
      <c r="AK163" s="52">
        <v>233.41</v>
      </c>
      <c r="AL163" s="52">
        <v>231.6</v>
      </c>
      <c r="AM163" s="52">
        <v>185.26</v>
      </c>
      <c r="AN163" s="52">
        <v>0</v>
      </c>
      <c r="AO163" s="52">
        <v>483.26</v>
      </c>
      <c r="AP163" s="52">
        <v>525.84</v>
      </c>
      <c r="AQ163" s="52">
        <v>201.22</v>
      </c>
      <c r="AR163" s="52">
        <v>38.83</v>
      </c>
      <c r="AS163" s="52">
        <v>76.36</v>
      </c>
      <c r="AT163" s="52">
        <v>140.63999999999999</v>
      </c>
      <c r="AU163" s="52">
        <v>0</v>
      </c>
      <c r="AV163" s="52">
        <v>121.33</v>
      </c>
      <c r="AW163" s="52">
        <v>356.85</v>
      </c>
      <c r="AX163" s="52">
        <v>332.88</v>
      </c>
      <c r="AY163" s="52">
        <v>65.05</v>
      </c>
      <c r="AZ163" s="52">
        <v>0</v>
      </c>
      <c r="BA163" s="52">
        <v>260.76</v>
      </c>
      <c r="BB163" s="52">
        <v>54.15</v>
      </c>
      <c r="BC163" s="52">
        <v>1977.9</v>
      </c>
      <c r="BD163" s="52">
        <v>0</v>
      </c>
      <c r="BE163" s="52">
        <v>52.18</v>
      </c>
      <c r="BF163" s="52">
        <v>219.8</v>
      </c>
      <c r="BG163" s="52">
        <v>81.489999999999995</v>
      </c>
      <c r="BH163" s="52">
        <v>81.8</v>
      </c>
      <c r="BI163" s="52">
        <v>195</v>
      </c>
      <c r="BJ163" s="52">
        <v>526.20000000000005</v>
      </c>
      <c r="BK163" s="52">
        <v>3606.37</v>
      </c>
      <c r="BL163" s="52">
        <v>0</v>
      </c>
      <c r="BM163" s="52">
        <v>235.53</v>
      </c>
      <c r="BN163" s="52">
        <v>278.98</v>
      </c>
      <c r="BO163" s="52">
        <v>0</v>
      </c>
      <c r="BP163" s="52">
        <v>0</v>
      </c>
      <c r="BQ163" s="52">
        <v>0</v>
      </c>
      <c r="BR163" s="52">
        <v>216.58</v>
      </c>
      <c r="BS163" s="52">
        <v>0</v>
      </c>
      <c r="BT163" s="52">
        <v>0</v>
      </c>
      <c r="BU163" s="52">
        <v>107.9</v>
      </c>
      <c r="BV163" s="52">
        <v>269.64</v>
      </c>
      <c r="BW163" s="52">
        <v>269.63</v>
      </c>
      <c r="BX163" s="52">
        <v>0</v>
      </c>
      <c r="BY163" s="52">
        <v>0</v>
      </c>
      <c r="BZ163" s="52">
        <v>355.13</v>
      </c>
      <c r="CA163" s="52">
        <v>6.51</v>
      </c>
      <c r="CB163" s="52">
        <v>233.82</v>
      </c>
      <c r="CC163" s="52">
        <v>49.72</v>
      </c>
      <c r="CD163" s="52">
        <v>263.88</v>
      </c>
      <c r="CE163" s="52">
        <v>471.56</v>
      </c>
      <c r="CF163" s="52">
        <v>131.58000000000001</v>
      </c>
      <c r="CG163" s="52">
        <v>101.41</v>
      </c>
      <c r="CH163" s="52">
        <v>102.91</v>
      </c>
      <c r="CI163" s="52">
        <v>21.75</v>
      </c>
      <c r="CJ163" s="52">
        <v>373.36</v>
      </c>
      <c r="CK163" s="52">
        <v>708.82</v>
      </c>
      <c r="CL163" s="52">
        <v>286.2</v>
      </c>
      <c r="CM163" s="52">
        <v>228.87</v>
      </c>
      <c r="CN163" s="52">
        <v>938.2</v>
      </c>
      <c r="CO163" s="52">
        <v>366.17</v>
      </c>
      <c r="CP163" s="52">
        <v>486.33</v>
      </c>
      <c r="CQ163" s="52">
        <v>320.58</v>
      </c>
      <c r="CR163" s="52">
        <v>402.05</v>
      </c>
      <c r="CS163" s="52">
        <v>24.04</v>
      </c>
      <c r="CT163" s="52">
        <v>970.8</v>
      </c>
      <c r="CU163" s="52">
        <v>581.03</v>
      </c>
      <c r="CV163" s="430">
        <f t="shared" si="4"/>
        <v>5686.45</v>
      </c>
    </row>
    <row r="164" spans="1:100">
      <c r="A164" s="540" t="str">
        <f t="shared" si="5"/>
        <v>6020130</v>
      </c>
      <c r="B164" s="541" t="s">
        <v>1987</v>
      </c>
      <c r="C164" s="463" t="s">
        <v>1079</v>
      </c>
      <c r="D164" s="426">
        <v>153955.15</v>
      </c>
      <c r="E164" s="426">
        <v>70275.39</v>
      </c>
      <c r="F164" s="426">
        <v>72571.27</v>
      </c>
      <c r="G164" s="426">
        <v>73408.02</v>
      </c>
      <c r="H164" s="426">
        <v>112562.38</v>
      </c>
      <c r="I164" s="426">
        <v>73677.31</v>
      </c>
      <c r="J164" s="426">
        <v>73455.839999999997</v>
      </c>
      <c r="K164" s="426">
        <v>75367.53</v>
      </c>
      <c r="L164" s="426">
        <v>75795.78</v>
      </c>
      <c r="M164" s="426">
        <v>115301.95</v>
      </c>
      <c r="N164" s="426">
        <v>75241.759999999995</v>
      </c>
      <c r="O164" s="427">
        <v>107216.07</v>
      </c>
      <c r="P164" s="52">
        <v>78400.210000000006</v>
      </c>
      <c r="Q164" s="52">
        <v>129221.56</v>
      </c>
      <c r="R164" s="52">
        <v>80205.919999999998</v>
      </c>
      <c r="S164" s="52">
        <v>119920.79</v>
      </c>
      <c r="T164" s="52">
        <v>81009.039999999994</v>
      </c>
      <c r="U164" s="52">
        <v>81963.45</v>
      </c>
      <c r="V164" s="52">
        <v>80768.14</v>
      </c>
      <c r="W164" s="52">
        <v>80949.58</v>
      </c>
      <c r="X164" s="52">
        <v>84130.240000000005</v>
      </c>
      <c r="Y164" s="52">
        <v>124365.27</v>
      </c>
      <c r="Z164" s="52">
        <v>84747.17</v>
      </c>
      <c r="AA164" s="52">
        <v>87643.92</v>
      </c>
      <c r="AB164" s="52">
        <v>87604.77</v>
      </c>
      <c r="AC164" s="52">
        <v>152353.21</v>
      </c>
      <c r="AD164" s="52">
        <v>131227.01999999999</v>
      </c>
      <c r="AE164" s="52">
        <v>87906.7</v>
      </c>
      <c r="AF164" s="52">
        <v>90132.95</v>
      </c>
      <c r="AG164" s="52">
        <v>90730.34</v>
      </c>
      <c r="AH164" s="52">
        <v>96543.9</v>
      </c>
      <c r="AI164" s="52">
        <v>92044.62</v>
      </c>
      <c r="AJ164" s="52">
        <v>139321.71</v>
      </c>
      <c r="AK164" s="52">
        <v>96737.54</v>
      </c>
      <c r="AL164" s="52">
        <v>96016.79</v>
      </c>
      <c r="AM164" s="52">
        <v>101949.36</v>
      </c>
      <c r="AN164" s="52">
        <v>111987.69</v>
      </c>
      <c r="AO164" s="52">
        <v>198687.03</v>
      </c>
      <c r="AP164" s="52">
        <v>155909.88</v>
      </c>
      <c r="AQ164" s="52">
        <v>105339.63</v>
      </c>
      <c r="AR164" s="52">
        <v>100974.01</v>
      </c>
      <c r="AS164" s="52">
        <v>101767.1</v>
      </c>
      <c r="AT164" s="52">
        <v>102620.15</v>
      </c>
      <c r="AU164" s="52">
        <v>157047.35999999999</v>
      </c>
      <c r="AV164" s="52">
        <v>109020.6</v>
      </c>
      <c r="AW164" s="52">
        <v>110028.02</v>
      </c>
      <c r="AX164" s="52">
        <v>110061.79</v>
      </c>
      <c r="AY164" s="52">
        <v>109205.75999999999</v>
      </c>
      <c r="AZ164" s="52">
        <v>115837.3</v>
      </c>
      <c r="BA164" s="52">
        <v>216233.99</v>
      </c>
      <c r="BB164" s="52">
        <v>169083.47</v>
      </c>
      <c r="BC164" s="52">
        <v>117129.05</v>
      </c>
      <c r="BD164" s="52">
        <v>115639.13</v>
      </c>
      <c r="BE164" s="52">
        <v>115789.81</v>
      </c>
      <c r="BF164" s="52">
        <v>115501.28</v>
      </c>
      <c r="BG164" s="52">
        <v>173208.16</v>
      </c>
      <c r="BH164" s="52">
        <v>118316.28</v>
      </c>
      <c r="BI164" s="52">
        <v>132546.65</v>
      </c>
      <c r="BJ164" s="52">
        <v>128342.58</v>
      </c>
      <c r="BK164" s="52">
        <v>123368.23</v>
      </c>
      <c r="BL164" s="52">
        <v>189609.23</v>
      </c>
      <c r="BM164" s="52">
        <v>245779.98</v>
      </c>
      <c r="BN164" s="52">
        <v>124232.25</v>
      </c>
      <c r="BO164" s="52">
        <v>125689.75</v>
      </c>
      <c r="BP164" s="52">
        <v>125296.49</v>
      </c>
      <c r="BQ164" s="52">
        <v>126164.07</v>
      </c>
      <c r="BR164" s="52">
        <v>127315.49</v>
      </c>
      <c r="BS164" s="52">
        <v>192405.78</v>
      </c>
      <c r="BT164" s="52">
        <v>129294.42</v>
      </c>
      <c r="BU164" s="52">
        <v>130151.6</v>
      </c>
      <c r="BV164" s="52">
        <v>130634.96</v>
      </c>
      <c r="BW164" s="52">
        <v>278694.61</v>
      </c>
      <c r="BX164" s="52">
        <v>205380.32</v>
      </c>
      <c r="BY164" s="52">
        <v>131840.60999999999</v>
      </c>
      <c r="BZ164" s="52">
        <v>151179.51</v>
      </c>
      <c r="CA164" s="52">
        <v>133606.48000000001</v>
      </c>
      <c r="CB164" s="52">
        <v>135398.10999999999</v>
      </c>
      <c r="CC164" s="52">
        <v>137594.94</v>
      </c>
      <c r="CD164" s="52">
        <v>208740.77</v>
      </c>
      <c r="CE164" s="52">
        <v>140397.68</v>
      </c>
      <c r="CF164" s="52">
        <v>140098.15</v>
      </c>
      <c r="CG164" s="52">
        <v>139645.06</v>
      </c>
      <c r="CH164" s="52">
        <v>143619.37</v>
      </c>
      <c r="CI164" s="52">
        <v>211368.66</v>
      </c>
      <c r="CJ164" s="52">
        <v>152326.6</v>
      </c>
      <c r="CK164" s="52">
        <v>149898.19</v>
      </c>
      <c r="CL164" s="52">
        <v>294142.75</v>
      </c>
      <c r="CM164" s="52">
        <v>151276.25</v>
      </c>
      <c r="CN164" s="52">
        <v>150868.1</v>
      </c>
      <c r="CO164" s="52">
        <v>150498.47</v>
      </c>
      <c r="CP164" s="52">
        <v>223703.28</v>
      </c>
      <c r="CQ164" s="52">
        <v>148492.60999999999</v>
      </c>
      <c r="CR164" s="52">
        <v>152652.54</v>
      </c>
      <c r="CS164" s="52">
        <v>277198.90000000002</v>
      </c>
      <c r="CT164" s="52">
        <v>164837.78</v>
      </c>
      <c r="CU164" s="52">
        <v>287455.2</v>
      </c>
      <c r="CV164" s="430">
        <f t="shared" si="4"/>
        <v>2303350.67</v>
      </c>
    </row>
    <row r="165" spans="1:100">
      <c r="A165" s="540">
        <f t="shared" si="5"/>
        <v>6020131</v>
      </c>
      <c r="B165" s="463">
        <v>6020131</v>
      </c>
      <c r="C165" s="463" t="s">
        <v>2590</v>
      </c>
      <c r="D165" s="426"/>
      <c r="E165" s="426"/>
      <c r="F165" s="426"/>
      <c r="G165" s="426"/>
      <c r="H165" s="426"/>
      <c r="I165" s="426"/>
      <c r="J165" s="426"/>
      <c r="K165" s="426"/>
      <c r="L165" s="426"/>
      <c r="M165" s="426"/>
      <c r="N165" s="426"/>
      <c r="O165" s="427"/>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v>137.09</v>
      </c>
      <c r="CK165" s="52">
        <v>-137.09</v>
      </c>
      <c r="CL165" s="52">
        <v>0</v>
      </c>
      <c r="CM165" s="52">
        <v>0</v>
      </c>
      <c r="CN165" s="52">
        <v>0</v>
      </c>
      <c r="CO165" s="52">
        <v>0</v>
      </c>
      <c r="CP165" s="52">
        <v>0</v>
      </c>
      <c r="CQ165" s="52">
        <v>0</v>
      </c>
      <c r="CR165" s="52">
        <v>0</v>
      </c>
      <c r="CS165" s="52">
        <v>0</v>
      </c>
      <c r="CT165" s="52">
        <v>0</v>
      </c>
      <c r="CU165" s="52">
        <v>0</v>
      </c>
      <c r="CV165" s="430">
        <f t="shared" si="4"/>
        <v>0</v>
      </c>
    </row>
    <row r="166" spans="1:100">
      <c r="A166" s="540" t="str">
        <f t="shared" si="5"/>
        <v>6020140</v>
      </c>
      <c r="B166" s="541" t="s">
        <v>1988</v>
      </c>
      <c r="C166" s="463" t="s">
        <v>1080</v>
      </c>
      <c r="D166" s="428">
        <v>0</v>
      </c>
      <c r="E166" s="428">
        <v>-6179.45</v>
      </c>
      <c r="F166" s="428">
        <v>0</v>
      </c>
      <c r="G166" s="428">
        <v>0</v>
      </c>
      <c r="H166" s="428">
        <v>0</v>
      </c>
      <c r="I166" s="428">
        <v>0</v>
      </c>
      <c r="J166" s="428">
        <v>0</v>
      </c>
      <c r="K166" s="428">
        <v>0</v>
      </c>
      <c r="L166" s="428">
        <v>152000</v>
      </c>
      <c r="M166" s="428">
        <v>0</v>
      </c>
      <c r="N166" s="428">
        <v>0</v>
      </c>
      <c r="O166" s="429">
        <v>170000</v>
      </c>
      <c r="P166" s="52">
        <v>0</v>
      </c>
      <c r="Q166" s="52">
        <v>-65182.400000000001</v>
      </c>
      <c r="R166" s="52">
        <v>168488.36</v>
      </c>
      <c r="S166" s="52">
        <v>42000</v>
      </c>
      <c r="T166" s="52">
        <v>-29000</v>
      </c>
      <c r="U166" s="52">
        <v>30000</v>
      </c>
      <c r="V166" s="52">
        <v>-24000</v>
      </c>
      <c r="W166" s="52">
        <v>4000</v>
      </c>
      <c r="X166" s="52">
        <v>-52000</v>
      </c>
      <c r="Y166" s="52">
        <v>-7000</v>
      </c>
      <c r="Z166" s="52">
        <v>84000</v>
      </c>
      <c r="AA166" s="52">
        <v>-160875</v>
      </c>
      <c r="AB166" s="52">
        <v>0</v>
      </c>
      <c r="AC166" s="52">
        <v>-9691.82</v>
      </c>
      <c r="AD166" s="52">
        <v>0</v>
      </c>
      <c r="AE166" s="52">
        <v>0</v>
      </c>
      <c r="AF166" s="52">
        <v>0</v>
      </c>
      <c r="AG166" s="52">
        <v>0</v>
      </c>
      <c r="AH166" s="52">
        <v>0</v>
      </c>
      <c r="AI166" s="52">
        <v>0</v>
      </c>
      <c r="AJ166" s="52">
        <v>252000</v>
      </c>
      <c r="AK166" s="52">
        <v>-4000</v>
      </c>
      <c r="AL166" s="52">
        <v>-140000</v>
      </c>
      <c r="AM166" s="52">
        <v>-56000</v>
      </c>
      <c r="AN166" s="52">
        <v>0</v>
      </c>
      <c r="AO166" s="52">
        <v>0</v>
      </c>
      <c r="AP166" s="52">
        <v>17528.099999999999</v>
      </c>
      <c r="AQ166" s="52">
        <v>0</v>
      </c>
      <c r="AR166" s="52">
        <v>0</v>
      </c>
      <c r="AS166" s="52">
        <v>0</v>
      </c>
      <c r="AT166" s="52">
        <v>0</v>
      </c>
      <c r="AU166" s="52">
        <v>0</v>
      </c>
      <c r="AV166" s="52">
        <v>0</v>
      </c>
      <c r="AW166" s="52">
        <v>0</v>
      </c>
      <c r="AX166" s="52">
        <v>0</v>
      </c>
      <c r="AY166" s="52">
        <v>0</v>
      </c>
      <c r="AZ166" s="52">
        <v>0</v>
      </c>
      <c r="BA166" s="52">
        <v>24994.26</v>
      </c>
      <c r="BB166" s="52">
        <v>0</v>
      </c>
      <c r="BC166" s="52">
        <v>0</v>
      </c>
      <c r="BD166" s="52">
        <v>783.24</v>
      </c>
      <c r="BE166" s="52">
        <v>-738.24</v>
      </c>
      <c r="BF166" s="52">
        <v>-45</v>
      </c>
      <c r="BG166" s="52">
        <v>0</v>
      </c>
      <c r="BH166" s="52">
        <v>0</v>
      </c>
      <c r="BI166" s="52">
        <v>0</v>
      </c>
      <c r="BJ166" s="52">
        <v>0</v>
      </c>
      <c r="BK166" s="52">
        <v>0</v>
      </c>
      <c r="BL166" s="52">
        <v>0</v>
      </c>
      <c r="BM166" s="52">
        <v>4185.76</v>
      </c>
      <c r="BN166" s="52">
        <v>1441.26</v>
      </c>
      <c r="BO166" s="52">
        <v>0</v>
      </c>
      <c r="BP166" s="52">
        <v>0</v>
      </c>
      <c r="BQ166" s="52">
        <v>0</v>
      </c>
      <c r="BR166" s="52">
        <v>0</v>
      </c>
      <c r="BS166" s="52">
        <v>0</v>
      </c>
      <c r="BT166" s="52">
        <v>0</v>
      </c>
      <c r="BU166" s="52">
        <v>0</v>
      </c>
      <c r="BV166" s="52">
        <v>0</v>
      </c>
      <c r="BW166" s="52">
        <v>256702.48</v>
      </c>
      <c r="BX166" s="52">
        <v>0</v>
      </c>
      <c r="BY166" s="52">
        <v>-23352.67</v>
      </c>
      <c r="BZ166" s="52">
        <v>0</v>
      </c>
      <c r="CA166" s="52">
        <v>0</v>
      </c>
      <c r="CB166" s="52">
        <v>0</v>
      </c>
      <c r="CC166" s="52">
        <v>0</v>
      </c>
      <c r="CD166" s="52">
        <v>0</v>
      </c>
      <c r="CE166" s="52">
        <v>0</v>
      </c>
      <c r="CF166" s="52">
        <v>0</v>
      </c>
      <c r="CG166" s="52">
        <v>0</v>
      </c>
      <c r="CH166" s="52">
        <v>0</v>
      </c>
      <c r="CI166" s="52">
        <v>0</v>
      </c>
      <c r="CJ166" s="52">
        <v>0</v>
      </c>
      <c r="CK166" s="52">
        <v>0</v>
      </c>
      <c r="CL166" s="52">
        <v>5240.9399999999996</v>
      </c>
      <c r="CM166" s="52">
        <v>0</v>
      </c>
      <c r="CN166" s="52">
        <v>0</v>
      </c>
      <c r="CO166" s="52">
        <v>0</v>
      </c>
      <c r="CP166" s="52">
        <v>0</v>
      </c>
      <c r="CQ166" s="52">
        <v>0</v>
      </c>
      <c r="CR166" s="52">
        <v>0</v>
      </c>
      <c r="CS166" s="52">
        <v>366666.67</v>
      </c>
      <c r="CT166" s="52">
        <v>36666.67</v>
      </c>
      <c r="CU166" s="52">
        <v>329999.67</v>
      </c>
      <c r="CV166" s="430">
        <f t="shared" si="4"/>
        <v>738573.95</v>
      </c>
    </row>
    <row r="167" spans="1:100">
      <c r="A167" s="540" t="str">
        <f t="shared" si="5"/>
        <v>6020150</v>
      </c>
      <c r="B167" s="541" t="s">
        <v>1989</v>
      </c>
      <c r="C167" s="463" t="s">
        <v>1081</v>
      </c>
      <c r="D167" s="426">
        <v>35750</v>
      </c>
      <c r="E167" s="426">
        <v>35750</v>
      </c>
      <c r="F167" s="426">
        <v>35750</v>
      </c>
      <c r="G167" s="426">
        <v>43162</v>
      </c>
      <c r="H167" s="426">
        <v>37603</v>
      </c>
      <c r="I167" s="426">
        <v>37603</v>
      </c>
      <c r="J167" s="426">
        <v>37603</v>
      </c>
      <c r="K167" s="426">
        <v>37603</v>
      </c>
      <c r="L167" s="426">
        <v>37603</v>
      </c>
      <c r="M167" s="426">
        <v>37603</v>
      </c>
      <c r="N167" s="426">
        <v>37603</v>
      </c>
      <c r="O167" s="427">
        <v>37603</v>
      </c>
      <c r="P167" s="52">
        <v>33583</v>
      </c>
      <c r="Q167" s="52">
        <v>12770</v>
      </c>
      <c r="R167" s="52">
        <v>23179</v>
      </c>
      <c r="S167" s="52">
        <v>23179</v>
      </c>
      <c r="T167" s="52">
        <v>35032</v>
      </c>
      <c r="U167" s="52">
        <v>25550</v>
      </c>
      <c r="V167" s="52">
        <v>25550</v>
      </c>
      <c r="W167" s="52">
        <v>25550</v>
      </c>
      <c r="X167" s="52">
        <v>25550</v>
      </c>
      <c r="Y167" s="52">
        <v>25550</v>
      </c>
      <c r="Z167" s="52">
        <v>25550</v>
      </c>
      <c r="AA167" s="52">
        <v>25550</v>
      </c>
      <c r="AB167" s="52">
        <v>23414</v>
      </c>
      <c r="AC167" s="52">
        <v>23414</v>
      </c>
      <c r="AD167" s="52">
        <v>23414</v>
      </c>
      <c r="AE167" s="52">
        <v>26884</v>
      </c>
      <c r="AF167" s="52">
        <v>24281</v>
      </c>
      <c r="AG167" s="52">
        <v>24281</v>
      </c>
      <c r="AH167" s="52">
        <v>24281</v>
      </c>
      <c r="AI167" s="52">
        <v>24281</v>
      </c>
      <c r="AJ167" s="52">
        <v>109253</v>
      </c>
      <c r="AK167" s="52">
        <v>33722</v>
      </c>
      <c r="AL167" s="52">
        <v>33722</v>
      </c>
      <c r="AM167" s="52">
        <v>33722</v>
      </c>
      <c r="AN167" s="52">
        <v>29996</v>
      </c>
      <c r="AO167" s="52">
        <v>29996</v>
      </c>
      <c r="AP167" s="52">
        <v>29996</v>
      </c>
      <c r="AQ167" s="52">
        <v>29996</v>
      </c>
      <c r="AR167" s="52">
        <v>29996</v>
      </c>
      <c r="AS167" s="52">
        <v>70215</v>
      </c>
      <c r="AT167" s="52">
        <v>36699</v>
      </c>
      <c r="AU167" s="52">
        <v>36699</v>
      </c>
      <c r="AV167" s="52">
        <v>36699</v>
      </c>
      <c r="AW167" s="52">
        <v>36699</v>
      </c>
      <c r="AX167" s="52">
        <v>36699</v>
      </c>
      <c r="AY167" s="52">
        <v>36699</v>
      </c>
      <c r="AZ167" s="52">
        <v>26400</v>
      </c>
      <c r="BA167" s="52">
        <v>26400</v>
      </c>
      <c r="BB167" s="52">
        <v>26400</v>
      </c>
      <c r="BC167" s="52">
        <v>26400</v>
      </c>
      <c r="BD167" s="52">
        <v>56407</v>
      </c>
      <c r="BE167" s="52">
        <v>49976</v>
      </c>
      <c r="BF167" s="52">
        <v>27481</v>
      </c>
      <c r="BG167" s="52">
        <v>27481</v>
      </c>
      <c r="BH167" s="52">
        <v>27481</v>
      </c>
      <c r="BI167" s="52">
        <v>27481</v>
      </c>
      <c r="BJ167" s="52">
        <v>27481</v>
      </c>
      <c r="BK167" s="52">
        <v>27481</v>
      </c>
      <c r="BL167" s="52">
        <v>22600</v>
      </c>
      <c r="BM167" s="52">
        <v>22600</v>
      </c>
      <c r="BN167" s="52">
        <v>22600</v>
      </c>
      <c r="BO167" s="52">
        <v>22600</v>
      </c>
      <c r="BP167" s="52">
        <v>22600</v>
      </c>
      <c r="BQ167" s="52">
        <v>43981</v>
      </c>
      <c r="BR167" s="52">
        <v>26163</v>
      </c>
      <c r="BS167" s="52">
        <v>26163</v>
      </c>
      <c r="BT167" s="52">
        <v>26163</v>
      </c>
      <c r="BU167" s="52">
        <v>26163</v>
      </c>
      <c r="BV167" s="52">
        <v>26163</v>
      </c>
      <c r="BW167" s="52">
        <v>26163</v>
      </c>
      <c r="BX167" s="52">
        <v>10746</v>
      </c>
      <c r="BY167" s="52">
        <v>10746</v>
      </c>
      <c r="BZ167" s="52">
        <v>10746</v>
      </c>
      <c r="CA167" s="52">
        <v>10746</v>
      </c>
      <c r="CB167" s="52">
        <v>10746</v>
      </c>
      <c r="CC167" s="52">
        <v>16557</v>
      </c>
      <c r="CD167" s="52">
        <v>11715</v>
      </c>
      <c r="CE167" s="52">
        <v>11715</v>
      </c>
      <c r="CF167" s="52">
        <v>11715</v>
      </c>
      <c r="CG167" s="52">
        <v>11715</v>
      </c>
      <c r="CH167" s="52">
        <v>11715</v>
      </c>
      <c r="CI167" s="52">
        <v>11715</v>
      </c>
      <c r="CJ167" s="52">
        <v>11157</v>
      </c>
      <c r="CK167" s="52">
        <v>11157</v>
      </c>
      <c r="CL167" s="52">
        <v>11157</v>
      </c>
      <c r="CM167" s="52">
        <v>11157</v>
      </c>
      <c r="CN167" s="52">
        <v>11157</v>
      </c>
      <c r="CO167" s="52">
        <v>11157</v>
      </c>
      <c r="CP167" s="52">
        <v>19810</v>
      </c>
      <c r="CQ167" s="52">
        <v>12394</v>
      </c>
      <c r="CR167" s="52">
        <v>12394</v>
      </c>
      <c r="CS167" s="52">
        <v>12394</v>
      </c>
      <c r="CT167" s="52">
        <v>12394</v>
      </c>
      <c r="CU167" s="52">
        <v>12394</v>
      </c>
      <c r="CV167" s="430">
        <f t="shared" si="4"/>
        <v>148722</v>
      </c>
    </row>
    <row r="168" spans="1:100">
      <c r="A168" s="540" t="str">
        <f t="shared" si="5"/>
        <v>6020170</v>
      </c>
      <c r="B168" s="541" t="s">
        <v>1990</v>
      </c>
      <c r="C168" s="463" t="s">
        <v>1082</v>
      </c>
      <c r="D168" s="428">
        <v>24995</v>
      </c>
      <c r="E168" s="428">
        <v>24995</v>
      </c>
      <c r="F168" s="428">
        <v>24995</v>
      </c>
      <c r="G168" s="428">
        <v>24995</v>
      </c>
      <c r="H168" s="428">
        <v>24995</v>
      </c>
      <c r="I168" s="428">
        <v>24995</v>
      </c>
      <c r="J168" s="428">
        <v>24995</v>
      </c>
      <c r="K168" s="428">
        <v>319419</v>
      </c>
      <c r="L168" s="428">
        <v>24995</v>
      </c>
      <c r="M168" s="428">
        <v>24995</v>
      </c>
      <c r="N168" s="428">
        <v>24995</v>
      </c>
      <c r="O168" s="429">
        <v>448294.71</v>
      </c>
      <c r="P168" s="52">
        <v>42000</v>
      </c>
      <c r="Q168" s="52">
        <v>42000</v>
      </c>
      <c r="R168" s="52">
        <v>42000</v>
      </c>
      <c r="S168" s="52">
        <v>42000</v>
      </c>
      <c r="T168" s="52">
        <v>42000</v>
      </c>
      <c r="U168" s="52">
        <v>50000</v>
      </c>
      <c r="V168" s="52">
        <v>125000</v>
      </c>
      <c r="W168" s="52">
        <v>50000</v>
      </c>
      <c r="X168" s="52">
        <v>341354.05</v>
      </c>
      <c r="Y168" s="52">
        <v>25000</v>
      </c>
      <c r="Z168" s="52">
        <v>25000</v>
      </c>
      <c r="AA168" s="52">
        <v>-248408.73</v>
      </c>
      <c r="AB168" s="52">
        <v>65083</v>
      </c>
      <c r="AC168" s="52">
        <v>42000</v>
      </c>
      <c r="AD168" s="52">
        <v>30000</v>
      </c>
      <c r="AE168" s="52">
        <v>30000</v>
      </c>
      <c r="AF168" s="52">
        <v>25000</v>
      </c>
      <c r="AG168" s="52">
        <v>150000</v>
      </c>
      <c r="AH168" s="52">
        <v>25000</v>
      </c>
      <c r="AI168" s="52">
        <v>25000</v>
      </c>
      <c r="AJ168" s="52">
        <v>511209.65</v>
      </c>
      <c r="AK168" s="52">
        <v>75000</v>
      </c>
      <c r="AL168" s="52">
        <v>75000</v>
      </c>
      <c r="AM168" s="52">
        <v>-78290.75</v>
      </c>
      <c r="AN168" s="52">
        <v>67083</v>
      </c>
      <c r="AO168" s="52">
        <v>50000</v>
      </c>
      <c r="AP168" s="52">
        <v>50000</v>
      </c>
      <c r="AQ168" s="52">
        <v>50000</v>
      </c>
      <c r="AR168" s="52">
        <v>50000</v>
      </c>
      <c r="AS168" s="52">
        <v>0</v>
      </c>
      <c r="AT168" s="52">
        <v>50000</v>
      </c>
      <c r="AU168" s="52">
        <v>50000</v>
      </c>
      <c r="AV168" s="52">
        <v>580933.69999999995</v>
      </c>
      <c r="AW168" s="52">
        <v>100000</v>
      </c>
      <c r="AX168" s="52">
        <v>75000</v>
      </c>
      <c r="AY168" s="52">
        <v>-313432.24</v>
      </c>
      <c r="AZ168" s="52">
        <v>0</v>
      </c>
      <c r="BA168" s="52">
        <v>50000</v>
      </c>
      <c r="BB168" s="52">
        <v>50000</v>
      </c>
      <c r="BC168" s="52">
        <v>25000</v>
      </c>
      <c r="BD168" s="52">
        <v>0</v>
      </c>
      <c r="BE168" s="52">
        <v>25000</v>
      </c>
      <c r="BF168" s="52">
        <v>50000</v>
      </c>
      <c r="BG168" s="52">
        <v>25000</v>
      </c>
      <c r="BH168" s="52">
        <v>-323370</v>
      </c>
      <c r="BI168" s="52">
        <v>25000</v>
      </c>
      <c r="BJ168" s="52">
        <v>25000</v>
      </c>
      <c r="BK168" s="52">
        <v>-724410.96</v>
      </c>
      <c r="BL168" s="52">
        <v>69232</v>
      </c>
      <c r="BM168" s="52">
        <v>69232</v>
      </c>
      <c r="BN168" s="52">
        <v>69232</v>
      </c>
      <c r="BO168" s="52">
        <v>69232</v>
      </c>
      <c r="BP168" s="52">
        <v>25000</v>
      </c>
      <c r="BQ168" s="52">
        <v>25000</v>
      </c>
      <c r="BR168" s="52">
        <v>69232</v>
      </c>
      <c r="BS168" s="52">
        <v>69232</v>
      </c>
      <c r="BT168" s="52">
        <v>-8605.4699999999993</v>
      </c>
      <c r="BU168" s="52">
        <v>69232</v>
      </c>
      <c r="BV168" s="52">
        <v>69232</v>
      </c>
      <c r="BW168" s="52">
        <v>77560.800000000003</v>
      </c>
      <c r="BX168" s="52">
        <v>73970</v>
      </c>
      <c r="BY168" s="52">
        <v>73970</v>
      </c>
      <c r="BZ168" s="52">
        <v>73970</v>
      </c>
      <c r="CA168" s="52">
        <v>73970</v>
      </c>
      <c r="CB168" s="52">
        <v>100000</v>
      </c>
      <c r="CC168" s="52">
        <v>100000</v>
      </c>
      <c r="CD168" s="52">
        <v>73970</v>
      </c>
      <c r="CE168" s="52">
        <v>73970</v>
      </c>
      <c r="CF168" s="52">
        <v>132686.96</v>
      </c>
      <c r="CG168" s="52">
        <v>73970</v>
      </c>
      <c r="CH168" s="52">
        <v>73970</v>
      </c>
      <c r="CI168" s="52">
        <v>422542</v>
      </c>
      <c r="CJ168" s="52">
        <v>76190</v>
      </c>
      <c r="CK168" s="52">
        <v>76190</v>
      </c>
      <c r="CL168" s="52">
        <v>76190</v>
      </c>
      <c r="CM168" s="52">
        <v>76190</v>
      </c>
      <c r="CN168" s="52">
        <v>76190</v>
      </c>
      <c r="CO168" s="52">
        <v>76190</v>
      </c>
      <c r="CP168" s="52">
        <v>76190</v>
      </c>
      <c r="CQ168" s="52">
        <v>76190</v>
      </c>
      <c r="CR168" s="52">
        <v>727891.37</v>
      </c>
      <c r="CS168" s="52">
        <v>100000</v>
      </c>
      <c r="CT168" s="52">
        <v>100000</v>
      </c>
      <c r="CU168" s="52">
        <v>-2365773</v>
      </c>
      <c r="CV168" s="430">
        <f t="shared" si="4"/>
        <v>-828361.62999999989</v>
      </c>
    </row>
    <row r="169" spans="1:100">
      <c r="A169" s="540" t="str">
        <f t="shared" si="5"/>
        <v>6020180</v>
      </c>
      <c r="B169" s="541" t="s">
        <v>1991</v>
      </c>
      <c r="C169" s="463" t="s">
        <v>1083</v>
      </c>
      <c r="D169" s="426">
        <v>21940.69</v>
      </c>
      <c r="E169" s="426">
        <v>46069.45</v>
      </c>
      <c r="F169" s="426">
        <v>22204.41</v>
      </c>
      <c r="G169" s="426">
        <v>22337.8</v>
      </c>
      <c r="H169" s="426">
        <v>22393.89</v>
      </c>
      <c r="I169" s="426">
        <v>33416.22</v>
      </c>
      <c r="J169" s="426">
        <v>22241.55</v>
      </c>
      <c r="K169" s="426">
        <v>22145.65</v>
      </c>
      <c r="L169" s="426">
        <v>22550.79</v>
      </c>
      <c r="M169" s="426">
        <v>22492.53</v>
      </c>
      <c r="N169" s="426">
        <v>33647.68</v>
      </c>
      <c r="O169" s="427">
        <v>22665.200000000001</v>
      </c>
      <c r="P169" s="52">
        <v>22015.22</v>
      </c>
      <c r="Q169" s="52">
        <v>11809.09</v>
      </c>
      <c r="R169" s="52">
        <v>22903.95</v>
      </c>
      <c r="S169" s="52">
        <v>12028.89</v>
      </c>
      <c r="T169" s="52">
        <v>17757.5</v>
      </c>
      <c r="U169" s="52">
        <v>12033.92</v>
      </c>
      <c r="V169" s="52">
        <v>12064.71</v>
      </c>
      <c r="W169" s="52">
        <v>11957.83</v>
      </c>
      <c r="X169" s="52">
        <v>12000.98</v>
      </c>
      <c r="Y169" s="52">
        <v>0</v>
      </c>
      <c r="Z169" s="52">
        <v>30681.16</v>
      </c>
      <c r="AA169" s="52">
        <v>12643.87</v>
      </c>
      <c r="AB169" s="52">
        <v>12963.15</v>
      </c>
      <c r="AC169" s="52">
        <v>12988.35</v>
      </c>
      <c r="AD169" s="52">
        <v>20992.01</v>
      </c>
      <c r="AE169" s="52">
        <v>19223.88</v>
      </c>
      <c r="AF169" s="52">
        <v>12913.14</v>
      </c>
      <c r="AG169" s="52">
        <v>12941.03</v>
      </c>
      <c r="AH169" s="52">
        <v>13046.07</v>
      </c>
      <c r="AI169" s="52">
        <v>13198.71</v>
      </c>
      <c r="AJ169" s="52">
        <v>13363.21</v>
      </c>
      <c r="AK169" s="52">
        <v>19842.22</v>
      </c>
      <c r="AL169" s="52">
        <v>13763.47</v>
      </c>
      <c r="AM169" s="52">
        <v>13635.03</v>
      </c>
      <c r="AN169" s="52">
        <v>16441.72</v>
      </c>
      <c r="AO169" s="52">
        <v>0</v>
      </c>
      <c r="AP169" s="52">
        <v>40802.730000000003</v>
      </c>
      <c r="AQ169" s="52">
        <v>22850.85</v>
      </c>
      <c r="AR169" s="52">
        <v>15651.77</v>
      </c>
      <c r="AS169" s="52">
        <v>15144.23</v>
      </c>
      <c r="AT169" s="52">
        <v>15211.46</v>
      </c>
      <c r="AU169" s="52">
        <v>15564.5</v>
      </c>
      <c r="AV169" s="52">
        <v>23286.75</v>
      </c>
      <c r="AW169" s="52">
        <v>0</v>
      </c>
      <c r="AX169" s="52">
        <v>32240.28</v>
      </c>
      <c r="AY169" s="52">
        <v>16236.55</v>
      </c>
      <c r="AZ169" s="52">
        <v>16105.64</v>
      </c>
      <c r="BA169" s="52">
        <v>16379.71</v>
      </c>
      <c r="BB169" s="52">
        <v>29286.12</v>
      </c>
      <c r="BC169" s="52">
        <v>23891.99</v>
      </c>
      <c r="BD169" s="52">
        <v>16447.77</v>
      </c>
      <c r="BE169" s="52">
        <v>16326.89</v>
      </c>
      <c r="BF169" s="52">
        <v>16445.509999999998</v>
      </c>
      <c r="BG169" s="52">
        <v>16428.93</v>
      </c>
      <c r="BH169" s="52">
        <v>24805.11</v>
      </c>
      <c r="BI169" s="52">
        <v>16894.52</v>
      </c>
      <c r="BJ169" s="52">
        <v>18915.21</v>
      </c>
      <c r="BK169" s="52">
        <v>18297.72</v>
      </c>
      <c r="BL169" s="52">
        <v>17679.599999999999</v>
      </c>
      <c r="BM169" s="52">
        <v>24438.05</v>
      </c>
      <c r="BN169" s="52">
        <v>29963.15</v>
      </c>
      <c r="BO169" s="52">
        <v>16382.82</v>
      </c>
      <c r="BP169" s="52">
        <v>16318</v>
      </c>
      <c r="BQ169" s="52">
        <v>16317.71</v>
      </c>
      <c r="BR169" s="52">
        <v>16465.78</v>
      </c>
      <c r="BS169" s="52">
        <v>16859.810000000001</v>
      </c>
      <c r="BT169" s="52">
        <v>24989.63</v>
      </c>
      <c r="BU169" s="52">
        <v>0</v>
      </c>
      <c r="BV169" s="52">
        <v>35259.040000000001</v>
      </c>
      <c r="BW169" s="52">
        <v>17297.54</v>
      </c>
      <c r="BX169" s="52">
        <v>17611.34</v>
      </c>
      <c r="BY169" s="52">
        <v>25868.54</v>
      </c>
      <c r="BZ169" s="52">
        <v>34930.67</v>
      </c>
      <c r="CA169" s="52">
        <v>18050.66</v>
      </c>
      <c r="CB169" s="52">
        <v>17645.72</v>
      </c>
      <c r="CC169" s="52">
        <v>17665.650000000001</v>
      </c>
      <c r="CD169" s="52">
        <v>17791.91</v>
      </c>
      <c r="CE169" s="52">
        <v>26353.1</v>
      </c>
      <c r="CF169" s="52">
        <v>18090.63</v>
      </c>
      <c r="CG169" s="52">
        <v>18106.71</v>
      </c>
      <c r="CH169" s="52">
        <v>18173.82</v>
      </c>
      <c r="CI169" s="52">
        <v>18652.099999999999</v>
      </c>
      <c r="CJ169" s="52">
        <v>27492.28</v>
      </c>
      <c r="CK169" s="52">
        <v>19095.28</v>
      </c>
      <c r="CL169" s="52">
        <v>18845.21</v>
      </c>
      <c r="CM169" s="52">
        <v>34768.44</v>
      </c>
      <c r="CN169" s="52">
        <v>0</v>
      </c>
      <c r="CO169" s="52">
        <v>37873.629999999997</v>
      </c>
      <c r="CP169" s="52">
        <v>18743.240000000002</v>
      </c>
      <c r="CQ169" s="52">
        <v>28120.97</v>
      </c>
      <c r="CR169" s="52">
        <v>18862.7</v>
      </c>
      <c r="CS169" s="52">
        <v>0</v>
      </c>
      <c r="CT169" s="52">
        <v>38982.99</v>
      </c>
      <c r="CU169" s="52">
        <v>19481.080000000002</v>
      </c>
      <c r="CV169" s="430">
        <f t="shared" si="4"/>
        <v>262265.82</v>
      </c>
    </row>
    <row r="170" spans="1:100">
      <c r="A170" s="540" t="str">
        <f t="shared" si="5"/>
        <v>6020220</v>
      </c>
      <c r="B170" s="541" t="s">
        <v>1992</v>
      </c>
      <c r="C170" s="463" t="s">
        <v>1084</v>
      </c>
      <c r="D170" s="426">
        <v>5000</v>
      </c>
      <c r="E170" s="426">
        <v>5000</v>
      </c>
      <c r="F170" s="426">
        <v>5000</v>
      </c>
      <c r="G170" s="426">
        <v>5000</v>
      </c>
      <c r="H170" s="426">
        <v>5000</v>
      </c>
      <c r="I170" s="426">
        <v>5000</v>
      </c>
      <c r="J170" s="426">
        <v>5000</v>
      </c>
      <c r="K170" s="426">
        <v>5000</v>
      </c>
      <c r="L170" s="426">
        <v>5000</v>
      </c>
      <c r="M170" s="426">
        <v>5000</v>
      </c>
      <c r="N170" s="426">
        <v>5000</v>
      </c>
      <c r="O170" s="427">
        <v>5000</v>
      </c>
      <c r="P170" s="52">
        <v>5000</v>
      </c>
      <c r="Q170" s="52">
        <v>5000</v>
      </c>
      <c r="R170" s="52">
        <v>5000</v>
      </c>
      <c r="S170" s="52">
        <v>5000</v>
      </c>
      <c r="T170" s="52">
        <v>5000</v>
      </c>
      <c r="U170" s="52">
        <v>5000</v>
      </c>
      <c r="V170" s="52">
        <v>5000</v>
      </c>
      <c r="W170" s="52">
        <v>5000</v>
      </c>
      <c r="X170" s="52">
        <v>5000</v>
      </c>
      <c r="Y170" s="52">
        <v>5000</v>
      </c>
      <c r="Z170" s="52">
        <v>5000</v>
      </c>
      <c r="AA170" s="52">
        <v>5000</v>
      </c>
      <c r="AB170" s="52">
        <v>5000</v>
      </c>
      <c r="AC170" s="52">
        <v>5000</v>
      </c>
      <c r="AD170" s="52">
        <v>5000</v>
      </c>
      <c r="AE170" s="52">
        <v>5000</v>
      </c>
      <c r="AF170" s="52">
        <v>5000</v>
      </c>
      <c r="AG170" s="52">
        <v>5000</v>
      </c>
      <c r="AH170" s="52">
        <v>20000</v>
      </c>
      <c r="AI170" s="52">
        <v>20000</v>
      </c>
      <c r="AJ170" s="52">
        <v>20000</v>
      </c>
      <c r="AK170" s="52">
        <v>20000</v>
      </c>
      <c r="AL170" s="52">
        <v>20000</v>
      </c>
      <c r="AM170" s="52">
        <v>370000</v>
      </c>
      <c r="AN170" s="52">
        <v>15000</v>
      </c>
      <c r="AO170" s="52">
        <v>15000</v>
      </c>
      <c r="AP170" s="52">
        <v>15000</v>
      </c>
      <c r="AQ170" s="52">
        <v>15000</v>
      </c>
      <c r="AR170" s="52">
        <v>15000</v>
      </c>
      <c r="AS170" s="52">
        <v>15000</v>
      </c>
      <c r="AT170" s="52">
        <v>15000</v>
      </c>
      <c r="AU170" s="52">
        <v>15000</v>
      </c>
      <c r="AV170" s="52">
        <v>15000</v>
      </c>
      <c r="AW170" s="52">
        <v>15000</v>
      </c>
      <c r="AX170" s="52">
        <v>15000</v>
      </c>
      <c r="AY170" s="52">
        <v>15000</v>
      </c>
      <c r="AZ170" s="52">
        <v>15000</v>
      </c>
      <c r="BA170" s="52">
        <v>15000</v>
      </c>
      <c r="BB170" s="52">
        <v>15000</v>
      </c>
      <c r="BC170" s="52">
        <v>15000</v>
      </c>
      <c r="BD170" s="52">
        <v>15000</v>
      </c>
      <c r="BE170" s="52">
        <v>15000</v>
      </c>
      <c r="BF170" s="52">
        <v>15000</v>
      </c>
      <c r="BG170" s="52">
        <v>15000</v>
      </c>
      <c r="BH170" s="52">
        <v>15000</v>
      </c>
      <c r="BI170" s="52">
        <v>15000</v>
      </c>
      <c r="BJ170" s="52">
        <v>15000</v>
      </c>
      <c r="BK170" s="52">
        <v>94051.03</v>
      </c>
      <c r="BL170" s="52">
        <v>15006</v>
      </c>
      <c r="BM170" s="52">
        <v>15006</v>
      </c>
      <c r="BN170" s="52">
        <v>15006</v>
      </c>
      <c r="BO170" s="52">
        <v>15006</v>
      </c>
      <c r="BP170" s="52">
        <v>15006</v>
      </c>
      <c r="BQ170" s="52">
        <v>15006</v>
      </c>
      <c r="BR170" s="52">
        <v>15006</v>
      </c>
      <c r="BS170" s="52">
        <v>15006</v>
      </c>
      <c r="BT170" s="52">
        <v>15006</v>
      </c>
      <c r="BU170" s="52">
        <v>15006</v>
      </c>
      <c r="BV170" s="52">
        <v>15006</v>
      </c>
      <c r="BW170" s="52">
        <v>106646.35</v>
      </c>
      <c r="BX170" s="52">
        <v>15005.5</v>
      </c>
      <c r="BY170" s="52">
        <v>15005.5</v>
      </c>
      <c r="BZ170" s="52">
        <v>15005.5</v>
      </c>
      <c r="CA170" s="52">
        <v>15005.5</v>
      </c>
      <c r="CB170" s="52">
        <v>15005.5</v>
      </c>
      <c r="CC170" s="52">
        <v>181672.17</v>
      </c>
      <c r="CD170" s="52">
        <v>15005.5</v>
      </c>
      <c r="CE170" s="52">
        <v>15005.5</v>
      </c>
      <c r="CF170" s="52">
        <v>181672.17</v>
      </c>
      <c r="CG170" s="52">
        <v>15005.5</v>
      </c>
      <c r="CH170" s="52">
        <v>15005.5</v>
      </c>
      <c r="CI170" s="52">
        <v>302260.5</v>
      </c>
      <c r="CJ170" s="52">
        <v>15500</v>
      </c>
      <c r="CK170" s="52">
        <v>15500</v>
      </c>
      <c r="CL170" s="52">
        <v>-368153</v>
      </c>
      <c r="CM170" s="52">
        <v>15500</v>
      </c>
      <c r="CN170" s="52">
        <v>15500</v>
      </c>
      <c r="CO170" s="52">
        <v>15500</v>
      </c>
      <c r="CP170" s="52">
        <v>15500</v>
      </c>
      <c r="CQ170" s="52">
        <v>15500</v>
      </c>
      <c r="CR170" s="52">
        <v>15500</v>
      </c>
      <c r="CS170" s="52">
        <v>15500</v>
      </c>
      <c r="CT170" s="52">
        <v>15500</v>
      </c>
      <c r="CU170" s="52">
        <v>60956.51</v>
      </c>
      <c r="CV170" s="430">
        <f t="shared" si="4"/>
        <v>-152196.49</v>
      </c>
    </row>
    <row r="171" spans="1:100">
      <c r="A171" s="540" t="str">
        <f t="shared" si="5"/>
        <v>6020230</v>
      </c>
      <c r="B171" s="541" t="s">
        <v>1993</v>
      </c>
      <c r="C171" s="463" t="s">
        <v>1444</v>
      </c>
      <c r="D171" s="426"/>
      <c r="E171" s="426"/>
      <c r="F171" s="426"/>
      <c r="G171" s="426"/>
      <c r="H171" s="426"/>
      <c r="I171" s="426"/>
      <c r="J171" s="426"/>
      <c r="K171" s="426"/>
      <c r="L171" s="426"/>
      <c r="M171" s="426"/>
      <c r="N171" s="426"/>
      <c r="O171" s="427"/>
      <c r="P171" s="52"/>
      <c r="Q171" s="52"/>
      <c r="R171" s="52"/>
      <c r="S171" s="52"/>
      <c r="T171" s="52"/>
      <c r="U171" s="52"/>
      <c r="V171" s="52"/>
      <c r="W171" s="52"/>
      <c r="X171" s="52"/>
      <c r="Y171" s="52"/>
      <c r="Z171" s="52"/>
      <c r="AA171" s="52"/>
      <c r="AB171" s="52"/>
      <c r="AC171" s="52"/>
      <c r="AD171" s="52"/>
      <c r="AE171" s="52">
        <v>0</v>
      </c>
      <c r="AF171" s="52">
        <v>828.75</v>
      </c>
      <c r="AG171" s="52">
        <v>165.75</v>
      </c>
      <c r="AH171" s="52">
        <v>165.75</v>
      </c>
      <c r="AI171" s="52">
        <v>165.75</v>
      </c>
      <c r="AJ171" s="52">
        <v>172</v>
      </c>
      <c r="AK171" s="52">
        <v>168</v>
      </c>
      <c r="AL171" s="52">
        <v>168</v>
      </c>
      <c r="AM171" s="52">
        <v>168</v>
      </c>
      <c r="AN171" s="52">
        <v>174</v>
      </c>
      <c r="AO171" s="52">
        <v>174</v>
      </c>
      <c r="AP171" s="52">
        <v>174</v>
      </c>
      <c r="AQ171" s="52">
        <v>174</v>
      </c>
      <c r="AR171" s="52">
        <v>174</v>
      </c>
      <c r="AS171" s="52">
        <v>18926</v>
      </c>
      <c r="AT171" s="52">
        <v>3299</v>
      </c>
      <c r="AU171" s="52">
        <v>3299</v>
      </c>
      <c r="AV171" s="52">
        <v>3299</v>
      </c>
      <c r="AW171" s="52">
        <v>3299</v>
      </c>
      <c r="AX171" s="52">
        <v>3299</v>
      </c>
      <c r="AY171" s="52">
        <v>3299</v>
      </c>
      <c r="AZ171" s="52">
        <v>3582</v>
      </c>
      <c r="BA171" s="52">
        <v>3682</v>
      </c>
      <c r="BB171" s="52">
        <v>3632</v>
      </c>
      <c r="BC171" s="52">
        <v>3632</v>
      </c>
      <c r="BD171" s="52">
        <v>17706.75</v>
      </c>
      <c r="BE171" s="52">
        <v>10631</v>
      </c>
      <c r="BF171" s="52">
        <v>10631</v>
      </c>
      <c r="BG171" s="52">
        <v>10340</v>
      </c>
      <c r="BH171" s="52">
        <v>10340</v>
      </c>
      <c r="BI171" s="52">
        <v>10340</v>
      </c>
      <c r="BJ171" s="52">
        <v>10340</v>
      </c>
      <c r="BK171" s="52">
        <v>10340</v>
      </c>
      <c r="BL171" s="52">
        <v>9313</v>
      </c>
      <c r="BM171" s="52">
        <v>9313</v>
      </c>
      <c r="BN171" s="52">
        <v>9313</v>
      </c>
      <c r="BO171" s="52">
        <v>9313</v>
      </c>
      <c r="BP171" s="52">
        <v>9313</v>
      </c>
      <c r="BQ171" s="52">
        <v>6204</v>
      </c>
      <c r="BR171" s="52">
        <v>8794</v>
      </c>
      <c r="BS171" s="52">
        <v>8794</v>
      </c>
      <c r="BT171" s="52">
        <v>8794</v>
      </c>
      <c r="BU171" s="52">
        <v>8794</v>
      </c>
      <c r="BV171" s="52">
        <v>8794</v>
      </c>
      <c r="BW171" s="52">
        <v>8794</v>
      </c>
      <c r="BX171" s="52">
        <v>11441</v>
      </c>
      <c r="BY171" s="52">
        <v>11441</v>
      </c>
      <c r="BZ171" s="52">
        <v>11441</v>
      </c>
      <c r="CA171" s="52">
        <v>11441</v>
      </c>
      <c r="CB171" s="52">
        <v>11441</v>
      </c>
      <c r="CC171" s="52">
        <v>53285</v>
      </c>
      <c r="CD171" s="52">
        <v>18415</v>
      </c>
      <c r="CE171" s="52">
        <v>18415</v>
      </c>
      <c r="CF171" s="52">
        <v>18415</v>
      </c>
      <c r="CG171" s="52">
        <v>18415</v>
      </c>
      <c r="CH171" s="52">
        <v>18415</v>
      </c>
      <c r="CI171" s="52">
        <v>18415</v>
      </c>
      <c r="CJ171" s="52">
        <v>19907</v>
      </c>
      <c r="CK171" s="52">
        <v>19907</v>
      </c>
      <c r="CL171" s="52">
        <v>19907</v>
      </c>
      <c r="CM171" s="52">
        <v>19907</v>
      </c>
      <c r="CN171" s="52">
        <v>19907</v>
      </c>
      <c r="CO171" s="52">
        <v>19907</v>
      </c>
      <c r="CP171" s="52">
        <v>43256</v>
      </c>
      <c r="CQ171" s="52">
        <v>23242</v>
      </c>
      <c r="CR171" s="52">
        <v>23242</v>
      </c>
      <c r="CS171" s="52">
        <v>23242</v>
      </c>
      <c r="CT171" s="52">
        <v>23242</v>
      </c>
      <c r="CU171" s="52">
        <v>23242</v>
      </c>
      <c r="CV171" s="430">
        <f t="shared" si="4"/>
        <v>278908</v>
      </c>
    </row>
    <row r="172" spans="1:100">
      <c r="A172" s="540" t="str">
        <f t="shared" si="5"/>
        <v>6020240</v>
      </c>
      <c r="B172" s="541" t="s">
        <v>1994</v>
      </c>
      <c r="C172" s="463" t="s">
        <v>1840</v>
      </c>
      <c r="D172" s="52">
        <v>0</v>
      </c>
      <c r="E172" s="52">
        <v>0</v>
      </c>
      <c r="F172" s="52">
        <v>0</v>
      </c>
      <c r="G172" s="52">
        <v>0</v>
      </c>
      <c r="H172" s="52">
        <v>0</v>
      </c>
      <c r="I172" s="52">
        <v>0</v>
      </c>
      <c r="J172" s="52">
        <v>0</v>
      </c>
      <c r="K172" s="52">
        <v>0</v>
      </c>
      <c r="L172" s="52">
        <v>0</v>
      </c>
      <c r="M172" s="52">
        <v>0</v>
      </c>
      <c r="N172" s="52">
        <v>0</v>
      </c>
      <c r="O172" s="52">
        <v>0</v>
      </c>
      <c r="P172" s="52">
        <v>0</v>
      </c>
      <c r="Q172" s="52">
        <v>0</v>
      </c>
      <c r="R172" s="52">
        <v>0</v>
      </c>
      <c r="S172" s="52">
        <v>0</v>
      </c>
      <c r="T172" s="52">
        <v>0</v>
      </c>
      <c r="U172" s="52">
        <v>0</v>
      </c>
      <c r="V172" s="52">
        <v>0</v>
      </c>
      <c r="W172" s="52">
        <v>0</v>
      </c>
      <c r="X172" s="52">
        <v>0</v>
      </c>
      <c r="Y172" s="52">
        <v>0</v>
      </c>
      <c r="Z172" s="52">
        <v>0</v>
      </c>
      <c r="AA172" s="52">
        <v>0</v>
      </c>
      <c r="AB172" s="52">
        <v>0</v>
      </c>
      <c r="AC172" s="52">
        <v>0</v>
      </c>
      <c r="AD172" s="52">
        <v>0</v>
      </c>
      <c r="AE172" s="52">
        <v>0</v>
      </c>
      <c r="AF172" s="52">
        <v>0</v>
      </c>
      <c r="AG172" s="52">
        <v>0</v>
      </c>
      <c r="AH172" s="52">
        <v>0</v>
      </c>
      <c r="AI172" s="52">
        <v>0</v>
      </c>
      <c r="AJ172" s="52">
        <v>0</v>
      </c>
      <c r="AK172" s="52">
        <v>0</v>
      </c>
      <c r="AL172" s="52">
        <v>0</v>
      </c>
      <c r="AM172" s="52">
        <v>0</v>
      </c>
      <c r="AN172" s="52">
        <v>0</v>
      </c>
      <c r="AO172" s="52">
        <v>0</v>
      </c>
      <c r="AP172" s="52">
        <v>0</v>
      </c>
      <c r="AQ172" s="52">
        <v>0</v>
      </c>
      <c r="AR172" s="52">
        <v>0</v>
      </c>
      <c r="AS172" s="52">
        <v>0</v>
      </c>
      <c r="AT172" s="52">
        <v>0</v>
      </c>
      <c r="AU172" s="52">
        <v>0</v>
      </c>
      <c r="AV172" s="52">
        <v>0</v>
      </c>
      <c r="AW172" s="52">
        <v>0</v>
      </c>
      <c r="AX172" s="52">
        <v>0</v>
      </c>
      <c r="AY172" s="52">
        <v>7234.79</v>
      </c>
      <c r="AZ172" s="52">
        <v>6939.51</v>
      </c>
      <c r="BA172" s="52">
        <v>0</v>
      </c>
      <c r="BB172" s="52">
        <v>0</v>
      </c>
      <c r="BC172" s="52">
        <v>0</v>
      </c>
      <c r="BD172" s="52">
        <v>5349.73</v>
      </c>
      <c r="BE172" s="52">
        <v>0</v>
      </c>
      <c r="BF172" s="52">
        <v>0</v>
      </c>
      <c r="BG172" s="52">
        <v>3818.32</v>
      </c>
      <c r="BH172" s="52">
        <v>0</v>
      </c>
      <c r="BI172" s="52">
        <v>0</v>
      </c>
      <c r="BJ172" s="52">
        <v>4232.25</v>
      </c>
      <c r="BK172" s="52">
        <v>0</v>
      </c>
      <c r="BL172" s="52">
        <v>0</v>
      </c>
      <c r="BM172" s="52">
        <v>5598.65</v>
      </c>
      <c r="BN172" s="52">
        <v>0</v>
      </c>
      <c r="BO172" s="52">
        <v>0</v>
      </c>
      <c r="BP172" s="52">
        <v>0</v>
      </c>
      <c r="BQ172" s="52">
        <v>5672.3</v>
      </c>
      <c r="BR172" s="52">
        <v>0</v>
      </c>
      <c r="BS172" s="52">
        <v>5835.78</v>
      </c>
      <c r="BT172" s="52">
        <v>0</v>
      </c>
      <c r="BU172" s="52">
        <v>0</v>
      </c>
      <c r="BV172" s="52">
        <v>3980.47</v>
      </c>
      <c r="BW172" s="52">
        <v>0</v>
      </c>
      <c r="BX172" s="52">
        <v>0</v>
      </c>
      <c r="BY172" s="52">
        <v>0</v>
      </c>
      <c r="BZ172" s="52">
        <v>0</v>
      </c>
      <c r="CA172" s="52">
        <v>6104.02</v>
      </c>
      <c r="CB172" s="52">
        <v>12216.07</v>
      </c>
      <c r="CC172" s="52">
        <v>0</v>
      </c>
      <c r="CD172" s="52">
        <v>0</v>
      </c>
      <c r="CE172" s="52">
        <v>0</v>
      </c>
      <c r="CF172" s="52">
        <v>22651.19</v>
      </c>
      <c r="CG172" s="52">
        <v>0</v>
      </c>
      <c r="CH172" s="52">
        <v>14086.82</v>
      </c>
      <c r="CI172" s="52">
        <v>0</v>
      </c>
      <c r="CJ172" s="52">
        <v>6097.51</v>
      </c>
      <c r="CK172" s="52">
        <v>0</v>
      </c>
      <c r="CL172" s="52">
        <v>12976.41</v>
      </c>
      <c r="CM172" s="52">
        <v>0</v>
      </c>
      <c r="CN172" s="52">
        <v>21146.25</v>
      </c>
      <c r="CO172" s="52">
        <v>0</v>
      </c>
      <c r="CP172" s="52">
        <v>0</v>
      </c>
      <c r="CQ172" s="52">
        <v>5952.96</v>
      </c>
      <c r="CR172" s="52">
        <v>13591.66</v>
      </c>
      <c r="CS172" s="52">
        <v>0</v>
      </c>
      <c r="CT172" s="52">
        <v>20602.16</v>
      </c>
      <c r="CU172" s="52">
        <v>6403.54</v>
      </c>
      <c r="CV172" s="430">
        <f t="shared" si="4"/>
        <v>86770.489999999991</v>
      </c>
    </row>
    <row r="173" spans="1:100">
      <c r="A173" s="540" t="str">
        <f t="shared" si="5"/>
        <v>6020800</v>
      </c>
      <c r="B173" s="541" t="s">
        <v>1996</v>
      </c>
      <c r="C173" s="463" t="s">
        <v>1393</v>
      </c>
      <c r="D173" s="426"/>
      <c r="E173" s="426"/>
      <c r="F173" s="426"/>
      <c r="G173" s="426"/>
      <c r="H173" s="426"/>
      <c r="I173" s="426"/>
      <c r="J173" s="426"/>
      <c r="K173" s="426"/>
      <c r="L173" s="426"/>
      <c r="M173" s="426"/>
      <c r="N173" s="426"/>
      <c r="O173" s="427"/>
      <c r="P173" s="52"/>
      <c r="Q173" s="52"/>
      <c r="R173" s="52"/>
      <c r="S173" s="52"/>
      <c r="T173" s="52"/>
      <c r="U173" s="52">
        <v>0</v>
      </c>
      <c r="V173" s="52">
        <v>0</v>
      </c>
      <c r="W173" s="52">
        <v>0</v>
      </c>
      <c r="X173" s="52">
        <v>3000</v>
      </c>
      <c r="Y173" s="52">
        <v>0</v>
      </c>
      <c r="Z173" s="52">
        <v>0</v>
      </c>
      <c r="AA173" s="52">
        <v>0</v>
      </c>
      <c r="AB173" s="52">
        <v>1750.56</v>
      </c>
      <c r="AC173" s="52">
        <v>9708.8799999999992</v>
      </c>
      <c r="AD173" s="52">
        <v>1667.2</v>
      </c>
      <c r="AE173" s="52">
        <v>1708.88</v>
      </c>
      <c r="AF173" s="52">
        <v>1708.88</v>
      </c>
      <c r="AG173" s="52">
        <v>1708.88</v>
      </c>
      <c r="AH173" s="52">
        <v>1708.88</v>
      </c>
      <c r="AI173" s="52">
        <v>1854.76</v>
      </c>
      <c r="AJ173" s="52">
        <v>1854.76</v>
      </c>
      <c r="AK173" s="52">
        <v>1875.6</v>
      </c>
      <c r="AL173" s="52">
        <v>1688.04</v>
      </c>
      <c r="AM173" s="52">
        <v>1708.88</v>
      </c>
      <c r="AN173" s="52">
        <v>1500.48</v>
      </c>
      <c r="AO173" s="52">
        <v>1479.64</v>
      </c>
      <c r="AP173" s="52">
        <v>1458.8</v>
      </c>
      <c r="AQ173" s="52">
        <v>1417.12</v>
      </c>
      <c r="AR173" s="52">
        <v>1458.8</v>
      </c>
      <c r="AS173" s="52">
        <v>1375.44</v>
      </c>
      <c r="AT173" s="52">
        <v>1417.12</v>
      </c>
      <c r="AU173" s="52">
        <v>1999.97</v>
      </c>
      <c r="AV173" s="52">
        <v>1521.32</v>
      </c>
      <c r="AW173" s="52">
        <v>1500.48</v>
      </c>
      <c r="AX173" s="52">
        <v>1521.32</v>
      </c>
      <c r="AY173" s="52">
        <v>1458.8</v>
      </c>
      <c r="AZ173" s="52">
        <v>1417.12</v>
      </c>
      <c r="BA173" s="52">
        <v>1396.28</v>
      </c>
      <c r="BB173" s="52">
        <v>1563</v>
      </c>
      <c r="BC173" s="52">
        <v>1625.52</v>
      </c>
      <c r="BD173" s="52">
        <v>1708.88</v>
      </c>
      <c r="BE173" s="52">
        <v>1667.2</v>
      </c>
      <c r="BF173" s="52">
        <v>1583.84</v>
      </c>
      <c r="BG173" s="52">
        <v>1604.68</v>
      </c>
      <c r="BH173" s="52">
        <v>1583.84</v>
      </c>
      <c r="BI173" s="52">
        <v>3680.38</v>
      </c>
      <c r="BJ173" s="52">
        <v>4211.2299999999996</v>
      </c>
      <c r="BK173" s="52">
        <v>7579.18</v>
      </c>
      <c r="BL173" s="52">
        <v>4347.96</v>
      </c>
      <c r="BM173" s="52">
        <v>4428.26</v>
      </c>
      <c r="BN173" s="52">
        <v>4060.49</v>
      </c>
      <c r="BO173" s="52">
        <v>1542.16</v>
      </c>
      <c r="BP173" s="52">
        <v>7856.51</v>
      </c>
      <c r="BQ173" s="52">
        <v>4388.12</v>
      </c>
      <c r="BR173" s="52">
        <v>5212.53</v>
      </c>
      <c r="BS173" s="52">
        <v>5831.39</v>
      </c>
      <c r="BT173" s="52">
        <v>6044.71</v>
      </c>
      <c r="BU173" s="52">
        <v>5595.04</v>
      </c>
      <c r="BV173" s="52">
        <v>7386.59</v>
      </c>
      <c r="BW173" s="52">
        <v>55745.53</v>
      </c>
      <c r="BX173" s="52">
        <v>5165.8599999999997</v>
      </c>
      <c r="BY173" s="52">
        <v>12503.72</v>
      </c>
      <c r="BZ173" s="52">
        <v>12890.27</v>
      </c>
      <c r="CA173" s="52">
        <v>7826.96</v>
      </c>
      <c r="CB173" s="52">
        <v>17327.93</v>
      </c>
      <c r="CC173" s="52">
        <v>16819.23</v>
      </c>
      <c r="CD173" s="52">
        <v>9724.7099999999991</v>
      </c>
      <c r="CE173" s="52">
        <v>8691.69</v>
      </c>
      <c r="CF173" s="52">
        <v>33835.14</v>
      </c>
      <c r="CG173" s="52">
        <v>9146.35</v>
      </c>
      <c r="CH173" s="52">
        <v>9888.44</v>
      </c>
      <c r="CI173" s="52">
        <v>55866.73</v>
      </c>
      <c r="CJ173" s="52">
        <v>6306.76</v>
      </c>
      <c r="CK173" s="52">
        <v>7793.39</v>
      </c>
      <c r="CL173" s="52">
        <v>-54359.8</v>
      </c>
      <c r="CM173" s="52">
        <v>50656.24</v>
      </c>
      <c r="CN173" s="52">
        <v>34299.11</v>
      </c>
      <c r="CO173" s="52">
        <v>35964.239999999998</v>
      </c>
      <c r="CP173" s="52">
        <v>10674.59</v>
      </c>
      <c r="CQ173" s="52">
        <v>-20602.89</v>
      </c>
      <c r="CR173" s="52">
        <v>45962.23</v>
      </c>
      <c r="CS173" s="52">
        <v>5735.77</v>
      </c>
      <c r="CT173" s="52">
        <v>6604.49</v>
      </c>
      <c r="CU173" s="52">
        <v>88602.49</v>
      </c>
      <c r="CV173" s="430">
        <f t="shared" si="4"/>
        <v>217636.62</v>
      </c>
    </row>
    <row r="174" spans="1:100">
      <c r="A174" s="540" t="str">
        <f t="shared" si="5"/>
        <v>6020900</v>
      </c>
      <c r="B174" s="541" t="s">
        <v>1995</v>
      </c>
      <c r="C174" s="463" t="s">
        <v>1085</v>
      </c>
      <c r="D174" s="426">
        <v>170946</v>
      </c>
      <c r="E174" s="426">
        <v>133574.88</v>
      </c>
      <c r="F174" s="426">
        <v>170946</v>
      </c>
      <c r="G174" s="426">
        <v>170946</v>
      </c>
      <c r="H174" s="426">
        <v>170946</v>
      </c>
      <c r="I174" s="426">
        <v>170946</v>
      </c>
      <c r="J174" s="426">
        <v>170946</v>
      </c>
      <c r="K174" s="426">
        <v>170946</v>
      </c>
      <c r="L174" s="426">
        <v>941946</v>
      </c>
      <c r="M174" s="426">
        <v>170946</v>
      </c>
      <c r="N174" s="426">
        <v>170946</v>
      </c>
      <c r="O174" s="427">
        <v>424642.44</v>
      </c>
      <c r="P174" s="52">
        <v>172327.15</v>
      </c>
      <c r="Q174" s="52">
        <v>-58279.71</v>
      </c>
      <c r="R174" s="52">
        <v>925327.15</v>
      </c>
      <c r="S174" s="52">
        <v>357327.15</v>
      </c>
      <c r="T174" s="52">
        <v>46327.15</v>
      </c>
      <c r="U174" s="52">
        <v>305327.15000000002</v>
      </c>
      <c r="V174" s="52">
        <v>63327.15</v>
      </c>
      <c r="W174" s="52">
        <v>193327.15</v>
      </c>
      <c r="X174" s="52">
        <v>-39013.699999999997</v>
      </c>
      <c r="Y174" s="52">
        <v>139327.15</v>
      </c>
      <c r="Z174" s="52">
        <v>548327.15</v>
      </c>
      <c r="AA174" s="52">
        <v>-784641.8</v>
      </c>
      <c r="AB174" s="52">
        <v>169166.67</v>
      </c>
      <c r="AC174" s="52">
        <v>169290.52</v>
      </c>
      <c r="AD174" s="52">
        <v>169166.67</v>
      </c>
      <c r="AE174" s="52">
        <v>169166.67</v>
      </c>
      <c r="AF174" s="52">
        <v>169166.67</v>
      </c>
      <c r="AG174" s="52">
        <v>169166.67</v>
      </c>
      <c r="AH174" s="52">
        <v>429166.67</v>
      </c>
      <c r="AI174" s="52">
        <v>993166.67</v>
      </c>
      <c r="AJ174" s="52">
        <v>208166.67</v>
      </c>
      <c r="AK174" s="52">
        <v>149166.67000000001</v>
      </c>
      <c r="AL174" s="52">
        <v>-452833.33</v>
      </c>
      <c r="AM174" s="52">
        <v>176166.67</v>
      </c>
      <c r="AN174" s="52">
        <v>185416.67</v>
      </c>
      <c r="AO174" s="52">
        <v>319479.8</v>
      </c>
      <c r="AP174" s="52">
        <v>289142.12</v>
      </c>
      <c r="AQ174" s="52">
        <v>185416.67</v>
      </c>
      <c r="AR174" s="52">
        <v>185416.67</v>
      </c>
      <c r="AS174" s="52">
        <v>260416.67</v>
      </c>
      <c r="AT174" s="52">
        <v>197916.67</v>
      </c>
      <c r="AU174" s="52">
        <v>197916.67</v>
      </c>
      <c r="AV174" s="52">
        <v>197916.67</v>
      </c>
      <c r="AW174" s="52">
        <v>-59181</v>
      </c>
      <c r="AX174" s="52">
        <v>172207</v>
      </c>
      <c r="AY174" s="52">
        <v>396747</v>
      </c>
      <c r="AZ174" s="52">
        <v>234827.37</v>
      </c>
      <c r="BA174" s="52">
        <v>936235.29</v>
      </c>
      <c r="BB174" s="52">
        <v>243064.67</v>
      </c>
      <c r="BC174" s="52">
        <v>234827.37</v>
      </c>
      <c r="BD174" s="52">
        <v>234827.37</v>
      </c>
      <c r="BE174" s="52">
        <v>240525.45</v>
      </c>
      <c r="BF174" s="52">
        <v>357355.16</v>
      </c>
      <c r="BG174" s="52">
        <v>652331.34</v>
      </c>
      <c r="BH174" s="52">
        <v>357418.04</v>
      </c>
      <c r="BI174" s="52">
        <v>308452.09999999998</v>
      </c>
      <c r="BJ174" s="52">
        <v>308452.09999999998</v>
      </c>
      <c r="BK174" s="52">
        <v>386499.04</v>
      </c>
      <c r="BL174" s="52">
        <v>324001.25</v>
      </c>
      <c r="BM174" s="52">
        <v>421100.34</v>
      </c>
      <c r="BN174" s="52">
        <v>337580.97</v>
      </c>
      <c r="BO174" s="52">
        <v>324001.25</v>
      </c>
      <c r="BP174" s="52">
        <v>324001.25</v>
      </c>
      <c r="BQ174" s="52">
        <v>324001.25</v>
      </c>
      <c r="BR174" s="52">
        <v>324001.25</v>
      </c>
      <c r="BS174" s="52">
        <v>324001.25</v>
      </c>
      <c r="BT174" s="52">
        <v>451951.25</v>
      </c>
      <c r="BU174" s="52">
        <v>338217.92</v>
      </c>
      <c r="BV174" s="52">
        <v>1088217.92</v>
      </c>
      <c r="BW174" s="52">
        <v>426648.1</v>
      </c>
      <c r="BX174" s="52">
        <v>378176</v>
      </c>
      <c r="BY174" s="52">
        <v>344902</v>
      </c>
      <c r="BZ174" s="52">
        <v>355817.95</v>
      </c>
      <c r="CA174" s="52">
        <v>359631.95</v>
      </c>
      <c r="CB174" s="52">
        <v>359631.95</v>
      </c>
      <c r="CC174" s="52">
        <v>207448.21</v>
      </c>
      <c r="CD174" s="52">
        <v>334268</v>
      </c>
      <c r="CE174" s="52">
        <v>334268</v>
      </c>
      <c r="CF174" s="52">
        <v>627902.32999999996</v>
      </c>
      <c r="CG174" s="52">
        <v>366894</v>
      </c>
      <c r="CH174" s="52">
        <v>366894</v>
      </c>
      <c r="CI174" s="52">
        <v>567739</v>
      </c>
      <c r="CJ174" s="52">
        <v>374838</v>
      </c>
      <c r="CK174" s="52">
        <v>374838</v>
      </c>
      <c r="CL174" s="52">
        <v>374838</v>
      </c>
      <c r="CM174" s="52">
        <v>237366</v>
      </c>
      <c r="CN174" s="52">
        <v>340470.17</v>
      </c>
      <c r="CO174" s="52">
        <v>340470.17</v>
      </c>
      <c r="CP174" s="52">
        <v>340470.17</v>
      </c>
      <c r="CQ174" s="52">
        <v>340470.17</v>
      </c>
      <c r="CR174" s="52">
        <v>340470.17</v>
      </c>
      <c r="CS174" s="52">
        <v>1077965.52</v>
      </c>
      <c r="CT174" s="52">
        <v>414219.64</v>
      </c>
      <c r="CU174" s="52">
        <v>1656836.92</v>
      </c>
      <c r="CV174" s="430">
        <f t="shared" si="4"/>
        <v>6213252.9299999997</v>
      </c>
    </row>
    <row r="175" spans="1:100">
      <c r="A175" s="540" t="str">
        <f t="shared" si="5"/>
        <v>6020920</v>
      </c>
      <c r="B175" s="541" t="s">
        <v>1997</v>
      </c>
      <c r="C175" s="463" t="s">
        <v>1086</v>
      </c>
      <c r="D175" s="426">
        <v>20.34</v>
      </c>
      <c r="E175" s="426">
        <v>2235</v>
      </c>
      <c r="F175" s="426">
        <v>2195.21</v>
      </c>
      <c r="G175" s="426">
        <v>1218.3900000000001</v>
      </c>
      <c r="H175" s="426">
        <v>1767.1</v>
      </c>
      <c r="I175" s="426">
        <v>2182.8200000000002</v>
      </c>
      <c r="J175" s="426">
        <v>1961.39</v>
      </c>
      <c r="K175" s="426">
        <v>2692.55</v>
      </c>
      <c r="L175" s="426">
        <v>1921</v>
      </c>
      <c r="M175" s="426">
        <v>3528</v>
      </c>
      <c r="N175" s="426">
        <v>4587.83</v>
      </c>
      <c r="O175" s="427">
        <v>2435</v>
      </c>
      <c r="P175" s="52">
        <v>0</v>
      </c>
      <c r="Q175" s="52">
        <v>2478</v>
      </c>
      <c r="R175" s="52">
        <v>1717.5</v>
      </c>
      <c r="S175" s="52">
        <v>1806.86</v>
      </c>
      <c r="T175" s="52">
        <v>2138.7399999999998</v>
      </c>
      <c r="U175" s="52">
        <v>4659.5</v>
      </c>
      <c r="V175" s="52">
        <v>2528.48</v>
      </c>
      <c r="W175" s="52">
        <v>1046.1199999999999</v>
      </c>
      <c r="X175" s="52">
        <v>3238.5</v>
      </c>
      <c r="Y175" s="52">
        <v>2013.62</v>
      </c>
      <c r="Z175" s="52">
        <v>1314</v>
      </c>
      <c r="AA175" s="52">
        <v>1674.5</v>
      </c>
      <c r="AB175" s="52">
        <v>3097.2</v>
      </c>
      <c r="AC175" s="52">
        <v>1453.85</v>
      </c>
      <c r="AD175" s="52">
        <v>2643.7</v>
      </c>
      <c r="AE175" s="52">
        <v>2521.35</v>
      </c>
      <c r="AF175" s="52">
        <v>829.7</v>
      </c>
      <c r="AG175" s="52">
        <v>2856</v>
      </c>
      <c r="AH175" s="52">
        <v>0</v>
      </c>
      <c r="AI175" s="52">
        <v>1440.2</v>
      </c>
      <c r="AJ175" s="52">
        <v>1742</v>
      </c>
      <c r="AK175" s="52">
        <v>1564</v>
      </c>
      <c r="AL175" s="52">
        <v>910.5</v>
      </c>
      <c r="AM175" s="52">
        <v>269.98</v>
      </c>
      <c r="AN175" s="52">
        <v>176.1</v>
      </c>
      <c r="AO175" s="52">
        <v>2254.7600000000002</v>
      </c>
      <c r="AP175" s="52">
        <v>4126.47</v>
      </c>
      <c r="AQ175" s="52">
        <v>117.4</v>
      </c>
      <c r="AR175" s="52">
        <v>5799.52</v>
      </c>
      <c r="AS175" s="52">
        <v>58.7</v>
      </c>
      <c r="AT175" s="52">
        <v>2130.63</v>
      </c>
      <c r="AU175" s="52">
        <v>11112.07</v>
      </c>
      <c r="AV175" s="52">
        <v>74.349999999999994</v>
      </c>
      <c r="AW175" s="52">
        <v>0</v>
      </c>
      <c r="AX175" s="52">
        <v>2817.85</v>
      </c>
      <c r="AY175" s="52">
        <v>1276.0999999999999</v>
      </c>
      <c r="AZ175" s="52">
        <v>0</v>
      </c>
      <c r="BA175" s="52">
        <v>145.44999999999999</v>
      </c>
      <c r="BB175" s="52">
        <v>1023.62</v>
      </c>
      <c r="BC175" s="52">
        <v>8796.7000000000007</v>
      </c>
      <c r="BD175" s="52">
        <v>1326.7</v>
      </c>
      <c r="BE175" s="52">
        <v>486.45</v>
      </c>
      <c r="BF175" s="52">
        <v>1405.67</v>
      </c>
      <c r="BG175" s="52">
        <v>165.55</v>
      </c>
      <c r="BH175" s="52">
        <v>2819.05</v>
      </c>
      <c r="BI175" s="52">
        <v>25</v>
      </c>
      <c r="BJ175" s="52">
        <v>58.7</v>
      </c>
      <c r="BK175" s="52">
        <v>3535.3</v>
      </c>
      <c r="BL175" s="52">
        <v>-75.48</v>
      </c>
      <c r="BM175" s="52">
        <v>5825.5</v>
      </c>
      <c r="BN175" s="52">
        <v>89.28</v>
      </c>
      <c r="BO175" s="52">
        <v>2006.77</v>
      </c>
      <c r="BP175" s="52">
        <v>2320.19</v>
      </c>
      <c r="BQ175" s="52">
        <v>105.02</v>
      </c>
      <c r="BR175" s="52">
        <v>4200.7299999999996</v>
      </c>
      <c r="BS175" s="52">
        <v>29.76</v>
      </c>
      <c r="BT175" s="52">
        <v>1366.53</v>
      </c>
      <c r="BU175" s="52">
        <v>4656.97</v>
      </c>
      <c r="BV175" s="52">
        <v>1240.4100000000001</v>
      </c>
      <c r="BW175" s="52">
        <v>5257.63</v>
      </c>
      <c r="BX175" s="52">
        <v>161.44</v>
      </c>
      <c r="BY175" s="52">
        <v>3775.97</v>
      </c>
      <c r="BZ175" s="52">
        <v>1374.38</v>
      </c>
      <c r="CA175" s="52">
        <v>189.4</v>
      </c>
      <c r="CB175" s="52">
        <v>0</v>
      </c>
      <c r="CC175" s="52">
        <v>3742.65</v>
      </c>
      <c r="CD175" s="52">
        <v>5683.19</v>
      </c>
      <c r="CE175" s="52">
        <v>60.4</v>
      </c>
      <c r="CF175" s="52">
        <v>2479.1799999999998</v>
      </c>
      <c r="CG175" s="52">
        <v>0</v>
      </c>
      <c r="CH175" s="52">
        <v>3195</v>
      </c>
      <c r="CI175" s="52">
        <v>0</v>
      </c>
      <c r="CJ175" s="52">
        <v>300</v>
      </c>
      <c r="CK175" s="52">
        <v>1250.67</v>
      </c>
      <c r="CL175" s="52">
        <v>5195</v>
      </c>
      <c r="CM175" s="52">
        <v>0</v>
      </c>
      <c r="CN175" s="52">
        <v>40</v>
      </c>
      <c r="CO175" s="52">
        <v>2303.6999999999998</v>
      </c>
      <c r="CP175" s="52">
        <v>941.46</v>
      </c>
      <c r="CQ175" s="52">
        <v>925</v>
      </c>
      <c r="CR175" s="52">
        <v>4400</v>
      </c>
      <c r="CS175" s="52">
        <v>1950</v>
      </c>
      <c r="CT175" s="52">
        <v>2000</v>
      </c>
      <c r="CU175" s="52">
        <v>898.78</v>
      </c>
      <c r="CV175" s="430">
        <f t="shared" si="4"/>
        <v>20204.609999999997</v>
      </c>
    </row>
    <row r="176" spans="1:100">
      <c r="A176" s="540" t="str">
        <f t="shared" si="5"/>
        <v>6029000</v>
      </c>
      <c r="B176" s="541" t="s">
        <v>1998</v>
      </c>
      <c r="C176" s="463" t="s">
        <v>1437</v>
      </c>
      <c r="D176" s="426"/>
      <c r="E176" s="426"/>
      <c r="F176" s="426"/>
      <c r="G176" s="426"/>
      <c r="H176" s="426"/>
      <c r="I176" s="426"/>
      <c r="J176" s="426"/>
      <c r="K176" s="426"/>
      <c r="L176" s="426"/>
      <c r="M176" s="426"/>
      <c r="N176" s="426"/>
      <c r="O176" s="427"/>
      <c r="P176" s="52"/>
      <c r="Q176" s="52"/>
      <c r="R176" s="52"/>
      <c r="S176" s="52"/>
      <c r="T176" s="52"/>
      <c r="U176" s="52"/>
      <c r="V176" s="52"/>
      <c r="W176" s="52"/>
      <c r="X176" s="52"/>
      <c r="Y176" s="52"/>
      <c r="Z176" s="52"/>
      <c r="AA176" s="52"/>
      <c r="AB176" s="52"/>
      <c r="AC176" s="52"/>
      <c r="AD176" s="52"/>
      <c r="AE176" s="52">
        <v>0</v>
      </c>
      <c r="AF176" s="52">
        <v>0</v>
      </c>
      <c r="AG176" s="52">
        <v>0</v>
      </c>
      <c r="AH176" s="52">
        <v>0</v>
      </c>
      <c r="AI176" s="52">
        <v>0</v>
      </c>
      <c r="AJ176" s="52">
        <v>0</v>
      </c>
      <c r="AK176" s="52">
        <v>0</v>
      </c>
      <c r="AL176" s="52">
        <v>0</v>
      </c>
      <c r="AM176" s="52">
        <v>0</v>
      </c>
      <c r="AN176" s="52">
        <v>0</v>
      </c>
      <c r="AO176" s="52">
        <v>0</v>
      </c>
      <c r="AP176" s="52">
        <v>0</v>
      </c>
      <c r="AQ176" s="52">
        <v>0</v>
      </c>
      <c r="AR176" s="52">
        <v>0</v>
      </c>
      <c r="AS176" s="52">
        <v>0</v>
      </c>
      <c r="AT176" s="52">
        <v>0</v>
      </c>
      <c r="AU176" s="52">
        <v>-478.65</v>
      </c>
      <c r="AV176" s="52">
        <v>0</v>
      </c>
      <c r="AW176" s="52">
        <v>0</v>
      </c>
      <c r="AX176" s="52">
        <v>0</v>
      </c>
      <c r="AY176" s="52">
        <v>0</v>
      </c>
      <c r="AZ176" s="52">
        <v>0</v>
      </c>
      <c r="BA176" s="52">
        <v>0</v>
      </c>
      <c r="BB176" s="52">
        <v>0</v>
      </c>
      <c r="BC176" s="52">
        <v>0</v>
      </c>
      <c r="BD176" s="52">
        <v>0</v>
      </c>
      <c r="BE176" s="52">
        <v>0</v>
      </c>
      <c r="BF176" s="52">
        <v>0</v>
      </c>
      <c r="BG176" s="52">
        <v>0</v>
      </c>
      <c r="BH176" s="52">
        <v>0</v>
      </c>
      <c r="BI176" s="52">
        <v>-1691.23</v>
      </c>
      <c r="BJ176" s="52">
        <v>-1843.24</v>
      </c>
      <c r="BK176" s="52">
        <v>-6514.42</v>
      </c>
      <c r="BL176" s="52">
        <v>-2101.87</v>
      </c>
      <c r="BM176" s="52">
        <v>-1966.26</v>
      </c>
      <c r="BN176" s="52">
        <v>-2364.1799999999998</v>
      </c>
      <c r="BO176" s="52">
        <v>0</v>
      </c>
      <c r="BP176" s="52">
        <v>-4024.31</v>
      </c>
      <c r="BQ176" s="52">
        <v>-2279.41</v>
      </c>
      <c r="BR176" s="52">
        <v>-12908.89</v>
      </c>
      <c r="BS176" s="52">
        <v>-2553.58</v>
      </c>
      <c r="BT176" s="52">
        <v>-3285.05</v>
      </c>
      <c r="BU176" s="52">
        <v>-1920.73</v>
      </c>
      <c r="BV176" s="52">
        <v>-3510.62</v>
      </c>
      <c r="BW176" s="52">
        <v>-2609.8000000000002</v>
      </c>
      <c r="BX176" s="52">
        <v>-2379.67</v>
      </c>
      <c r="BY176" s="52">
        <v>-6585.09</v>
      </c>
      <c r="BZ176" s="52">
        <v>800.27</v>
      </c>
      <c r="CA176" s="52">
        <v>-3168.34</v>
      </c>
      <c r="CB176" s="52">
        <v>-2905.1</v>
      </c>
      <c r="CC176" s="52">
        <v>-3180.47</v>
      </c>
      <c r="CD176" s="52">
        <v>-3683.66</v>
      </c>
      <c r="CE176" s="52">
        <v>-3068.29</v>
      </c>
      <c r="CF176" s="52">
        <v>-14435.02</v>
      </c>
      <c r="CG176" s="52">
        <v>-3170.32</v>
      </c>
      <c r="CH176" s="52">
        <v>-3276.05</v>
      </c>
      <c r="CI176" s="52">
        <v>-3345.12</v>
      </c>
      <c r="CJ176" s="52">
        <v>-2722.26</v>
      </c>
      <c r="CK176" s="52">
        <v>-2947.03</v>
      </c>
      <c r="CL176" s="52">
        <v>-18034.05</v>
      </c>
      <c r="CM176" s="52">
        <v>785.44</v>
      </c>
      <c r="CN176" s="52">
        <v>-21411.39</v>
      </c>
      <c r="CO176" s="52">
        <v>-2878.38</v>
      </c>
      <c r="CP176" s="52">
        <v>-2745.95</v>
      </c>
      <c r="CQ176" s="52">
        <v>-2485.98</v>
      </c>
      <c r="CR176" s="52">
        <v>-5172.8</v>
      </c>
      <c r="CS176" s="52">
        <v>-2787.41</v>
      </c>
      <c r="CT176" s="52">
        <v>-3191.12</v>
      </c>
      <c r="CU176" s="52">
        <v>-4694.41</v>
      </c>
      <c r="CV176" s="430">
        <f t="shared" si="4"/>
        <v>-68285.34</v>
      </c>
    </row>
    <row r="177" spans="1:100">
      <c r="A177" s="540" t="str">
        <f t="shared" si="5"/>
        <v>6030010</v>
      </c>
      <c r="B177" s="541" t="s">
        <v>1999</v>
      </c>
      <c r="C177" s="463" t="s">
        <v>1087</v>
      </c>
      <c r="D177" s="428">
        <v>1926.09</v>
      </c>
      <c r="E177" s="428">
        <v>962.86</v>
      </c>
      <c r="F177" s="428">
        <v>24147.23</v>
      </c>
      <c r="G177" s="428">
        <v>3408.38</v>
      </c>
      <c r="H177" s="428">
        <v>2368.9299999999998</v>
      </c>
      <c r="I177" s="428">
        <v>1116.95</v>
      </c>
      <c r="J177" s="428">
        <v>3323.7</v>
      </c>
      <c r="K177" s="428">
        <v>1944.79</v>
      </c>
      <c r="L177" s="428">
        <v>3770.41</v>
      </c>
      <c r="M177" s="428">
        <v>1954</v>
      </c>
      <c r="N177" s="428">
        <v>2787.45</v>
      </c>
      <c r="O177" s="429">
        <v>1041.71</v>
      </c>
      <c r="P177" s="52">
        <v>688.45</v>
      </c>
      <c r="Q177" s="52">
        <v>338</v>
      </c>
      <c r="R177" s="52">
        <v>30090.74</v>
      </c>
      <c r="S177" s="52">
        <v>286.39999999999998</v>
      </c>
      <c r="T177" s="52">
        <v>3360.99</v>
      </c>
      <c r="U177" s="52">
        <v>3550.86</v>
      </c>
      <c r="V177" s="52">
        <v>3127.65</v>
      </c>
      <c r="W177" s="52">
        <v>4416.01</v>
      </c>
      <c r="X177" s="52">
        <v>3044.63</v>
      </c>
      <c r="Y177" s="52">
        <v>1162.1300000000001</v>
      </c>
      <c r="Z177" s="52">
        <v>1891.44</v>
      </c>
      <c r="AA177" s="52">
        <v>4967.59</v>
      </c>
      <c r="AB177" s="52">
        <v>4774.2</v>
      </c>
      <c r="AC177" s="52">
        <v>1852.19</v>
      </c>
      <c r="AD177" s="52">
        <v>27965.7</v>
      </c>
      <c r="AE177" s="52">
        <v>13279.19</v>
      </c>
      <c r="AF177" s="52">
        <v>6528</v>
      </c>
      <c r="AG177" s="52">
        <v>425.2</v>
      </c>
      <c r="AH177" s="52">
        <v>2426.5</v>
      </c>
      <c r="AI177" s="52">
        <v>3209.19</v>
      </c>
      <c r="AJ177" s="52">
        <v>1405.19</v>
      </c>
      <c r="AK177" s="52">
        <v>2613.16</v>
      </c>
      <c r="AL177" s="52">
        <v>2481.0500000000002</v>
      </c>
      <c r="AM177" s="52">
        <v>7272.9</v>
      </c>
      <c r="AN177" s="52">
        <v>1364.65</v>
      </c>
      <c r="AO177" s="52">
        <v>387.12</v>
      </c>
      <c r="AP177" s="52">
        <v>13887.8</v>
      </c>
      <c r="AQ177" s="52">
        <v>1882.36</v>
      </c>
      <c r="AR177" s="52">
        <v>1939.16</v>
      </c>
      <c r="AS177" s="52">
        <v>2494.2800000000002</v>
      </c>
      <c r="AT177" s="52">
        <v>2332.2800000000002</v>
      </c>
      <c r="AU177" s="52">
        <v>2528.5</v>
      </c>
      <c r="AV177" s="52">
        <v>444</v>
      </c>
      <c r="AW177" s="52">
        <v>438.47</v>
      </c>
      <c r="AX177" s="52">
        <v>1035.53</v>
      </c>
      <c r="AY177" s="52">
        <v>17407.36</v>
      </c>
      <c r="AZ177" s="52">
        <v>585.39</v>
      </c>
      <c r="BA177" s="52">
        <v>793.28</v>
      </c>
      <c r="BB177" s="52">
        <v>7554.83</v>
      </c>
      <c r="BC177" s="52">
        <v>1852.16</v>
      </c>
      <c r="BD177" s="52">
        <v>1468.4</v>
      </c>
      <c r="BE177" s="52">
        <v>3536.48</v>
      </c>
      <c r="BF177" s="52">
        <v>-5893.04</v>
      </c>
      <c r="BG177" s="52">
        <v>5526.33</v>
      </c>
      <c r="BH177" s="52">
        <v>17679.63</v>
      </c>
      <c r="BI177" s="52">
        <v>3672.79</v>
      </c>
      <c r="BJ177" s="52">
        <v>4379.8900000000003</v>
      </c>
      <c r="BK177" s="52">
        <v>10703.83</v>
      </c>
      <c r="BL177" s="52">
        <v>0</v>
      </c>
      <c r="BM177" s="52">
        <v>11662.78</v>
      </c>
      <c r="BN177" s="52">
        <v>2701.51</v>
      </c>
      <c r="BO177" s="52">
        <v>1814.67</v>
      </c>
      <c r="BP177" s="52">
        <v>4859.26</v>
      </c>
      <c r="BQ177" s="52">
        <v>5496.99</v>
      </c>
      <c r="BR177" s="52">
        <v>12883.68</v>
      </c>
      <c r="BS177" s="52">
        <v>3438.26</v>
      </c>
      <c r="BT177" s="52">
        <v>6657.91</v>
      </c>
      <c r="BU177" s="52">
        <v>3448.44</v>
      </c>
      <c r="BV177" s="52">
        <v>9113.17</v>
      </c>
      <c r="BW177" s="52">
        <v>10986.29</v>
      </c>
      <c r="BX177" s="52">
        <v>2119.69</v>
      </c>
      <c r="BY177" s="52">
        <v>11526.82</v>
      </c>
      <c r="BZ177" s="52">
        <v>3488.73</v>
      </c>
      <c r="CA177" s="52">
        <v>10273.44</v>
      </c>
      <c r="CB177" s="52">
        <v>2821.99</v>
      </c>
      <c r="CC177" s="52">
        <v>4436.99</v>
      </c>
      <c r="CD177" s="52">
        <v>16678</v>
      </c>
      <c r="CE177" s="52">
        <v>1647.35</v>
      </c>
      <c r="CF177" s="52">
        <v>4527.8</v>
      </c>
      <c r="CG177" s="52">
        <v>16526.18</v>
      </c>
      <c r="CH177" s="52">
        <v>2442.08</v>
      </c>
      <c r="CI177" s="52">
        <v>14309.64</v>
      </c>
      <c r="CJ177" s="52">
        <v>3162.46</v>
      </c>
      <c r="CK177" s="52">
        <v>1669.64</v>
      </c>
      <c r="CL177" s="52">
        <v>10200.549999999999</v>
      </c>
      <c r="CM177" s="52">
        <v>2782.75</v>
      </c>
      <c r="CN177" s="52">
        <v>1853.79</v>
      </c>
      <c r="CO177" s="52">
        <v>4115.8599999999997</v>
      </c>
      <c r="CP177" s="52">
        <v>1771.36</v>
      </c>
      <c r="CQ177" s="52">
        <v>18623.88</v>
      </c>
      <c r="CR177" s="52">
        <v>5203.57</v>
      </c>
      <c r="CS177" s="52">
        <v>17651.330000000002</v>
      </c>
      <c r="CT177" s="52">
        <v>786.46</v>
      </c>
      <c r="CU177" s="52">
        <v>11756.17</v>
      </c>
      <c r="CV177" s="430">
        <f t="shared" si="4"/>
        <v>79577.820000000007</v>
      </c>
    </row>
    <row r="178" spans="1:100">
      <c r="A178" s="540" t="str">
        <f t="shared" si="5"/>
        <v>6030020</v>
      </c>
      <c r="B178" s="541" t="s">
        <v>2000</v>
      </c>
      <c r="C178" s="463" t="s">
        <v>1088</v>
      </c>
      <c r="D178" s="428">
        <v>1170</v>
      </c>
      <c r="E178" s="428">
        <v>2450</v>
      </c>
      <c r="F178" s="428">
        <v>8825.84</v>
      </c>
      <c r="G178" s="428">
        <v>480</v>
      </c>
      <c r="H178" s="428">
        <v>0</v>
      </c>
      <c r="I178" s="428">
        <v>0</v>
      </c>
      <c r="J178" s="428">
        <v>755.77</v>
      </c>
      <c r="K178" s="428">
        <v>642.59</v>
      </c>
      <c r="L178" s="428">
        <v>580</v>
      </c>
      <c r="M178" s="428">
        <v>294.2</v>
      </c>
      <c r="N178" s="428">
        <v>193</v>
      </c>
      <c r="O178" s="429">
        <v>123.03</v>
      </c>
      <c r="P178" s="52">
        <v>560</v>
      </c>
      <c r="Q178" s="52">
        <v>5936.52</v>
      </c>
      <c r="R178" s="52">
        <v>0</v>
      </c>
      <c r="S178" s="52">
        <v>1494.2</v>
      </c>
      <c r="T178" s="52">
        <v>1471.75</v>
      </c>
      <c r="U178" s="52">
        <v>1365.16</v>
      </c>
      <c r="V178" s="52">
        <v>190</v>
      </c>
      <c r="W178" s="52">
        <v>0</v>
      </c>
      <c r="X178" s="52">
        <v>100</v>
      </c>
      <c r="Y178" s="52">
        <v>232.47</v>
      </c>
      <c r="Z178" s="52">
        <v>1625</v>
      </c>
      <c r="AA178" s="52">
        <v>3883.2</v>
      </c>
      <c r="AB178" s="52">
        <v>1250</v>
      </c>
      <c r="AC178" s="52">
        <v>3715</v>
      </c>
      <c r="AD178" s="52">
        <v>6636.5</v>
      </c>
      <c r="AE178" s="52">
        <v>0</v>
      </c>
      <c r="AF178" s="52">
        <v>1500</v>
      </c>
      <c r="AG178" s="52">
        <v>1050</v>
      </c>
      <c r="AH178" s="52">
        <v>774.2</v>
      </c>
      <c r="AI178" s="52">
        <v>431.07</v>
      </c>
      <c r="AJ178" s="52">
        <v>1335</v>
      </c>
      <c r="AK178" s="52">
        <v>-750</v>
      </c>
      <c r="AL178" s="52">
        <v>1385</v>
      </c>
      <c r="AM178" s="52">
        <v>2500</v>
      </c>
      <c r="AN178" s="52">
        <v>0</v>
      </c>
      <c r="AO178" s="52">
        <v>194.2</v>
      </c>
      <c r="AP178" s="52">
        <v>636.51</v>
      </c>
      <c r="AQ178" s="52">
        <v>300</v>
      </c>
      <c r="AR178" s="52">
        <v>0</v>
      </c>
      <c r="AS178" s="52">
        <v>710</v>
      </c>
      <c r="AT178" s="52">
        <v>1050</v>
      </c>
      <c r="AU178" s="52">
        <v>0</v>
      </c>
      <c r="AV178" s="52">
        <v>85</v>
      </c>
      <c r="AW178" s="52">
        <v>0</v>
      </c>
      <c r="AX178" s="52">
        <v>0</v>
      </c>
      <c r="AY178" s="52">
        <v>145</v>
      </c>
      <c r="AZ178" s="52">
        <v>1210</v>
      </c>
      <c r="BA178" s="52">
        <v>1500</v>
      </c>
      <c r="BB178" s="52">
        <v>0</v>
      </c>
      <c r="BC178" s="52">
        <v>0</v>
      </c>
      <c r="BD178" s="52">
        <v>330</v>
      </c>
      <c r="BE178" s="52">
        <v>0</v>
      </c>
      <c r="BF178" s="52">
        <v>1448.53</v>
      </c>
      <c r="BG178" s="52">
        <v>115</v>
      </c>
      <c r="BH178" s="52">
        <v>0</v>
      </c>
      <c r="BI178" s="52">
        <v>4925</v>
      </c>
      <c r="BJ178" s="52">
        <v>1000</v>
      </c>
      <c r="BK178" s="52">
        <v>2840</v>
      </c>
      <c r="BL178" s="52">
        <v>4250</v>
      </c>
      <c r="BM178" s="52">
        <v>220</v>
      </c>
      <c r="BN178" s="52">
        <v>710</v>
      </c>
      <c r="BO178" s="52">
        <v>-380</v>
      </c>
      <c r="BP178" s="52">
        <v>600</v>
      </c>
      <c r="BQ178" s="52">
        <v>675</v>
      </c>
      <c r="BR178" s="52">
        <v>2242.5</v>
      </c>
      <c r="BS178" s="52">
        <v>-530</v>
      </c>
      <c r="BT178" s="52">
        <v>4417.45</v>
      </c>
      <c r="BU178" s="52">
        <v>0</v>
      </c>
      <c r="BV178" s="52">
        <v>1042.79</v>
      </c>
      <c r="BW178" s="52">
        <v>380</v>
      </c>
      <c r="BX178" s="52">
        <v>500</v>
      </c>
      <c r="BY178" s="52">
        <v>0</v>
      </c>
      <c r="BZ178" s="52">
        <v>388</v>
      </c>
      <c r="CA178" s="52">
        <v>0</v>
      </c>
      <c r="CB178" s="52">
        <v>550</v>
      </c>
      <c r="CC178" s="52">
        <v>0</v>
      </c>
      <c r="CD178" s="52">
        <v>855</v>
      </c>
      <c r="CE178" s="52">
        <v>125</v>
      </c>
      <c r="CF178" s="52">
        <v>0</v>
      </c>
      <c r="CG178" s="52">
        <v>280</v>
      </c>
      <c r="CH178" s="52">
        <v>0</v>
      </c>
      <c r="CI178" s="52">
        <v>35</v>
      </c>
      <c r="CJ178" s="52">
        <v>3306.96</v>
      </c>
      <c r="CK178" s="52">
        <v>1881.57</v>
      </c>
      <c r="CL178" s="52">
        <v>0</v>
      </c>
      <c r="CM178" s="52">
        <v>0</v>
      </c>
      <c r="CN178" s="52">
        <v>1608.26</v>
      </c>
      <c r="CO178" s="52">
        <v>611</v>
      </c>
      <c r="CP178" s="52">
        <v>7350</v>
      </c>
      <c r="CQ178" s="52">
        <v>0</v>
      </c>
      <c r="CR178" s="52">
        <v>340.75</v>
      </c>
      <c r="CS178" s="52">
        <v>128.19999999999999</v>
      </c>
      <c r="CT178" s="52">
        <v>3250</v>
      </c>
      <c r="CU178" s="52">
        <v>50</v>
      </c>
      <c r="CV178" s="430">
        <f t="shared" si="4"/>
        <v>18526.740000000002</v>
      </c>
    </row>
    <row r="179" spans="1:100">
      <c r="A179" s="540" t="str">
        <f t="shared" si="5"/>
        <v>6030030</v>
      </c>
      <c r="B179" s="541" t="s">
        <v>2001</v>
      </c>
      <c r="C179" s="463" t="s">
        <v>1089</v>
      </c>
      <c r="D179" s="428">
        <v>2046.51</v>
      </c>
      <c r="E179" s="428">
        <v>8149.12</v>
      </c>
      <c r="F179" s="428">
        <v>12341.05</v>
      </c>
      <c r="G179" s="428">
        <v>11907.5</v>
      </c>
      <c r="H179" s="428">
        <v>11196.52</v>
      </c>
      <c r="I179" s="428">
        <v>9242.77</v>
      </c>
      <c r="J179" s="428">
        <v>8097.43</v>
      </c>
      <c r="K179" s="428">
        <v>9325.23</v>
      </c>
      <c r="L179" s="428">
        <v>15476.06</v>
      </c>
      <c r="M179" s="428">
        <v>13733.24</v>
      </c>
      <c r="N179" s="428">
        <v>19245</v>
      </c>
      <c r="O179" s="429">
        <v>20699.759999999998</v>
      </c>
      <c r="P179" s="52">
        <v>1669.01</v>
      </c>
      <c r="Q179" s="52">
        <v>9410.01</v>
      </c>
      <c r="R179" s="52">
        <v>14448.7</v>
      </c>
      <c r="S179" s="52">
        <v>8238.01</v>
      </c>
      <c r="T179" s="52">
        <v>15034.12</v>
      </c>
      <c r="U179" s="52">
        <v>13959.84</v>
      </c>
      <c r="V179" s="52">
        <v>11199.41</v>
      </c>
      <c r="W179" s="52">
        <v>9485.0400000000009</v>
      </c>
      <c r="X179" s="52">
        <v>16072.19</v>
      </c>
      <c r="Y179" s="52">
        <v>10220.93</v>
      </c>
      <c r="Z179" s="52">
        <v>8861.0400000000009</v>
      </c>
      <c r="AA179" s="52">
        <v>14129.48</v>
      </c>
      <c r="AB179" s="52">
        <v>1171.44</v>
      </c>
      <c r="AC179" s="52">
        <v>4138.07</v>
      </c>
      <c r="AD179" s="52">
        <v>6882.96</v>
      </c>
      <c r="AE179" s="52">
        <v>5950.46</v>
      </c>
      <c r="AF179" s="52">
        <v>5276.57</v>
      </c>
      <c r="AG179" s="52">
        <v>9303.24</v>
      </c>
      <c r="AH179" s="52">
        <v>4883.7</v>
      </c>
      <c r="AI179" s="52">
        <v>8263.4699999999993</v>
      </c>
      <c r="AJ179" s="52">
        <v>8460.4</v>
      </c>
      <c r="AK179" s="52">
        <v>5365.04</v>
      </c>
      <c r="AL179" s="52">
        <v>7274.69</v>
      </c>
      <c r="AM179" s="52">
        <v>18788.28</v>
      </c>
      <c r="AN179" s="52">
        <v>1172.8399999999999</v>
      </c>
      <c r="AO179" s="52">
        <v>6877.57</v>
      </c>
      <c r="AP179" s="52">
        <v>7913.36</v>
      </c>
      <c r="AQ179" s="52">
        <v>4763.47</v>
      </c>
      <c r="AR179" s="52">
        <v>5462.71</v>
      </c>
      <c r="AS179" s="52">
        <v>6299.18</v>
      </c>
      <c r="AT179" s="52">
        <v>6080.67</v>
      </c>
      <c r="AU179" s="52">
        <v>4554.68</v>
      </c>
      <c r="AV179" s="52">
        <v>63210.47</v>
      </c>
      <c r="AW179" s="52">
        <v>-49126.6</v>
      </c>
      <c r="AX179" s="52">
        <v>8520.2999999999993</v>
      </c>
      <c r="AY179" s="52">
        <v>17179.71</v>
      </c>
      <c r="AZ179" s="52">
        <v>2023.45</v>
      </c>
      <c r="BA179" s="52">
        <v>11933.16</v>
      </c>
      <c r="BB179" s="52">
        <v>16562.939999999999</v>
      </c>
      <c r="BC179" s="52">
        <v>11547.09</v>
      </c>
      <c r="BD179" s="52">
        <v>13532.05</v>
      </c>
      <c r="BE179" s="52">
        <v>11415.16</v>
      </c>
      <c r="BF179" s="52">
        <v>10399.67</v>
      </c>
      <c r="BG179" s="52">
        <v>19094.669999999998</v>
      </c>
      <c r="BH179" s="52">
        <v>14081.76</v>
      </c>
      <c r="BI179" s="52">
        <v>11070.37</v>
      </c>
      <c r="BJ179" s="52">
        <v>12500.98</v>
      </c>
      <c r="BK179" s="52">
        <v>23519.439999999999</v>
      </c>
      <c r="BL179" s="52">
        <v>-308.73</v>
      </c>
      <c r="BM179" s="52">
        <v>12438.06</v>
      </c>
      <c r="BN179" s="52">
        <v>11051.03</v>
      </c>
      <c r="BO179" s="52">
        <v>10689.41</v>
      </c>
      <c r="BP179" s="52">
        <v>5438.92</v>
      </c>
      <c r="BQ179" s="52">
        <v>13732.54</v>
      </c>
      <c r="BR179" s="52">
        <v>10499.06</v>
      </c>
      <c r="BS179" s="52">
        <v>650.19000000000005</v>
      </c>
      <c r="BT179" s="52">
        <v>498.68</v>
      </c>
      <c r="BU179" s="52">
        <v>0</v>
      </c>
      <c r="BV179" s="52">
        <v>0</v>
      </c>
      <c r="BW179" s="52">
        <v>0</v>
      </c>
      <c r="BX179" s="52">
        <v>0</v>
      </c>
      <c r="BY179" s="52">
        <v>0</v>
      </c>
      <c r="BZ179" s="52">
        <v>129.6</v>
      </c>
      <c r="CA179" s="52">
        <v>0</v>
      </c>
      <c r="CB179" s="52">
        <v>20.68</v>
      </c>
      <c r="CC179" s="52">
        <v>0</v>
      </c>
      <c r="CD179" s="52">
        <v>0</v>
      </c>
      <c r="CE179" s="52">
        <v>0</v>
      </c>
      <c r="CF179" s="52">
        <v>0</v>
      </c>
      <c r="CG179" s="52">
        <v>0</v>
      </c>
      <c r="CH179" s="52">
        <v>0</v>
      </c>
      <c r="CI179" s="52">
        <v>0</v>
      </c>
      <c r="CJ179" s="52">
        <v>0</v>
      </c>
      <c r="CK179" s="52">
        <v>0</v>
      </c>
      <c r="CL179" s="52">
        <v>0</v>
      </c>
      <c r="CM179" s="52">
        <v>0</v>
      </c>
      <c r="CN179" s="52">
        <v>0</v>
      </c>
      <c r="CO179" s="52">
        <v>0</v>
      </c>
      <c r="CP179" s="52">
        <v>0</v>
      </c>
      <c r="CQ179" s="52">
        <v>0</v>
      </c>
      <c r="CR179" s="52">
        <v>0</v>
      </c>
      <c r="CS179" s="52">
        <v>0</v>
      </c>
      <c r="CT179" s="52">
        <v>0</v>
      </c>
      <c r="CU179" s="52">
        <v>0</v>
      </c>
      <c r="CV179" s="430">
        <f t="shared" si="4"/>
        <v>0</v>
      </c>
    </row>
    <row r="180" spans="1:100">
      <c r="A180" s="540" t="str">
        <f t="shared" si="5"/>
        <v>6030040</v>
      </c>
      <c r="B180" s="541" t="s">
        <v>2003</v>
      </c>
      <c r="C180" s="463" t="s">
        <v>1090</v>
      </c>
      <c r="D180" s="426">
        <v>3889.06</v>
      </c>
      <c r="E180" s="426">
        <v>16087</v>
      </c>
      <c r="F180" s="426">
        <v>16096.17</v>
      </c>
      <c r="G180" s="426">
        <v>13329.25</v>
      </c>
      <c r="H180" s="426">
        <v>19948.830000000002</v>
      </c>
      <c r="I180" s="426">
        <v>15888.79</v>
      </c>
      <c r="J180" s="426">
        <v>15407.37</v>
      </c>
      <c r="K180" s="426">
        <v>15267.31</v>
      </c>
      <c r="L180" s="426">
        <v>16429.759999999998</v>
      </c>
      <c r="M180" s="426">
        <v>18655.13</v>
      </c>
      <c r="N180" s="426">
        <v>13281.19</v>
      </c>
      <c r="O180" s="427">
        <v>31027.7</v>
      </c>
      <c r="P180" s="52">
        <v>1229.83</v>
      </c>
      <c r="Q180" s="52">
        <v>10097.08</v>
      </c>
      <c r="R180" s="52">
        <v>18268.490000000002</v>
      </c>
      <c r="S180" s="52">
        <v>17093.63</v>
      </c>
      <c r="T180" s="52">
        <v>13146.8</v>
      </c>
      <c r="U180" s="52">
        <v>14308.77</v>
      </c>
      <c r="V180" s="52">
        <v>19941.169999999998</v>
      </c>
      <c r="W180" s="52">
        <v>12014.83</v>
      </c>
      <c r="X180" s="52">
        <v>16236.54</v>
      </c>
      <c r="Y180" s="52">
        <v>21925.73</v>
      </c>
      <c r="Z180" s="52">
        <v>27332.880000000001</v>
      </c>
      <c r="AA180" s="52">
        <v>41256.370000000003</v>
      </c>
      <c r="AB180" s="52">
        <v>2558.89</v>
      </c>
      <c r="AC180" s="52">
        <v>17180.64</v>
      </c>
      <c r="AD180" s="52">
        <v>21896.28</v>
      </c>
      <c r="AE180" s="52">
        <v>20671.87</v>
      </c>
      <c r="AF180" s="52">
        <v>21136.75</v>
      </c>
      <c r="AG180" s="52">
        <v>29396.62</v>
      </c>
      <c r="AH180" s="52">
        <v>19412.88</v>
      </c>
      <c r="AI180" s="52">
        <v>22283.15</v>
      </c>
      <c r="AJ180" s="52">
        <v>20305.93</v>
      </c>
      <c r="AK180" s="52">
        <v>21567</v>
      </c>
      <c r="AL180" s="52">
        <v>26236.76</v>
      </c>
      <c r="AM180" s="52">
        <v>52105.59</v>
      </c>
      <c r="AN180" s="52">
        <v>7746.54</v>
      </c>
      <c r="AO180" s="52">
        <v>34425.15</v>
      </c>
      <c r="AP180" s="52">
        <v>20758.150000000001</v>
      </c>
      <c r="AQ180" s="52">
        <v>20403.78</v>
      </c>
      <c r="AR180" s="52">
        <v>17645.689999999999</v>
      </c>
      <c r="AS180" s="52">
        <v>15433.06</v>
      </c>
      <c r="AT180" s="52">
        <v>19298.990000000002</v>
      </c>
      <c r="AU180" s="52">
        <v>17946.8</v>
      </c>
      <c r="AV180" s="52">
        <v>19615.22</v>
      </c>
      <c r="AW180" s="52">
        <v>18483.330000000002</v>
      </c>
      <c r="AX180" s="52">
        <v>76308.649999999994</v>
      </c>
      <c r="AY180" s="52">
        <v>50375.49</v>
      </c>
      <c r="AZ180" s="52">
        <v>3784.5</v>
      </c>
      <c r="BA180" s="52">
        <v>25612.1</v>
      </c>
      <c r="BB180" s="52">
        <v>26442.9</v>
      </c>
      <c r="BC180" s="52">
        <v>16927.189999999999</v>
      </c>
      <c r="BD180" s="52">
        <v>29162.21</v>
      </c>
      <c r="BE180" s="52">
        <v>34313.910000000003</v>
      </c>
      <c r="BF180" s="52">
        <v>24041.51</v>
      </c>
      <c r="BG180" s="52">
        <v>23060.74</v>
      </c>
      <c r="BH180" s="52">
        <v>28951.3</v>
      </c>
      <c r="BI180" s="52">
        <v>22409</v>
      </c>
      <c r="BJ180" s="52">
        <v>327407.98</v>
      </c>
      <c r="BK180" s="52">
        <v>65812.98</v>
      </c>
      <c r="BL180" s="52">
        <v>3940.79</v>
      </c>
      <c r="BM180" s="52">
        <v>36646.120000000003</v>
      </c>
      <c r="BN180" s="52">
        <v>35390.6</v>
      </c>
      <c r="BO180" s="52">
        <v>19716.7</v>
      </c>
      <c r="BP180" s="52">
        <v>24279.54</v>
      </c>
      <c r="BQ180" s="52">
        <v>24296.9</v>
      </c>
      <c r="BR180" s="52">
        <v>44824.54</v>
      </c>
      <c r="BS180" s="52">
        <v>59704.83</v>
      </c>
      <c r="BT180" s="52">
        <v>55220.99</v>
      </c>
      <c r="BU180" s="52">
        <v>43152.51</v>
      </c>
      <c r="BV180" s="52">
        <v>42842.76</v>
      </c>
      <c r="BW180" s="52">
        <v>92643.51</v>
      </c>
      <c r="BX180" s="52">
        <v>6989.83</v>
      </c>
      <c r="BY180" s="52">
        <v>37305.97</v>
      </c>
      <c r="BZ180" s="52">
        <v>61792.84</v>
      </c>
      <c r="CA180" s="52">
        <v>29590.99</v>
      </c>
      <c r="CB180" s="52">
        <v>4170.38</v>
      </c>
      <c r="CC180" s="52">
        <v>9139.2900000000009</v>
      </c>
      <c r="CD180" s="52">
        <v>20844.599999999999</v>
      </c>
      <c r="CE180" s="52">
        <v>17888.12</v>
      </c>
      <c r="CF180" s="52">
        <v>14502.18</v>
      </c>
      <c r="CG180" s="52">
        <v>11637.18</v>
      </c>
      <c r="CH180" s="52">
        <v>10635.94</v>
      </c>
      <c r="CI180" s="52">
        <v>18890.23</v>
      </c>
      <c r="CJ180" s="52">
        <v>4926.18</v>
      </c>
      <c r="CK180" s="52">
        <v>13914.78</v>
      </c>
      <c r="CL180" s="52">
        <v>26485.18</v>
      </c>
      <c r="CM180" s="52">
        <v>32355.39</v>
      </c>
      <c r="CN180" s="52">
        <v>28121.79</v>
      </c>
      <c r="CO180" s="52">
        <v>24418.34</v>
      </c>
      <c r="CP180" s="52">
        <v>24481.42</v>
      </c>
      <c r="CQ180" s="52">
        <v>32322.33</v>
      </c>
      <c r="CR180" s="52">
        <v>24039.279999999999</v>
      </c>
      <c r="CS180" s="52">
        <v>18649.62</v>
      </c>
      <c r="CT180" s="52">
        <v>39453.15</v>
      </c>
      <c r="CU180" s="52">
        <v>59784.05</v>
      </c>
      <c r="CV180" s="430">
        <f t="shared" si="4"/>
        <v>328951.51</v>
      </c>
    </row>
    <row r="181" spans="1:100">
      <c r="A181" s="540" t="str">
        <f t="shared" si="5"/>
        <v>6030050</v>
      </c>
      <c r="B181" s="541" t="s">
        <v>2002</v>
      </c>
      <c r="C181" s="463" t="s">
        <v>1091</v>
      </c>
      <c r="D181" s="428">
        <v>8498.9699999999993</v>
      </c>
      <c r="E181" s="428">
        <v>12548.98</v>
      </c>
      <c r="F181" s="428">
        <v>15270.44</v>
      </c>
      <c r="G181" s="428">
        <v>8262.86</v>
      </c>
      <c r="H181" s="428">
        <v>12982.29</v>
      </c>
      <c r="I181" s="428">
        <v>12726.95</v>
      </c>
      <c r="J181" s="428">
        <v>15776.48</v>
      </c>
      <c r="K181" s="428">
        <v>12077.07</v>
      </c>
      <c r="L181" s="428">
        <v>13034.88</v>
      </c>
      <c r="M181" s="428">
        <v>20143.810000000001</v>
      </c>
      <c r="N181" s="428">
        <v>12980.66</v>
      </c>
      <c r="O181" s="429">
        <v>15566.51</v>
      </c>
      <c r="P181" s="52">
        <v>7172.21</v>
      </c>
      <c r="Q181" s="52">
        <v>11232.77</v>
      </c>
      <c r="R181" s="52">
        <v>13587.19</v>
      </c>
      <c r="S181" s="52">
        <v>11270.86</v>
      </c>
      <c r="T181" s="52">
        <v>11511.87</v>
      </c>
      <c r="U181" s="52">
        <v>14463.72</v>
      </c>
      <c r="V181" s="52">
        <v>14400.94</v>
      </c>
      <c r="W181" s="52">
        <v>11666.02</v>
      </c>
      <c r="X181" s="52">
        <v>8886.6299999999992</v>
      </c>
      <c r="Y181" s="52">
        <v>15834</v>
      </c>
      <c r="Z181" s="52">
        <v>12132.18</v>
      </c>
      <c r="AA181" s="52">
        <v>13833.31</v>
      </c>
      <c r="AB181" s="52">
        <v>6360.64</v>
      </c>
      <c r="AC181" s="52">
        <v>7763.56</v>
      </c>
      <c r="AD181" s="52">
        <v>8209.48</v>
      </c>
      <c r="AE181" s="52">
        <v>9945.8700000000008</v>
      </c>
      <c r="AF181" s="52">
        <v>11944.35</v>
      </c>
      <c r="AG181" s="52">
        <v>15862.88</v>
      </c>
      <c r="AH181" s="52">
        <v>4992.71</v>
      </c>
      <c r="AI181" s="52">
        <v>11832.24</v>
      </c>
      <c r="AJ181" s="52">
        <v>8924.2099999999991</v>
      </c>
      <c r="AK181" s="52">
        <v>8250.39</v>
      </c>
      <c r="AL181" s="52">
        <v>12918.36</v>
      </c>
      <c r="AM181" s="52">
        <v>11723.46</v>
      </c>
      <c r="AN181" s="52">
        <v>7013.8</v>
      </c>
      <c r="AO181" s="52">
        <v>8808.77</v>
      </c>
      <c r="AP181" s="52">
        <v>8309.5</v>
      </c>
      <c r="AQ181" s="52">
        <v>8176.76</v>
      </c>
      <c r="AR181" s="52">
        <v>8413.36</v>
      </c>
      <c r="AS181" s="52">
        <v>8373.7199999999993</v>
      </c>
      <c r="AT181" s="52">
        <v>10514.52</v>
      </c>
      <c r="AU181" s="52">
        <v>10226.26</v>
      </c>
      <c r="AV181" s="52">
        <v>8714.56</v>
      </c>
      <c r="AW181" s="52">
        <v>6507.5</v>
      </c>
      <c r="AX181" s="52">
        <v>7260.94</v>
      </c>
      <c r="AY181" s="52">
        <v>11500.36</v>
      </c>
      <c r="AZ181" s="52">
        <v>6016.55</v>
      </c>
      <c r="BA181" s="52">
        <v>6817.53</v>
      </c>
      <c r="BB181" s="52">
        <v>6216.57</v>
      </c>
      <c r="BC181" s="52">
        <v>11235.68</v>
      </c>
      <c r="BD181" s="52">
        <v>14136.23</v>
      </c>
      <c r="BE181" s="52">
        <v>10145.379999999999</v>
      </c>
      <c r="BF181" s="52">
        <v>14896.36</v>
      </c>
      <c r="BG181" s="52">
        <v>17434.919999999998</v>
      </c>
      <c r="BH181" s="52">
        <v>8102.85</v>
      </c>
      <c r="BI181" s="52">
        <v>15161.28</v>
      </c>
      <c r="BJ181" s="52">
        <v>15547.73</v>
      </c>
      <c r="BK181" s="52">
        <v>17683.23</v>
      </c>
      <c r="BL181" s="52">
        <v>9406.51</v>
      </c>
      <c r="BM181" s="52">
        <v>11302.51</v>
      </c>
      <c r="BN181" s="52">
        <v>8421.08</v>
      </c>
      <c r="BO181" s="52">
        <v>7195.48</v>
      </c>
      <c r="BP181" s="52">
        <v>12347.23</v>
      </c>
      <c r="BQ181" s="52">
        <v>13696.74</v>
      </c>
      <c r="BR181" s="52">
        <v>12425.21</v>
      </c>
      <c r="BS181" s="52">
        <v>21181.72</v>
      </c>
      <c r="BT181" s="52">
        <v>15968.86</v>
      </c>
      <c r="BU181" s="52">
        <v>15858.77</v>
      </c>
      <c r="BV181" s="52">
        <v>12697.27</v>
      </c>
      <c r="BW181" s="52">
        <v>16716.89</v>
      </c>
      <c r="BX181" s="52">
        <v>9929.9</v>
      </c>
      <c r="BY181" s="52">
        <v>10233.209999999999</v>
      </c>
      <c r="BZ181" s="52">
        <v>10259.89</v>
      </c>
      <c r="CA181" s="52">
        <v>2101.83</v>
      </c>
      <c r="CB181" s="52">
        <v>2903.76</v>
      </c>
      <c r="CC181" s="52">
        <v>4986.71</v>
      </c>
      <c r="CD181" s="52">
        <v>8249.85</v>
      </c>
      <c r="CE181" s="52">
        <v>3711.15</v>
      </c>
      <c r="CF181" s="52">
        <v>5996.37</v>
      </c>
      <c r="CG181" s="52">
        <v>2702.57</v>
      </c>
      <c r="CH181" s="52">
        <v>5471.88</v>
      </c>
      <c r="CI181" s="52">
        <v>3703.76</v>
      </c>
      <c r="CJ181" s="52">
        <v>998.22</v>
      </c>
      <c r="CK181" s="52">
        <v>6228.71</v>
      </c>
      <c r="CL181" s="52">
        <v>8185.41</v>
      </c>
      <c r="CM181" s="52">
        <v>8010.57</v>
      </c>
      <c r="CN181" s="52">
        <v>5727.43</v>
      </c>
      <c r="CO181" s="52">
        <v>6352.08</v>
      </c>
      <c r="CP181" s="52">
        <v>4477.76</v>
      </c>
      <c r="CQ181" s="52">
        <v>7178.11</v>
      </c>
      <c r="CR181" s="52">
        <v>3472.56</v>
      </c>
      <c r="CS181" s="52">
        <v>5307.12</v>
      </c>
      <c r="CT181" s="52">
        <v>5782.56</v>
      </c>
      <c r="CU181" s="52">
        <v>5649.57</v>
      </c>
      <c r="CV181" s="430">
        <f t="shared" si="4"/>
        <v>67370.100000000006</v>
      </c>
    </row>
    <row r="182" spans="1:100">
      <c r="A182" s="540" t="str">
        <f t="shared" si="5"/>
        <v>6030060</v>
      </c>
      <c r="B182" s="541" t="s">
        <v>2004</v>
      </c>
      <c r="C182" s="463" t="s">
        <v>1092</v>
      </c>
      <c r="D182" s="426">
        <v>11628.85</v>
      </c>
      <c r="E182" s="426">
        <v>19304.88</v>
      </c>
      <c r="F182" s="426">
        <v>25302.53</v>
      </c>
      <c r="G182" s="426">
        <v>12179.09</v>
      </c>
      <c r="H182" s="426">
        <v>11509.79</v>
      </c>
      <c r="I182" s="426">
        <v>12284.93</v>
      </c>
      <c r="J182" s="426">
        <v>11270.02</v>
      </c>
      <c r="K182" s="426">
        <v>9674.64</v>
      </c>
      <c r="L182" s="426">
        <v>8326.39</v>
      </c>
      <c r="M182" s="426">
        <v>9150.36</v>
      </c>
      <c r="N182" s="426">
        <v>9313.1299999999992</v>
      </c>
      <c r="O182" s="427">
        <v>6890.83</v>
      </c>
      <c r="P182" s="52">
        <v>7818.53</v>
      </c>
      <c r="Q182" s="52">
        <v>11377.61</v>
      </c>
      <c r="R182" s="52">
        <v>11586.79</v>
      </c>
      <c r="S182" s="52">
        <v>10006.89</v>
      </c>
      <c r="T182" s="52">
        <v>7701.93</v>
      </c>
      <c r="U182" s="52">
        <v>9861.36</v>
      </c>
      <c r="V182" s="52">
        <v>6838.56</v>
      </c>
      <c r="W182" s="52">
        <v>6360.27</v>
      </c>
      <c r="X182" s="52">
        <v>8962.24</v>
      </c>
      <c r="Y182" s="52">
        <v>3316.66</v>
      </c>
      <c r="Z182" s="52">
        <v>11100.87</v>
      </c>
      <c r="AA182" s="52">
        <v>6573.22</v>
      </c>
      <c r="AB182" s="52">
        <v>15195.78</v>
      </c>
      <c r="AC182" s="52">
        <v>15293.79</v>
      </c>
      <c r="AD182" s="52">
        <v>46178.12</v>
      </c>
      <c r="AE182" s="52">
        <v>21216.26</v>
      </c>
      <c r="AF182" s="52">
        <v>23882.52</v>
      </c>
      <c r="AG182" s="52">
        <v>10351.32</v>
      </c>
      <c r="AH182" s="52">
        <v>13943.52</v>
      </c>
      <c r="AI182" s="52">
        <v>28153.4</v>
      </c>
      <c r="AJ182" s="52">
        <v>7841.64</v>
      </c>
      <c r="AK182" s="52">
        <v>8318.4</v>
      </c>
      <c r="AL182" s="52">
        <v>20609.29</v>
      </c>
      <c r="AM182" s="52">
        <v>29274.03</v>
      </c>
      <c r="AN182" s="52">
        <v>22943.78</v>
      </c>
      <c r="AO182" s="52">
        <v>18865.62</v>
      </c>
      <c r="AP182" s="52">
        <v>21317.89</v>
      </c>
      <c r="AQ182" s="52">
        <v>8901.09</v>
      </c>
      <c r="AR182" s="52">
        <v>17652.310000000001</v>
      </c>
      <c r="AS182" s="52">
        <v>14138.54</v>
      </c>
      <c r="AT182" s="52">
        <v>8978.76</v>
      </c>
      <c r="AU182" s="52">
        <v>10692.28</v>
      </c>
      <c r="AV182" s="52">
        <v>17335.03</v>
      </c>
      <c r="AW182" s="52">
        <v>3999.42</v>
      </c>
      <c r="AX182" s="52">
        <v>10813.33</v>
      </c>
      <c r="AY182" s="52">
        <v>9350.76</v>
      </c>
      <c r="AZ182" s="52">
        <v>15370.14</v>
      </c>
      <c r="BA182" s="52">
        <v>25407.85</v>
      </c>
      <c r="BB182" s="52">
        <v>17785.45</v>
      </c>
      <c r="BC182" s="52">
        <v>16179.3</v>
      </c>
      <c r="BD182" s="52">
        <v>21701.42</v>
      </c>
      <c r="BE182" s="52">
        <v>15302.65</v>
      </c>
      <c r="BF182" s="52">
        <v>13492.13</v>
      </c>
      <c r="BG182" s="52">
        <v>17159.330000000002</v>
      </c>
      <c r="BH182" s="52">
        <v>9382.51</v>
      </c>
      <c r="BI182" s="52">
        <v>14942.18</v>
      </c>
      <c r="BJ182" s="52">
        <v>19083.919999999998</v>
      </c>
      <c r="BK182" s="52">
        <v>12650.97</v>
      </c>
      <c r="BL182" s="52">
        <v>20440.810000000001</v>
      </c>
      <c r="BM182" s="52">
        <v>27281.119999999999</v>
      </c>
      <c r="BN182" s="52">
        <v>30782.400000000001</v>
      </c>
      <c r="BO182" s="52">
        <v>51756.69</v>
      </c>
      <c r="BP182" s="52">
        <v>17659.849999999999</v>
      </c>
      <c r="BQ182" s="52">
        <v>106032.32000000001</v>
      </c>
      <c r="BR182" s="52">
        <v>27461.47</v>
      </c>
      <c r="BS182" s="52">
        <v>14481.89</v>
      </c>
      <c r="BT182" s="52">
        <v>29824.45</v>
      </c>
      <c r="BU182" s="52">
        <v>50170.63</v>
      </c>
      <c r="BV182" s="52">
        <v>33163.11</v>
      </c>
      <c r="BW182" s="52">
        <v>15622.01</v>
      </c>
      <c r="BX182" s="52">
        <v>16610.580000000002</v>
      </c>
      <c r="BY182" s="52">
        <v>77450.11</v>
      </c>
      <c r="BZ182" s="52">
        <v>32035.09</v>
      </c>
      <c r="CA182" s="52">
        <v>8792.25</v>
      </c>
      <c r="CB182" s="52">
        <v>25618.86</v>
      </c>
      <c r="CC182" s="52">
        <v>10053.469999999999</v>
      </c>
      <c r="CD182" s="52">
        <v>8086.65</v>
      </c>
      <c r="CE182" s="52">
        <v>17097.439999999999</v>
      </c>
      <c r="CF182" s="52">
        <v>4531.18</v>
      </c>
      <c r="CG182" s="52">
        <v>42805.66</v>
      </c>
      <c r="CH182" s="52">
        <v>73916.45</v>
      </c>
      <c r="CI182" s="52">
        <v>6370.52</v>
      </c>
      <c r="CJ182" s="52">
        <v>110493.24</v>
      </c>
      <c r="CK182" s="52">
        <v>40637.1</v>
      </c>
      <c r="CL182" s="52">
        <v>40610.32</v>
      </c>
      <c r="CM182" s="52">
        <v>27280.45</v>
      </c>
      <c r="CN182" s="52">
        <v>13747.83</v>
      </c>
      <c r="CO182" s="52">
        <v>42232.77</v>
      </c>
      <c r="CP182" s="52">
        <v>10001.27</v>
      </c>
      <c r="CQ182" s="52">
        <v>16955.3</v>
      </c>
      <c r="CR182" s="52">
        <v>6282.9</v>
      </c>
      <c r="CS182" s="52">
        <v>10884.02</v>
      </c>
      <c r="CT182" s="52">
        <v>42893.599999999999</v>
      </c>
      <c r="CU182" s="52">
        <v>50976.01</v>
      </c>
      <c r="CV182" s="430">
        <f t="shared" si="4"/>
        <v>412994.81000000006</v>
      </c>
    </row>
    <row r="183" spans="1:100">
      <c r="A183" s="540" t="str">
        <f t="shared" si="5"/>
        <v>6030070</v>
      </c>
      <c r="B183" s="541" t="s">
        <v>2005</v>
      </c>
      <c r="C183" s="463" t="s">
        <v>1093</v>
      </c>
      <c r="D183" s="426">
        <v>13780</v>
      </c>
      <c r="E183" s="426">
        <v>13545</v>
      </c>
      <c r="F183" s="426">
        <v>12046.68</v>
      </c>
      <c r="G183" s="426">
        <v>2146.96</v>
      </c>
      <c r="H183" s="426">
        <v>3979.23</v>
      </c>
      <c r="I183" s="426">
        <v>13452.39</v>
      </c>
      <c r="J183" s="426">
        <v>5586.52</v>
      </c>
      <c r="K183" s="426">
        <v>19282.86</v>
      </c>
      <c r="L183" s="426">
        <v>12491.57</v>
      </c>
      <c r="M183" s="426">
        <v>3488.95</v>
      </c>
      <c r="N183" s="426">
        <v>1550</v>
      </c>
      <c r="O183" s="427">
        <v>6520.66</v>
      </c>
      <c r="P183" s="52">
        <v>0</v>
      </c>
      <c r="Q183" s="52">
        <v>1688.01</v>
      </c>
      <c r="R183" s="52">
        <v>13801.63</v>
      </c>
      <c r="S183" s="52">
        <v>5006.2700000000004</v>
      </c>
      <c r="T183" s="52">
        <v>1374.18</v>
      </c>
      <c r="U183" s="52">
        <v>10895.5</v>
      </c>
      <c r="V183" s="52">
        <v>1533.2</v>
      </c>
      <c r="W183" s="52">
        <v>926.34</v>
      </c>
      <c r="X183" s="52">
        <v>13090.5</v>
      </c>
      <c r="Y183" s="52">
        <v>1600.9</v>
      </c>
      <c r="Z183" s="52">
        <v>3174.36</v>
      </c>
      <c r="AA183" s="52">
        <v>16062.81</v>
      </c>
      <c r="AB183" s="52">
        <v>320</v>
      </c>
      <c r="AC183" s="52">
        <v>4030.45</v>
      </c>
      <c r="AD183" s="52">
        <v>4187.09</v>
      </c>
      <c r="AE183" s="52">
        <v>3371.3</v>
      </c>
      <c r="AF183" s="52">
        <v>5764.95</v>
      </c>
      <c r="AG183" s="52">
        <v>8523.2999999999993</v>
      </c>
      <c r="AH183" s="52">
        <v>1549.95</v>
      </c>
      <c r="AI183" s="52">
        <v>2616.65</v>
      </c>
      <c r="AJ183" s="52">
        <v>6992.8</v>
      </c>
      <c r="AK183" s="52">
        <v>3055.22</v>
      </c>
      <c r="AL183" s="52">
        <v>15674.68</v>
      </c>
      <c r="AM183" s="52">
        <v>13209.97</v>
      </c>
      <c r="AN183" s="52">
        <v>7288.72</v>
      </c>
      <c r="AO183" s="52">
        <v>4860.3</v>
      </c>
      <c r="AP183" s="52">
        <v>4737.78</v>
      </c>
      <c r="AQ183" s="52">
        <v>8685.18</v>
      </c>
      <c r="AR183" s="52">
        <v>12244.38</v>
      </c>
      <c r="AS183" s="52">
        <v>3947.62</v>
      </c>
      <c r="AT183" s="52">
        <v>5183.4799999999996</v>
      </c>
      <c r="AU183" s="52">
        <v>3715</v>
      </c>
      <c r="AV183" s="52">
        <v>4953</v>
      </c>
      <c r="AW183" s="52">
        <v>-3206.48</v>
      </c>
      <c r="AX183" s="52">
        <v>1990.4</v>
      </c>
      <c r="AY183" s="52">
        <v>3624.26</v>
      </c>
      <c r="AZ183" s="52">
        <v>0</v>
      </c>
      <c r="BA183" s="52">
        <v>3258.99</v>
      </c>
      <c r="BB183" s="52">
        <v>2741.03</v>
      </c>
      <c r="BC183" s="52">
        <v>9754.49</v>
      </c>
      <c r="BD183" s="52">
        <v>9993.14</v>
      </c>
      <c r="BE183" s="52">
        <v>2144.96</v>
      </c>
      <c r="BF183" s="52">
        <v>878.94</v>
      </c>
      <c r="BG183" s="52">
        <v>2443.1</v>
      </c>
      <c r="BH183" s="52">
        <v>3130.86</v>
      </c>
      <c r="BI183" s="52">
        <v>11343.52</v>
      </c>
      <c r="BJ183" s="52">
        <v>10898.29</v>
      </c>
      <c r="BK183" s="52">
        <v>11031.25</v>
      </c>
      <c r="BL183" s="52">
        <v>195</v>
      </c>
      <c r="BM183" s="52">
        <v>3648.97</v>
      </c>
      <c r="BN183" s="52">
        <v>9426.42</v>
      </c>
      <c r="BO183" s="52">
        <v>4780.24</v>
      </c>
      <c r="BP183" s="52">
        <v>8446.65</v>
      </c>
      <c r="BQ183" s="52">
        <v>2759.49</v>
      </c>
      <c r="BR183" s="52">
        <v>1271.1500000000001</v>
      </c>
      <c r="BS183" s="52">
        <v>8807.36</v>
      </c>
      <c r="BT183" s="52">
        <v>4084.56</v>
      </c>
      <c r="BU183" s="52">
        <v>11057.75</v>
      </c>
      <c r="BV183" s="52">
        <v>6392.59</v>
      </c>
      <c r="BW183" s="52">
        <v>12938.49</v>
      </c>
      <c r="BX183" s="52">
        <v>2841.7</v>
      </c>
      <c r="BY183" s="52">
        <v>13927.53</v>
      </c>
      <c r="BZ183" s="52">
        <v>12443.43</v>
      </c>
      <c r="CA183" s="52">
        <v>227.42</v>
      </c>
      <c r="CB183" s="52">
        <v>6584.82</v>
      </c>
      <c r="CC183" s="52">
        <v>5487.47</v>
      </c>
      <c r="CD183" s="52">
        <v>3863</v>
      </c>
      <c r="CE183" s="52">
        <v>2548.77</v>
      </c>
      <c r="CF183" s="52">
        <v>2501.54</v>
      </c>
      <c r="CG183" s="52">
        <v>5205.75</v>
      </c>
      <c r="CH183" s="52">
        <v>2759.66</v>
      </c>
      <c r="CI183" s="52">
        <v>14680.45</v>
      </c>
      <c r="CJ183" s="52">
        <v>1249</v>
      </c>
      <c r="CK183" s="52">
        <v>5627.21</v>
      </c>
      <c r="CL183" s="52">
        <v>2460</v>
      </c>
      <c r="CM183" s="52">
        <v>7386.1</v>
      </c>
      <c r="CN183" s="52">
        <v>8985.34</v>
      </c>
      <c r="CO183" s="52">
        <v>6182.16</v>
      </c>
      <c r="CP183" s="52">
        <v>5776.17</v>
      </c>
      <c r="CQ183" s="52">
        <v>4407</v>
      </c>
      <c r="CR183" s="52">
        <v>10049.299999999999</v>
      </c>
      <c r="CS183" s="52">
        <v>16048.34</v>
      </c>
      <c r="CT183" s="52">
        <v>18788.349999999999</v>
      </c>
      <c r="CU183" s="52">
        <v>15741.12</v>
      </c>
      <c r="CV183" s="430">
        <f t="shared" si="4"/>
        <v>102700.09</v>
      </c>
    </row>
    <row r="184" spans="1:100">
      <c r="A184" s="540" t="str">
        <f t="shared" si="5"/>
        <v>6030080</v>
      </c>
      <c r="B184" s="541" t="s">
        <v>2006</v>
      </c>
      <c r="C184" s="463" t="s">
        <v>1094</v>
      </c>
      <c r="D184" s="428">
        <v>7736</v>
      </c>
      <c r="E184" s="428">
        <v>40559.449999999997</v>
      </c>
      <c r="F184" s="428">
        <v>37419.449999999997</v>
      </c>
      <c r="G184" s="428">
        <v>28269.57</v>
      </c>
      <c r="H184" s="428">
        <v>43552.959999999999</v>
      </c>
      <c r="I184" s="428">
        <v>43523.97</v>
      </c>
      <c r="J184" s="428">
        <v>46204.08</v>
      </c>
      <c r="K184" s="428">
        <v>34164.769999999997</v>
      </c>
      <c r="L184" s="428">
        <v>43093.18</v>
      </c>
      <c r="M184" s="428">
        <v>46775.22</v>
      </c>
      <c r="N184" s="428">
        <v>46288.81</v>
      </c>
      <c r="O184" s="429">
        <v>61326.21</v>
      </c>
      <c r="P184" s="52">
        <v>6916.33</v>
      </c>
      <c r="Q184" s="52">
        <v>34543.440000000002</v>
      </c>
      <c r="R184" s="52">
        <v>45384.85</v>
      </c>
      <c r="S184" s="52">
        <v>46776.38</v>
      </c>
      <c r="T184" s="52">
        <v>50798.14</v>
      </c>
      <c r="U184" s="52">
        <v>59764.42</v>
      </c>
      <c r="V184" s="52">
        <v>58262.63</v>
      </c>
      <c r="W184" s="52">
        <v>44690.879999999997</v>
      </c>
      <c r="X184" s="52">
        <v>46296.63</v>
      </c>
      <c r="Y184" s="52">
        <v>70620.710000000006</v>
      </c>
      <c r="Z184" s="52">
        <v>51525.52</v>
      </c>
      <c r="AA184" s="52">
        <v>77867.92</v>
      </c>
      <c r="AB184" s="52">
        <v>2847.91</v>
      </c>
      <c r="AC184" s="52">
        <v>55202.93</v>
      </c>
      <c r="AD184" s="52">
        <v>44196.55</v>
      </c>
      <c r="AE184" s="52">
        <v>56162.720000000001</v>
      </c>
      <c r="AF184" s="52">
        <v>46056.65</v>
      </c>
      <c r="AG184" s="52">
        <v>71087.83</v>
      </c>
      <c r="AH184" s="52">
        <v>43588.21</v>
      </c>
      <c r="AI184" s="52">
        <v>41371.379999999997</v>
      </c>
      <c r="AJ184" s="52">
        <v>49421.7</v>
      </c>
      <c r="AK184" s="52">
        <v>59642.7</v>
      </c>
      <c r="AL184" s="52">
        <v>44183.79</v>
      </c>
      <c r="AM184" s="52">
        <v>91292.81</v>
      </c>
      <c r="AN184" s="52">
        <v>3192.94</v>
      </c>
      <c r="AO184" s="52">
        <v>30600.28</v>
      </c>
      <c r="AP184" s="52">
        <v>48336.75</v>
      </c>
      <c r="AQ184" s="52">
        <v>36416.910000000003</v>
      </c>
      <c r="AR184" s="52">
        <v>37977.980000000003</v>
      </c>
      <c r="AS184" s="52">
        <v>45772.37</v>
      </c>
      <c r="AT184" s="52">
        <v>40382.53</v>
      </c>
      <c r="AU184" s="52">
        <v>30051.26</v>
      </c>
      <c r="AV184" s="52">
        <v>61781.81</v>
      </c>
      <c r="AW184" s="52">
        <v>31247.68</v>
      </c>
      <c r="AX184" s="52">
        <v>48561.1</v>
      </c>
      <c r="AY184" s="52">
        <v>82167.350000000006</v>
      </c>
      <c r="AZ184" s="52">
        <v>5910.29</v>
      </c>
      <c r="BA184" s="52">
        <v>60397.09</v>
      </c>
      <c r="BB184" s="52">
        <v>80157.72</v>
      </c>
      <c r="BC184" s="52">
        <v>52719.7</v>
      </c>
      <c r="BD184" s="52">
        <v>86397.46</v>
      </c>
      <c r="BE184" s="52">
        <v>63832.38</v>
      </c>
      <c r="BF184" s="52">
        <v>59296.28</v>
      </c>
      <c r="BG184" s="52">
        <v>57948.59</v>
      </c>
      <c r="BH184" s="52">
        <v>65526.16</v>
      </c>
      <c r="BI184" s="52">
        <v>45468.6</v>
      </c>
      <c r="BJ184" s="52">
        <v>60477.42</v>
      </c>
      <c r="BK184" s="52">
        <v>107158.8</v>
      </c>
      <c r="BL184" s="52">
        <v>13068.48</v>
      </c>
      <c r="BM184" s="52">
        <v>88142.83</v>
      </c>
      <c r="BN184" s="52">
        <v>70982.2</v>
      </c>
      <c r="BO184" s="52">
        <v>51904.08</v>
      </c>
      <c r="BP184" s="52">
        <v>66110.69</v>
      </c>
      <c r="BQ184" s="52">
        <v>76297.039999999994</v>
      </c>
      <c r="BR184" s="52">
        <v>75036.28</v>
      </c>
      <c r="BS184" s="52">
        <v>76258.17</v>
      </c>
      <c r="BT184" s="52">
        <v>98859.61</v>
      </c>
      <c r="BU184" s="52">
        <v>83029.08</v>
      </c>
      <c r="BV184" s="52">
        <v>62183.839999999997</v>
      </c>
      <c r="BW184" s="52">
        <v>112337.1</v>
      </c>
      <c r="BX184" s="52">
        <v>12463.05</v>
      </c>
      <c r="BY184" s="52">
        <v>63082.85</v>
      </c>
      <c r="BZ184" s="52">
        <v>90792.7</v>
      </c>
      <c r="CA184" s="52">
        <v>45355.74</v>
      </c>
      <c r="CB184" s="52">
        <v>2199.6999999999998</v>
      </c>
      <c r="CC184" s="52">
        <v>4014.23</v>
      </c>
      <c r="CD184" s="52">
        <v>16428.41</v>
      </c>
      <c r="CE184" s="52">
        <v>28465.84</v>
      </c>
      <c r="CF184" s="52">
        <v>41892.58</v>
      </c>
      <c r="CG184" s="52">
        <v>25637.71</v>
      </c>
      <c r="CH184" s="52">
        <v>27798.720000000001</v>
      </c>
      <c r="CI184" s="52">
        <v>32269.71</v>
      </c>
      <c r="CJ184" s="52">
        <v>13099.26</v>
      </c>
      <c r="CK184" s="52">
        <v>33961.43</v>
      </c>
      <c r="CL184" s="52">
        <v>44437.73</v>
      </c>
      <c r="CM184" s="52">
        <v>43745.52</v>
      </c>
      <c r="CN184" s="52">
        <v>49384.1</v>
      </c>
      <c r="CO184" s="52">
        <v>41439.51</v>
      </c>
      <c r="CP184" s="52">
        <v>39544.49</v>
      </c>
      <c r="CQ184" s="52">
        <v>61540.95</v>
      </c>
      <c r="CR184" s="52">
        <v>52182.32</v>
      </c>
      <c r="CS184" s="52">
        <v>38707.06</v>
      </c>
      <c r="CT184" s="52">
        <v>67333.06</v>
      </c>
      <c r="CU184" s="52">
        <v>96415.49</v>
      </c>
      <c r="CV184" s="430">
        <f t="shared" si="4"/>
        <v>581790.92000000004</v>
      </c>
    </row>
    <row r="185" spans="1:100">
      <c r="A185" s="540" t="str">
        <f>+B185</f>
        <v>6030090</v>
      </c>
      <c r="B185" s="541" t="s">
        <v>2533</v>
      </c>
      <c r="C185" s="1080" t="s">
        <v>2535</v>
      </c>
      <c r="D185" s="52">
        <v>0</v>
      </c>
      <c r="E185" s="52">
        <v>0</v>
      </c>
      <c r="F185" s="52">
        <v>0</v>
      </c>
      <c r="G185" s="52">
        <v>0</v>
      </c>
      <c r="H185" s="52">
        <v>0</v>
      </c>
      <c r="I185" s="52">
        <v>0</v>
      </c>
      <c r="J185" s="52">
        <v>0</v>
      </c>
      <c r="K185" s="52">
        <v>0</v>
      </c>
      <c r="L185" s="52">
        <v>0</v>
      </c>
      <c r="M185" s="52">
        <v>0</v>
      </c>
      <c r="N185" s="52">
        <v>0</v>
      </c>
      <c r="O185" s="52">
        <v>0</v>
      </c>
      <c r="P185" s="52">
        <v>0</v>
      </c>
      <c r="Q185" s="52">
        <v>0</v>
      </c>
      <c r="R185" s="52">
        <v>0</v>
      </c>
      <c r="S185" s="52">
        <v>0</v>
      </c>
      <c r="T185" s="52">
        <v>0</v>
      </c>
      <c r="U185" s="52">
        <v>0</v>
      </c>
      <c r="V185" s="52">
        <v>0</v>
      </c>
      <c r="W185" s="52">
        <v>0</v>
      </c>
      <c r="X185" s="52">
        <v>0</v>
      </c>
      <c r="Y185" s="52">
        <v>0</v>
      </c>
      <c r="Z185" s="52">
        <v>0</v>
      </c>
      <c r="AA185" s="52">
        <v>0</v>
      </c>
      <c r="AB185" s="52">
        <v>0</v>
      </c>
      <c r="AC185" s="52">
        <v>0</v>
      </c>
      <c r="AD185" s="52">
        <v>0</v>
      </c>
      <c r="AE185" s="52">
        <v>0</v>
      </c>
      <c r="AF185" s="52">
        <v>0</v>
      </c>
      <c r="AG185" s="52">
        <v>0</v>
      </c>
      <c r="AH185" s="52">
        <v>0</v>
      </c>
      <c r="AI185" s="52">
        <v>0</v>
      </c>
      <c r="AJ185" s="52">
        <v>0</v>
      </c>
      <c r="AK185" s="52">
        <v>0</v>
      </c>
      <c r="AL185" s="52">
        <v>0</v>
      </c>
      <c r="AM185" s="52">
        <v>0</v>
      </c>
      <c r="AN185" s="52">
        <v>0</v>
      </c>
      <c r="AO185" s="52">
        <v>0</v>
      </c>
      <c r="AP185" s="52">
        <v>0</v>
      </c>
      <c r="AQ185" s="52">
        <v>0</v>
      </c>
      <c r="AR185" s="52">
        <v>0</v>
      </c>
      <c r="AS185" s="52">
        <v>0</v>
      </c>
      <c r="AT185" s="52">
        <v>0</v>
      </c>
      <c r="AU185" s="52">
        <v>0</v>
      </c>
      <c r="AV185" s="52">
        <v>0</v>
      </c>
      <c r="AW185" s="52">
        <v>0</v>
      </c>
      <c r="AX185" s="52">
        <v>0</v>
      </c>
      <c r="AY185" s="52">
        <v>0</v>
      </c>
      <c r="AZ185" s="52">
        <v>0</v>
      </c>
      <c r="BA185" s="52">
        <v>0</v>
      </c>
      <c r="BB185" s="52">
        <v>0</v>
      </c>
      <c r="BC185" s="52">
        <v>0</v>
      </c>
      <c r="BD185" s="52">
        <v>0</v>
      </c>
      <c r="BE185" s="52">
        <v>0</v>
      </c>
      <c r="BF185" s="52">
        <v>0</v>
      </c>
      <c r="BG185" s="52">
        <v>0</v>
      </c>
      <c r="BH185" s="52">
        <v>0</v>
      </c>
      <c r="BI185" s="52">
        <v>0</v>
      </c>
      <c r="BJ185" s="52">
        <v>0</v>
      </c>
      <c r="BK185" s="52">
        <v>0</v>
      </c>
      <c r="BL185" s="52">
        <v>0</v>
      </c>
      <c r="BM185" s="52">
        <v>0</v>
      </c>
      <c r="BN185" s="52">
        <v>0</v>
      </c>
      <c r="BO185" s="52">
        <v>0</v>
      </c>
      <c r="BP185" s="52">
        <v>0</v>
      </c>
      <c r="BQ185" s="52">
        <v>0</v>
      </c>
      <c r="BR185" s="52">
        <v>0</v>
      </c>
      <c r="BS185" s="52">
        <v>0</v>
      </c>
      <c r="BT185" s="52">
        <v>0</v>
      </c>
      <c r="BU185" s="52">
        <v>0</v>
      </c>
      <c r="BV185" s="52">
        <v>0</v>
      </c>
      <c r="BW185" s="52">
        <v>0</v>
      </c>
      <c r="BX185" s="52">
        <v>0</v>
      </c>
      <c r="BY185" s="52">
        <v>0</v>
      </c>
      <c r="BZ185" s="52">
        <v>0</v>
      </c>
      <c r="CA185" s="52">
        <v>0</v>
      </c>
      <c r="CB185" s="52">
        <v>0</v>
      </c>
      <c r="CC185" s="52">
        <v>0</v>
      </c>
      <c r="CD185" s="52">
        <v>0</v>
      </c>
      <c r="CE185" s="52">
        <v>2500</v>
      </c>
      <c r="CF185" s="52">
        <v>0</v>
      </c>
      <c r="CG185" s="52">
        <v>0</v>
      </c>
      <c r="CH185" s="52">
        <v>0</v>
      </c>
      <c r="CI185" s="52">
        <v>0</v>
      </c>
      <c r="CJ185" s="52">
        <v>0</v>
      </c>
      <c r="CK185" s="52">
        <v>0</v>
      </c>
      <c r="CL185" s="52">
        <v>0</v>
      </c>
      <c r="CM185" s="52">
        <v>0</v>
      </c>
      <c r="CN185" s="52">
        <v>0</v>
      </c>
      <c r="CO185" s="52">
        <v>0</v>
      </c>
      <c r="CP185" s="52">
        <v>0</v>
      </c>
      <c r="CQ185" s="52">
        <v>0</v>
      </c>
      <c r="CR185" s="52">
        <v>0</v>
      </c>
      <c r="CS185" s="52">
        <v>0</v>
      </c>
      <c r="CT185" s="52">
        <v>0</v>
      </c>
      <c r="CU185" s="52">
        <v>1000</v>
      </c>
      <c r="CV185" s="430">
        <f t="shared" si="4"/>
        <v>1000</v>
      </c>
    </row>
    <row r="186" spans="1:100">
      <c r="A186" s="540" t="str">
        <f>+B186</f>
        <v>6030091</v>
      </c>
      <c r="B186" s="541" t="s">
        <v>2534</v>
      </c>
      <c r="C186" s="1080" t="s">
        <v>2536</v>
      </c>
      <c r="D186" s="52">
        <v>0</v>
      </c>
      <c r="E186" s="52">
        <v>0</v>
      </c>
      <c r="F186" s="52">
        <v>0</v>
      </c>
      <c r="G186" s="52">
        <v>0</v>
      </c>
      <c r="H186" s="52">
        <v>0</v>
      </c>
      <c r="I186" s="52">
        <v>0</v>
      </c>
      <c r="J186" s="52">
        <v>0</v>
      </c>
      <c r="K186" s="52">
        <v>0</v>
      </c>
      <c r="L186" s="52">
        <v>0</v>
      </c>
      <c r="M186" s="52">
        <v>0</v>
      </c>
      <c r="N186" s="52">
        <v>0</v>
      </c>
      <c r="O186" s="52">
        <v>0</v>
      </c>
      <c r="P186" s="52">
        <v>0</v>
      </c>
      <c r="Q186" s="52">
        <v>0</v>
      </c>
      <c r="R186" s="52">
        <v>0</v>
      </c>
      <c r="S186" s="52">
        <v>0</v>
      </c>
      <c r="T186" s="52">
        <v>0</v>
      </c>
      <c r="U186" s="52">
        <v>0</v>
      </c>
      <c r="V186" s="52">
        <v>0</v>
      </c>
      <c r="W186" s="52">
        <v>0</v>
      </c>
      <c r="X186" s="52">
        <v>0</v>
      </c>
      <c r="Y186" s="52">
        <v>0</v>
      </c>
      <c r="Z186" s="52">
        <v>0</v>
      </c>
      <c r="AA186" s="52">
        <v>0</v>
      </c>
      <c r="AB186" s="52">
        <v>0</v>
      </c>
      <c r="AC186" s="52">
        <v>0</v>
      </c>
      <c r="AD186" s="52">
        <v>0</v>
      </c>
      <c r="AE186" s="52">
        <v>0</v>
      </c>
      <c r="AF186" s="52">
        <v>0</v>
      </c>
      <c r="AG186" s="52">
        <v>0</v>
      </c>
      <c r="AH186" s="52">
        <v>0</v>
      </c>
      <c r="AI186" s="52">
        <v>0</v>
      </c>
      <c r="AJ186" s="52">
        <v>0</v>
      </c>
      <c r="AK186" s="52">
        <v>0</v>
      </c>
      <c r="AL186" s="52">
        <v>0</v>
      </c>
      <c r="AM186" s="52">
        <v>0</v>
      </c>
      <c r="AN186" s="52">
        <v>0</v>
      </c>
      <c r="AO186" s="52">
        <v>0</v>
      </c>
      <c r="AP186" s="52">
        <v>0</v>
      </c>
      <c r="AQ186" s="52">
        <v>0</v>
      </c>
      <c r="AR186" s="52">
        <v>0</v>
      </c>
      <c r="AS186" s="52">
        <v>0</v>
      </c>
      <c r="AT186" s="52">
        <v>0</v>
      </c>
      <c r="AU186" s="52">
        <v>0</v>
      </c>
      <c r="AV186" s="52">
        <v>0</v>
      </c>
      <c r="AW186" s="52">
        <v>0</v>
      </c>
      <c r="AX186" s="52">
        <v>0</v>
      </c>
      <c r="AY186" s="52">
        <v>0</v>
      </c>
      <c r="AZ186" s="52">
        <v>0</v>
      </c>
      <c r="BA186" s="52">
        <v>0</v>
      </c>
      <c r="BB186" s="52">
        <v>0</v>
      </c>
      <c r="BC186" s="52">
        <v>0</v>
      </c>
      <c r="BD186" s="52">
        <v>0</v>
      </c>
      <c r="BE186" s="52">
        <v>0</v>
      </c>
      <c r="BF186" s="52">
        <v>0</v>
      </c>
      <c r="BG186" s="52">
        <v>0</v>
      </c>
      <c r="BH186" s="52">
        <v>0</v>
      </c>
      <c r="BI186" s="52">
        <v>0</v>
      </c>
      <c r="BJ186" s="52">
        <v>0</v>
      </c>
      <c r="BK186" s="52">
        <v>0</v>
      </c>
      <c r="BL186" s="52">
        <v>0</v>
      </c>
      <c r="BM186" s="52">
        <v>0</v>
      </c>
      <c r="BN186" s="52">
        <v>0</v>
      </c>
      <c r="BO186" s="52">
        <v>0</v>
      </c>
      <c r="BP186" s="52">
        <v>0</v>
      </c>
      <c r="BQ186" s="52">
        <v>0</v>
      </c>
      <c r="BR186" s="52">
        <v>0</v>
      </c>
      <c r="BS186" s="52">
        <v>0</v>
      </c>
      <c r="BT186" s="52">
        <v>0</v>
      </c>
      <c r="BU186" s="52">
        <v>0</v>
      </c>
      <c r="BV186" s="52">
        <v>0</v>
      </c>
      <c r="BW186" s="52">
        <v>0</v>
      </c>
      <c r="BX186" s="52">
        <v>0</v>
      </c>
      <c r="BY186" s="52">
        <v>0</v>
      </c>
      <c r="BZ186" s="52">
        <v>0</v>
      </c>
      <c r="CA186" s="52">
        <v>0</v>
      </c>
      <c r="CB186" s="52">
        <v>0</v>
      </c>
      <c r="CC186" s="52">
        <v>0</v>
      </c>
      <c r="CD186" s="52">
        <v>0</v>
      </c>
      <c r="CE186" s="52">
        <v>320.01</v>
      </c>
      <c r="CF186" s="52">
        <v>869.41</v>
      </c>
      <c r="CG186" s="52">
        <v>216.13</v>
      </c>
      <c r="CH186" s="52">
        <v>1105.3499999999999</v>
      </c>
      <c r="CI186" s="52">
        <v>7247.38</v>
      </c>
      <c r="CJ186" s="52">
        <v>4063.79</v>
      </c>
      <c r="CK186" s="52">
        <v>794.39</v>
      </c>
      <c r="CL186" s="52">
        <v>1673.25</v>
      </c>
      <c r="CM186" s="52">
        <v>2261.7399999999998</v>
      </c>
      <c r="CN186" s="52">
        <v>1987.87</v>
      </c>
      <c r="CO186" s="52">
        <v>2663.46</v>
      </c>
      <c r="CP186" s="52">
        <v>819.08</v>
      </c>
      <c r="CQ186" s="52">
        <v>518.72</v>
      </c>
      <c r="CR186" s="52">
        <v>516.66</v>
      </c>
      <c r="CS186" s="52">
        <v>931.26</v>
      </c>
      <c r="CT186" s="52">
        <v>4634.03</v>
      </c>
      <c r="CU186" s="52">
        <v>7850.82</v>
      </c>
      <c r="CV186" s="430">
        <f t="shared" si="4"/>
        <v>28715.07</v>
      </c>
    </row>
    <row r="187" spans="1:100">
      <c r="A187" s="540" t="str">
        <f t="shared" si="5"/>
        <v>6030800</v>
      </c>
      <c r="B187" s="541" t="s">
        <v>2007</v>
      </c>
      <c r="C187" s="463" t="s">
        <v>1095</v>
      </c>
      <c r="D187" s="426">
        <v>20086.47</v>
      </c>
      <c r="E187" s="426">
        <v>17769.22</v>
      </c>
      <c r="F187" s="426">
        <v>13638.02</v>
      </c>
      <c r="G187" s="426">
        <v>22443.08</v>
      </c>
      <c r="H187" s="426">
        <v>11696.11</v>
      </c>
      <c r="I187" s="426">
        <v>27724.27</v>
      </c>
      <c r="J187" s="426">
        <v>12185.42</v>
      </c>
      <c r="K187" s="426">
        <v>17499.419999999998</v>
      </c>
      <c r="L187" s="426">
        <v>11313.25</v>
      </c>
      <c r="M187" s="426">
        <v>29687.79</v>
      </c>
      <c r="N187" s="426">
        <v>14899.61</v>
      </c>
      <c r="O187" s="427">
        <v>33033.26</v>
      </c>
      <c r="P187" s="52">
        <v>6000.59</v>
      </c>
      <c r="Q187" s="52">
        <v>14661.56</v>
      </c>
      <c r="R187" s="52">
        <v>15983.69</v>
      </c>
      <c r="S187" s="52">
        <v>16702.48</v>
      </c>
      <c r="T187" s="52">
        <v>21376.240000000002</v>
      </c>
      <c r="U187" s="52">
        <v>20202.59</v>
      </c>
      <c r="V187" s="52">
        <v>17610.59</v>
      </c>
      <c r="W187" s="52">
        <v>22193.08</v>
      </c>
      <c r="X187" s="52">
        <v>29491.56</v>
      </c>
      <c r="Y187" s="52">
        <v>33476.04</v>
      </c>
      <c r="Z187" s="52">
        <v>16907.310000000001</v>
      </c>
      <c r="AA187" s="52">
        <v>42782.86</v>
      </c>
      <c r="AB187" s="52">
        <v>25509.82</v>
      </c>
      <c r="AC187" s="52">
        <v>19871.55</v>
      </c>
      <c r="AD187" s="52">
        <v>16988.29</v>
      </c>
      <c r="AE187" s="52">
        <v>19511.87</v>
      </c>
      <c r="AF187" s="52">
        <v>16345.55</v>
      </c>
      <c r="AG187" s="52">
        <v>17683.38</v>
      </c>
      <c r="AH187" s="52">
        <v>14454.65</v>
      </c>
      <c r="AI187" s="52">
        <v>33103.660000000003</v>
      </c>
      <c r="AJ187" s="52">
        <v>25112.400000000001</v>
      </c>
      <c r="AK187" s="52">
        <v>19863.509999999998</v>
      </c>
      <c r="AL187" s="52">
        <v>27004.92</v>
      </c>
      <c r="AM187" s="52">
        <v>49245.77</v>
      </c>
      <c r="AN187" s="52">
        <v>4102.05</v>
      </c>
      <c r="AO187" s="52">
        <v>33113.129999999997</v>
      </c>
      <c r="AP187" s="52">
        <v>17246.810000000001</v>
      </c>
      <c r="AQ187" s="52">
        <v>23900.22</v>
      </c>
      <c r="AR187" s="52">
        <v>22583.119999999999</v>
      </c>
      <c r="AS187" s="52">
        <v>14361.51</v>
      </c>
      <c r="AT187" s="52">
        <v>13390.62</v>
      </c>
      <c r="AU187" s="52">
        <v>20852.650000000001</v>
      </c>
      <c r="AV187" s="52">
        <v>18931.23</v>
      </c>
      <c r="AW187" s="52">
        <v>25103.77</v>
      </c>
      <c r="AX187" s="52">
        <v>21376.65</v>
      </c>
      <c r="AY187" s="52">
        <v>31775.03</v>
      </c>
      <c r="AZ187" s="52">
        <v>6146.3</v>
      </c>
      <c r="BA187" s="52">
        <v>19009.09</v>
      </c>
      <c r="BB187" s="52">
        <v>16546.330000000002</v>
      </c>
      <c r="BC187" s="52">
        <v>22908.65</v>
      </c>
      <c r="BD187" s="52">
        <v>29676.02</v>
      </c>
      <c r="BE187" s="52">
        <v>30894.66</v>
      </c>
      <c r="BF187" s="52">
        <v>12786.32</v>
      </c>
      <c r="BG187" s="52">
        <v>23931.599999999999</v>
      </c>
      <c r="BH187" s="52">
        <v>13052.59</v>
      </c>
      <c r="BI187" s="52">
        <v>16266</v>
      </c>
      <c r="BJ187" s="52">
        <v>20346.7</v>
      </c>
      <c r="BK187" s="52">
        <v>22394.58</v>
      </c>
      <c r="BL187" s="52">
        <v>4335.07</v>
      </c>
      <c r="BM187" s="52">
        <v>11192.94</v>
      </c>
      <c r="BN187" s="52">
        <v>27113.66</v>
      </c>
      <c r="BO187" s="52">
        <v>9937.0400000000009</v>
      </c>
      <c r="BP187" s="52">
        <v>14410.31</v>
      </c>
      <c r="BQ187" s="52">
        <v>17696</v>
      </c>
      <c r="BR187" s="52">
        <v>43108.4</v>
      </c>
      <c r="BS187" s="52">
        <v>42107.62</v>
      </c>
      <c r="BT187" s="52">
        <v>30278.95</v>
      </c>
      <c r="BU187" s="52">
        <v>40479.57</v>
      </c>
      <c r="BV187" s="52">
        <v>85744.639999999999</v>
      </c>
      <c r="BW187" s="52">
        <v>77597.09</v>
      </c>
      <c r="BX187" s="52">
        <v>1140.3900000000001</v>
      </c>
      <c r="BY187" s="52">
        <v>37356.19</v>
      </c>
      <c r="BZ187" s="52">
        <v>85623.3</v>
      </c>
      <c r="CA187" s="52">
        <v>33287.31</v>
      </c>
      <c r="CB187" s="52">
        <v>28554.15</v>
      </c>
      <c r="CC187" s="52">
        <v>29974.95</v>
      </c>
      <c r="CD187" s="52">
        <v>-2990.04</v>
      </c>
      <c r="CE187" s="52">
        <v>29298.32</v>
      </c>
      <c r="CF187" s="52">
        <v>31958.03</v>
      </c>
      <c r="CG187" s="52">
        <v>23753.86</v>
      </c>
      <c r="CH187" s="52">
        <v>16529.13</v>
      </c>
      <c r="CI187" s="52">
        <v>33935.14</v>
      </c>
      <c r="CJ187" s="52">
        <v>6574.57</v>
      </c>
      <c r="CK187" s="52">
        <v>42065.74</v>
      </c>
      <c r="CL187" s="52">
        <v>14197.5</v>
      </c>
      <c r="CM187" s="52">
        <v>26016.91</v>
      </c>
      <c r="CN187" s="52">
        <v>18873.53</v>
      </c>
      <c r="CO187" s="52">
        <v>23484.05</v>
      </c>
      <c r="CP187" s="52">
        <v>18780.830000000002</v>
      </c>
      <c r="CQ187" s="52">
        <v>60048.38</v>
      </c>
      <c r="CR187" s="52">
        <v>28105.91</v>
      </c>
      <c r="CS187" s="52">
        <v>17673.93</v>
      </c>
      <c r="CT187" s="52">
        <v>36943.96</v>
      </c>
      <c r="CU187" s="52">
        <v>27326.76</v>
      </c>
      <c r="CV187" s="430">
        <f t="shared" si="4"/>
        <v>320092.07</v>
      </c>
    </row>
    <row r="188" spans="1:100">
      <c r="A188" s="540" t="str">
        <f t="shared" si="5"/>
        <v>6038999</v>
      </c>
      <c r="B188" s="541" t="s">
        <v>2008</v>
      </c>
      <c r="C188" s="463" t="s">
        <v>1096</v>
      </c>
      <c r="D188" s="428">
        <v>0</v>
      </c>
      <c r="E188" s="428">
        <v>0</v>
      </c>
      <c r="F188" s="428">
        <v>0</v>
      </c>
      <c r="G188" s="428">
        <v>0</v>
      </c>
      <c r="H188" s="428">
        <v>0</v>
      </c>
      <c r="I188" s="428">
        <v>0</v>
      </c>
      <c r="J188" s="428">
        <v>0</v>
      </c>
      <c r="K188" s="428">
        <v>0</v>
      </c>
      <c r="L188" s="428">
        <v>0</v>
      </c>
      <c r="M188" s="428">
        <v>0</v>
      </c>
      <c r="N188" s="428">
        <v>204.7</v>
      </c>
      <c r="O188" s="429">
        <v>0</v>
      </c>
      <c r="P188" s="52">
        <v>0</v>
      </c>
      <c r="Q188" s="52">
        <v>0</v>
      </c>
      <c r="R188" s="52">
        <v>0</v>
      </c>
      <c r="S188" s="52">
        <v>0</v>
      </c>
      <c r="T188" s="52">
        <v>0</v>
      </c>
      <c r="U188" s="52">
        <v>0</v>
      </c>
      <c r="V188" s="52">
        <v>204.7</v>
      </c>
      <c r="W188" s="52">
        <v>0</v>
      </c>
      <c r="X188" s="52">
        <v>0</v>
      </c>
      <c r="Y188" s="52">
        <v>0</v>
      </c>
      <c r="Z188" s="52">
        <v>0</v>
      </c>
      <c r="AA188" s="52">
        <v>0</v>
      </c>
      <c r="AB188" s="52">
        <v>0</v>
      </c>
      <c r="AC188" s="52">
        <v>0</v>
      </c>
      <c r="AD188" s="52">
        <v>0</v>
      </c>
      <c r="AE188" s="52">
        <v>0</v>
      </c>
      <c r="AF188" s="52">
        <v>0</v>
      </c>
      <c r="AG188" s="52">
        <v>0</v>
      </c>
      <c r="AH188" s="52">
        <v>0</v>
      </c>
      <c r="AI188" s="52">
        <v>0</v>
      </c>
      <c r="AJ188" s="52">
        <v>0</v>
      </c>
      <c r="AK188" s="52">
        <v>0</v>
      </c>
      <c r="AL188" s="52">
        <v>0</v>
      </c>
      <c r="AM188" s="52">
        <v>1244.3599999999999</v>
      </c>
      <c r="AN188" s="52">
        <v>53.71</v>
      </c>
      <c r="AO188" s="52">
        <v>-0.06</v>
      </c>
      <c r="AP188" s="52">
        <v>0</v>
      </c>
      <c r="AQ188" s="52">
        <v>2.4</v>
      </c>
      <c r="AR188" s="52">
        <v>0</v>
      </c>
      <c r="AS188" s="52">
        <v>0</v>
      </c>
      <c r="AT188" s="52">
        <v>0</v>
      </c>
      <c r="AU188" s="52">
        <v>0</v>
      </c>
      <c r="AV188" s="52">
        <v>0</v>
      </c>
      <c r="AW188" s="52">
        <v>0</v>
      </c>
      <c r="AX188" s="52">
        <v>0</v>
      </c>
      <c r="AY188" s="52">
        <v>0</v>
      </c>
      <c r="AZ188" s="52">
        <v>0</v>
      </c>
      <c r="BA188" s="52">
        <v>824.02</v>
      </c>
      <c r="BB188" s="52">
        <v>0</v>
      </c>
      <c r="BC188" s="52">
        <v>0</v>
      </c>
      <c r="BD188" s="52">
        <v>0</v>
      </c>
      <c r="BE188" s="52">
        <v>0</v>
      </c>
      <c r="BF188" s="52">
        <v>0</v>
      </c>
      <c r="BG188" s="52">
        <v>605.25</v>
      </c>
      <c r="BH188" s="52">
        <v>0</v>
      </c>
      <c r="BI188" s="52">
        <v>0</v>
      </c>
      <c r="BJ188" s="52">
        <v>21.89</v>
      </c>
      <c r="BK188" s="52">
        <v>1141.04</v>
      </c>
      <c r="BL188" s="52">
        <v>0</v>
      </c>
      <c r="BM188" s="52">
        <v>-377.18</v>
      </c>
      <c r="BN188" s="52">
        <v>1401.13</v>
      </c>
      <c r="BO188" s="52">
        <v>501.58</v>
      </c>
      <c r="BP188" s="52">
        <v>111.06</v>
      </c>
      <c r="BQ188" s="52">
        <v>866.07</v>
      </c>
      <c r="BR188" s="52">
        <v>946.84</v>
      </c>
      <c r="BS188" s="52">
        <v>526.53</v>
      </c>
      <c r="BT188" s="52">
        <v>1035.1199999999999</v>
      </c>
      <c r="BU188" s="52">
        <v>1707.5</v>
      </c>
      <c r="BV188" s="52">
        <v>783.36</v>
      </c>
      <c r="BW188" s="52">
        <v>1287.05</v>
      </c>
      <c r="BX188" s="52">
        <v>0</v>
      </c>
      <c r="BY188" s="52">
        <v>803.57</v>
      </c>
      <c r="BZ188" s="52">
        <v>0</v>
      </c>
      <c r="CA188" s="52">
        <v>0</v>
      </c>
      <c r="CB188" s="52">
        <v>0</v>
      </c>
      <c r="CC188" s="52">
        <v>0</v>
      </c>
      <c r="CD188" s="52">
        <v>0</v>
      </c>
      <c r="CE188" s="52">
        <v>0</v>
      </c>
      <c r="CF188" s="52">
        <v>507.97</v>
      </c>
      <c r="CG188" s="52">
        <v>0</v>
      </c>
      <c r="CH188" s="52">
        <v>0</v>
      </c>
      <c r="CI188" s="52">
        <v>0</v>
      </c>
      <c r="CJ188" s="52">
        <v>0</v>
      </c>
      <c r="CK188" s="52">
        <v>0</v>
      </c>
      <c r="CL188" s="52">
        <v>0</v>
      </c>
      <c r="CM188" s="52">
        <v>337.68</v>
      </c>
      <c r="CN188" s="52">
        <v>717.78</v>
      </c>
      <c r="CO188" s="52">
        <v>0</v>
      </c>
      <c r="CP188" s="52">
        <v>0</v>
      </c>
      <c r="CQ188" s="52">
        <v>0</v>
      </c>
      <c r="CR188" s="52">
        <v>5320</v>
      </c>
      <c r="CS188" s="52">
        <v>-5320</v>
      </c>
      <c r="CT188" s="52">
        <v>0</v>
      </c>
      <c r="CU188" s="52">
        <v>244.29</v>
      </c>
      <c r="CV188" s="430">
        <f t="shared" si="4"/>
        <v>1299.75</v>
      </c>
    </row>
    <row r="189" spans="1:100">
      <c r="A189" s="540" t="str">
        <f t="shared" si="5"/>
        <v>6039000</v>
      </c>
      <c r="B189" s="541" t="s">
        <v>2009</v>
      </c>
      <c r="C189" s="463" t="s">
        <v>1097</v>
      </c>
      <c r="D189" s="426">
        <v>-1841.06</v>
      </c>
      <c r="E189" s="426">
        <v>-11981.54</v>
      </c>
      <c r="F189" s="426">
        <v>-6559.9</v>
      </c>
      <c r="G189" s="426">
        <v>-4153.88</v>
      </c>
      <c r="H189" s="426">
        <v>-8068.38</v>
      </c>
      <c r="I189" s="426">
        <v>-7772.81</v>
      </c>
      <c r="J189" s="426">
        <v>-5302.19</v>
      </c>
      <c r="K189" s="426">
        <v>-2680.1</v>
      </c>
      <c r="L189" s="426">
        <v>-9915.69</v>
      </c>
      <c r="M189" s="426">
        <v>-9424.4599999999991</v>
      </c>
      <c r="N189" s="426">
        <v>-7777.87</v>
      </c>
      <c r="O189" s="427">
        <v>-16588.64</v>
      </c>
      <c r="P189" s="52">
        <v>-3641.77</v>
      </c>
      <c r="Q189" s="52">
        <v>-11706.79</v>
      </c>
      <c r="R189" s="52">
        <v>-8924.2900000000009</v>
      </c>
      <c r="S189" s="52">
        <v>-6337.95</v>
      </c>
      <c r="T189" s="52">
        <v>-7431.02</v>
      </c>
      <c r="U189" s="52">
        <v>-6866.02</v>
      </c>
      <c r="V189" s="52">
        <v>-3496.21</v>
      </c>
      <c r="W189" s="52">
        <v>-3809.22</v>
      </c>
      <c r="X189" s="52">
        <v>-4407.9799999999996</v>
      </c>
      <c r="Y189" s="52">
        <v>-4455.8500000000004</v>
      </c>
      <c r="Z189" s="52">
        <v>-1550.5</v>
      </c>
      <c r="AA189" s="52">
        <v>-8971.7099999999991</v>
      </c>
      <c r="AB189" s="52">
        <v>-8572.68</v>
      </c>
      <c r="AC189" s="52">
        <v>-6825.8</v>
      </c>
      <c r="AD189" s="52">
        <v>-892.39</v>
      </c>
      <c r="AE189" s="52">
        <v>-3859.68</v>
      </c>
      <c r="AF189" s="52">
        <v>-4143.8500000000004</v>
      </c>
      <c r="AG189" s="52">
        <v>-6772.97</v>
      </c>
      <c r="AH189" s="52">
        <v>-3640.51</v>
      </c>
      <c r="AI189" s="52">
        <v>-4051.47</v>
      </c>
      <c r="AJ189" s="52">
        <v>-2074.2600000000002</v>
      </c>
      <c r="AK189" s="52">
        <v>-2969.16</v>
      </c>
      <c r="AL189" s="52">
        <v>-10107.41</v>
      </c>
      <c r="AM189" s="52">
        <v>-4748.43</v>
      </c>
      <c r="AN189" s="52">
        <v>-1504.9</v>
      </c>
      <c r="AO189" s="52">
        <v>-2303.04</v>
      </c>
      <c r="AP189" s="52">
        <v>-3542.47</v>
      </c>
      <c r="AQ189" s="52">
        <v>-6093.17</v>
      </c>
      <c r="AR189" s="52">
        <v>-8449.16</v>
      </c>
      <c r="AS189" s="52">
        <v>-5729.55</v>
      </c>
      <c r="AT189" s="52">
        <v>-4239.3</v>
      </c>
      <c r="AU189" s="52">
        <v>-7080.66</v>
      </c>
      <c r="AV189" s="52">
        <v>-84200.78</v>
      </c>
      <c r="AW189" s="52">
        <v>17415.939999999999</v>
      </c>
      <c r="AX189" s="52">
        <v>-53640.45</v>
      </c>
      <c r="AY189" s="52">
        <v>-15907.73</v>
      </c>
      <c r="AZ189" s="52">
        <v>-3941.21</v>
      </c>
      <c r="BA189" s="52">
        <v>-8812.82</v>
      </c>
      <c r="BB189" s="52">
        <v>-4069.69</v>
      </c>
      <c r="BC189" s="52">
        <v>-4065.24</v>
      </c>
      <c r="BD189" s="52">
        <v>-10058.57</v>
      </c>
      <c r="BE189" s="52">
        <v>-9702.0499999999993</v>
      </c>
      <c r="BF189" s="52">
        <v>-11651.79</v>
      </c>
      <c r="BG189" s="52">
        <v>-9020.08</v>
      </c>
      <c r="BH189" s="52">
        <v>-11091.21</v>
      </c>
      <c r="BI189" s="52">
        <v>-9277.3700000000008</v>
      </c>
      <c r="BJ189" s="52">
        <v>-335120.96000000002</v>
      </c>
      <c r="BK189" s="52">
        <v>-22298.26</v>
      </c>
      <c r="BL189" s="52">
        <v>7282.13</v>
      </c>
      <c r="BM189" s="52">
        <v>-12056.95</v>
      </c>
      <c r="BN189" s="52">
        <v>-11115.39</v>
      </c>
      <c r="BO189" s="52">
        <v>-24822.22</v>
      </c>
      <c r="BP189" s="52">
        <v>-16378.33</v>
      </c>
      <c r="BQ189" s="52">
        <v>-101946.06</v>
      </c>
      <c r="BR189" s="52">
        <v>-24552.44</v>
      </c>
      <c r="BS189" s="52">
        <v>-32665.33</v>
      </c>
      <c r="BT189" s="52">
        <v>-30619.22</v>
      </c>
      <c r="BU189" s="52">
        <v>-77353.41</v>
      </c>
      <c r="BV189" s="52">
        <v>-45570.84</v>
      </c>
      <c r="BW189" s="52">
        <v>-58794.41</v>
      </c>
      <c r="BX189" s="52">
        <v>-6147.89</v>
      </c>
      <c r="BY189" s="52">
        <v>-22340.68</v>
      </c>
      <c r="BZ189" s="52">
        <v>-38474.18</v>
      </c>
      <c r="CA189" s="52">
        <v>-10921.86</v>
      </c>
      <c r="CB189" s="52">
        <v>-12151.62</v>
      </c>
      <c r="CC189" s="52">
        <v>-11948.6</v>
      </c>
      <c r="CD189" s="52">
        <v>-19171.560000000001</v>
      </c>
      <c r="CE189" s="52">
        <v>-16054.52</v>
      </c>
      <c r="CF189" s="52">
        <v>-10413.44</v>
      </c>
      <c r="CG189" s="52">
        <v>-51950.66</v>
      </c>
      <c r="CH189" s="52">
        <v>-74510.759999999995</v>
      </c>
      <c r="CI189" s="52">
        <v>-15252.34</v>
      </c>
      <c r="CJ189" s="52">
        <v>-102143.61</v>
      </c>
      <c r="CK189" s="52">
        <v>-32358.23</v>
      </c>
      <c r="CL189" s="52">
        <v>-21000.45</v>
      </c>
      <c r="CM189" s="52">
        <v>-31899.52</v>
      </c>
      <c r="CN189" s="52">
        <v>-26840.55</v>
      </c>
      <c r="CO189" s="52">
        <v>-56043.43</v>
      </c>
      <c r="CP189" s="52">
        <v>-10218.049999999999</v>
      </c>
      <c r="CQ189" s="52">
        <v>-87947.43</v>
      </c>
      <c r="CR189" s="52">
        <v>-15208.16</v>
      </c>
      <c r="CS189" s="52">
        <v>-28586.95</v>
      </c>
      <c r="CT189" s="52">
        <v>-42932.95</v>
      </c>
      <c r="CU189" s="52">
        <v>-51231.77</v>
      </c>
      <c r="CV189" s="430">
        <f t="shared" si="4"/>
        <v>-506411.1</v>
      </c>
    </row>
    <row r="190" spans="1:100">
      <c r="A190" s="540" t="str">
        <f t="shared" si="5"/>
        <v>6100010</v>
      </c>
      <c r="B190" s="541" t="s">
        <v>2010</v>
      </c>
      <c r="C190" s="463" t="s">
        <v>1098</v>
      </c>
      <c r="D190" s="428">
        <v>158550.01999999999</v>
      </c>
      <c r="E190" s="428">
        <v>283898.05</v>
      </c>
      <c r="F190" s="428">
        <v>107052.03</v>
      </c>
      <c r="G190" s="428">
        <v>50398.83</v>
      </c>
      <c r="H190" s="428">
        <v>165777.04999999999</v>
      </c>
      <c r="I190" s="428">
        <v>261053.96</v>
      </c>
      <c r="J190" s="428">
        <v>78859.5</v>
      </c>
      <c r="K190" s="428">
        <v>230474.65</v>
      </c>
      <c r="L190" s="428">
        <v>329610.07</v>
      </c>
      <c r="M190" s="428">
        <v>93440.5</v>
      </c>
      <c r="N190" s="428">
        <v>26037.37</v>
      </c>
      <c r="O190" s="429">
        <v>73512.009999999995</v>
      </c>
      <c r="P190" s="52">
        <v>119530.55</v>
      </c>
      <c r="Q190" s="52">
        <v>132423.9</v>
      </c>
      <c r="R190" s="52">
        <v>106691.21</v>
      </c>
      <c r="S190" s="52">
        <v>35611.050000000003</v>
      </c>
      <c r="T190" s="52">
        <v>68139.350000000006</v>
      </c>
      <c r="U190" s="52">
        <v>126407.82</v>
      </c>
      <c r="V190" s="52">
        <v>180692.89</v>
      </c>
      <c r="W190" s="52">
        <v>241444.88</v>
      </c>
      <c r="X190" s="52">
        <v>230242.29</v>
      </c>
      <c r="Y190" s="52">
        <v>342440.74</v>
      </c>
      <c r="Z190" s="52">
        <v>44485.27</v>
      </c>
      <c r="AA190" s="52">
        <v>69699.100000000006</v>
      </c>
      <c r="AB190" s="52">
        <v>111947.84</v>
      </c>
      <c r="AC190" s="52">
        <v>39883.96</v>
      </c>
      <c r="AD190" s="52">
        <v>130017.83</v>
      </c>
      <c r="AE190" s="52">
        <v>130238.88</v>
      </c>
      <c r="AF190" s="52">
        <v>209253.15</v>
      </c>
      <c r="AG190" s="52">
        <v>83654.45</v>
      </c>
      <c r="AH190" s="52">
        <v>-46999.4</v>
      </c>
      <c r="AI190" s="52">
        <v>462674.56</v>
      </c>
      <c r="AJ190" s="52">
        <v>113677.14</v>
      </c>
      <c r="AK190" s="52">
        <v>185259.54</v>
      </c>
      <c r="AL190" s="52">
        <v>70520.850000000006</v>
      </c>
      <c r="AM190" s="52">
        <v>373784.9</v>
      </c>
      <c r="AN190" s="52">
        <v>41074.19</v>
      </c>
      <c r="AO190" s="52">
        <v>97741.119999999995</v>
      </c>
      <c r="AP190" s="52">
        <v>16106.13</v>
      </c>
      <c r="AQ190" s="52">
        <v>25285.93</v>
      </c>
      <c r="AR190" s="52">
        <v>125121.91</v>
      </c>
      <c r="AS190" s="52">
        <v>72219.27</v>
      </c>
      <c r="AT190" s="52">
        <v>62486.17</v>
      </c>
      <c r="AU190" s="52">
        <v>15788.65</v>
      </c>
      <c r="AV190" s="52">
        <v>3047.25</v>
      </c>
      <c r="AW190" s="52">
        <v>516539.53</v>
      </c>
      <c r="AX190" s="52">
        <v>281097.75</v>
      </c>
      <c r="AY190" s="52">
        <v>341429.55</v>
      </c>
      <c r="AZ190" s="52">
        <v>36850.519999999997</v>
      </c>
      <c r="BA190" s="52">
        <v>5222.59</v>
      </c>
      <c r="BB190" s="52">
        <v>97696.17</v>
      </c>
      <c r="BC190" s="52">
        <v>223851.66</v>
      </c>
      <c r="BD190" s="52">
        <v>-124706.84</v>
      </c>
      <c r="BE190" s="52">
        <v>151820.23000000001</v>
      </c>
      <c r="BF190" s="52">
        <v>238065.8</v>
      </c>
      <c r="BG190" s="52">
        <v>190194.99</v>
      </c>
      <c r="BH190" s="52">
        <v>26634.95</v>
      </c>
      <c r="BI190" s="52">
        <v>515413.04</v>
      </c>
      <c r="BJ190" s="52">
        <v>43778.68</v>
      </c>
      <c r="BK190" s="52">
        <v>175805.99</v>
      </c>
      <c r="BL190" s="52">
        <v>150060.35999999999</v>
      </c>
      <c r="BM190" s="52">
        <v>-57315.37</v>
      </c>
      <c r="BN190" s="52">
        <v>26506.1</v>
      </c>
      <c r="BO190" s="52">
        <v>239721.42</v>
      </c>
      <c r="BP190" s="52">
        <v>65428.15</v>
      </c>
      <c r="BQ190" s="52">
        <v>20677.599999999999</v>
      </c>
      <c r="BR190" s="52">
        <v>103785.94</v>
      </c>
      <c r="BS190" s="52">
        <v>31594.75</v>
      </c>
      <c r="BT190" s="52">
        <v>24637.37</v>
      </c>
      <c r="BU190" s="52">
        <v>475503.28</v>
      </c>
      <c r="BV190" s="52">
        <v>154475.43</v>
      </c>
      <c r="BW190" s="52">
        <v>209879.59</v>
      </c>
      <c r="BX190" s="52">
        <v>153244</v>
      </c>
      <c r="BY190" s="52">
        <v>27461.77</v>
      </c>
      <c r="BZ190" s="52">
        <v>69581</v>
      </c>
      <c r="CA190" s="52">
        <v>446.33</v>
      </c>
      <c r="CB190" s="52">
        <v>161762.04</v>
      </c>
      <c r="CC190" s="52">
        <v>6299.37</v>
      </c>
      <c r="CD190" s="52">
        <v>60712.54</v>
      </c>
      <c r="CE190" s="52">
        <v>203761</v>
      </c>
      <c r="CF190" s="52">
        <v>154965.47</v>
      </c>
      <c r="CG190" s="52">
        <v>545248.76</v>
      </c>
      <c r="CH190" s="52">
        <v>477452.38</v>
      </c>
      <c r="CI190" s="52">
        <v>-67182.19</v>
      </c>
      <c r="CJ190" s="52">
        <v>3943.6</v>
      </c>
      <c r="CK190" s="52">
        <v>205670.78</v>
      </c>
      <c r="CL190" s="52">
        <v>136758.85999999999</v>
      </c>
      <c r="CM190" s="52">
        <v>196553.02</v>
      </c>
      <c r="CN190" s="52">
        <v>161398.48000000001</v>
      </c>
      <c r="CO190" s="52">
        <v>205744.23</v>
      </c>
      <c r="CP190" s="52">
        <v>178624.76</v>
      </c>
      <c r="CQ190" s="52">
        <v>-12420.54</v>
      </c>
      <c r="CR190" s="52">
        <v>413967.16</v>
      </c>
      <c r="CS190" s="52">
        <v>29548.2</v>
      </c>
      <c r="CT190" s="52">
        <v>174876.71</v>
      </c>
      <c r="CU190" s="52">
        <v>788979.67</v>
      </c>
      <c r="CV190" s="430">
        <f t="shared" si="4"/>
        <v>2483644.9299999997</v>
      </c>
    </row>
    <row r="191" spans="1:100">
      <c r="A191" s="540" t="str">
        <f t="shared" si="5"/>
        <v>6100020</v>
      </c>
      <c r="B191" s="541" t="s">
        <v>2011</v>
      </c>
      <c r="C191" s="463" t="s">
        <v>1099</v>
      </c>
      <c r="D191" s="426">
        <v>0</v>
      </c>
      <c r="E191" s="426">
        <v>0</v>
      </c>
      <c r="F191" s="426">
        <v>0</v>
      </c>
      <c r="G191" s="426">
        <v>0</v>
      </c>
      <c r="H191" s="426">
        <v>0</v>
      </c>
      <c r="I191" s="426">
        <v>0</v>
      </c>
      <c r="J191" s="426">
        <v>0</v>
      </c>
      <c r="K191" s="426">
        <v>0</v>
      </c>
      <c r="L191" s="426">
        <v>0</v>
      </c>
      <c r="M191" s="426">
        <v>0</v>
      </c>
      <c r="N191" s="426">
        <v>160.63</v>
      </c>
      <c r="O191" s="427">
        <v>225.12</v>
      </c>
      <c r="P191" s="52">
        <v>0</v>
      </c>
      <c r="Q191" s="52">
        <v>0</v>
      </c>
      <c r="R191" s="52">
        <v>0</v>
      </c>
      <c r="S191" s="52">
        <v>0</v>
      </c>
      <c r="T191" s="52">
        <v>0</v>
      </c>
      <c r="U191" s="52">
        <v>0</v>
      </c>
      <c r="V191" s="52">
        <v>0</v>
      </c>
      <c r="W191" s="52">
        <v>0</v>
      </c>
      <c r="X191" s="52">
        <v>406.77</v>
      </c>
      <c r="Y191" s="52">
        <v>0</v>
      </c>
      <c r="Z191" s="52">
        <v>0</v>
      </c>
      <c r="AA191" s="52">
        <v>0</v>
      </c>
      <c r="AB191" s="52">
        <v>0</v>
      </c>
      <c r="AC191" s="52">
        <v>0</v>
      </c>
      <c r="AD191" s="52">
        <v>0</v>
      </c>
      <c r="AE191" s="52">
        <v>0</v>
      </c>
      <c r="AF191" s="52">
        <v>0</v>
      </c>
      <c r="AG191" s="52">
        <v>0</v>
      </c>
      <c r="AH191" s="52">
        <v>0</v>
      </c>
      <c r="AI191" s="52">
        <v>0</v>
      </c>
      <c r="AJ191" s="52">
        <v>0</v>
      </c>
      <c r="AK191" s="52">
        <v>0</v>
      </c>
      <c r="AL191" s="52">
        <v>0</v>
      </c>
      <c r="AM191" s="52">
        <v>0</v>
      </c>
      <c r="AN191" s="52">
        <v>0</v>
      </c>
      <c r="AO191" s="52">
        <v>0</v>
      </c>
      <c r="AP191" s="52">
        <v>0</v>
      </c>
      <c r="AQ191" s="52">
        <v>0</v>
      </c>
      <c r="AR191" s="52">
        <v>0</v>
      </c>
      <c r="AS191" s="52">
        <v>0</v>
      </c>
      <c r="AT191" s="52">
        <v>0</v>
      </c>
      <c r="AU191" s="52">
        <v>0</v>
      </c>
      <c r="AV191" s="52">
        <v>0</v>
      </c>
      <c r="AW191" s="52">
        <v>0</v>
      </c>
      <c r="AX191" s="52">
        <v>0</v>
      </c>
      <c r="AY191" s="52">
        <v>0</v>
      </c>
      <c r="AZ191" s="52">
        <v>0</v>
      </c>
      <c r="BA191" s="52">
        <v>0</v>
      </c>
      <c r="BB191" s="52">
        <v>0</v>
      </c>
      <c r="BC191" s="52">
        <v>0</v>
      </c>
      <c r="BD191" s="52">
        <v>0</v>
      </c>
      <c r="BE191" s="52">
        <v>0</v>
      </c>
      <c r="BF191" s="52">
        <v>0</v>
      </c>
      <c r="BG191" s="52">
        <v>0</v>
      </c>
      <c r="BH191" s="52">
        <v>0</v>
      </c>
      <c r="BI191" s="52">
        <v>0</v>
      </c>
      <c r="BJ191" s="52">
        <v>0</v>
      </c>
      <c r="BK191" s="52">
        <v>0</v>
      </c>
      <c r="BL191" s="52">
        <v>0</v>
      </c>
      <c r="BM191" s="52">
        <v>0</v>
      </c>
      <c r="BN191" s="52">
        <v>0</v>
      </c>
      <c r="BO191" s="52">
        <v>0</v>
      </c>
      <c r="BP191" s="52">
        <v>0</v>
      </c>
      <c r="BQ191" s="52">
        <v>0</v>
      </c>
      <c r="BR191" s="52">
        <v>0</v>
      </c>
      <c r="BS191" s="52">
        <v>0</v>
      </c>
      <c r="BT191" s="52">
        <v>0</v>
      </c>
      <c r="BU191" s="52">
        <v>0</v>
      </c>
      <c r="BV191" s="52">
        <v>0</v>
      </c>
      <c r="BW191" s="52">
        <v>0</v>
      </c>
      <c r="BX191" s="52">
        <v>0</v>
      </c>
      <c r="BY191" s="52">
        <v>0</v>
      </c>
      <c r="BZ191" s="52">
        <v>0</v>
      </c>
      <c r="CA191" s="52">
        <v>0</v>
      </c>
      <c r="CB191" s="52">
        <v>0</v>
      </c>
      <c r="CC191" s="52">
        <v>0</v>
      </c>
      <c r="CD191" s="52">
        <v>0</v>
      </c>
      <c r="CE191" s="52">
        <v>0</v>
      </c>
      <c r="CF191" s="52">
        <v>0</v>
      </c>
      <c r="CG191" s="52">
        <v>0</v>
      </c>
      <c r="CH191" s="52">
        <v>0</v>
      </c>
      <c r="CI191" s="52">
        <v>0</v>
      </c>
      <c r="CJ191" s="52">
        <v>0</v>
      </c>
      <c r="CK191" s="52">
        <v>0</v>
      </c>
      <c r="CL191" s="52">
        <v>0</v>
      </c>
      <c r="CM191" s="52">
        <v>0</v>
      </c>
      <c r="CN191" s="52">
        <v>0</v>
      </c>
      <c r="CO191" s="52">
        <v>0</v>
      </c>
      <c r="CP191" s="52">
        <v>0</v>
      </c>
      <c r="CQ191" s="52">
        <v>0</v>
      </c>
      <c r="CR191" s="52">
        <v>0</v>
      </c>
      <c r="CS191" s="52">
        <v>0</v>
      </c>
      <c r="CT191" s="52">
        <v>0</v>
      </c>
      <c r="CU191" s="52">
        <v>0</v>
      </c>
      <c r="CV191" s="430">
        <f t="shared" si="4"/>
        <v>0</v>
      </c>
    </row>
    <row r="192" spans="1:100">
      <c r="A192" s="540" t="str">
        <f t="shared" si="5"/>
        <v>6100030</v>
      </c>
      <c r="B192" s="541" t="s">
        <v>2013</v>
      </c>
      <c r="C192" s="463" t="s">
        <v>1100</v>
      </c>
      <c r="D192" s="428">
        <v>0</v>
      </c>
      <c r="E192" s="428">
        <v>0</v>
      </c>
      <c r="F192" s="428">
        <v>23500</v>
      </c>
      <c r="G192" s="428">
        <v>53557</v>
      </c>
      <c r="H192" s="428">
        <v>53557</v>
      </c>
      <c r="I192" s="428">
        <v>53557</v>
      </c>
      <c r="J192" s="428">
        <v>0</v>
      </c>
      <c r="K192" s="428">
        <v>0</v>
      </c>
      <c r="L192" s="428">
        <v>53557</v>
      </c>
      <c r="M192" s="428">
        <v>0</v>
      </c>
      <c r="N192" s="428">
        <v>53557</v>
      </c>
      <c r="O192" s="429">
        <v>59557</v>
      </c>
      <c r="P192" s="52">
        <v>0</v>
      </c>
      <c r="Q192" s="52">
        <v>0</v>
      </c>
      <c r="R192" s="52">
        <v>0</v>
      </c>
      <c r="S192" s="52">
        <v>59020</v>
      </c>
      <c r="T192" s="52">
        <v>59020</v>
      </c>
      <c r="U192" s="52">
        <v>59020</v>
      </c>
      <c r="V192" s="52">
        <v>59020</v>
      </c>
      <c r="W192" s="52">
        <v>40591</v>
      </c>
      <c r="X192" s="52">
        <v>0</v>
      </c>
      <c r="Y192" s="52">
        <v>0</v>
      </c>
      <c r="Z192" s="52">
        <v>0</v>
      </c>
      <c r="AA192" s="52">
        <v>186082</v>
      </c>
      <c r="AB192" s="52">
        <v>0</v>
      </c>
      <c r="AC192" s="52">
        <v>0</v>
      </c>
      <c r="AD192" s="52">
        <v>58750</v>
      </c>
      <c r="AE192" s="52">
        <v>40000</v>
      </c>
      <c r="AF192" s="52">
        <v>26560</v>
      </c>
      <c r="AG192" s="52">
        <v>0</v>
      </c>
      <c r="AH192" s="52">
        <v>153837</v>
      </c>
      <c r="AI192" s="52">
        <v>0</v>
      </c>
      <c r="AJ192" s="52">
        <v>0</v>
      </c>
      <c r="AK192" s="52">
        <v>0</v>
      </c>
      <c r="AL192" s="52">
        <v>63605</v>
      </c>
      <c r="AM192" s="52">
        <v>52565</v>
      </c>
      <c r="AN192" s="52">
        <v>0</v>
      </c>
      <c r="AO192" s="52">
        <v>0</v>
      </c>
      <c r="AP192" s="52">
        <v>0</v>
      </c>
      <c r="AQ192" s="52">
        <v>0</v>
      </c>
      <c r="AR192" s="52">
        <v>140000</v>
      </c>
      <c r="AS192" s="52">
        <v>0</v>
      </c>
      <c r="AT192" s="52">
        <v>35000</v>
      </c>
      <c r="AU192" s="52">
        <v>0</v>
      </c>
      <c r="AV192" s="52">
        <v>0</v>
      </c>
      <c r="AW192" s="52">
        <v>0</v>
      </c>
      <c r="AX192" s="52">
        <v>55000</v>
      </c>
      <c r="AY192" s="52">
        <v>79799.11</v>
      </c>
      <c r="AZ192" s="52">
        <v>0</v>
      </c>
      <c r="BA192" s="52">
        <v>0</v>
      </c>
      <c r="BB192" s="52">
        <v>33333</v>
      </c>
      <c r="BC192" s="52">
        <v>10000</v>
      </c>
      <c r="BD192" s="52">
        <v>0</v>
      </c>
      <c r="BE192" s="52">
        <v>33333</v>
      </c>
      <c r="BF192" s="52">
        <v>0</v>
      </c>
      <c r="BG192" s="52">
        <v>0</v>
      </c>
      <c r="BH192" s="52">
        <v>33333</v>
      </c>
      <c r="BI192" s="52">
        <v>0</v>
      </c>
      <c r="BJ192" s="52">
        <v>0</v>
      </c>
      <c r="BK192" s="52">
        <v>33333</v>
      </c>
      <c r="BL192" s="52">
        <v>0</v>
      </c>
      <c r="BM192" s="52">
        <v>20468</v>
      </c>
      <c r="BN192" s="52">
        <v>6000</v>
      </c>
      <c r="BO192" s="52">
        <v>0</v>
      </c>
      <c r="BP192" s="52">
        <v>31250</v>
      </c>
      <c r="BQ192" s="52">
        <v>31250</v>
      </c>
      <c r="BR192" s="52">
        <v>0</v>
      </c>
      <c r="BS192" s="52">
        <v>3228.14</v>
      </c>
      <c r="BT192" s="52">
        <v>31250</v>
      </c>
      <c r="BU192" s="52">
        <v>0</v>
      </c>
      <c r="BV192" s="52">
        <v>39280.629999999997</v>
      </c>
      <c r="BW192" s="52">
        <v>0</v>
      </c>
      <c r="BX192" s="52">
        <v>0</v>
      </c>
      <c r="BY192" s="52">
        <v>15000</v>
      </c>
      <c r="BZ192" s="52">
        <v>1750</v>
      </c>
      <c r="CA192" s="52">
        <v>0</v>
      </c>
      <c r="CB192" s="52">
        <v>30000</v>
      </c>
      <c r="CC192" s="52">
        <v>30000</v>
      </c>
      <c r="CD192" s="52">
        <v>0</v>
      </c>
      <c r="CE192" s="52">
        <v>0</v>
      </c>
      <c r="CF192" s="52">
        <v>30000</v>
      </c>
      <c r="CG192" s="52">
        <v>0</v>
      </c>
      <c r="CH192" s="52">
        <v>30000</v>
      </c>
      <c r="CI192" s="52">
        <v>0</v>
      </c>
      <c r="CJ192" s="52">
        <v>0</v>
      </c>
      <c r="CK192" s="52">
        <v>10000</v>
      </c>
      <c r="CL192" s="52">
        <v>3800</v>
      </c>
      <c r="CM192" s="52">
        <v>30000</v>
      </c>
      <c r="CN192" s="52">
        <v>30000</v>
      </c>
      <c r="CO192" s="52">
        <v>0</v>
      </c>
      <c r="CP192" s="52">
        <v>0</v>
      </c>
      <c r="CQ192" s="52">
        <v>0</v>
      </c>
      <c r="CR192" s="52">
        <v>30000</v>
      </c>
      <c r="CS192" s="52">
        <v>0</v>
      </c>
      <c r="CT192" s="52">
        <v>0</v>
      </c>
      <c r="CU192" s="52">
        <v>0</v>
      </c>
      <c r="CV192" s="430">
        <f t="shared" si="4"/>
        <v>103800</v>
      </c>
    </row>
    <row r="193" spans="1:100">
      <c r="A193" s="540" t="str">
        <f t="shared" si="5"/>
        <v>6100040</v>
      </c>
      <c r="B193" s="541" t="s">
        <v>2012</v>
      </c>
      <c r="C193" s="463" t="s">
        <v>1101</v>
      </c>
      <c r="D193" s="426">
        <v>193411.6</v>
      </c>
      <c r="E193" s="426">
        <v>270286.96000000002</v>
      </c>
      <c r="F193" s="426">
        <v>189276.84</v>
      </c>
      <c r="G193" s="426">
        <v>462947.75</v>
      </c>
      <c r="H193" s="426">
        <v>114333.84</v>
      </c>
      <c r="I193" s="426">
        <v>206034.03</v>
      </c>
      <c r="J193" s="426">
        <v>425733.58</v>
      </c>
      <c r="K193" s="426">
        <v>368519.04</v>
      </c>
      <c r="L193" s="426">
        <v>348022.94</v>
      </c>
      <c r="M193" s="426">
        <v>285531.59999999998</v>
      </c>
      <c r="N193" s="426">
        <v>300091.75</v>
      </c>
      <c r="O193" s="427">
        <v>121333.79</v>
      </c>
      <c r="P193" s="52">
        <v>64523.71</v>
      </c>
      <c r="Q193" s="52">
        <v>258662.73</v>
      </c>
      <c r="R193" s="52">
        <v>242012.41</v>
      </c>
      <c r="S193" s="52">
        <v>457191.93</v>
      </c>
      <c r="T193" s="52">
        <v>74220.399999999994</v>
      </c>
      <c r="U193" s="52">
        <v>181863.44</v>
      </c>
      <c r="V193" s="52">
        <v>834530.41</v>
      </c>
      <c r="W193" s="52">
        <v>209979.75</v>
      </c>
      <c r="X193" s="52">
        <v>237637.39</v>
      </c>
      <c r="Y193" s="52">
        <v>153893.06</v>
      </c>
      <c r="Z193" s="52">
        <v>334500.55</v>
      </c>
      <c r="AA193" s="52">
        <v>428143.57</v>
      </c>
      <c r="AB193" s="52">
        <v>219497.06</v>
      </c>
      <c r="AC193" s="52">
        <v>260557.84</v>
      </c>
      <c r="AD193" s="52">
        <v>240424.13</v>
      </c>
      <c r="AE193" s="52">
        <v>184358.92</v>
      </c>
      <c r="AF193" s="52">
        <v>216225.23</v>
      </c>
      <c r="AG193" s="52">
        <v>409770.36</v>
      </c>
      <c r="AH193" s="52">
        <v>151240.91</v>
      </c>
      <c r="AI193" s="52">
        <v>118754.52</v>
      </c>
      <c r="AJ193" s="52">
        <v>290153.44</v>
      </c>
      <c r="AK193" s="52">
        <v>239671.67999999999</v>
      </c>
      <c r="AL193" s="52">
        <v>306678.61</v>
      </c>
      <c r="AM193" s="52">
        <v>413187.25</v>
      </c>
      <c r="AN193" s="52">
        <v>24984.85</v>
      </c>
      <c r="AO193" s="52">
        <v>36413.18</v>
      </c>
      <c r="AP193" s="52">
        <v>-190477.71</v>
      </c>
      <c r="AQ193" s="52">
        <v>11800</v>
      </c>
      <c r="AR193" s="52">
        <v>277272.51</v>
      </c>
      <c r="AS193" s="52">
        <v>95593.85</v>
      </c>
      <c r="AT193" s="52">
        <v>30562.85</v>
      </c>
      <c r="AU193" s="52">
        <v>121412.5</v>
      </c>
      <c r="AV193" s="52">
        <v>5730</v>
      </c>
      <c r="AW193" s="52">
        <v>15045</v>
      </c>
      <c r="AX193" s="52">
        <v>45421.7</v>
      </c>
      <c r="AY193" s="52">
        <v>40180</v>
      </c>
      <c r="AZ193" s="52">
        <v>8515</v>
      </c>
      <c r="BA193" s="52">
        <v>177634.5</v>
      </c>
      <c r="BB193" s="52">
        <v>913228.80000000005</v>
      </c>
      <c r="BC193" s="52">
        <v>339923.7</v>
      </c>
      <c r="BD193" s="52">
        <v>563637.81000000006</v>
      </c>
      <c r="BE193" s="52">
        <v>312114.76</v>
      </c>
      <c r="BF193" s="52">
        <v>207672.43</v>
      </c>
      <c r="BG193" s="52">
        <v>587282.57999999996</v>
      </c>
      <c r="BH193" s="52">
        <v>410061.06</v>
      </c>
      <c r="BI193" s="52">
        <v>514822.42</v>
      </c>
      <c r="BJ193" s="52">
        <v>98387.22</v>
      </c>
      <c r="BK193" s="52">
        <v>252328.18</v>
      </c>
      <c r="BL193" s="52">
        <v>278857.25</v>
      </c>
      <c r="BM193" s="52">
        <v>113183.13</v>
      </c>
      <c r="BN193" s="52">
        <v>161748.42000000001</v>
      </c>
      <c r="BO193" s="52">
        <v>250713.8</v>
      </c>
      <c r="BP193" s="52">
        <v>229581.81</v>
      </c>
      <c r="BQ193" s="52">
        <v>181653.25</v>
      </c>
      <c r="BR193" s="52">
        <v>234848.5</v>
      </c>
      <c r="BS193" s="52">
        <v>194815.98</v>
      </c>
      <c r="BT193" s="52">
        <v>95732.88</v>
      </c>
      <c r="BU193" s="52">
        <v>302817.65999999997</v>
      </c>
      <c r="BV193" s="52">
        <v>73051.47</v>
      </c>
      <c r="BW193" s="52">
        <v>283279.55</v>
      </c>
      <c r="BX193" s="52">
        <v>213638.75</v>
      </c>
      <c r="BY193" s="52">
        <v>689452.8</v>
      </c>
      <c r="BZ193" s="52">
        <v>258382.38</v>
      </c>
      <c r="CA193" s="52">
        <v>217796.55</v>
      </c>
      <c r="CB193" s="52">
        <v>309890.38</v>
      </c>
      <c r="CC193" s="52">
        <v>333321.46999999997</v>
      </c>
      <c r="CD193" s="52">
        <v>234343.39</v>
      </c>
      <c r="CE193" s="52">
        <v>236341.44</v>
      </c>
      <c r="CF193" s="52">
        <v>494692.62</v>
      </c>
      <c r="CG193" s="52">
        <v>502522.32</v>
      </c>
      <c r="CH193" s="52">
        <v>234458.04</v>
      </c>
      <c r="CI193" s="52">
        <v>149804.38</v>
      </c>
      <c r="CJ193" s="52">
        <v>37298.1</v>
      </c>
      <c r="CK193" s="52">
        <v>273016.31</v>
      </c>
      <c r="CL193" s="52">
        <v>196232.25</v>
      </c>
      <c r="CM193" s="52">
        <v>264333.08</v>
      </c>
      <c r="CN193" s="52">
        <v>206883.1</v>
      </c>
      <c r="CO193" s="52">
        <v>298923.94</v>
      </c>
      <c r="CP193" s="52">
        <v>189362.46</v>
      </c>
      <c r="CQ193" s="52">
        <v>47546.04</v>
      </c>
      <c r="CR193" s="52">
        <v>231791.8</v>
      </c>
      <c r="CS193" s="52">
        <v>442282.9</v>
      </c>
      <c r="CT193" s="52">
        <v>-80442.98</v>
      </c>
      <c r="CU193" s="52">
        <v>111208.98</v>
      </c>
      <c r="CV193" s="430">
        <f t="shared" si="4"/>
        <v>2218435.98</v>
      </c>
    </row>
    <row r="194" spans="1:100">
      <c r="A194" s="540" t="str">
        <f t="shared" si="5"/>
        <v>6100050</v>
      </c>
      <c r="B194" s="541" t="s">
        <v>2014</v>
      </c>
      <c r="C194" s="463" t="s">
        <v>1102</v>
      </c>
      <c r="D194" s="428">
        <v>129716.17</v>
      </c>
      <c r="E194" s="428">
        <v>1955357.08</v>
      </c>
      <c r="F194" s="428">
        <v>77191.42</v>
      </c>
      <c r="G194" s="428">
        <v>228856.14</v>
      </c>
      <c r="H194" s="428">
        <v>858214.24</v>
      </c>
      <c r="I194" s="428">
        <v>998317.48</v>
      </c>
      <c r="J194" s="428">
        <v>1299394.5900000001</v>
      </c>
      <c r="K194" s="428">
        <v>1622333.24</v>
      </c>
      <c r="L194" s="428">
        <v>131580.22</v>
      </c>
      <c r="M194" s="428">
        <v>42147.98</v>
      </c>
      <c r="N194" s="428">
        <v>189246.58</v>
      </c>
      <c r="O194" s="429">
        <v>333368.74</v>
      </c>
      <c r="P194" s="52">
        <v>181395.55</v>
      </c>
      <c r="Q194" s="52">
        <v>31888.32</v>
      </c>
      <c r="R194" s="52">
        <v>221713.32</v>
      </c>
      <c r="S194" s="52">
        <v>211261.57</v>
      </c>
      <c r="T194" s="52">
        <v>152885.68</v>
      </c>
      <c r="U194" s="52">
        <v>489794.93</v>
      </c>
      <c r="V194" s="52">
        <v>208667.6</v>
      </c>
      <c r="W194" s="52">
        <v>379214.82</v>
      </c>
      <c r="X194" s="52">
        <v>124282.65</v>
      </c>
      <c r="Y194" s="52">
        <v>66003.38</v>
      </c>
      <c r="Z194" s="52">
        <v>533260.81999999995</v>
      </c>
      <c r="AA194" s="52">
        <v>114012.01</v>
      </c>
      <c r="AB194" s="52">
        <v>204574.16</v>
      </c>
      <c r="AC194" s="52">
        <v>72539.100000000006</v>
      </c>
      <c r="AD194" s="52">
        <v>200739.56</v>
      </c>
      <c r="AE194" s="52">
        <v>29997.48</v>
      </c>
      <c r="AF194" s="52">
        <v>74341.919999999998</v>
      </c>
      <c r="AG194" s="52">
        <v>356241.2</v>
      </c>
      <c r="AH194" s="52">
        <v>50509.37</v>
      </c>
      <c r="AI194" s="52">
        <v>74945.16</v>
      </c>
      <c r="AJ194" s="52">
        <v>1797.77</v>
      </c>
      <c r="AK194" s="52">
        <v>58467.58</v>
      </c>
      <c r="AL194" s="52">
        <v>151623.85</v>
      </c>
      <c r="AM194" s="52">
        <v>305700.3</v>
      </c>
      <c r="AN194" s="52">
        <v>586024.38</v>
      </c>
      <c r="AO194" s="52">
        <v>3205.53</v>
      </c>
      <c r="AP194" s="52">
        <v>69474.820000000007</v>
      </c>
      <c r="AQ194" s="52">
        <v>108107.49</v>
      </c>
      <c r="AR194" s="52">
        <v>258994.19</v>
      </c>
      <c r="AS194" s="52">
        <v>49337.64</v>
      </c>
      <c r="AT194" s="52">
        <v>90685.74</v>
      </c>
      <c r="AU194" s="52">
        <v>517223.88</v>
      </c>
      <c r="AV194" s="52">
        <v>100778.56</v>
      </c>
      <c r="AW194" s="52">
        <v>109151.75</v>
      </c>
      <c r="AX194" s="52">
        <v>69737.95</v>
      </c>
      <c r="AY194" s="52">
        <v>20507.52</v>
      </c>
      <c r="AZ194" s="52">
        <v>284685.90000000002</v>
      </c>
      <c r="BA194" s="52">
        <v>31740.33</v>
      </c>
      <c r="BB194" s="52">
        <v>58562.78</v>
      </c>
      <c r="BC194" s="52">
        <v>164674.79999999999</v>
      </c>
      <c r="BD194" s="52">
        <v>42988.74</v>
      </c>
      <c r="BE194" s="52">
        <v>58078.12</v>
      </c>
      <c r="BF194" s="52">
        <v>200962.58</v>
      </c>
      <c r="BG194" s="52">
        <v>172512.06</v>
      </c>
      <c r="BH194" s="52">
        <v>90735.039999999994</v>
      </c>
      <c r="BI194" s="52">
        <v>181838.78</v>
      </c>
      <c r="BJ194" s="52">
        <v>123471.97</v>
      </c>
      <c r="BK194" s="52">
        <v>91266.7</v>
      </c>
      <c r="BL194" s="52">
        <v>28158.85</v>
      </c>
      <c r="BM194" s="52">
        <v>775041.24</v>
      </c>
      <c r="BN194" s="52">
        <v>84787.67</v>
      </c>
      <c r="BO194" s="52">
        <v>536350.1</v>
      </c>
      <c r="BP194" s="52">
        <v>632372.04</v>
      </c>
      <c r="BQ194" s="52">
        <v>692760.87</v>
      </c>
      <c r="BR194" s="52">
        <v>42999.29</v>
      </c>
      <c r="BS194" s="52">
        <v>75734.070000000007</v>
      </c>
      <c r="BT194" s="52">
        <v>921303.44</v>
      </c>
      <c r="BU194" s="52">
        <v>29664</v>
      </c>
      <c r="BV194" s="52">
        <v>435931.1</v>
      </c>
      <c r="BW194" s="52">
        <v>363576.74</v>
      </c>
      <c r="BX194" s="52">
        <v>24458.73</v>
      </c>
      <c r="BY194" s="52">
        <v>57751.95</v>
      </c>
      <c r="BZ194" s="52">
        <v>258628.22</v>
      </c>
      <c r="CA194" s="52">
        <v>0</v>
      </c>
      <c r="CB194" s="52">
        <v>359648.9</v>
      </c>
      <c r="CC194" s="52">
        <v>186297.98</v>
      </c>
      <c r="CD194" s="52">
        <v>250595.17</v>
      </c>
      <c r="CE194" s="52">
        <v>291151.3</v>
      </c>
      <c r="CF194" s="52">
        <v>422892.56</v>
      </c>
      <c r="CG194" s="52">
        <v>740064.38</v>
      </c>
      <c r="CH194" s="52">
        <v>1641357.25</v>
      </c>
      <c r="CI194" s="52">
        <v>777960.14</v>
      </c>
      <c r="CJ194" s="52">
        <v>19328.2</v>
      </c>
      <c r="CK194" s="52">
        <v>880376.74</v>
      </c>
      <c r="CL194" s="52">
        <v>581953.62</v>
      </c>
      <c r="CM194" s="52">
        <v>37114.35</v>
      </c>
      <c r="CN194" s="52">
        <v>1522226.35</v>
      </c>
      <c r="CO194" s="52">
        <v>65778.850000000006</v>
      </c>
      <c r="CP194" s="52">
        <v>862443.96</v>
      </c>
      <c r="CQ194" s="52">
        <v>20954</v>
      </c>
      <c r="CR194" s="52">
        <v>189715.34</v>
      </c>
      <c r="CS194" s="52">
        <v>133048.85999999999</v>
      </c>
      <c r="CT194" s="52">
        <v>1045426.93</v>
      </c>
      <c r="CU194" s="52">
        <v>199850.6</v>
      </c>
      <c r="CV194" s="430">
        <f t="shared" si="4"/>
        <v>5558217.7999999998</v>
      </c>
    </row>
    <row r="195" spans="1:100">
      <c r="A195" s="540" t="str">
        <f t="shared" si="5"/>
        <v>6100060</v>
      </c>
      <c r="B195" s="541" t="s">
        <v>2015</v>
      </c>
      <c r="C195" s="463" t="s">
        <v>1103</v>
      </c>
      <c r="D195" s="426">
        <v>-50504.84</v>
      </c>
      <c r="E195" s="426">
        <v>87896.37</v>
      </c>
      <c r="F195" s="426">
        <v>-300957.75</v>
      </c>
      <c r="G195" s="426">
        <v>257024.83</v>
      </c>
      <c r="H195" s="426">
        <v>65548.11</v>
      </c>
      <c r="I195" s="426">
        <v>243673.5</v>
      </c>
      <c r="J195" s="426">
        <v>72122.45</v>
      </c>
      <c r="K195" s="426">
        <v>69891.490000000005</v>
      </c>
      <c r="L195" s="426">
        <v>110381.53</v>
      </c>
      <c r="M195" s="426">
        <v>140020.59</v>
      </c>
      <c r="N195" s="426">
        <v>72732.179999999993</v>
      </c>
      <c r="O195" s="427">
        <v>423205.6</v>
      </c>
      <c r="P195" s="52">
        <v>-68998.100000000006</v>
      </c>
      <c r="Q195" s="52">
        <v>176522.95</v>
      </c>
      <c r="R195" s="52">
        <v>123054.85</v>
      </c>
      <c r="S195" s="52">
        <v>80846.31</v>
      </c>
      <c r="T195" s="52">
        <v>148904.49</v>
      </c>
      <c r="U195" s="52">
        <v>214373.98</v>
      </c>
      <c r="V195" s="52">
        <v>196648.99</v>
      </c>
      <c r="W195" s="52">
        <v>134652.95000000001</v>
      </c>
      <c r="X195" s="52">
        <v>254187.78</v>
      </c>
      <c r="Y195" s="52">
        <v>94728.54</v>
      </c>
      <c r="Z195" s="52">
        <v>364653.57</v>
      </c>
      <c r="AA195" s="52">
        <v>-39685.449999999997</v>
      </c>
      <c r="AB195" s="52">
        <v>-74672.17</v>
      </c>
      <c r="AC195" s="52">
        <v>123922.24000000001</v>
      </c>
      <c r="AD195" s="52">
        <v>147924.1</v>
      </c>
      <c r="AE195" s="52">
        <v>-80116.710000000006</v>
      </c>
      <c r="AF195" s="52">
        <v>9273.32</v>
      </c>
      <c r="AG195" s="52">
        <v>494172.71</v>
      </c>
      <c r="AH195" s="52">
        <v>-149632.65</v>
      </c>
      <c r="AI195" s="52">
        <v>137096.49</v>
      </c>
      <c r="AJ195" s="52">
        <v>37906.94</v>
      </c>
      <c r="AK195" s="52">
        <v>236430.53</v>
      </c>
      <c r="AL195" s="52">
        <v>97266</v>
      </c>
      <c r="AM195" s="52">
        <v>607165.5</v>
      </c>
      <c r="AN195" s="52">
        <v>-201294.07</v>
      </c>
      <c r="AO195" s="52">
        <v>79650.34</v>
      </c>
      <c r="AP195" s="52">
        <v>65202.39</v>
      </c>
      <c r="AQ195" s="52">
        <v>117748.44</v>
      </c>
      <c r="AR195" s="52">
        <v>156934.1</v>
      </c>
      <c r="AS195" s="52">
        <v>110646.1</v>
      </c>
      <c r="AT195" s="52">
        <v>32270.91</v>
      </c>
      <c r="AU195" s="52">
        <v>-146808</v>
      </c>
      <c r="AV195" s="52">
        <v>130516.12</v>
      </c>
      <c r="AW195" s="52">
        <v>227103.09</v>
      </c>
      <c r="AX195" s="52">
        <v>50583.83</v>
      </c>
      <c r="AY195" s="52">
        <v>428949.6</v>
      </c>
      <c r="AZ195" s="52">
        <v>69639.45</v>
      </c>
      <c r="BA195" s="52">
        <v>58680.57</v>
      </c>
      <c r="BB195" s="52">
        <v>208292.87</v>
      </c>
      <c r="BC195" s="52">
        <v>121078.01</v>
      </c>
      <c r="BD195" s="52">
        <v>316921.19</v>
      </c>
      <c r="BE195" s="52">
        <v>86857.13</v>
      </c>
      <c r="BF195" s="52">
        <v>168311.6</v>
      </c>
      <c r="BG195" s="52">
        <v>-207241.15</v>
      </c>
      <c r="BH195" s="52">
        <v>55496.13</v>
      </c>
      <c r="BI195" s="52">
        <v>309295.39</v>
      </c>
      <c r="BJ195" s="52">
        <v>152309.17000000001</v>
      </c>
      <c r="BK195" s="52">
        <v>403099.83</v>
      </c>
      <c r="BL195" s="52">
        <v>-120945.99</v>
      </c>
      <c r="BM195" s="52">
        <v>231648.04</v>
      </c>
      <c r="BN195" s="52">
        <v>216772.39</v>
      </c>
      <c r="BO195" s="52">
        <v>151511.78</v>
      </c>
      <c r="BP195" s="52">
        <v>329048.71999999997</v>
      </c>
      <c r="BQ195" s="52">
        <v>-190307.1</v>
      </c>
      <c r="BR195" s="52">
        <v>267697.86</v>
      </c>
      <c r="BS195" s="52">
        <v>222748.94</v>
      </c>
      <c r="BT195" s="52">
        <v>277356.76</v>
      </c>
      <c r="BU195" s="52">
        <v>412756.87</v>
      </c>
      <c r="BV195" s="52">
        <v>531455.93999999994</v>
      </c>
      <c r="BW195" s="52">
        <v>953867.28</v>
      </c>
      <c r="BX195" s="52">
        <v>-267571.92</v>
      </c>
      <c r="BY195" s="52">
        <v>176967.77</v>
      </c>
      <c r="BZ195" s="52">
        <v>-408578.89</v>
      </c>
      <c r="CA195" s="52">
        <v>517538.04</v>
      </c>
      <c r="CB195" s="52">
        <v>153167.95000000001</v>
      </c>
      <c r="CC195" s="52">
        <v>469452.77</v>
      </c>
      <c r="CD195" s="52">
        <v>1059724.6000000001</v>
      </c>
      <c r="CE195" s="52">
        <v>606953.93999999994</v>
      </c>
      <c r="CF195" s="52">
        <v>281322.15000000002</v>
      </c>
      <c r="CG195" s="52">
        <v>481714.14</v>
      </c>
      <c r="CH195" s="52">
        <v>269922.09000000003</v>
      </c>
      <c r="CI195" s="52">
        <v>238372.01</v>
      </c>
      <c r="CJ195" s="52">
        <v>-434302.52</v>
      </c>
      <c r="CK195" s="52">
        <v>219764.49</v>
      </c>
      <c r="CL195" s="52">
        <v>239507.01</v>
      </c>
      <c r="CM195" s="52">
        <v>18038.57</v>
      </c>
      <c r="CN195" s="52">
        <v>306358.11</v>
      </c>
      <c r="CO195" s="52">
        <v>-89332.51</v>
      </c>
      <c r="CP195" s="52">
        <v>253770.97</v>
      </c>
      <c r="CQ195" s="52">
        <v>339037.47</v>
      </c>
      <c r="CR195" s="52">
        <v>-13974.11</v>
      </c>
      <c r="CS195" s="52">
        <v>110227.45</v>
      </c>
      <c r="CT195" s="52">
        <v>250550.05</v>
      </c>
      <c r="CU195" s="52">
        <v>813785.21</v>
      </c>
      <c r="CV195" s="430">
        <f t="shared" si="4"/>
        <v>2013430.19</v>
      </c>
    </row>
    <row r="196" spans="1:100">
      <c r="A196" s="540" t="str">
        <f t="shared" si="5"/>
        <v>6100070</v>
      </c>
      <c r="B196" s="541" t="s">
        <v>2016</v>
      </c>
      <c r="C196" s="463" t="s">
        <v>1104</v>
      </c>
      <c r="D196" s="428">
        <v>0</v>
      </c>
      <c r="E196" s="428">
        <v>0</v>
      </c>
      <c r="F196" s="428">
        <v>0</v>
      </c>
      <c r="G196" s="428">
        <v>0</v>
      </c>
      <c r="H196" s="428">
        <v>0</v>
      </c>
      <c r="I196" s="428">
        <v>0</v>
      </c>
      <c r="J196" s="428">
        <v>0</v>
      </c>
      <c r="K196" s="428">
        <v>0</v>
      </c>
      <c r="L196" s="428">
        <v>19590.32</v>
      </c>
      <c r="M196" s="428">
        <v>0</v>
      </c>
      <c r="N196" s="428">
        <v>0</v>
      </c>
      <c r="O196" s="429">
        <v>0</v>
      </c>
      <c r="P196" s="52">
        <v>0</v>
      </c>
      <c r="Q196" s="52">
        <v>0</v>
      </c>
      <c r="R196" s="52">
        <v>0</v>
      </c>
      <c r="S196" s="52">
        <v>0</v>
      </c>
      <c r="T196" s="52">
        <v>0</v>
      </c>
      <c r="U196" s="52">
        <v>0</v>
      </c>
      <c r="V196" s="52">
        <v>0</v>
      </c>
      <c r="W196" s="52">
        <v>0</v>
      </c>
      <c r="X196" s="52">
        <v>0</v>
      </c>
      <c r="Y196" s="52">
        <v>0</v>
      </c>
      <c r="Z196" s="52">
        <v>0</v>
      </c>
      <c r="AA196" s="52">
        <v>0</v>
      </c>
      <c r="AB196" s="52">
        <v>0</v>
      </c>
      <c r="AC196" s="52">
        <v>0</v>
      </c>
      <c r="AD196" s="52">
        <v>0</v>
      </c>
      <c r="AE196" s="52">
        <v>0</v>
      </c>
      <c r="AF196" s="52">
        <v>0</v>
      </c>
      <c r="AG196" s="52">
        <v>0</v>
      </c>
      <c r="AH196" s="52">
        <v>0</v>
      </c>
      <c r="AI196" s="52">
        <v>0</v>
      </c>
      <c r="AJ196" s="52">
        <v>0</v>
      </c>
      <c r="AK196" s="52">
        <v>0</v>
      </c>
      <c r="AL196" s="52">
        <v>0</v>
      </c>
      <c r="AM196" s="52">
        <v>0</v>
      </c>
      <c r="AN196" s="52">
        <v>0</v>
      </c>
      <c r="AO196" s="52">
        <v>0</v>
      </c>
      <c r="AP196" s="52">
        <v>0</v>
      </c>
      <c r="AQ196" s="52">
        <v>0</v>
      </c>
      <c r="AR196" s="52">
        <v>0</v>
      </c>
      <c r="AS196" s="52">
        <v>0</v>
      </c>
      <c r="AT196" s="52">
        <v>13004.29</v>
      </c>
      <c r="AU196" s="52">
        <v>1000</v>
      </c>
      <c r="AV196" s="52">
        <v>0</v>
      </c>
      <c r="AW196" s="52">
        <v>0</v>
      </c>
      <c r="AX196" s="52">
        <v>0</v>
      </c>
      <c r="AY196" s="52">
        <v>74230.05</v>
      </c>
      <c r="AZ196" s="52">
        <v>-1400</v>
      </c>
      <c r="BA196" s="52">
        <v>0</v>
      </c>
      <c r="BB196" s="52">
        <v>0</v>
      </c>
      <c r="BC196" s="52">
        <v>150000</v>
      </c>
      <c r="BD196" s="52">
        <v>19563.68</v>
      </c>
      <c r="BE196" s="52">
        <v>13650</v>
      </c>
      <c r="BF196" s="52">
        <v>29056.53</v>
      </c>
      <c r="BG196" s="52">
        <v>-13650</v>
      </c>
      <c r="BH196" s="52">
        <v>30837.5</v>
      </c>
      <c r="BI196" s="52">
        <v>10456.25</v>
      </c>
      <c r="BJ196" s="52">
        <v>0</v>
      </c>
      <c r="BK196" s="52">
        <v>6676.71</v>
      </c>
      <c r="BL196" s="52">
        <v>-6676.71</v>
      </c>
      <c r="BM196" s="52">
        <v>9839.2099999999991</v>
      </c>
      <c r="BN196" s="52">
        <v>0</v>
      </c>
      <c r="BO196" s="52">
        <v>0</v>
      </c>
      <c r="BP196" s="52">
        <v>0</v>
      </c>
      <c r="BQ196" s="52">
        <v>0</v>
      </c>
      <c r="BR196" s="52">
        <v>0</v>
      </c>
      <c r="BS196" s="52">
        <v>0</v>
      </c>
      <c r="BT196" s="52">
        <v>0</v>
      </c>
      <c r="BU196" s="52">
        <v>0</v>
      </c>
      <c r="BV196" s="52">
        <v>1308</v>
      </c>
      <c r="BW196" s="52">
        <v>13692</v>
      </c>
      <c r="BX196" s="52">
        <v>0</v>
      </c>
      <c r="BY196" s="52">
        <v>0</v>
      </c>
      <c r="BZ196" s="52">
        <v>0</v>
      </c>
      <c r="CA196" s="52">
        <v>0</v>
      </c>
      <c r="CB196" s="52">
        <v>0</v>
      </c>
      <c r="CC196" s="52">
        <v>0</v>
      </c>
      <c r="CD196" s="52">
        <v>0</v>
      </c>
      <c r="CE196" s="52">
        <v>0</v>
      </c>
      <c r="CF196" s="52">
        <v>0</v>
      </c>
      <c r="CG196" s="52">
        <v>0</v>
      </c>
      <c r="CH196" s="52">
        <v>0</v>
      </c>
      <c r="CI196" s="52">
        <v>0</v>
      </c>
      <c r="CJ196" s="52">
        <v>0</v>
      </c>
      <c r="CK196" s="52">
        <v>0</v>
      </c>
      <c r="CL196" s="52">
        <v>0</v>
      </c>
      <c r="CM196" s="52">
        <v>0</v>
      </c>
      <c r="CN196" s="52">
        <v>0</v>
      </c>
      <c r="CO196" s="52">
        <v>0</v>
      </c>
      <c r="CP196" s="52">
        <v>0</v>
      </c>
      <c r="CQ196" s="52">
        <v>0</v>
      </c>
      <c r="CR196" s="52">
        <v>0</v>
      </c>
      <c r="CS196" s="52">
        <v>0</v>
      </c>
      <c r="CT196" s="52">
        <v>0</v>
      </c>
      <c r="CU196" s="52">
        <v>0</v>
      </c>
      <c r="CV196" s="430">
        <f t="shared" si="4"/>
        <v>0</v>
      </c>
    </row>
    <row r="197" spans="1:100">
      <c r="A197" s="540" t="str">
        <f t="shared" si="5"/>
        <v>6100080</v>
      </c>
      <c r="B197" s="541" t="s">
        <v>2018</v>
      </c>
      <c r="C197" s="463" t="s">
        <v>1105</v>
      </c>
      <c r="D197" s="426">
        <v>27256</v>
      </c>
      <c r="E197" s="426">
        <v>33317.81</v>
      </c>
      <c r="F197" s="426">
        <v>60728.57</v>
      </c>
      <c r="G197" s="426">
        <v>115212.35</v>
      </c>
      <c r="H197" s="426">
        <v>231694.48</v>
      </c>
      <c r="I197" s="426">
        <v>122798</v>
      </c>
      <c r="J197" s="426">
        <v>-55639.92</v>
      </c>
      <c r="K197" s="426">
        <v>79008.259999999995</v>
      </c>
      <c r="L197" s="426">
        <v>60185.84</v>
      </c>
      <c r="M197" s="426">
        <v>188730</v>
      </c>
      <c r="N197" s="426">
        <v>17877.259999999998</v>
      </c>
      <c r="O197" s="427">
        <v>91928.86</v>
      </c>
      <c r="P197" s="52">
        <v>108757.17</v>
      </c>
      <c r="Q197" s="52">
        <v>124027.64</v>
      </c>
      <c r="R197" s="52">
        <v>136772.04</v>
      </c>
      <c r="S197" s="52">
        <v>55429.04</v>
      </c>
      <c r="T197" s="52">
        <v>10079.6</v>
      </c>
      <c r="U197" s="52">
        <v>49301.56</v>
      </c>
      <c r="V197" s="52">
        <v>58012.57</v>
      </c>
      <c r="W197" s="52">
        <v>115758.43</v>
      </c>
      <c r="X197" s="52">
        <v>48276.74</v>
      </c>
      <c r="Y197" s="52">
        <v>80303.899999999994</v>
      </c>
      <c r="Z197" s="52">
        <v>150614.79</v>
      </c>
      <c r="AA197" s="52">
        <v>394282.55</v>
      </c>
      <c r="AB197" s="52">
        <v>12270.06</v>
      </c>
      <c r="AC197" s="52">
        <v>389445.01</v>
      </c>
      <c r="AD197" s="52">
        <v>29020.28</v>
      </c>
      <c r="AE197" s="52">
        <v>27989.52</v>
      </c>
      <c r="AF197" s="52">
        <v>45012.55</v>
      </c>
      <c r="AG197" s="52">
        <v>4418.3</v>
      </c>
      <c r="AH197" s="52">
        <v>10001.41</v>
      </c>
      <c r="AI197" s="52">
        <v>25430.5</v>
      </c>
      <c r="AJ197" s="52">
        <v>83383.070000000007</v>
      </c>
      <c r="AK197" s="52">
        <v>11122.77</v>
      </c>
      <c r="AL197" s="52">
        <v>12486.5</v>
      </c>
      <c r="AM197" s="52">
        <v>93608.44</v>
      </c>
      <c r="AN197" s="52">
        <v>3556.3</v>
      </c>
      <c r="AO197" s="52">
        <v>65728.92</v>
      </c>
      <c r="AP197" s="52">
        <v>22926.42</v>
      </c>
      <c r="AQ197" s="52">
        <v>70372.66</v>
      </c>
      <c r="AR197" s="52">
        <v>234687.03</v>
      </c>
      <c r="AS197" s="52">
        <v>26087.4</v>
      </c>
      <c r="AT197" s="52">
        <v>8790.83</v>
      </c>
      <c r="AU197" s="52">
        <v>15156.19</v>
      </c>
      <c r="AV197" s="52">
        <v>19100.23</v>
      </c>
      <c r="AW197" s="52">
        <v>8994.7099999999991</v>
      </c>
      <c r="AX197" s="52">
        <v>56651.82</v>
      </c>
      <c r="AY197" s="52">
        <v>192780.47</v>
      </c>
      <c r="AZ197" s="52">
        <v>62054.79</v>
      </c>
      <c r="BA197" s="52">
        <v>31527.65</v>
      </c>
      <c r="BB197" s="52">
        <v>416917.19</v>
      </c>
      <c r="BC197" s="52">
        <v>34962.58</v>
      </c>
      <c r="BD197" s="52">
        <v>71805.919999999998</v>
      </c>
      <c r="BE197" s="52">
        <v>41747.96</v>
      </c>
      <c r="BF197" s="52">
        <v>23250.69</v>
      </c>
      <c r="BG197" s="52">
        <v>25772.86</v>
      </c>
      <c r="BH197" s="52">
        <v>30971.63</v>
      </c>
      <c r="BI197" s="52">
        <v>715102.95</v>
      </c>
      <c r="BJ197" s="52">
        <v>301488.46999999997</v>
      </c>
      <c r="BK197" s="52">
        <v>301487.35999999999</v>
      </c>
      <c r="BL197" s="52">
        <v>1168071</v>
      </c>
      <c r="BM197" s="52">
        <v>574700.93999999994</v>
      </c>
      <c r="BN197" s="52">
        <v>325404.98</v>
      </c>
      <c r="BO197" s="52">
        <v>962313.79</v>
      </c>
      <c r="BP197" s="52">
        <v>1289557.6399999999</v>
      </c>
      <c r="BQ197" s="52">
        <v>274105.12</v>
      </c>
      <c r="BR197" s="52">
        <v>244470.21</v>
      </c>
      <c r="BS197" s="52">
        <v>872356.61</v>
      </c>
      <c r="BT197" s="52">
        <v>356211.23</v>
      </c>
      <c r="BU197" s="52">
        <v>348385.46</v>
      </c>
      <c r="BV197" s="52">
        <v>1189782.82</v>
      </c>
      <c r="BW197" s="52">
        <v>745233.88</v>
      </c>
      <c r="BX197" s="52">
        <v>441984.22</v>
      </c>
      <c r="BY197" s="52">
        <v>1313292.3999999999</v>
      </c>
      <c r="BZ197" s="52">
        <v>601362.24</v>
      </c>
      <c r="CA197" s="52">
        <v>1117504.05</v>
      </c>
      <c r="CB197" s="52">
        <v>227593.48</v>
      </c>
      <c r="CC197" s="52">
        <v>343748.83</v>
      </c>
      <c r="CD197" s="52">
        <v>381874</v>
      </c>
      <c r="CE197" s="52">
        <v>88077.22</v>
      </c>
      <c r="CF197" s="52">
        <v>120374.41</v>
      </c>
      <c r="CG197" s="52">
        <v>201578.55</v>
      </c>
      <c r="CH197" s="52">
        <v>227348.87</v>
      </c>
      <c r="CI197" s="52">
        <v>126515.26</v>
      </c>
      <c r="CJ197" s="52">
        <v>-272713.61</v>
      </c>
      <c r="CK197" s="52">
        <v>432123.07</v>
      </c>
      <c r="CL197" s="52">
        <v>159496.67000000001</v>
      </c>
      <c r="CM197" s="52">
        <v>916021.66</v>
      </c>
      <c r="CN197" s="52">
        <v>273136.03000000003</v>
      </c>
      <c r="CO197" s="52">
        <v>1058395.69</v>
      </c>
      <c r="CP197" s="52">
        <v>171373.1</v>
      </c>
      <c r="CQ197" s="52">
        <v>833528.7</v>
      </c>
      <c r="CR197" s="52">
        <v>1797798.98</v>
      </c>
      <c r="CS197" s="52">
        <v>769256.85</v>
      </c>
      <c r="CT197" s="52">
        <v>798121.51</v>
      </c>
      <c r="CU197" s="52">
        <v>1150678.0900000001</v>
      </c>
      <c r="CV197" s="430">
        <f t="shared" si="4"/>
        <v>8087216.7399999984</v>
      </c>
    </row>
    <row r="198" spans="1:100">
      <c r="A198" s="540" t="str">
        <f t="shared" si="5"/>
        <v>6100090</v>
      </c>
      <c r="B198" s="541" t="s">
        <v>2017</v>
      </c>
      <c r="C198" s="463" t="s">
        <v>1106</v>
      </c>
      <c r="D198" s="428">
        <v>0</v>
      </c>
      <c r="E198" s="428">
        <v>0</v>
      </c>
      <c r="F198" s="428">
        <v>4327.07</v>
      </c>
      <c r="G198" s="428">
        <v>0</v>
      </c>
      <c r="H198" s="428">
        <v>0</v>
      </c>
      <c r="I198" s="428">
        <v>0</v>
      </c>
      <c r="J198" s="428">
        <v>0</v>
      </c>
      <c r="K198" s="428">
        <v>0</v>
      </c>
      <c r="L198" s="428">
        <v>0</v>
      </c>
      <c r="M198" s="428">
        <v>0</v>
      </c>
      <c r="N198" s="428">
        <v>0</v>
      </c>
      <c r="O198" s="429">
        <v>0</v>
      </c>
      <c r="P198" s="52">
        <v>0</v>
      </c>
      <c r="Q198" s="52">
        <v>0</v>
      </c>
      <c r="R198" s="52">
        <v>0</v>
      </c>
      <c r="S198" s="52">
        <v>0</v>
      </c>
      <c r="T198" s="52">
        <v>0</v>
      </c>
      <c r="U198" s="52">
        <v>0</v>
      </c>
      <c r="V198" s="52">
        <v>0</v>
      </c>
      <c r="W198" s="52">
        <v>0</v>
      </c>
      <c r="X198" s="52">
        <v>0</v>
      </c>
      <c r="Y198" s="52">
        <v>0</v>
      </c>
      <c r="Z198" s="52">
        <v>0</v>
      </c>
      <c r="AA198" s="52">
        <v>0</v>
      </c>
      <c r="AB198" s="52">
        <v>0</v>
      </c>
      <c r="AC198" s="52">
        <v>0</v>
      </c>
      <c r="AD198" s="52">
        <v>0</v>
      </c>
      <c r="AE198" s="52">
        <v>0</v>
      </c>
      <c r="AF198" s="52">
        <v>0</v>
      </c>
      <c r="AG198" s="52">
        <v>0</v>
      </c>
      <c r="AH198" s="52">
        <v>0</v>
      </c>
      <c r="AI198" s="52">
        <v>0</v>
      </c>
      <c r="AJ198" s="52">
        <v>0</v>
      </c>
      <c r="AK198" s="52">
        <v>0</v>
      </c>
      <c r="AL198" s="52">
        <v>0</v>
      </c>
      <c r="AM198" s="52">
        <v>0</v>
      </c>
      <c r="AN198" s="52">
        <v>0</v>
      </c>
      <c r="AO198" s="52">
        <v>0</v>
      </c>
      <c r="AP198" s="52">
        <v>0</v>
      </c>
      <c r="AQ198" s="52">
        <v>0</v>
      </c>
      <c r="AR198" s="52">
        <v>0</v>
      </c>
      <c r="AS198" s="52">
        <v>0</v>
      </c>
      <c r="AT198" s="52">
        <v>0</v>
      </c>
      <c r="AU198" s="52">
        <v>0</v>
      </c>
      <c r="AV198" s="52">
        <v>0</v>
      </c>
      <c r="AW198" s="52">
        <v>0</v>
      </c>
      <c r="AX198" s="52">
        <v>0</v>
      </c>
      <c r="AY198" s="52">
        <v>0</v>
      </c>
      <c r="AZ198" s="52">
        <v>0</v>
      </c>
      <c r="BA198" s="52">
        <v>0</v>
      </c>
      <c r="BB198" s="52">
        <v>0</v>
      </c>
      <c r="BC198" s="52">
        <v>0</v>
      </c>
      <c r="BD198" s="52">
        <v>0</v>
      </c>
      <c r="BE198" s="52">
        <v>0</v>
      </c>
      <c r="BF198" s="52">
        <v>0</v>
      </c>
      <c r="BG198" s="52">
        <v>0</v>
      </c>
      <c r="BH198" s="52">
        <v>0</v>
      </c>
      <c r="BI198" s="52">
        <v>0</v>
      </c>
      <c r="BJ198" s="52">
        <v>0</v>
      </c>
      <c r="BK198" s="52">
        <v>0</v>
      </c>
      <c r="BL198" s="52">
        <v>0</v>
      </c>
      <c r="BM198" s="52">
        <v>0</v>
      </c>
      <c r="BN198" s="52">
        <v>0</v>
      </c>
      <c r="BO198" s="52">
        <v>0</v>
      </c>
      <c r="BP198" s="52">
        <v>0</v>
      </c>
      <c r="BQ198" s="52">
        <v>0</v>
      </c>
      <c r="BR198" s="52">
        <v>0</v>
      </c>
      <c r="BS198" s="52">
        <v>0</v>
      </c>
      <c r="BT198" s="52">
        <v>0</v>
      </c>
      <c r="BU198" s="52">
        <v>0</v>
      </c>
      <c r="BV198" s="52">
        <v>0</v>
      </c>
      <c r="BW198" s="52">
        <v>0</v>
      </c>
      <c r="BX198" s="52">
        <v>0</v>
      </c>
      <c r="BY198" s="52">
        <v>0</v>
      </c>
      <c r="BZ198" s="52">
        <v>0</v>
      </c>
      <c r="CA198" s="52">
        <v>0</v>
      </c>
      <c r="CB198" s="52">
        <v>0</v>
      </c>
      <c r="CC198" s="52">
        <v>0</v>
      </c>
      <c r="CD198" s="52">
        <v>0</v>
      </c>
      <c r="CE198" s="52">
        <v>0</v>
      </c>
      <c r="CF198" s="52">
        <v>0</v>
      </c>
      <c r="CG198" s="52">
        <v>0</v>
      </c>
      <c r="CH198" s="52">
        <v>0</v>
      </c>
      <c r="CI198" s="52">
        <v>0</v>
      </c>
      <c r="CJ198" s="52">
        <v>0</v>
      </c>
      <c r="CK198" s="52">
        <v>0</v>
      </c>
      <c r="CL198" s="52">
        <v>0</v>
      </c>
      <c r="CM198" s="52">
        <v>0</v>
      </c>
      <c r="CN198" s="52">
        <v>0</v>
      </c>
      <c r="CO198" s="52">
        <v>0</v>
      </c>
      <c r="CP198" s="52">
        <v>0</v>
      </c>
      <c r="CQ198" s="52">
        <v>0</v>
      </c>
      <c r="CR198" s="52">
        <v>0</v>
      </c>
      <c r="CS198" s="52">
        <v>0</v>
      </c>
      <c r="CT198" s="52">
        <v>0</v>
      </c>
      <c r="CU198" s="52">
        <v>0</v>
      </c>
      <c r="CV198" s="430">
        <f t="shared" ref="CV198:CV261" si="6">SUM(CJ198:CU198)</f>
        <v>0</v>
      </c>
    </row>
    <row r="199" spans="1:100">
      <c r="A199" s="540" t="str">
        <f t="shared" si="5"/>
        <v>6100100</v>
      </c>
      <c r="B199" s="541" t="s">
        <v>2019</v>
      </c>
      <c r="C199" s="463" t="s">
        <v>1107</v>
      </c>
      <c r="D199" s="426">
        <v>1685726.83</v>
      </c>
      <c r="E199" s="426">
        <v>5350547.9400000004</v>
      </c>
      <c r="F199" s="426">
        <v>4563537.0199999996</v>
      </c>
      <c r="G199" s="426">
        <v>5464513.3499999996</v>
      </c>
      <c r="H199" s="426">
        <v>3432858.86</v>
      </c>
      <c r="I199" s="426">
        <v>4733792.83</v>
      </c>
      <c r="J199" s="426">
        <v>4415239.3499999996</v>
      </c>
      <c r="K199" s="426">
        <v>5688508.5700000003</v>
      </c>
      <c r="L199" s="426">
        <v>5125766.07</v>
      </c>
      <c r="M199" s="426">
        <v>4617691.24</v>
      </c>
      <c r="N199" s="426">
        <v>3550918.5</v>
      </c>
      <c r="O199" s="427">
        <v>6134379.9699999997</v>
      </c>
      <c r="P199" s="52">
        <v>4152922.17</v>
      </c>
      <c r="Q199" s="52">
        <v>3797511.3</v>
      </c>
      <c r="R199" s="52">
        <v>4868345.0999999996</v>
      </c>
      <c r="S199" s="52">
        <v>3750571.99</v>
      </c>
      <c r="T199" s="52">
        <v>3735523.47</v>
      </c>
      <c r="U199" s="52">
        <v>6015724.8899999997</v>
      </c>
      <c r="V199" s="52">
        <v>4778624.1399999997</v>
      </c>
      <c r="W199" s="52">
        <v>3613756.87</v>
      </c>
      <c r="X199" s="52">
        <v>4620176.9400000004</v>
      </c>
      <c r="Y199" s="52">
        <v>5883898.6900000004</v>
      </c>
      <c r="Z199" s="52">
        <v>6031631.9699999997</v>
      </c>
      <c r="AA199" s="52">
        <v>7153399.2999999998</v>
      </c>
      <c r="AB199" s="52">
        <v>3995448.12</v>
      </c>
      <c r="AC199" s="52">
        <v>11504677.01</v>
      </c>
      <c r="AD199" s="52">
        <v>7220133.6399999997</v>
      </c>
      <c r="AE199" s="52">
        <v>5742721.21</v>
      </c>
      <c r="AF199" s="52">
        <v>8927845.8800000008</v>
      </c>
      <c r="AG199" s="52">
        <v>10409533.699999999</v>
      </c>
      <c r="AH199" s="52">
        <v>6866301.6100000003</v>
      </c>
      <c r="AI199" s="52">
        <v>7776848.5800000001</v>
      </c>
      <c r="AJ199" s="52">
        <v>7381397.4199999999</v>
      </c>
      <c r="AK199" s="52">
        <v>6953388.1299999999</v>
      </c>
      <c r="AL199" s="52">
        <v>9178368.75</v>
      </c>
      <c r="AM199" s="52">
        <v>11722681.48</v>
      </c>
      <c r="AN199" s="52">
        <v>4520924.96</v>
      </c>
      <c r="AO199" s="52">
        <v>7123776.4199999999</v>
      </c>
      <c r="AP199" s="52">
        <v>6881757.9900000002</v>
      </c>
      <c r="AQ199" s="52">
        <v>5617183.4699999997</v>
      </c>
      <c r="AR199" s="52">
        <v>6277465.5499999998</v>
      </c>
      <c r="AS199" s="52">
        <v>6571939.4400000004</v>
      </c>
      <c r="AT199" s="52">
        <v>8285044.8799999999</v>
      </c>
      <c r="AU199" s="52">
        <v>10147018.289999999</v>
      </c>
      <c r="AV199" s="52">
        <v>5081677.4800000004</v>
      </c>
      <c r="AW199" s="52">
        <v>8828723.6400000006</v>
      </c>
      <c r="AX199" s="52">
        <v>8469319.1799999997</v>
      </c>
      <c r="AY199" s="52">
        <v>9374221.2100000009</v>
      </c>
      <c r="AZ199" s="52">
        <v>7491679.5300000003</v>
      </c>
      <c r="BA199" s="52">
        <v>8868415.3499999996</v>
      </c>
      <c r="BB199" s="52">
        <v>8950461.0800000001</v>
      </c>
      <c r="BC199" s="52">
        <v>6668131.9299999997</v>
      </c>
      <c r="BD199" s="52">
        <v>10391864.02</v>
      </c>
      <c r="BE199" s="52">
        <v>8384423.2400000002</v>
      </c>
      <c r="BF199" s="52">
        <v>8169371.8200000003</v>
      </c>
      <c r="BG199" s="52">
        <v>10961835.24</v>
      </c>
      <c r="BH199" s="52">
        <v>10301311.83</v>
      </c>
      <c r="BI199" s="52">
        <v>14889014.060000001</v>
      </c>
      <c r="BJ199" s="52">
        <v>13704093.15</v>
      </c>
      <c r="BK199" s="52">
        <v>11948367.029999999</v>
      </c>
      <c r="BL199" s="52">
        <v>12692675.73</v>
      </c>
      <c r="BM199" s="52">
        <v>9128770.4399999995</v>
      </c>
      <c r="BN199" s="52">
        <v>11144498.1</v>
      </c>
      <c r="BO199" s="52">
        <v>8911639.8100000005</v>
      </c>
      <c r="BP199" s="52">
        <v>10450485.800000001</v>
      </c>
      <c r="BQ199" s="52">
        <v>13710438.050000001</v>
      </c>
      <c r="BR199" s="52">
        <v>9870766.5600000005</v>
      </c>
      <c r="BS199" s="52">
        <v>15857835.449999999</v>
      </c>
      <c r="BT199" s="52">
        <v>10544474.869999999</v>
      </c>
      <c r="BU199" s="52">
        <v>13554755.699999999</v>
      </c>
      <c r="BV199" s="52">
        <v>15184881.109999999</v>
      </c>
      <c r="BW199" s="52">
        <v>18847956.359999999</v>
      </c>
      <c r="BX199" s="52">
        <v>18197050.170000002</v>
      </c>
      <c r="BY199" s="52">
        <v>15655857.91</v>
      </c>
      <c r="BZ199" s="52">
        <v>18034561.41</v>
      </c>
      <c r="CA199" s="52">
        <v>19599908.649999999</v>
      </c>
      <c r="CB199" s="52">
        <v>19025598.68</v>
      </c>
      <c r="CC199" s="52">
        <v>13116330.57</v>
      </c>
      <c r="CD199" s="52">
        <v>14901364.48</v>
      </c>
      <c r="CE199" s="52">
        <v>18569338.469999999</v>
      </c>
      <c r="CF199" s="52">
        <v>17486742.57</v>
      </c>
      <c r="CG199" s="52">
        <v>24937660.300000001</v>
      </c>
      <c r="CH199" s="52">
        <v>20213901.969999999</v>
      </c>
      <c r="CI199" s="52">
        <v>26129528.07</v>
      </c>
      <c r="CJ199" s="52">
        <v>16182441.640000001</v>
      </c>
      <c r="CK199" s="52">
        <v>22008046.260000002</v>
      </c>
      <c r="CL199" s="52">
        <v>26445109.870000001</v>
      </c>
      <c r="CM199" s="52">
        <v>16935201.890000001</v>
      </c>
      <c r="CN199" s="52">
        <v>12263347.58</v>
      </c>
      <c r="CO199" s="52">
        <v>18140310.710000001</v>
      </c>
      <c r="CP199" s="52">
        <v>13684608.380000001</v>
      </c>
      <c r="CQ199" s="52">
        <v>16285214.609999999</v>
      </c>
      <c r="CR199" s="52">
        <v>20528971.620000001</v>
      </c>
      <c r="CS199" s="52">
        <v>22365182.550000001</v>
      </c>
      <c r="CT199" s="52">
        <v>19829113.629999999</v>
      </c>
      <c r="CU199" s="52">
        <v>14553761.439999999</v>
      </c>
      <c r="CV199" s="430">
        <f t="shared" si="6"/>
        <v>219221310.18000001</v>
      </c>
    </row>
    <row r="200" spans="1:100">
      <c r="A200" s="540" t="str">
        <f>+B200</f>
        <v>6100110</v>
      </c>
      <c r="B200" s="541" t="s">
        <v>2230</v>
      </c>
      <c r="C200" s="463" t="s">
        <v>2231</v>
      </c>
      <c r="D200" s="426"/>
      <c r="E200" s="426"/>
      <c r="F200" s="426"/>
      <c r="G200" s="426"/>
      <c r="H200" s="426"/>
      <c r="I200" s="426"/>
      <c r="J200" s="426"/>
      <c r="K200" s="426"/>
      <c r="L200" s="426"/>
      <c r="M200" s="426"/>
      <c r="N200" s="426"/>
      <c r="O200" s="427"/>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v>0</v>
      </c>
      <c r="BD200" s="52">
        <v>87615</v>
      </c>
      <c r="BE200" s="52">
        <v>-87464</v>
      </c>
      <c r="BF200" s="52">
        <v>9</v>
      </c>
      <c r="BG200" s="52">
        <v>0</v>
      </c>
      <c r="BH200" s="52">
        <v>0</v>
      </c>
      <c r="BI200" s="52">
        <v>0</v>
      </c>
      <c r="BJ200" s="52">
        <v>0</v>
      </c>
      <c r="BK200" s="52">
        <v>189.13</v>
      </c>
      <c r="BL200" s="52">
        <v>0</v>
      </c>
      <c r="BM200" s="52">
        <v>0</v>
      </c>
      <c r="BN200" s="52">
        <v>0</v>
      </c>
      <c r="BO200" s="52">
        <v>0</v>
      </c>
      <c r="BP200" s="52">
        <v>0</v>
      </c>
      <c r="BQ200" s="52">
        <v>0</v>
      </c>
      <c r="BR200" s="52">
        <v>0</v>
      </c>
      <c r="BS200" s="52">
        <v>0</v>
      </c>
      <c r="BT200" s="52">
        <v>0</v>
      </c>
      <c r="BU200" s="52">
        <v>0</v>
      </c>
      <c r="BV200" s="52">
        <v>0</v>
      </c>
      <c r="BW200" s="52">
        <v>0</v>
      </c>
      <c r="BX200" s="52">
        <v>0</v>
      </c>
      <c r="BY200" s="52">
        <v>0</v>
      </c>
      <c r="BZ200" s="52">
        <v>0</v>
      </c>
      <c r="CA200" s="52">
        <v>0</v>
      </c>
      <c r="CB200" s="52">
        <v>0</v>
      </c>
      <c r="CC200" s="52">
        <v>0</v>
      </c>
      <c r="CD200" s="52">
        <v>0</v>
      </c>
      <c r="CE200" s="52">
        <v>0</v>
      </c>
      <c r="CF200" s="52">
        <v>0</v>
      </c>
      <c r="CG200" s="52">
        <v>0</v>
      </c>
      <c r="CH200" s="52">
        <v>0</v>
      </c>
      <c r="CI200" s="52">
        <v>0</v>
      </c>
      <c r="CJ200" s="52">
        <v>1729.9</v>
      </c>
      <c r="CK200" s="52">
        <v>0</v>
      </c>
      <c r="CL200" s="52">
        <v>0</v>
      </c>
      <c r="CM200" s="52">
        <v>0</v>
      </c>
      <c r="CN200" s="52">
        <v>0</v>
      </c>
      <c r="CO200" s="52">
        <v>0</v>
      </c>
      <c r="CP200" s="52">
        <v>0</v>
      </c>
      <c r="CQ200" s="52">
        <v>0</v>
      </c>
      <c r="CR200" s="52">
        <v>0</v>
      </c>
      <c r="CS200" s="52">
        <v>0</v>
      </c>
      <c r="CT200" s="52">
        <v>0</v>
      </c>
      <c r="CU200" s="52">
        <v>0</v>
      </c>
      <c r="CV200" s="430">
        <f t="shared" si="6"/>
        <v>1729.9</v>
      </c>
    </row>
    <row r="201" spans="1:100">
      <c r="A201" s="540" t="str">
        <f t="shared" si="5"/>
        <v>6100120</v>
      </c>
      <c r="B201" s="541" t="s">
        <v>2020</v>
      </c>
      <c r="C201" s="463" t="s">
        <v>1108</v>
      </c>
      <c r="D201" s="426">
        <v>0</v>
      </c>
      <c r="E201" s="426">
        <v>0</v>
      </c>
      <c r="F201" s="426">
        <v>208.65</v>
      </c>
      <c r="G201" s="426">
        <v>484.71</v>
      </c>
      <c r="H201" s="426">
        <v>1277.1099999999999</v>
      </c>
      <c r="I201" s="426">
        <v>1208</v>
      </c>
      <c r="J201" s="426">
        <v>0</v>
      </c>
      <c r="K201" s="426">
        <v>0</v>
      </c>
      <c r="L201" s="426">
        <v>1008.17</v>
      </c>
      <c r="M201" s="426">
        <v>0</v>
      </c>
      <c r="N201" s="426">
        <v>0</v>
      </c>
      <c r="O201" s="427">
        <v>636.12</v>
      </c>
      <c r="P201" s="52">
        <v>0</v>
      </c>
      <c r="Q201" s="52">
        <v>0</v>
      </c>
      <c r="R201" s="52">
        <v>355.62</v>
      </c>
      <c r="S201" s="52">
        <v>0</v>
      </c>
      <c r="T201" s="52">
        <v>0</v>
      </c>
      <c r="U201" s="52">
        <v>108.88</v>
      </c>
      <c r="V201" s="52">
        <v>113.1</v>
      </c>
      <c r="W201" s="52">
        <v>16.010000000000002</v>
      </c>
      <c r="X201" s="52">
        <v>1673.34</v>
      </c>
      <c r="Y201" s="52">
        <v>896.91</v>
      </c>
      <c r="Z201" s="52">
        <v>237.65</v>
      </c>
      <c r="AA201" s="52">
        <v>289.85000000000002</v>
      </c>
      <c r="AB201" s="52">
        <v>0</v>
      </c>
      <c r="AC201" s="52">
        <v>1187.8599999999999</v>
      </c>
      <c r="AD201" s="52">
        <v>0</v>
      </c>
      <c r="AE201" s="52">
        <v>0</v>
      </c>
      <c r="AF201" s="52">
        <v>2255.34</v>
      </c>
      <c r="AG201" s="52">
        <v>-104.12</v>
      </c>
      <c r="AH201" s="52">
        <v>812.3</v>
      </c>
      <c r="AI201" s="52">
        <v>-34.299999999999997</v>
      </c>
      <c r="AJ201" s="52">
        <v>322.44</v>
      </c>
      <c r="AK201" s="52">
        <v>42.58</v>
      </c>
      <c r="AL201" s="52">
        <v>32.07</v>
      </c>
      <c r="AM201" s="52">
        <v>2561.09</v>
      </c>
      <c r="AN201" s="52">
        <v>0</v>
      </c>
      <c r="AO201" s="52">
        <v>793.82</v>
      </c>
      <c r="AP201" s="52">
        <v>51.79</v>
      </c>
      <c r="AQ201" s="52">
        <v>558.95000000000005</v>
      </c>
      <c r="AR201" s="52">
        <v>261.83</v>
      </c>
      <c r="AS201" s="52">
        <v>156.78</v>
      </c>
      <c r="AT201" s="52">
        <v>0</v>
      </c>
      <c r="AU201" s="52">
        <v>0</v>
      </c>
      <c r="AV201" s="52">
        <v>172.81</v>
      </c>
      <c r="AW201" s="52">
        <v>40.82</v>
      </c>
      <c r="AX201" s="52">
        <v>2582.59</v>
      </c>
      <c r="AY201" s="52">
        <v>802.56</v>
      </c>
      <c r="AZ201" s="52">
        <v>0</v>
      </c>
      <c r="BA201" s="52">
        <v>574.42999999999995</v>
      </c>
      <c r="BB201" s="52">
        <v>4963.57</v>
      </c>
      <c r="BC201" s="52">
        <v>159.69999999999999</v>
      </c>
      <c r="BD201" s="52">
        <v>945.83</v>
      </c>
      <c r="BE201" s="52">
        <v>440.31</v>
      </c>
      <c r="BF201" s="52">
        <v>94.69</v>
      </c>
      <c r="BG201" s="52">
        <v>3026.9</v>
      </c>
      <c r="BH201" s="52">
        <v>552.66</v>
      </c>
      <c r="BI201" s="52">
        <v>1216.8399999999999</v>
      </c>
      <c r="BJ201" s="52">
        <v>429.88</v>
      </c>
      <c r="BK201" s="52">
        <v>1834.17</v>
      </c>
      <c r="BL201" s="52">
        <v>0</v>
      </c>
      <c r="BM201" s="52">
        <v>302.23</v>
      </c>
      <c r="BN201" s="52">
        <v>198.74</v>
      </c>
      <c r="BO201" s="52">
        <v>0</v>
      </c>
      <c r="BP201" s="52">
        <v>1326.2</v>
      </c>
      <c r="BQ201" s="52">
        <v>1792.84</v>
      </c>
      <c r="BR201" s="52">
        <v>54.24</v>
      </c>
      <c r="BS201" s="52">
        <v>2251.2600000000002</v>
      </c>
      <c r="BT201" s="52">
        <v>309.95</v>
      </c>
      <c r="BU201" s="52">
        <v>1028.43</v>
      </c>
      <c r="BV201" s="52">
        <v>2440.0300000000002</v>
      </c>
      <c r="BW201" s="52">
        <v>3895.01</v>
      </c>
      <c r="BX201" s="52">
        <v>0</v>
      </c>
      <c r="BY201" s="52">
        <v>1693.9</v>
      </c>
      <c r="BZ201" s="52">
        <v>802.82</v>
      </c>
      <c r="CA201" s="52">
        <v>151.16999999999999</v>
      </c>
      <c r="CB201" s="52">
        <v>63.58</v>
      </c>
      <c r="CC201" s="52">
        <v>93.07</v>
      </c>
      <c r="CD201" s="52">
        <v>772.35</v>
      </c>
      <c r="CE201" s="52">
        <v>4343.76</v>
      </c>
      <c r="CF201" s="52">
        <v>182.25</v>
      </c>
      <c r="CG201" s="52">
        <v>-11.93</v>
      </c>
      <c r="CH201" s="52">
        <v>0</v>
      </c>
      <c r="CI201" s="52">
        <v>0</v>
      </c>
      <c r="CJ201" s="52">
        <v>1209.1500000000001</v>
      </c>
      <c r="CK201" s="52">
        <v>0</v>
      </c>
      <c r="CL201" s="52">
        <v>0</v>
      </c>
      <c r="CM201" s="52">
        <v>0</v>
      </c>
      <c r="CN201" s="52">
        <v>0</v>
      </c>
      <c r="CO201" s="52">
        <v>0</v>
      </c>
      <c r="CP201" s="52">
        <v>0</v>
      </c>
      <c r="CQ201" s="52">
        <v>0</v>
      </c>
      <c r="CR201" s="52">
        <v>0</v>
      </c>
      <c r="CS201" s="52">
        <v>0</v>
      </c>
      <c r="CT201" s="52">
        <v>0</v>
      </c>
      <c r="CU201" s="52">
        <v>0</v>
      </c>
      <c r="CV201" s="430">
        <f t="shared" si="6"/>
        <v>1209.1500000000001</v>
      </c>
    </row>
    <row r="202" spans="1:100">
      <c r="A202" s="540" t="str">
        <f>+B202</f>
        <v>6100130</v>
      </c>
      <c r="B202" s="541" t="s">
        <v>2266</v>
      </c>
      <c r="C202" s="463" t="s">
        <v>2267</v>
      </c>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v>0</v>
      </c>
      <c r="BM202" s="52">
        <v>20</v>
      </c>
      <c r="BN202" s="52">
        <v>0</v>
      </c>
      <c r="BO202" s="52">
        <v>0</v>
      </c>
      <c r="BP202" s="52">
        <v>0</v>
      </c>
      <c r="BQ202" s="52">
        <v>0</v>
      </c>
      <c r="BR202" s="52">
        <v>0</v>
      </c>
      <c r="BS202" s="52">
        <v>0</v>
      </c>
      <c r="BT202" s="52">
        <v>0</v>
      </c>
      <c r="BU202" s="52">
        <v>0</v>
      </c>
      <c r="BV202" s="52">
        <v>0</v>
      </c>
      <c r="BW202" s="52">
        <v>0</v>
      </c>
      <c r="BX202" s="52">
        <v>0</v>
      </c>
      <c r="BY202" s="52">
        <v>0</v>
      </c>
      <c r="BZ202" s="52">
        <v>0</v>
      </c>
      <c r="CA202" s="52">
        <v>0</v>
      </c>
      <c r="CB202" s="52">
        <v>0</v>
      </c>
      <c r="CC202" s="52">
        <v>0</v>
      </c>
      <c r="CD202" s="52">
        <v>0</v>
      </c>
      <c r="CE202" s="52">
        <v>0</v>
      </c>
      <c r="CF202" s="52">
        <v>0</v>
      </c>
      <c r="CG202" s="52">
        <v>0</v>
      </c>
      <c r="CH202" s="52">
        <v>0</v>
      </c>
      <c r="CI202" s="52">
        <v>0</v>
      </c>
      <c r="CJ202" s="52">
        <v>0</v>
      </c>
      <c r="CK202" s="52">
        <v>0</v>
      </c>
      <c r="CL202" s="52">
        <v>0</v>
      </c>
      <c r="CM202" s="52">
        <v>0</v>
      </c>
      <c r="CN202" s="52">
        <v>0</v>
      </c>
      <c r="CO202" s="52">
        <v>0</v>
      </c>
      <c r="CP202" s="52">
        <v>0</v>
      </c>
      <c r="CQ202" s="52">
        <v>0</v>
      </c>
      <c r="CR202" s="52">
        <v>0</v>
      </c>
      <c r="CS202" s="52">
        <v>0</v>
      </c>
      <c r="CT202" s="52">
        <v>0</v>
      </c>
      <c r="CU202" s="52">
        <v>0</v>
      </c>
      <c r="CV202" s="430">
        <f t="shared" si="6"/>
        <v>0</v>
      </c>
    </row>
    <row r="203" spans="1:100">
      <c r="A203" s="540" t="str">
        <f t="shared" si="5"/>
        <v>6100150</v>
      </c>
      <c r="B203" s="541" t="s">
        <v>2021</v>
      </c>
      <c r="C203" s="463" t="s">
        <v>1109</v>
      </c>
      <c r="D203" s="428">
        <v>-5091.95</v>
      </c>
      <c r="E203" s="428">
        <v>5714.47</v>
      </c>
      <c r="F203" s="428">
        <v>7970.87</v>
      </c>
      <c r="G203" s="428">
        <v>5906.28</v>
      </c>
      <c r="H203" s="428">
        <v>7680.45</v>
      </c>
      <c r="I203" s="428">
        <v>13728.68</v>
      </c>
      <c r="J203" s="428">
        <v>8138.19</v>
      </c>
      <c r="K203" s="428">
        <v>7121.7</v>
      </c>
      <c r="L203" s="428">
        <v>11237.22</v>
      </c>
      <c r="M203" s="428">
        <v>13329.69</v>
      </c>
      <c r="N203" s="428">
        <v>10476.459999999999</v>
      </c>
      <c r="O203" s="429">
        <v>11228.9</v>
      </c>
      <c r="P203" s="52">
        <v>11.01</v>
      </c>
      <c r="Q203" s="52">
        <v>2197.9299999999998</v>
      </c>
      <c r="R203" s="52">
        <v>125.43</v>
      </c>
      <c r="S203" s="52">
        <v>2689.88</v>
      </c>
      <c r="T203" s="52">
        <v>1044.32</v>
      </c>
      <c r="U203" s="52">
        <v>1221.1099999999999</v>
      </c>
      <c r="V203" s="52">
        <v>381.26</v>
      </c>
      <c r="W203" s="52">
        <v>1785</v>
      </c>
      <c r="X203" s="52">
        <v>26704.09</v>
      </c>
      <c r="Y203" s="52">
        <v>1925.27</v>
      </c>
      <c r="Z203" s="52">
        <v>3751.4</v>
      </c>
      <c r="AA203" s="52">
        <v>942.61</v>
      </c>
      <c r="AB203" s="52">
        <v>1400.27</v>
      </c>
      <c r="AC203" s="52">
        <v>60.92</v>
      </c>
      <c r="AD203" s="52">
        <v>659.11</v>
      </c>
      <c r="AE203" s="52">
        <v>1139.6600000000001</v>
      </c>
      <c r="AF203" s="52">
        <v>2846.55</v>
      </c>
      <c r="AG203" s="52">
        <v>8358.1200000000008</v>
      </c>
      <c r="AH203" s="52">
        <v>8755.01</v>
      </c>
      <c r="AI203" s="52">
        <v>337.01</v>
      </c>
      <c r="AJ203" s="52">
        <v>3615.45</v>
      </c>
      <c r="AK203" s="52">
        <v>5893.79</v>
      </c>
      <c r="AL203" s="52">
        <v>1209.28</v>
      </c>
      <c r="AM203" s="52">
        <v>4373.84</v>
      </c>
      <c r="AN203" s="52">
        <v>534.19000000000005</v>
      </c>
      <c r="AO203" s="52">
        <v>1860.98</v>
      </c>
      <c r="AP203" s="52">
        <v>761.93</v>
      </c>
      <c r="AQ203" s="52">
        <v>14838.04</v>
      </c>
      <c r="AR203" s="52">
        <v>-12971.17</v>
      </c>
      <c r="AS203" s="52">
        <v>525.65</v>
      </c>
      <c r="AT203" s="52">
        <v>702.14</v>
      </c>
      <c r="AU203" s="52">
        <v>2228.62</v>
      </c>
      <c r="AV203" s="52">
        <v>918.72</v>
      </c>
      <c r="AW203" s="52">
        <v>4224.6400000000003</v>
      </c>
      <c r="AX203" s="52">
        <v>110.35</v>
      </c>
      <c r="AY203" s="52">
        <v>325.58999999999997</v>
      </c>
      <c r="AZ203" s="52">
        <v>1489.39</v>
      </c>
      <c r="BA203" s="52">
        <v>793.27</v>
      </c>
      <c r="BB203" s="52">
        <v>20871.41</v>
      </c>
      <c r="BC203" s="52">
        <v>601.53</v>
      </c>
      <c r="BD203" s="52">
        <v>-11007.55</v>
      </c>
      <c r="BE203" s="52">
        <v>237.3</v>
      </c>
      <c r="BF203" s="52">
        <v>5325.61</v>
      </c>
      <c r="BG203" s="52">
        <v>1144.05</v>
      </c>
      <c r="BH203" s="52">
        <v>763.05</v>
      </c>
      <c r="BI203" s="52">
        <v>55.44</v>
      </c>
      <c r="BJ203" s="52">
        <v>829.57</v>
      </c>
      <c r="BK203" s="52">
        <v>8209.32</v>
      </c>
      <c r="BL203" s="52">
        <v>16863.21</v>
      </c>
      <c r="BM203" s="52">
        <v>4487.9799999999996</v>
      </c>
      <c r="BN203" s="52">
        <v>1057.8699999999999</v>
      </c>
      <c r="BO203" s="52">
        <v>2562.16</v>
      </c>
      <c r="BP203" s="52">
        <v>3135.81</v>
      </c>
      <c r="BQ203" s="52">
        <v>3131.82</v>
      </c>
      <c r="BR203" s="52">
        <v>2400.59</v>
      </c>
      <c r="BS203" s="52">
        <v>3358.8</v>
      </c>
      <c r="BT203" s="52">
        <v>577.36</v>
      </c>
      <c r="BU203" s="52">
        <v>2817.92</v>
      </c>
      <c r="BV203" s="52">
        <v>52.29</v>
      </c>
      <c r="BW203" s="52">
        <v>3717.83</v>
      </c>
      <c r="BX203" s="52">
        <v>5444.01</v>
      </c>
      <c r="BY203" s="52">
        <v>2763.82</v>
      </c>
      <c r="BZ203" s="52">
        <v>0</v>
      </c>
      <c r="CA203" s="52">
        <v>0</v>
      </c>
      <c r="CB203" s="52">
        <v>0</v>
      </c>
      <c r="CC203" s="52">
        <v>434.63</v>
      </c>
      <c r="CD203" s="52">
        <v>289.11</v>
      </c>
      <c r="CE203" s="52">
        <v>8628.9500000000007</v>
      </c>
      <c r="CF203" s="52">
        <v>3018.57</v>
      </c>
      <c r="CG203" s="52">
        <v>1430.51</v>
      </c>
      <c r="CH203" s="52">
        <v>5074.75</v>
      </c>
      <c r="CI203" s="52">
        <v>1807</v>
      </c>
      <c r="CJ203" s="52">
        <v>-94.12</v>
      </c>
      <c r="CK203" s="52">
        <v>361.88</v>
      </c>
      <c r="CL203" s="52">
        <v>8349.9500000000007</v>
      </c>
      <c r="CM203" s="52">
        <v>614.33000000000004</v>
      </c>
      <c r="CN203" s="52">
        <v>5773.25</v>
      </c>
      <c r="CO203" s="52">
        <v>3598.54</v>
      </c>
      <c r="CP203" s="52">
        <v>856.83</v>
      </c>
      <c r="CQ203" s="52">
        <v>1795.09</v>
      </c>
      <c r="CR203" s="52">
        <v>78.7</v>
      </c>
      <c r="CS203" s="52">
        <v>4788.3500000000004</v>
      </c>
      <c r="CT203" s="52">
        <v>2402.9699999999998</v>
      </c>
      <c r="CU203" s="52">
        <v>4071.17</v>
      </c>
      <c r="CV203" s="430">
        <f t="shared" si="6"/>
        <v>32596.940000000002</v>
      </c>
    </row>
    <row r="204" spans="1:100">
      <c r="A204" s="540" t="str">
        <f t="shared" si="5"/>
        <v>6100160</v>
      </c>
      <c r="B204" s="541" t="s">
        <v>2022</v>
      </c>
      <c r="C204" s="463" t="s">
        <v>1110</v>
      </c>
      <c r="D204" s="428">
        <v>105.92</v>
      </c>
      <c r="E204" s="428">
        <v>105.92</v>
      </c>
      <c r="F204" s="428">
        <v>0</v>
      </c>
      <c r="G204" s="428">
        <v>105.92</v>
      </c>
      <c r="H204" s="428">
        <v>181.15</v>
      </c>
      <c r="I204" s="428">
        <v>105.92</v>
      </c>
      <c r="J204" s="428">
        <v>190.72</v>
      </c>
      <c r="K204" s="428">
        <v>0</v>
      </c>
      <c r="L204" s="428">
        <v>191.64</v>
      </c>
      <c r="M204" s="428">
        <v>112.28</v>
      </c>
      <c r="N204" s="428">
        <v>112.28</v>
      </c>
      <c r="O204" s="429">
        <v>5320.82</v>
      </c>
      <c r="P204" s="52">
        <v>112.28</v>
      </c>
      <c r="Q204" s="52">
        <v>645.67999999999995</v>
      </c>
      <c r="R204" s="52">
        <v>224.56</v>
      </c>
      <c r="S204" s="52">
        <v>179.59</v>
      </c>
      <c r="T204" s="52">
        <v>754.15</v>
      </c>
      <c r="U204" s="52">
        <v>112.28</v>
      </c>
      <c r="V204" s="52">
        <v>119.02</v>
      </c>
      <c r="W204" s="52">
        <v>119.03</v>
      </c>
      <c r="X204" s="52">
        <v>119.03</v>
      </c>
      <c r="Y204" s="52">
        <v>119.03</v>
      </c>
      <c r="Z204" s="52">
        <v>1712.85</v>
      </c>
      <c r="AA204" s="52">
        <v>119.03</v>
      </c>
      <c r="AB204" s="52">
        <v>816.97</v>
      </c>
      <c r="AC204" s="52">
        <v>795.25</v>
      </c>
      <c r="AD204" s="52">
        <v>119.03</v>
      </c>
      <c r="AE204" s="52">
        <v>119.03</v>
      </c>
      <c r="AF204" s="52">
        <v>0</v>
      </c>
      <c r="AG204" s="52">
        <v>1194.1500000000001</v>
      </c>
      <c r="AH204" s="52">
        <v>-1067.99</v>
      </c>
      <c r="AI204" s="52">
        <v>431.8</v>
      </c>
      <c r="AJ204" s="52">
        <v>130.22999999999999</v>
      </c>
      <c r="AK204" s="52">
        <v>67.56</v>
      </c>
      <c r="AL204" s="52">
        <v>193.74</v>
      </c>
      <c r="AM204" s="52">
        <v>1912.66</v>
      </c>
      <c r="AN204" s="52">
        <v>126.18</v>
      </c>
      <c r="AO204" s="52">
        <v>0</v>
      </c>
      <c r="AP204" s="52">
        <v>253.27</v>
      </c>
      <c r="AQ204" s="52">
        <v>126.18</v>
      </c>
      <c r="AR204" s="52">
        <v>195.74</v>
      </c>
      <c r="AS204" s="52">
        <v>126.18</v>
      </c>
      <c r="AT204" s="52">
        <v>1199.3</v>
      </c>
      <c r="AU204" s="52">
        <v>72.290000000000006</v>
      </c>
      <c r="AV204" s="52">
        <v>3335</v>
      </c>
      <c r="AW204" s="52">
        <v>1417.73</v>
      </c>
      <c r="AX204" s="52">
        <v>1799.86</v>
      </c>
      <c r="AY204" s="52">
        <v>230.99</v>
      </c>
      <c r="AZ204" s="52">
        <v>133.75</v>
      </c>
      <c r="BA204" s="52">
        <v>133.75</v>
      </c>
      <c r="BB204" s="52">
        <v>237.83</v>
      </c>
      <c r="BC204" s="52">
        <v>230.99</v>
      </c>
      <c r="BD204" s="52">
        <v>480.87</v>
      </c>
      <c r="BE204" s="52">
        <v>230.99</v>
      </c>
      <c r="BF204" s="52">
        <v>201.31</v>
      </c>
      <c r="BG204" s="52">
        <v>133.75</v>
      </c>
      <c r="BH204" s="52">
        <v>4148.24</v>
      </c>
      <c r="BI204" s="52">
        <v>480.87</v>
      </c>
      <c r="BJ204" s="52">
        <v>67.56</v>
      </c>
      <c r="BK204" s="52">
        <v>1966.54</v>
      </c>
      <c r="BL204" s="52">
        <v>5040</v>
      </c>
      <c r="BM204" s="52">
        <v>607.91999999999996</v>
      </c>
      <c r="BN204" s="52">
        <v>5022.29</v>
      </c>
      <c r="BO204" s="52">
        <v>1247.57</v>
      </c>
      <c r="BP204" s="52">
        <v>142.43</v>
      </c>
      <c r="BQ204" s="52">
        <v>4489.67</v>
      </c>
      <c r="BR204" s="52">
        <v>209.99</v>
      </c>
      <c r="BS204" s="52">
        <v>30229.72</v>
      </c>
      <c r="BT204" s="52">
        <v>142.43</v>
      </c>
      <c r="BU204" s="52">
        <v>4682.2299999999996</v>
      </c>
      <c r="BV204" s="52">
        <v>489.72</v>
      </c>
      <c r="BW204" s="52">
        <v>38789.18</v>
      </c>
      <c r="BX204" s="52">
        <v>-28552.59</v>
      </c>
      <c r="BY204" s="52">
        <v>522.52</v>
      </c>
      <c r="BZ204" s="52">
        <v>4376.8100000000004</v>
      </c>
      <c r="CA204" s="52">
        <v>412.95</v>
      </c>
      <c r="CB204" s="52">
        <v>565.76</v>
      </c>
      <c r="CC204" s="52">
        <v>4401.13</v>
      </c>
      <c r="CD204" s="52">
        <v>150.91</v>
      </c>
      <c r="CE204" s="52">
        <v>524.25</v>
      </c>
      <c r="CF204" s="52">
        <v>4498.37</v>
      </c>
      <c r="CG204" s="52">
        <v>164.8</v>
      </c>
      <c r="CH204" s="52">
        <v>1978.24</v>
      </c>
      <c r="CI204" s="52">
        <v>4250.22</v>
      </c>
      <c r="CJ204" s="52">
        <v>67.56</v>
      </c>
      <c r="CK204" s="52">
        <v>0</v>
      </c>
      <c r="CL204" s="52">
        <v>4801.84</v>
      </c>
      <c r="CM204" s="52">
        <v>1500</v>
      </c>
      <c r="CN204" s="52">
        <v>1597.24</v>
      </c>
      <c r="CO204" s="52">
        <v>7543.97</v>
      </c>
      <c r="CP204" s="52">
        <v>9071.7900000000009</v>
      </c>
      <c r="CQ204" s="52">
        <v>3960.98</v>
      </c>
      <c r="CR204" s="52">
        <v>1528.68</v>
      </c>
      <c r="CS204" s="52">
        <v>83892.19</v>
      </c>
      <c r="CT204" s="52">
        <v>34313.120000000003</v>
      </c>
      <c r="CU204" s="52">
        <v>147902.43</v>
      </c>
      <c r="CV204" s="430">
        <f t="shared" si="6"/>
        <v>296179.8</v>
      </c>
    </row>
    <row r="205" spans="1:100">
      <c r="A205" s="540" t="str">
        <f t="shared" si="5"/>
        <v>6100170</v>
      </c>
      <c r="B205" s="541" t="s">
        <v>2023</v>
      </c>
      <c r="C205" s="463" t="s">
        <v>1111</v>
      </c>
      <c r="D205" s="426">
        <v>3863.71</v>
      </c>
      <c r="E205" s="426">
        <v>1934.42</v>
      </c>
      <c r="F205" s="426">
        <v>0</v>
      </c>
      <c r="G205" s="426">
        <v>4139.13</v>
      </c>
      <c r="H205" s="426">
        <v>4448.7</v>
      </c>
      <c r="I205" s="426">
        <v>-1312.74</v>
      </c>
      <c r="J205" s="426">
        <v>41834.589999999997</v>
      </c>
      <c r="K205" s="426">
        <v>6241.22</v>
      </c>
      <c r="L205" s="426">
        <v>1932.36</v>
      </c>
      <c r="M205" s="426">
        <v>24605.17</v>
      </c>
      <c r="N205" s="426">
        <v>3850</v>
      </c>
      <c r="O205" s="427">
        <v>1927.52</v>
      </c>
      <c r="P205" s="52">
        <v>3387</v>
      </c>
      <c r="Q205" s="52">
        <v>4697.03</v>
      </c>
      <c r="R205" s="52">
        <v>0</v>
      </c>
      <c r="S205" s="52">
        <v>9362.01</v>
      </c>
      <c r="T205" s="52">
        <v>4768</v>
      </c>
      <c r="U205" s="52">
        <v>8684.0400000000009</v>
      </c>
      <c r="V205" s="52">
        <v>10615.11</v>
      </c>
      <c r="W205" s="52">
        <v>15990.04</v>
      </c>
      <c r="X205" s="52">
        <v>11937.68</v>
      </c>
      <c r="Y205" s="52">
        <v>8642.41</v>
      </c>
      <c r="Z205" s="52">
        <v>8155</v>
      </c>
      <c r="AA205" s="52">
        <v>6709.02</v>
      </c>
      <c r="AB205" s="52">
        <v>87362</v>
      </c>
      <c r="AC205" s="52">
        <v>4040.13</v>
      </c>
      <c r="AD205" s="52">
        <v>-43284</v>
      </c>
      <c r="AE205" s="52">
        <v>5328</v>
      </c>
      <c r="AF205" s="52">
        <v>0</v>
      </c>
      <c r="AG205" s="52">
        <v>5838.27</v>
      </c>
      <c r="AH205" s="52">
        <v>3387</v>
      </c>
      <c r="AI205" s="52">
        <v>15019.5</v>
      </c>
      <c r="AJ205" s="52">
        <v>0</v>
      </c>
      <c r="AK205" s="52">
        <v>7269.3</v>
      </c>
      <c r="AL205" s="52">
        <v>11382.43</v>
      </c>
      <c r="AM205" s="52">
        <v>32240.51</v>
      </c>
      <c r="AN205" s="52">
        <v>3387</v>
      </c>
      <c r="AO205" s="52">
        <v>0</v>
      </c>
      <c r="AP205" s="52">
        <v>0</v>
      </c>
      <c r="AQ205" s="52">
        <v>0</v>
      </c>
      <c r="AR205" s="52">
        <v>3387</v>
      </c>
      <c r="AS205" s="52">
        <v>0</v>
      </c>
      <c r="AT205" s="52">
        <v>3387</v>
      </c>
      <c r="AU205" s="52">
        <v>239.4</v>
      </c>
      <c r="AV205" s="52">
        <v>0</v>
      </c>
      <c r="AW205" s="52">
        <v>3387</v>
      </c>
      <c r="AX205" s="52">
        <v>29.13</v>
      </c>
      <c r="AY205" s="52">
        <v>4025</v>
      </c>
      <c r="AZ205" s="52">
        <v>-638</v>
      </c>
      <c r="BA205" s="52">
        <v>0</v>
      </c>
      <c r="BB205" s="52">
        <v>0</v>
      </c>
      <c r="BC205" s="52">
        <v>3387</v>
      </c>
      <c r="BD205" s="52">
        <v>0</v>
      </c>
      <c r="BE205" s="52">
        <v>0</v>
      </c>
      <c r="BF205" s="52">
        <v>3387</v>
      </c>
      <c r="BG205" s="52">
        <v>0</v>
      </c>
      <c r="BH205" s="52">
        <v>0</v>
      </c>
      <c r="BI205" s="52">
        <v>3535.4</v>
      </c>
      <c r="BJ205" s="52">
        <v>0</v>
      </c>
      <c r="BK205" s="52">
        <v>0</v>
      </c>
      <c r="BL205" s="52">
        <v>3523.5</v>
      </c>
      <c r="BM205" s="52">
        <v>0</v>
      </c>
      <c r="BN205" s="52">
        <v>0</v>
      </c>
      <c r="BO205" s="52">
        <v>0</v>
      </c>
      <c r="BP205" s="52">
        <v>0</v>
      </c>
      <c r="BQ205" s="52">
        <v>3523.5</v>
      </c>
      <c r="BR205" s="52">
        <v>80.989999999999995</v>
      </c>
      <c r="BS205" s="52">
        <v>0</v>
      </c>
      <c r="BT205" s="52">
        <v>3523.5</v>
      </c>
      <c r="BU205" s="52">
        <v>3523.5</v>
      </c>
      <c r="BV205" s="52">
        <v>0</v>
      </c>
      <c r="BW205" s="52">
        <v>0</v>
      </c>
      <c r="BX205" s="52">
        <v>5242.5</v>
      </c>
      <c r="BY205" s="52">
        <v>237.5</v>
      </c>
      <c r="BZ205" s="52">
        <v>5289.42</v>
      </c>
      <c r="CA205" s="52">
        <v>3630</v>
      </c>
      <c r="CB205" s="52">
        <v>0</v>
      </c>
      <c r="CC205" s="52">
        <v>0</v>
      </c>
      <c r="CD205" s="52">
        <v>3630</v>
      </c>
      <c r="CE205" s="52">
        <v>0</v>
      </c>
      <c r="CF205" s="52">
        <v>0</v>
      </c>
      <c r="CG205" s="52">
        <v>0</v>
      </c>
      <c r="CH205" s="52">
        <v>0</v>
      </c>
      <c r="CI205" s="52">
        <v>0</v>
      </c>
      <c r="CJ205" s="52">
        <v>7260</v>
      </c>
      <c r="CK205" s="52">
        <v>0</v>
      </c>
      <c r="CL205" s="52">
        <v>0</v>
      </c>
      <c r="CM205" s="52">
        <v>3630</v>
      </c>
      <c r="CN205" s="52">
        <v>0</v>
      </c>
      <c r="CO205" s="52">
        <v>0</v>
      </c>
      <c r="CP205" s="52">
        <v>3630</v>
      </c>
      <c r="CQ205" s="52">
        <v>0</v>
      </c>
      <c r="CR205" s="52">
        <v>0</v>
      </c>
      <c r="CS205" s="52">
        <v>7260</v>
      </c>
      <c r="CT205" s="52">
        <v>0</v>
      </c>
      <c r="CU205" s="52">
        <v>0</v>
      </c>
      <c r="CV205" s="430">
        <f t="shared" si="6"/>
        <v>21780</v>
      </c>
    </row>
    <row r="206" spans="1:100">
      <c r="A206" s="540" t="str">
        <f t="shared" si="5"/>
        <v>6100180</v>
      </c>
      <c r="B206" s="541" t="s">
        <v>2024</v>
      </c>
      <c r="C206" s="463" t="s">
        <v>1112</v>
      </c>
      <c r="D206" s="428">
        <v>0</v>
      </c>
      <c r="E206" s="428">
        <v>0</v>
      </c>
      <c r="F206" s="428">
        <v>0</v>
      </c>
      <c r="G206" s="428">
        <v>0</v>
      </c>
      <c r="H206" s="428">
        <v>0</v>
      </c>
      <c r="I206" s="428">
        <v>0</v>
      </c>
      <c r="J206" s="428">
        <v>0</v>
      </c>
      <c r="K206" s="428">
        <v>0</v>
      </c>
      <c r="L206" s="428">
        <v>0</v>
      </c>
      <c r="M206" s="428">
        <v>0</v>
      </c>
      <c r="N206" s="428">
        <v>30</v>
      </c>
      <c r="O206" s="429">
        <v>0</v>
      </c>
      <c r="P206" s="52">
        <v>0</v>
      </c>
      <c r="Q206" s="52">
        <v>0</v>
      </c>
      <c r="R206" s="52">
        <v>0</v>
      </c>
      <c r="S206" s="52">
        <v>0</v>
      </c>
      <c r="T206" s="52">
        <v>0</v>
      </c>
      <c r="U206" s="52">
        <v>0</v>
      </c>
      <c r="V206" s="52">
        <v>0</v>
      </c>
      <c r="W206" s="52">
        <v>0</v>
      </c>
      <c r="X206" s="52">
        <v>0</v>
      </c>
      <c r="Y206" s="52">
        <v>360</v>
      </c>
      <c r="Z206" s="52">
        <v>0</v>
      </c>
      <c r="AA206" s="52">
        <v>0</v>
      </c>
      <c r="AB206" s="52">
        <v>0</v>
      </c>
      <c r="AC206" s="52">
        <v>0</v>
      </c>
      <c r="AD206" s="52">
        <v>0</v>
      </c>
      <c r="AE206" s="52">
        <v>0</v>
      </c>
      <c r="AF206" s="52">
        <v>0</v>
      </c>
      <c r="AG206" s="52">
        <v>0</v>
      </c>
      <c r="AH206" s="52">
        <v>0</v>
      </c>
      <c r="AI206" s="52">
        <v>0</v>
      </c>
      <c r="AJ206" s="52">
        <v>0</v>
      </c>
      <c r="AK206" s="52">
        <v>0</v>
      </c>
      <c r="AL206" s="52">
        <v>0</v>
      </c>
      <c r="AM206" s="52">
        <v>0</v>
      </c>
      <c r="AN206" s="52">
        <v>0</v>
      </c>
      <c r="AO206" s="52">
        <v>0</v>
      </c>
      <c r="AP206" s="52">
        <v>0</v>
      </c>
      <c r="AQ206" s="52">
        <v>0</v>
      </c>
      <c r="AR206" s="52">
        <v>0</v>
      </c>
      <c r="AS206" s="52">
        <v>0</v>
      </c>
      <c r="AT206" s="52">
        <v>0</v>
      </c>
      <c r="AU206" s="52">
        <v>0</v>
      </c>
      <c r="AV206" s="52">
        <v>0</v>
      </c>
      <c r="AW206" s="52">
        <v>0</v>
      </c>
      <c r="AX206" s="52">
        <v>0</v>
      </c>
      <c r="AY206" s="52">
        <v>0</v>
      </c>
      <c r="AZ206" s="52">
        <v>0</v>
      </c>
      <c r="BA206" s="52">
        <v>0</v>
      </c>
      <c r="BB206" s="52">
        <v>0</v>
      </c>
      <c r="BC206" s="52">
        <v>0</v>
      </c>
      <c r="BD206" s="52">
        <v>0</v>
      </c>
      <c r="BE206" s="52">
        <v>0</v>
      </c>
      <c r="BF206" s="52">
        <v>0</v>
      </c>
      <c r="BG206" s="52">
        <v>0</v>
      </c>
      <c r="BH206" s="52">
        <v>0</v>
      </c>
      <c r="BI206" s="52">
        <v>0</v>
      </c>
      <c r="BJ206" s="52">
        <v>0</v>
      </c>
      <c r="BK206" s="52">
        <v>150</v>
      </c>
      <c r="BL206" s="52">
        <v>0</v>
      </c>
      <c r="BM206" s="52">
        <v>0</v>
      </c>
      <c r="BN206" s="52">
        <v>0</v>
      </c>
      <c r="BO206" s="52">
        <v>0</v>
      </c>
      <c r="BP206" s="52">
        <v>0</v>
      </c>
      <c r="BQ206" s="52">
        <v>0</v>
      </c>
      <c r="BR206" s="52">
        <v>1410</v>
      </c>
      <c r="BS206" s="52">
        <v>90</v>
      </c>
      <c r="BT206" s="52">
        <v>0</v>
      </c>
      <c r="BU206" s="52">
        <v>0</v>
      </c>
      <c r="BV206" s="52">
        <v>0</v>
      </c>
      <c r="BW206" s="52">
        <v>90</v>
      </c>
      <c r="BX206" s="52">
        <v>0</v>
      </c>
      <c r="BY206" s="52">
        <v>0</v>
      </c>
      <c r="BZ206" s="52">
        <v>650</v>
      </c>
      <c r="CA206" s="52">
        <v>0</v>
      </c>
      <c r="CB206" s="52">
        <v>0</v>
      </c>
      <c r="CC206" s="52">
        <v>145</v>
      </c>
      <c r="CD206" s="52">
        <v>0</v>
      </c>
      <c r="CE206" s="52">
        <v>0</v>
      </c>
      <c r="CF206" s="52">
        <v>0</v>
      </c>
      <c r="CG206" s="52">
        <v>0</v>
      </c>
      <c r="CH206" s="52">
        <v>23760</v>
      </c>
      <c r="CI206" s="52">
        <v>-23760</v>
      </c>
      <c r="CJ206" s="52">
        <v>0</v>
      </c>
      <c r="CK206" s="52">
        <v>0</v>
      </c>
      <c r="CL206" s="52">
        <v>0</v>
      </c>
      <c r="CM206" s="52">
        <v>120</v>
      </c>
      <c r="CN206" s="52">
        <v>0</v>
      </c>
      <c r="CO206" s="52">
        <v>0</v>
      </c>
      <c r="CP206" s="52">
        <v>0</v>
      </c>
      <c r="CQ206" s="52">
        <v>0</v>
      </c>
      <c r="CR206" s="52">
        <v>0</v>
      </c>
      <c r="CS206" s="52">
        <v>23760</v>
      </c>
      <c r="CT206" s="52">
        <v>-23760</v>
      </c>
      <c r="CU206" s="52">
        <v>0</v>
      </c>
      <c r="CV206" s="430">
        <f t="shared" si="6"/>
        <v>120</v>
      </c>
    </row>
    <row r="207" spans="1:100">
      <c r="A207" s="540" t="str">
        <f t="shared" si="5"/>
        <v>6100190</v>
      </c>
      <c r="B207" s="541" t="s">
        <v>2025</v>
      </c>
      <c r="C207" s="463" t="s">
        <v>1113</v>
      </c>
      <c r="D207" s="426">
        <v>20174.939999999999</v>
      </c>
      <c r="E207" s="426">
        <v>184504.78</v>
      </c>
      <c r="F207" s="426">
        <v>271277.39</v>
      </c>
      <c r="G207" s="426">
        <v>59548.75</v>
      </c>
      <c r="H207" s="426">
        <v>-9000</v>
      </c>
      <c r="I207" s="426">
        <v>125599.11</v>
      </c>
      <c r="J207" s="426">
        <v>150872.84</v>
      </c>
      <c r="K207" s="426">
        <v>-9414.91</v>
      </c>
      <c r="L207" s="426">
        <v>13061.5</v>
      </c>
      <c r="M207" s="426">
        <v>152383.6</v>
      </c>
      <c r="N207" s="426">
        <v>52813.32</v>
      </c>
      <c r="O207" s="427">
        <v>-84498.21</v>
      </c>
      <c r="P207" s="52">
        <v>175175.17</v>
      </c>
      <c r="Q207" s="52">
        <v>71909.899999999994</v>
      </c>
      <c r="R207" s="52">
        <v>95065.98</v>
      </c>
      <c r="S207" s="52">
        <v>194396</v>
      </c>
      <c r="T207" s="52">
        <v>73902.070000000007</v>
      </c>
      <c r="U207" s="52">
        <v>84996.39</v>
      </c>
      <c r="V207" s="52">
        <v>141632.17000000001</v>
      </c>
      <c r="W207" s="52">
        <v>89635.16</v>
      </c>
      <c r="X207" s="52">
        <v>113733.28</v>
      </c>
      <c r="Y207" s="52">
        <v>193393.67</v>
      </c>
      <c r="Z207" s="52">
        <v>107957.1</v>
      </c>
      <c r="AA207" s="52">
        <v>341808.97</v>
      </c>
      <c r="AB207" s="52">
        <v>144808.07999999999</v>
      </c>
      <c r="AC207" s="52">
        <v>95157.89</v>
      </c>
      <c r="AD207" s="52">
        <v>156373.17000000001</v>
      </c>
      <c r="AE207" s="52">
        <v>279079.53999999998</v>
      </c>
      <c r="AF207" s="52">
        <v>102411.94</v>
      </c>
      <c r="AG207" s="52">
        <v>221047.57</v>
      </c>
      <c r="AH207" s="52">
        <v>183404.63</v>
      </c>
      <c r="AI207" s="52">
        <v>-23314.37</v>
      </c>
      <c r="AJ207" s="52">
        <v>148990.57999999999</v>
      </c>
      <c r="AK207" s="52">
        <v>306509.38</v>
      </c>
      <c r="AL207" s="52">
        <v>-107708.49</v>
      </c>
      <c r="AM207" s="52">
        <v>410172.75</v>
      </c>
      <c r="AN207" s="52">
        <v>116216.05</v>
      </c>
      <c r="AO207" s="52">
        <v>132489.93</v>
      </c>
      <c r="AP207" s="52">
        <v>177555.18</v>
      </c>
      <c r="AQ207" s="52">
        <v>104418.04</v>
      </c>
      <c r="AR207" s="52">
        <v>116376.36</v>
      </c>
      <c r="AS207" s="52">
        <v>196899.66</v>
      </c>
      <c r="AT207" s="52">
        <v>116764.78</v>
      </c>
      <c r="AU207" s="52">
        <v>130937.14</v>
      </c>
      <c r="AV207" s="52">
        <v>243638.15</v>
      </c>
      <c r="AW207" s="52">
        <v>151199.54999999999</v>
      </c>
      <c r="AX207" s="52">
        <v>159510.43</v>
      </c>
      <c r="AY207" s="52">
        <v>144670.81</v>
      </c>
      <c r="AZ207" s="52">
        <v>165669.39000000001</v>
      </c>
      <c r="BA207" s="52">
        <v>222332.62</v>
      </c>
      <c r="BB207" s="52">
        <v>725576.98</v>
      </c>
      <c r="BC207" s="52">
        <v>173638.28</v>
      </c>
      <c r="BD207" s="52">
        <v>110226.6</v>
      </c>
      <c r="BE207" s="52">
        <v>164049.74</v>
      </c>
      <c r="BF207" s="52">
        <v>168582.51</v>
      </c>
      <c r="BG207" s="52">
        <v>162065.07</v>
      </c>
      <c r="BH207" s="52">
        <v>69109.31</v>
      </c>
      <c r="BI207" s="52">
        <v>192622.27</v>
      </c>
      <c r="BJ207" s="52">
        <v>126442.44</v>
      </c>
      <c r="BK207" s="52">
        <v>492995.97</v>
      </c>
      <c r="BL207" s="52">
        <v>133933.17000000001</v>
      </c>
      <c r="BM207" s="52">
        <v>60072.959999999999</v>
      </c>
      <c r="BN207" s="52">
        <v>91455.37</v>
      </c>
      <c r="BO207" s="52">
        <v>90032.11</v>
      </c>
      <c r="BP207" s="52">
        <v>213568.62</v>
      </c>
      <c r="BQ207" s="52">
        <v>80764.87</v>
      </c>
      <c r="BR207" s="52">
        <v>124389.6</v>
      </c>
      <c r="BS207" s="52">
        <v>93938.67</v>
      </c>
      <c r="BT207" s="52">
        <v>136928.75</v>
      </c>
      <c r="BU207" s="52">
        <v>155741.17000000001</v>
      </c>
      <c r="BV207" s="52">
        <v>194863.67</v>
      </c>
      <c r="BW207" s="52">
        <v>117871.33</v>
      </c>
      <c r="BX207" s="52">
        <v>109107.6</v>
      </c>
      <c r="BY207" s="52">
        <v>75632.91</v>
      </c>
      <c r="BZ207" s="52">
        <v>266533.31</v>
      </c>
      <c r="CA207" s="52">
        <v>106354.39</v>
      </c>
      <c r="CB207" s="52">
        <v>162138.06</v>
      </c>
      <c r="CC207" s="52">
        <v>154746.49</v>
      </c>
      <c r="CD207" s="52">
        <v>388966.39</v>
      </c>
      <c r="CE207" s="52">
        <v>168758.79</v>
      </c>
      <c r="CF207" s="52">
        <v>176443.05</v>
      </c>
      <c r="CG207" s="52">
        <v>133363.16</v>
      </c>
      <c r="CH207" s="52">
        <v>1097310.21</v>
      </c>
      <c r="CI207" s="52">
        <v>1614812.74</v>
      </c>
      <c r="CJ207" s="52">
        <v>179691.77</v>
      </c>
      <c r="CK207" s="52">
        <v>810197.72</v>
      </c>
      <c r="CL207" s="52">
        <v>348787.05</v>
      </c>
      <c r="CM207" s="52">
        <v>137335.35999999999</v>
      </c>
      <c r="CN207" s="52">
        <v>108168.51</v>
      </c>
      <c r="CO207" s="52">
        <v>387412.17</v>
      </c>
      <c r="CP207" s="52">
        <v>211943.76</v>
      </c>
      <c r="CQ207" s="52">
        <v>1175379.95</v>
      </c>
      <c r="CR207" s="52">
        <v>-1996452.74</v>
      </c>
      <c r="CS207" s="52">
        <v>188643.69</v>
      </c>
      <c r="CT207" s="52">
        <v>197614.57</v>
      </c>
      <c r="CU207" s="52">
        <v>734435.47</v>
      </c>
      <c r="CV207" s="430">
        <f t="shared" si="6"/>
        <v>2483157.2800000003</v>
      </c>
    </row>
    <row r="208" spans="1:100">
      <c r="A208" s="540" t="str">
        <f t="shared" si="5"/>
        <v>6100200</v>
      </c>
      <c r="B208" s="541" t="s">
        <v>2026</v>
      </c>
      <c r="C208" s="463" t="s">
        <v>1114</v>
      </c>
      <c r="D208" s="428">
        <v>0</v>
      </c>
      <c r="E208" s="428">
        <v>0</v>
      </c>
      <c r="F208" s="428">
        <v>0</v>
      </c>
      <c r="G208" s="428">
        <v>0</v>
      </c>
      <c r="H208" s="428">
        <v>0</v>
      </c>
      <c r="I208" s="428">
        <v>0</v>
      </c>
      <c r="J208" s="428">
        <v>0</v>
      </c>
      <c r="K208" s="428">
        <v>0</v>
      </c>
      <c r="L208" s="428">
        <v>0</v>
      </c>
      <c r="M208" s="428">
        <v>984</v>
      </c>
      <c r="N208" s="428">
        <v>95.69</v>
      </c>
      <c r="O208" s="429">
        <v>0</v>
      </c>
      <c r="P208" s="52">
        <v>0</v>
      </c>
      <c r="Q208" s="52">
        <v>0</v>
      </c>
      <c r="R208" s="52">
        <v>0</v>
      </c>
      <c r="S208" s="52">
        <v>0</v>
      </c>
      <c r="T208" s="52">
        <v>140</v>
      </c>
      <c r="U208" s="52">
        <v>0</v>
      </c>
      <c r="V208" s="52">
        <v>0</v>
      </c>
      <c r="W208" s="52">
        <v>0</v>
      </c>
      <c r="X208" s="52">
        <v>420</v>
      </c>
      <c r="Y208" s="52">
        <v>984</v>
      </c>
      <c r="Z208" s="52">
        <v>0</v>
      </c>
      <c r="AA208" s="52">
        <v>0</v>
      </c>
      <c r="AB208" s="52">
        <v>0</v>
      </c>
      <c r="AC208" s="52">
        <v>0</v>
      </c>
      <c r="AD208" s="52">
        <v>0</v>
      </c>
      <c r="AE208" s="52">
        <v>0</v>
      </c>
      <c r="AF208" s="52">
        <v>140</v>
      </c>
      <c r="AG208" s="52">
        <v>336</v>
      </c>
      <c r="AH208" s="52">
        <v>683.33</v>
      </c>
      <c r="AI208" s="52">
        <v>0</v>
      </c>
      <c r="AJ208" s="52">
        <v>420</v>
      </c>
      <c r="AK208" s="52">
        <v>984</v>
      </c>
      <c r="AL208" s="52">
        <v>0</v>
      </c>
      <c r="AM208" s="52">
        <v>0</v>
      </c>
      <c r="AN208" s="52">
        <v>0</v>
      </c>
      <c r="AO208" s="52">
        <v>0</v>
      </c>
      <c r="AP208" s="52">
        <v>0</v>
      </c>
      <c r="AQ208" s="52">
        <v>0</v>
      </c>
      <c r="AR208" s="52">
        <v>476</v>
      </c>
      <c r="AS208" s="52">
        <v>675</v>
      </c>
      <c r="AT208" s="52">
        <v>0</v>
      </c>
      <c r="AU208" s="52">
        <v>0</v>
      </c>
      <c r="AV208" s="52">
        <v>405</v>
      </c>
      <c r="AW208" s="52">
        <v>0</v>
      </c>
      <c r="AX208" s="52">
        <v>0</v>
      </c>
      <c r="AY208" s="52">
        <v>0</v>
      </c>
      <c r="AZ208" s="52">
        <v>0</v>
      </c>
      <c r="BA208" s="52">
        <v>0</v>
      </c>
      <c r="BB208" s="52">
        <v>0</v>
      </c>
      <c r="BC208" s="52">
        <v>0</v>
      </c>
      <c r="BD208" s="52">
        <v>0</v>
      </c>
      <c r="BE208" s="52">
        <v>1151</v>
      </c>
      <c r="BF208" s="52">
        <v>0</v>
      </c>
      <c r="BG208" s="52">
        <v>0</v>
      </c>
      <c r="BH208" s="52">
        <v>0</v>
      </c>
      <c r="BI208" s="52">
        <v>972</v>
      </c>
      <c r="BJ208" s="52">
        <v>0</v>
      </c>
      <c r="BK208" s="52">
        <v>420</v>
      </c>
      <c r="BL208" s="52">
        <v>0</v>
      </c>
      <c r="BM208" s="52">
        <v>0</v>
      </c>
      <c r="BN208" s="52">
        <v>0</v>
      </c>
      <c r="BO208" s="52">
        <v>0</v>
      </c>
      <c r="BP208" s="52">
        <v>0</v>
      </c>
      <c r="BQ208" s="52">
        <v>0</v>
      </c>
      <c r="BR208" s="52">
        <v>1445</v>
      </c>
      <c r="BS208" s="52">
        <v>0</v>
      </c>
      <c r="BT208" s="52">
        <v>420</v>
      </c>
      <c r="BU208" s="52">
        <v>972</v>
      </c>
      <c r="BV208" s="52">
        <v>0</v>
      </c>
      <c r="BW208" s="52">
        <v>0</v>
      </c>
      <c r="BX208" s="52">
        <v>0</v>
      </c>
      <c r="BY208" s="52">
        <v>0</v>
      </c>
      <c r="BZ208" s="52">
        <v>0</v>
      </c>
      <c r="CA208" s="52">
        <v>0</v>
      </c>
      <c r="CB208" s="52">
        <v>0</v>
      </c>
      <c r="CC208" s="52">
        <v>133.33000000000001</v>
      </c>
      <c r="CD208" s="52">
        <v>320</v>
      </c>
      <c r="CE208" s="52">
        <v>0</v>
      </c>
      <c r="CF208" s="52">
        <v>0</v>
      </c>
      <c r="CG208" s="52">
        <v>1523.87</v>
      </c>
      <c r="CH208" s="52">
        <v>0</v>
      </c>
      <c r="CI208" s="52">
        <v>1640</v>
      </c>
      <c r="CJ208" s="52">
        <v>0</v>
      </c>
      <c r="CK208" s="52">
        <v>0</v>
      </c>
      <c r="CL208" s="52">
        <v>0</v>
      </c>
      <c r="CM208" s="52">
        <v>0</v>
      </c>
      <c r="CN208" s="52">
        <v>0</v>
      </c>
      <c r="CO208" s="52">
        <v>0</v>
      </c>
      <c r="CP208" s="52">
        <v>0</v>
      </c>
      <c r="CQ208" s="52">
        <v>0</v>
      </c>
      <c r="CR208" s="52">
        <v>1310.47</v>
      </c>
      <c r="CS208" s="52">
        <v>1360</v>
      </c>
      <c r="CT208" s="52">
        <v>0</v>
      </c>
      <c r="CU208" s="52">
        <v>266.67</v>
      </c>
      <c r="CV208" s="430">
        <f t="shared" si="6"/>
        <v>2937.1400000000003</v>
      </c>
    </row>
    <row r="209" spans="1:100">
      <c r="A209" s="540" t="str">
        <f t="shared" si="5"/>
        <v>6108999</v>
      </c>
      <c r="B209" s="541" t="s">
        <v>2027</v>
      </c>
      <c r="C209" s="463" t="s">
        <v>1115</v>
      </c>
      <c r="D209" s="426">
        <v>11877</v>
      </c>
      <c r="E209" s="426">
        <v>0</v>
      </c>
      <c r="F209" s="426">
        <v>0</v>
      </c>
      <c r="G209" s="426">
        <v>0</v>
      </c>
      <c r="H209" s="426">
        <v>0</v>
      </c>
      <c r="I209" s="426">
        <v>0</v>
      </c>
      <c r="J209" s="426">
        <v>0</v>
      </c>
      <c r="K209" s="426">
        <v>0</v>
      </c>
      <c r="L209" s="426">
        <v>0</v>
      </c>
      <c r="M209" s="426">
        <v>-197969.81</v>
      </c>
      <c r="N209" s="426">
        <v>16312.95</v>
      </c>
      <c r="O209" s="427">
        <v>-1483922.99</v>
      </c>
      <c r="P209" s="52">
        <v>0</v>
      </c>
      <c r="Q209" s="52">
        <v>0</v>
      </c>
      <c r="R209" s="52">
        <v>-208275.36</v>
      </c>
      <c r="S209" s="52">
        <v>0</v>
      </c>
      <c r="T209" s="52">
        <v>-53633.86</v>
      </c>
      <c r="U209" s="52">
        <v>53633.86</v>
      </c>
      <c r="V209" s="52">
        <v>13960.6</v>
      </c>
      <c r="W209" s="52">
        <v>0</v>
      </c>
      <c r="X209" s="52">
        <v>0</v>
      </c>
      <c r="Y209" s="52">
        <v>0</v>
      </c>
      <c r="Z209" s="52">
        <v>6500</v>
      </c>
      <c r="AA209" s="52">
        <v>56268.800000000003</v>
      </c>
      <c r="AB209" s="52">
        <v>0</v>
      </c>
      <c r="AC209" s="52">
        <v>0</v>
      </c>
      <c r="AD209" s="52">
        <v>19575</v>
      </c>
      <c r="AE209" s="52">
        <v>300</v>
      </c>
      <c r="AF209" s="52">
        <v>0</v>
      </c>
      <c r="AG209" s="52">
        <v>0</v>
      </c>
      <c r="AH209" s="52">
        <v>0</v>
      </c>
      <c r="AI209" s="52">
        <v>0</v>
      </c>
      <c r="AJ209" s="52">
        <v>12800</v>
      </c>
      <c r="AK209" s="52">
        <v>17455.13</v>
      </c>
      <c r="AL209" s="52">
        <v>23905.46</v>
      </c>
      <c r="AM209" s="52">
        <v>148971.35999999999</v>
      </c>
      <c r="AN209" s="52">
        <v>-136629.12</v>
      </c>
      <c r="AO209" s="52">
        <v>314700.71999999997</v>
      </c>
      <c r="AP209" s="52">
        <v>-161649.95000000001</v>
      </c>
      <c r="AQ209" s="52">
        <v>0</v>
      </c>
      <c r="AR209" s="52">
        <v>0</v>
      </c>
      <c r="AS209" s="52">
        <v>0</v>
      </c>
      <c r="AT209" s="52">
        <v>0</v>
      </c>
      <c r="AU209" s="52">
        <v>0</v>
      </c>
      <c r="AV209" s="52">
        <v>0</v>
      </c>
      <c r="AW209" s="52">
        <v>0</v>
      </c>
      <c r="AX209" s="52">
        <v>0</v>
      </c>
      <c r="AY209" s="52">
        <v>-219803.5</v>
      </c>
      <c r="AZ209" s="52">
        <v>0</v>
      </c>
      <c r="BA209" s="52">
        <v>150</v>
      </c>
      <c r="BB209" s="52">
        <v>8853.69</v>
      </c>
      <c r="BC209" s="52">
        <v>0</v>
      </c>
      <c r="BD209" s="52">
        <v>261420.04</v>
      </c>
      <c r="BE209" s="52">
        <v>-259170.04</v>
      </c>
      <c r="BF209" s="52">
        <v>0</v>
      </c>
      <c r="BG209" s="52">
        <v>0</v>
      </c>
      <c r="BH209" s="52">
        <v>0</v>
      </c>
      <c r="BI209" s="52">
        <v>0</v>
      </c>
      <c r="BJ209" s="52">
        <v>31369.68</v>
      </c>
      <c r="BK209" s="52">
        <v>305664.45</v>
      </c>
      <c r="BL209" s="52">
        <v>0</v>
      </c>
      <c r="BM209" s="52">
        <v>-1239.96</v>
      </c>
      <c r="BN209" s="52">
        <v>2885.25</v>
      </c>
      <c r="BO209" s="52">
        <v>19477.43</v>
      </c>
      <c r="BP209" s="52">
        <v>17002.330000000002</v>
      </c>
      <c r="BQ209" s="52">
        <v>12237.93</v>
      </c>
      <c r="BR209" s="52">
        <v>90769.25</v>
      </c>
      <c r="BS209" s="52">
        <v>191630.33</v>
      </c>
      <c r="BT209" s="52">
        <v>10026.11</v>
      </c>
      <c r="BU209" s="52">
        <v>83369.59</v>
      </c>
      <c r="BV209" s="52">
        <v>177514.17</v>
      </c>
      <c r="BW209" s="52">
        <v>11577.68</v>
      </c>
      <c r="BX209" s="52">
        <v>0</v>
      </c>
      <c r="BY209" s="52">
        <v>677.59</v>
      </c>
      <c r="BZ209" s="52">
        <v>12290.99</v>
      </c>
      <c r="CA209" s="52">
        <v>13660.86</v>
      </c>
      <c r="CB209" s="52">
        <v>2130.08</v>
      </c>
      <c r="CC209" s="52">
        <v>8174.39</v>
      </c>
      <c r="CD209" s="52">
        <v>537.03</v>
      </c>
      <c r="CE209" s="52">
        <v>1285.1099999999999</v>
      </c>
      <c r="CF209" s="52">
        <v>29333.86</v>
      </c>
      <c r="CG209" s="52">
        <v>2860.01</v>
      </c>
      <c r="CH209" s="52">
        <v>3060.52</v>
      </c>
      <c r="CI209" s="52">
        <v>16555.59</v>
      </c>
      <c r="CJ209" s="52">
        <v>7216.43</v>
      </c>
      <c r="CK209" s="52">
        <v>6198</v>
      </c>
      <c r="CL209" s="52">
        <v>-83622.73</v>
      </c>
      <c r="CM209" s="52">
        <v>25385.17</v>
      </c>
      <c r="CN209" s="52">
        <v>0</v>
      </c>
      <c r="CO209" s="52">
        <v>2387.5</v>
      </c>
      <c r="CP209" s="52">
        <v>0</v>
      </c>
      <c r="CQ209" s="52">
        <v>0</v>
      </c>
      <c r="CR209" s="52">
        <v>7878.7</v>
      </c>
      <c r="CS209" s="52">
        <v>1739.22</v>
      </c>
      <c r="CT209" s="52">
        <v>0</v>
      </c>
      <c r="CU209" s="52">
        <v>285151.52</v>
      </c>
      <c r="CV209" s="430">
        <f t="shared" si="6"/>
        <v>252333.81000000003</v>
      </c>
    </row>
    <row r="210" spans="1:100">
      <c r="A210" s="540" t="str">
        <f t="shared" si="5"/>
        <v>6109000</v>
      </c>
      <c r="B210" s="541" t="s">
        <v>2028</v>
      </c>
      <c r="C210" s="463" t="s">
        <v>1116</v>
      </c>
      <c r="D210" s="428">
        <v>-1537827.83</v>
      </c>
      <c r="E210" s="428">
        <v>-7004135.25</v>
      </c>
      <c r="F210" s="428">
        <v>-4450176.57</v>
      </c>
      <c r="G210" s="428">
        <v>-5756125.8300000001</v>
      </c>
      <c r="H210" s="428">
        <v>-4308297.6500000004</v>
      </c>
      <c r="I210" s="428">
        <v>-5773706.8099999996</v>
      </c>
      <c r="J210" s="428">
        <v>-5387195.9900000002</v>
      </c>
      <c r="K210" s="428">
        <v>-7172374.7599999998</v>
      </c>
      <c r="L210" s="428">
        <v>-4902110.42</v>
      </c>
      <c r="M210" s="428">
        <v>-4397713.7</v>
      </c>
      <c r="N210" s="428">
        <v>-3517633.66</v>
      </c>
      <c r="O210" s="429">
        <v>-4956266.88</v>
      </c>
      <c r="P210" s="52">
        <v>-4197744.43</v>
      </c>
      <c r="Q210" s="52">
        <v>-3668925.26</v>
      </c>
      <c r="R210" s="52">
        <v>-4439897.3099999996</v>
      </c>
      <c r="S210" s="52">
        <v>-3568571.81</v>
      </c>
      <c r="T210" s="52">
        <v>-3459380.94</v>
      </c>
      <c r="U210" s="52">
        <v>-6140978.96</v>
      </c>
      <c r="V210" s="52">
        <v>-5163173.4800000004</v>
      </c>
      <c r="W210" s="52">
        <v>-3727323.84</v>
      </c>
      <c r="X210" s="52">
        <v>-4496096.4800000004</v>
      </c>
      <c r="Y210" s="52">
        <v>-5707918.7300000004</v>
      </c>
      <c r="Z210" s="52">
        <v>-6076381.21</v>
      </c>
      <c r="AA210" s="52">
        <v>-6830272.7800000003</v>
      </c>
      <c r="AB210" s="52">
        <v>-3864344.32</v>
      </c>
      <c r="AC210" s="52">
        <v>-11285141.35</v>
      </c>
      <c r="AD210" s="52">
        <v>-6943160.6799999997</v>
      </c>
      <c r="AE210" s="52">
        <v>-5234716.13</v>
      </c>
      <c r="AF210" s="52">
        <v>-8649143.4000000004</v>
      </c>
      <c r="AG210" s="52">
        <v>-10089333.640000001</v>
      </c>
      <c r="AH210" s="52">
        <v>-6378566.2999999998</v>
      </c>
      <c r="AI210" s="52">
        <v>-7207186.7400000002</v>
      </c>
      <c r="AJ210" s="52">
        <v>-7265090.6799999997</v>
      </c>
      <c r="AK210" s="52">
        <v>-6257726.6799999997</v>
      </c>
      <c r="AL210" s="52">
        <v>-8084717.1699999999</v>
      </c>
      <c r="AM210" s="52">
        <v>-10375779.93</v>
      </c>
      <c r="AN210" s="52">
        <v>-4424849.43</v>
      </c>
      <c r="AO210" s="52">
        <v>-6533830.8099999996</v>
      </c>
      <c r="AP210" s="52">
        <v>-6006226.5300000003</v>
      </c>
      <c r="AQ210" s="52">
        <v>-5001661.2699999996</v>
      </c>
      <c r="AR210" s="52">
        <v>-6375406.04</v>
      </c>
      <c r="AS210" s="52">
        <v>-5956515.9000000004</v>
      </c>
      <c r="AT210" s="52">
        <v>-7857541.3799999999</v>
      </c>
      <c r="AU210" s="52">
        <v>-9926202.6199999992</v>
      </c>
      <c r="AV210" s="52">
        <v>-4933521.2</v>
      </c>
      <c r="AW210" s="52">
        <v>-7969617.7599999998</v>
      </c>
      <c r="AX210" s="52">
        <v>-7784337.8399999999</v>
      </c>
      <c r="AY210" s="52">
        <v>-8295610.2999999998</v>
      </c>
      <c r="AZ210" s="52">
        <v>-7195132.9000000004</v>
      </c>
      <c r="BA210" s="52">
        <v>-8487906.8599999994</v>
      </c>
      <c r="BB210" s="52">
        <v>-10031224.9</v>
      </c>
      <c r="BC210" s="52">
        <v>-6541634.0199999996</v>
      </c>
      <c r="BD210" s="52">
        <v>-10434375.279999999</v>
      </c>
      <c r="BE210" s="52">
        <v>-7758499.2599999998</v>
      </c>
      <c r="BF210" s="52">
        <v>-7844135.0099999998</v>
      </c>
      <c r="BG210" s="52">
        <v>-10588234.460000001</v>
      </c>
      <c r="BH210" s="52">
        <v>-9951816.3399999999</v>
      </c>
      <c r="BI210" s="52">
        <v>-15501397.699999999</v>
      </c>
      <c r="BJ210" s="52">
        <v>-12914923.960000001</v>
      </c>
      <c r="BK210" s="52">
        <v>-11948244.32</v>
      </c>
      <c r="BL210" s="52">
        <v>-13353247.83</v>
      </c>
      <c r="BM210" s="52">
        <v>-10040771.449999999</v>
      </c>
      <c r="BN210" s="52">
        <v>-10820792.49</v>
      </c>
      <c r="BO210" s="52">
        <v>-10043049.439999999</v>
      </c>
      <c r="BP210" s="52">
        <v>-11877161.890000001</v>
      </c>
      <c r="BQ210" s="52">
        <v>-14275810.550000001</v>
      </c>
      <c r="BR210" s="52">
        <v>-9703192.6600000001</v>
      </c>
      <c r="BS210" s="52">
        <v>-16254587.869999999</v>
      </c>
      <c r="BT210" s="52">
        <v>-10920005.970000001</v>
      </c>
      <c r="BU210" s="52">
        <v>-13323613.24</v>
      </c>
      <c r="BV210" s="52">
        <v>-16050438.18</v>
      </c>
      <c r="BW210" s="52">
        <v>-18399758.399999999</v>
      </c>
      <c r="BX210" s="52">
        <v>-18021030.140000001</v>
      </c>
      <c r="BY210" s="52">
        <v>-16796687.25</v>
      </c>
      <c r="BZ210" s="52">
        <v>-17369330.120000001</v>
      </c>
      <c r="CA210" s="52">
        <v>-20269640.899999999</v>
      </c>
      <c r="CB210" s="52">
        <v>-19262873.989999998</v>
      </c>
      <c r="CC210" s="52">
        <v>-13135641.529999999</v>
      </c>
      <c r="CD210" s="52">
        <v>-16323161.6</v>
      </c>
      <c r="CE210" s="52">
        <v>-17584058.649999999</v>
      </c>
      <c r="CF210" s="52">
        <v>-17948094.5</v>
      </c>
      <c r="CG210" s="52">
        <v>-25132074.09</v>
      </c>
      <c r="CH210" s="52">
        <v>-22817721.239999998</v>
      </c>
      <c r="CI210" s="52">
        <v>-27453822.949999999</v>
      </c>
      <c r="CJ210" s="52">
        <v>-14838057.23</v>
      </c>
      <c r="CK210" s="52">
        <v>-23793617.09</v>
      </c>
      <c r="CL210" s="52">
        <v>-25790474.5</v>
      </c>
      <c r="CM210" s="52">
        <v>-17400076.300000001</v>
      </c>
      <c r="CN210" s="52">
        <v>-12857315.23</v>
      </c>
      <c r="CO210" s="52">
        <v>-19027548.370000001</v>
      </c>
      <c r="CP210" s="52">
        <v>-14145138.640000001</v>
      </c>
      <c r="CQ210" s="52">
        <v>-17713023.34</v>
      </c>
      <c r="CR210" s="52">
        <v>-19562990.41</v>
      </c>
      <c r="CS210" s="52">
        <v>-23096137.780000001</v>
      </c>
      <c r="CT210" s="52">
        <v>-20621567.210000001</v>
      </c>
      <c r="CU210" s="52">
        <v>-15356076.060000001</v>
      </c>
      <c r="CV210" s="430">
        <f t="shared" si="6"/>
        <v>-224202022.16000003</v>
      </c>
    </row>
    <row r="211" spans="1:100">
      <c r="A211" s="540" t="str">
        <f t="shared" si="5"/>
        <v>6300100</v>
      </c>
      <c r="B211" s="541" t="s">
        <v>2029</v>
      </c>
      <c r="C211" s="463" t="s">
        <v>1117</v>
      </c>
      <c r="D211" s="428">
        <v>18105919.899999999</v>
      </c>
      <c r="E211" s="428">
        <v>11602181.73</v>
      </c>
      <c r="F211" s="428">
        <v>12686883</v>
      </c>
      <c r="G211" s="428">
        <v>12086457</v>
      </c>
      <c r="H211" s="428">
        <v>9420941.6699999999</v>
      </c>
      <c r="I211" s="428">
        <v>5731486.1900000004</v>
      </c>
      <c r="J211" s="428">
        <v>8346912.8799999999</v>
      </c>
      <c r="K211" s="428">
        <v>10812765.630000001</v>
      </c>
      <c r="L211" s="428">
        <v>8469017.3599999994</v>
      </c>
      <c r="M211" s="428">
        <v>11192484.050000001</v>
      </c>
      <c r="N211" s="428">
        <v>16009560.039999999</v>
      </c>
      <c r="O211" s="429">
        <v>11324338.800000001</v>
      </c>
      <c r="P211" s="52">
        <v>14825671.380000001</v>
      </c>
      <c r="Q211" s="52">
        <v>15652198.92</v>
      </c>
      <c r="R211" s="52">
        <v>10931992.43</v>
      </c>
      <c r="S211" s="52">
        <v>12498894.16</v>
      </c>
      <c r="T211" s="52">
        <v>8506871.3100000005</v>
      </c>
      <c r="U211" s="52">
        <v>8923816.9399999995</v>
      </c>
      <c r="V211" s="52">
        <v>9406895.6999999993</v>
      </c>
      <c r="W211" s="52">
        <v>10436143.99</v>
      </c>
      <c r="X211" s="52">
        <v>9882010.9800000004</v>
      </c>
      <c r="Y211" s="52">
        <v>12510965.26</v>
      </c>
      <c r="Z211" s="52">
        <v>15720217.380000001</v>
      </c>
      <c r="AA211" s="52">
        <v>10536563.08</v>
      </c>
      <c r="AB211" s="52">
        <v>16105783.779999999</v>
      </c>
      <c r="AC211" s="52">
        <v>13782660.32</v>
      </c>
      <c r="AD211" s="52">
        <v>12768613.58</v>
      </c>
      <c r="AE211" s="52">
        <v>13301925.08</v>
      </c>
      <c r="AF211" s="52">
        <v>8937794.4000000004</v>
      </c>
      <c r="AG211" s="52">
        <v>9252533.5999999996</v>
      </c>
      <c r="AH211" s="52">
        <v>13531048.470000001</v>
      </c>
      <c r="AI211" s="52">
        <v>12901237.91</v>
      </c>
      <c r="AJ211" s="52">
        <v>12804956.369999999</v>
      </c>
      <c r="AK211" s="52">
        <v>15335376.369999999</v>
      </c>
      <c r="AL211" s="52">
        <v>11592605.810000001</v>
      </c>
      <c r="AM211" s="52">
        <v>11517591.68</v>
      </c>
      <c r="AN211" s="52">
        <v>13504230.890000001</v>
      </c>
      <c r="AO211" s="52">
        <v>9504398.3399999999</v>
      </c>
      <c r="AP211" s="52">
        <v>13430759.23</v>
      </c>
      <c r="AQ211" s="52">
        <v>12495027.68</v>
      </c>
      <c r="AR211" s="52">
        <v>11630458.27</v>
      </c>
      <c r="AS211" s="52">
        <v>10131478.07</v>
      </c>
      <c r="AT211" s="52">
        <v>12512459.17</v>
      </c>
      <c r="AU211" s="52">
        <v>17511907.039999999</v>
      </c>
      <c r="AV211" s="52">
        <v>14939705.18</v>
      </c>
      <c r="AW211" s="52">
        <v>13196656.939999999</v>
      </c>
      <c r="AX211" s="52">
        <v>13137387.17</v>
      </c>
      <c r="AY211" s="52">
        <v>16023757.890000001</v>
      </c>
      <c r="AZ211" s="52">
        <v>22850159.550000001</v>
      </c>
      <c r="BA211" s="52">
        <v>10479371.15</v>
      </c>
      <c r="BB211" s="52">
        <v>13100817.23</v>
      </c>
      <c r="BC211" s="52">
        <v>10036230.720000001</v>
      </c>
      <c r="BD211" s="52">
        <v>11484805.76</v>
      </c>
      <c r="BE211" s="52">
        <v>13247636.26</v>
      </c>
      <c r="BF211" s="52">
        <v>15100103.23</v>
      </c>
      <c r="BG211" s="52">
        <v>12089027.41</v>
      </c>
      <c r="BH211" s="52">
        <v>13588410.550000001</v>
      </c>
      <c r="BI211" s="52">
        <v>19128918.210000001</v>
      </c>
      <c r="BJ211" s="52">
        <v>20013525.68</v>
      </c>
      <c r="BK211" s="52">
        <v>18583372.300000001</v>
      </c>
      <c r="BL211" s="52">
        <v>17350300.109999999</v>
      </c>
      <c r="BM211" s="52">
        <v>11075186.949999999</v>
      </c>
      <c r="BN211" s="52">
        <v>13477264.609999999</v>
      </c>
      <c r="BO211" s="52">
        <v>11273393.310000001</v>
      </c>
      <c r="BP211" s="52">
        <v>11248857.689999999</v>
      </c>
      <c r="BQ211" s="52">
        <v>8517872.1799999997</v>
      </c>
      <c r="BR211" s="52">
        <v>9280612.1799999997</v>
      </c>
      <c r="BS211" s="52">
        <v>9764698.5999999996</v>
      </c>
      <c r="BT211" s="52">
        <v>12076834.630000001</v>
      </c>
      <c r="BU211" s="52">
        <v>13743771.84</v>
      </c>
      <c r="BV211" s="52">
        <v>13500749.42</v>
      </c>
      <c r="BW211" s="52">
        <v>13096438.33</v>
      </c>
      <c r="BX211" s="52">
        <v>13493076.57</v>
      </c>
      <c r="BY211" s="52">
        <v>10334309.369999999</v>
      </c>
      <c r="BZ211" s="52">
        <v>10126684.189999999</v>
      </c>
      <c r="CA211" s="52">
        <v>7952411.9699999997</v>
      </c>
      <c r="CB211" s="52">
        <v>8437533.1799999997</v>
      </c>
      <c r="CC211" s="52">
        <v>8310039.6200000001</v>
      </c>
      <c r="CD211" s="52">
        <v>9085074.0299999993</v>
      </c>
      <c r="CE211" s="52">
        <v>8414571.3300000001</v>
      </c>
      <c r="CF211" s="52">
        <v>7972076.46</v>
      </c>
      <c r="CG211" s="52">
        <v>11023452.66</v>
      </c>
      <c r="CH211" s="52">
        <v>13391809.560000001</v>
      </c>
      <c r="CI211" s="52">
        <v>16571536.16</v>
      </c>
      <c r="CJ211" s="52">
        <v>16439776.35</v>
      </c>
      <c r="CK211" s="52">
        <v>18676790.91</v>
      </c>
      <c r="CL211" s="52">
        <v>15324503.220000001</v>
      </c>
      <c r="CM211" s="52">
        <v>10097628.68</v>
      </c>
      <c r="CN211" s="52">
        <v>8721040.3200000003</v>
      </c>
      <c r="CO211" s="52">
        <v>10220210.140000001</v>
      </c>
      <c r="CP211" s="52">
        <v>10217298.949999999</v>
      </c>
      <c r="CQ211" s="52">
        <v>10822638.75</v>
      </c>
      <c r="CR211" s="52">
        <v>11678964.1</v>
      </c>
      <c r="CS211" s="52">
        <v>20588212.010000002</v>
      </c>
      <c r="CT211" s="52">
        <v>19603443.129999999</v>
      </c>
      <c r="CU211" s="52">
        <v>16290393.84</v>
      </c>
      <c r="CV211" s="430">
        <f t="shared" si="6"/>
        <v>168680900.40000001</v>
      </c>
    </row>
    <row r="212" spans="1:100">
      <c r="A212" s="540" t="str">
        <f t="shared" si="5"/>
        <v>6400010</v>
      </c>
      <c r="B212" s="541" t="s">
        <v>2030</v>
      </c>
      <c r="C212" s="463" t="s">
        <v>1118</v>
      </c>
      <c r="D212" s="426">
        <v>68495.710000000006</v>
      </c>
      <c r="E212" s="426">
        <v>7163.99</v>
      </c>
      <c r="F212" s="426">
        <v>5141.7299999999996</v>
      </c>
      <c r="G212" s="426">
        <v>52546.87</v>
      </c>
      <c r="H212" s="426">
        <v>41383.300000000003</v>
      </c>
      <c r="I212" s="426">
        <v>182095.34</v>
      </c>
      <c r="J212" s="426">
        <v>157866.89000000001</v>
      </c>
      <c r="K212" s="426">
        <v>24350.3</v>
      </c>
      <c r="L212" s="426">
        <v>10517.69</v>
      </c>
      <c r="M212" s="426">
        <v>15802.42</v>
      </c>
      <c r="N212" s="426">
        <v>11435.05</v>
      </c>
      <c r="O212" s="427">
        <v>3330.22</v>
      </c>
      <c r="P212" s="52">
        <v>5170.96</v>
      </c>
      <c r="Q212" s="52">
        <v>2678.79</v>
      </c>
      <c r="R212" s="52">
        <v>10497.72</v>
      </c>
      <c r="S212" s="52">
        <v>35757.17</v>
      </c>
      <c r="T212" s="52">
        <v>6921.41</v>
      </c>
      <c r="U212" s="52">
        <v>451140.19</v>
      </c>
      <c r="V212" s="52">
        <v>22376.18</v>
      </c>
      <c r="W212" s="52">
        <v>-3033.91</v>
      </c>
      <c r="X212" s="52">
        <v>19865.05</v>
      </c>
      <c r="Y212" s="52">
        <v>29705.11</v>
      </c>
      <c r="Z212" s="52">
        <v>4578.6099999999997</v>
      </c>
      <c r="AA212" s="52">
        <v>83257.66</v>
      </c>
      <c r="AB212" s="52">
        <v>15721.58</v>
      </c>
      <c r="AC212" s="52">
        <v>49543.23</v>
      </c>
      <c r="AD212" s="52">
        <v>8032.97</v>
      </c>
      <c r="AE212" s="52">
        <v>350844.21</v>
      </c>
      <c r="AF212" s="52">
        <v>8141.45</v>
      </c>
      <c r="AG212" s="52">
        <v>42720.41</v>
      </c>
      <c r="AH212" s="52">
        <v>249977.68</v>
      </c>
      <c r="AI212" s="52">
        <v>8734.59</v>
      </c>
      <c r="AJ212" s="52">
        <v>46836.88</v>
      </c>
      <c r="AK212" s="52">
        <v>8759.7999999999993</v>
      </c>
      <c r="AL212" s="52">
        <v>119126.01</v>
      </c>
      <c r="AM212" s="52">
        <v>20748.38</v>
      </c>
      <c r="AN212" s="52">
        <v>1768.47</v>
      </c>
      <c r="AO212" s="52">
        <v>47423.040000000001</v>
      </c>
      <c r="AP212" s="52">
        <v>38504.230000000003</v>
      </c>
      <c r="AQ212" s="52">
        <v>24291.119999999999</v>
      </c>
      <c r="AR212" s="52">
        <v>18188.009999999998</v>
      </c>
      <c r="AS212" s="52">
        <v>24473.46</v>
      </c>
      <c r="AT212" s="52">
        <v>14125.66</v>
      </c>
      <c r="AU212" s="52">
        <v>55732.31</v>
      </c>
      <c r="AV212" s="52">
        <v>11555.11</v>
      </c>
      <c r="AW212" s="52">
        <v>21972.720000000001</v>
      </c>
      <c r="AX212" s="52">
        <v>24864.01</v>
      </c>
      <c r="AY212" s="52">
        <v>17491.91</v>
      </c>
      <c r="AZ212" s="52">
        <v>40604.879999999997</v>
      </c>
      <c r="BA212" s="52">
        <v>19529.95</v>
      </c>
      <c r="BB212" s="52">
        <v>100464.25</v>
      </c>
      <c r="BC212" s="52">
        <v>22400.94</v>
      </c>
      <c r="BD212" s="52">
        <v>25343.77</v>
      </c>
      <c r="BE212" s="52">
        <v>32845.18</v>
      </c>
      <c r="BF212" s="52">
        <v>19213.54</v>
      </c>
      <c r="BG212" s="52">
        <v>24677.62</v>
      </c>
      <c r="BH212" s="52">
        <v>96511.86</v>
      </c>
      <c r="BI212" s="52">
        <v>79330.12</v>
      </c>
      <c r="BJ212" s="52">
        <v>37453.58</v>
      </c>
      <c r="BK212" s="52">
        <v>44755.37</v>
      </c>
      <c r="BL212" s="52">
        <v>26408.880000000001</v>
      </c>
      <c r="BM212" s="52">
        <v>21110.57</v>
      </c>
      <c r="BN212" s="52">
        <v>33346.74</v>
      </c>
      <c r="BO212" s="52">
        <v>21649.4</v>
      </c>
      <c r="BP212" s="52">
        <v>26343.69</v>
      </c>
      <c r="BQ212" s="52">
        <v>373401.74</v>
      </c>
      <c r="BR212" s="52">
        <v>13471.46</v>
      </c>
      <c r="BS212" s="52">
        <v>328192.03000000003</v>
      </c>
      <c r="BT212" s="52">
        <v>216286.12</v>
      </c>
      <c r="BU212" s="52">
        <v>48639.25</v>
      </c>
      <c r="BV212" s="52">
        <v>50646.92</v>
      </c>
      <c r="BW212" s="52">
        <v>-81464.38</v>
      </c>
      <c r="BX212" s="52">
        <v>115103.48</v>
      </c>
      <c r="BY212" s="52">
        <v>26440.31</v>
      </c>
      <c r="BZ212" s="52">
        <v>1765.37</v>
      </c>
      <c r="CA212" s="52">
        <v>32538.47</v>
      </c>
      <c r="CB212" s="52">
        <v>13043.74</v>
      </c>
      <c r="CC212" s="52">
        <v>8392.2199999999993</v>
      </c>
      <c r="CD212" s="52">
        <v>41167.99</v>
      </c>
      <c r="CE212" s="52">
        <v>340636.15999999997</v>
      </c>
      <c r="CF212" s="52">
        <v>52837.79</v>
      </c>
      <c r="CG212" s="52">
        <v>100605.04</v>
      </c>
      <c r="CH212" s="52">
        <v>151455.14000000001</v>
      </c>
      <c r="CI212" s="52">
        <v>29752.959999999999</v>
      </c>
      <c r="CJ212" s="52">
        <v>11614.72</v>
      </c>
      <c r="CK212" s="52">
        <v>30652.49</v>
      </c>
      <c r="CL212" s="52">
        <v>16070.99</v>
      </c>
      <c r="CM212" s="52">
        <v>22249.35</v>
      </c>
      <c r="CN212" s="52">
        <v>19511.59</v>
      </c>
      <c r="CO212" s="52">
        <v>11113.8</v>
      </c>
      <c r="CP212" s="52">
        <v>63957.15</v>
      </c>
      <c r="CQ212" s="52">
        <v>56456.04</v>
      </c>
      <c r="CR212" s="52">
        <v>43871.360000000001</v>
      </c>
      <c r="CS212" s="52">
        <v>154121.44</v>
      </c>
      <c r="CT212" s="52">
        <v>132315.17000000001</v>
      </c>
      <c r="CU212" s="52">
        <v>712616.57</v>
      </c>
      <c r="CV212" s="430">
        <f t="shared" si="6"/>
        <v>1274550.67</v>
      </c>
    </row>
    <row r="213" spans="1:100">
      <c r="A213" s="540" t="str">
        <f t="shared" si="5"/>
        <v>6400020</v>
      </c>
      <c r="B213" s="541" t="s">
        <v>2031</v>
      </c>
      <c r="C213" s="463" t="s">
        <v>1119</v>
      </c>
      <c r="D213" s="428">
        <v>36530.410000000003</v>
      </c>
      <c r="E213" s="428">
        <v>36950.78</v>
      </c>
      <c r="F213" s="428">
        <v>47434.34</v>
      </c>
      <c r="G213" s="428">
        <v>30852.73</v>
      </c>
      <c r="H213" s="428">
        <v>44195.47</v>
      </c>
      <c r="I213" s="428">
        <v>28288.76</v>
      </c>
      <c r="J213" s="428">
        <v>33155.9</v>
      </c>
      <c r="K213" s="428">
        <v>55802.92</v>
      </c>
      <c r="L213" s="428">
        <v>43879.92</v>
      </c>
      <c r="M213" s="428">
        <v>20387.84</v>
      </c>
      <c r="N213" s="428">
        <v>32201.91</v>
      </c>
      <c r="O213" s="429">
        <v>63303.27</v>
      </c>
      <c r="P213" s="52">
        <v>32198.38</v>
      </c>
      <c r="Q213" s="52">
        <v>30908.23</v>
      </c>
      <c r="R213" s="52">
        <v>45495.37</v>
      </c>
      <c r="S213" s="52">
        <v>31573.94</v>
      </c>
      <c r="T213" s="52">
        <v>15849.61</v>
      </c>
      <c r="U213" s="52">
        <v>57482.76</v>
      </c>
      <c r="V213" s="52">
        <v>37575.919999999998</v>
      </c>
      <c r="W213" s="52">
        <v>17921.439999999999</v>
      </c>
      <c r="X213" s="52">
        <v>49801.95</v>
      </c>
      <c r="Y213" s="52">
        <v>37656.120000000003</v>
      </c>
      <c r="Z213" s="52">
        <v>21408.81</v>
      </c>
      <c r="AA213" s="52">
        <v>72370.73</v>
      </c>
      <c r="AB213" s="52">
        <v>19110.7</v>
      </c>
      <c r="AC213" s="52">
        <v>42877.84</v>
      </c>
      <c r="AD213" s="52">
        <v>31480.89</v>
      </c>
      <c r="AE213" s="52">
        <v>24535.74</v>
      </c>
      <c r="AF213" s="52">
        <v>41424.910000000003</v>
      </c>
      <c r="AG213" s="52">
        <v>50014.83</v>
      </c>
      <c r="AH213" s="52">
        <v>22971.040000000001</v>
      </c>
      <c r="AI213" s="52">
        <v>17325.89</v>
      </c>
      <c r="AJ213" s="52">
        <v>34995.06</v>
      </c>
      <c r="AK213" s="52">
        <v>67312.17</v>
      </c>
      <c r="AL213" s="52">
        <v>44377.56</v>
      </c>
      <c r="AM213" s="52">
        <v>44202.04</v>
      </c>
      <c r="AN213" s="52">
        <v>18555.259999999998</v>
      </c>
      <c r="AO213" s="52">
        <v>22456.07</v>
      </c>
      <c r="AP213" s="52">
        <v>44480.71</v>
      </c>
      <c r="AQ213" s="52">
        <v>12434.07</v>
      </c>
      <c r="AR213" s="52">
        <v>19854.439999999999</v>
      </c>
      <c r="AS213" s="52">
        <v>93861.8</v>
      </c>
      <c r="AT213" s="52">
        <v>16407.04</v>
      </c>
      <c r="AU213" s="52">
        <v>21349.279999999999</v>
      </c>
      <c r="AV213" s="52">
        <v>14547.76</v>
      </c>
      <c r="AW213" s="52">
        <v>24918.52</v>
      </c>
      <c r="AX213" s="52">
        <v>17615.46</v>
      </c>
      <c r="AY213" s="52">
        <v>19894.88</v>
      </c>
      <c r="AZ213" s="52">
        <v>18876.66</v>
      </c>
      <c r="BA213" s="52">
        <v>17823.96</v>
      </c>
      <c r="BB213" s="52">
        <v>18856.88</v>
      </c>
      <c r="BC213" s="52">
        <v>20218.59</v>
      </c>
      <c r="BD213" s="52">
        <v>26005.64</v>
      </c>
      <c r="BE213" s="52">
        <v>94163.86</v>
      </c>
      <c r="BF213" s="52">
        <v>16982.98</v>
      </c>
      <c r="BG213" s="52">
        <v>473210.23</v>
      </c>
      <c r="BH213" s="52">
        <v>22989.88</v>
      </c>
      <c r="BI213" s="52">
        <v>84959.06</v>
      </c>
      <c r="BJ213" s="52">
        <v>33433.17</v>
      </c>
      <c r="BK213" s="52">
        <v>67293.149999999994</v>
      </c>
      <c r="BL213" s="52">
        <v>-18678.12</v>
      </c>
      <c r="BM213" s="52">
        <v>20723.97</v>
      </c>
      <c r="BN213" s="52">
        <v>26637.19</v>
      </c>
      <c r="BO213" s="52">
        <v>17572.830000000002</v>
      </c>
      <c r="BP213" s="52">
        <v>21003.7</v>
      </c>
      <c r="BQ213" s="52">
        <v>28050.75</v>
      </c>
      <c r="BR213" s="52">
        <v>28086.23</v>
      </c>
      <c r="BS213" s="52">
        <v>26879.86</v>
      </c>
      <c r="BT213" s="52">
        <v>23589.25</v>
      </c>
      <c r="BU213" s="52">
        <v>80923.240000000005</v>
      </c>
      <c r="BV213" s="52">
        <v>24473.55</v>
      </c>
      <c r="BW213" s="52">
        <v>74378.649999999994</v>
      </c>
      <c r="BX213" s="52">
        <v>11315.94</v>
      </c>
      <c r="BY213" s="52">
        <v>15035.15</v>
      </c>
      <c r="BZ213" s="52">
        <v>28203.24</v>
      </c>
      <c r="CA213" s="52">
        <v>17847.68</v>
      </c>
      <c r="CB213" s="52">
        <v>18671.7</v>
      </c>
      <c r="CC213" s="52">
        <v>12033.24</v>
      </c>
      <c r="CD213" s="52">
        <v>13204.91</v>
      </c>
      <c r="CE213" s="52">
        <v>14677.13</v>
      </c>
      <c r="CF213" s="52">
        <v>15511.02</v>
      </c>
      <c r="CG213" s="52">
        <v>15257.32</v>
      </c>
      <c r="CH213" s="52">
        <v>20594.150000000001</v>
      </c>
      <c r="CI213" s="52">
        <v>35280.400000000001</v>
      </c>
      <c r="CJ213" s="52">
        <v>3265.36</v>
      </c>
      <c r="CK213" s="52">
        <v>14783.21</v>
      </c>
      <c r="CL213" s="52">
        <v>16418.34</v>
      </c>
      <c r="CM213" s="52">
        <v>11566.62</v>
      </c>
      <c r="CN213" s="52">
        <v>6843.37</v>
      </c>
      <c r="CO213" s="52">
        <v>19953.45</v>
      </c>
      <c r="CP213" s="52">
        <v>14364.19</v>
      </c>
      <c r="CQ213" s="52">
        <v>12668.61</v>
      </c>
      <c r="CR213" s="52">
        <v>15794.95</v>
      </c>
      <c r="CS213" s="52">
        <v>15591.71</v>
      </c>
      <c r="CT213" s="52">
        <v>21782.32</v>
      </c>
      <c r="CU213" s="52">
        <v>113460.22</v>
      </c>
      <c r="CV213" s="430">
        <f t="shared" si="6"/>
        <v>266492.34999999998</v>
      </c>
    </row>
    <row r="214" spans="1:100">
      <c r="A214" s="540" t="str">
        <f t="shared" si="5"/>
        <v>6400030</v>
      </c>
      <c r="B214" s="541" t="s">
        <v>2032</v>
      </c>
      <c r="C214" s="463" t="s">
        <v>1120</v>
      </c>
      <c r="D214" s="428">
        <v>0</v>
      </c>
      <c r="E214" s="428">
        <v>0</v>
      </c>
      <c r="F214" s="428">
        <v>0</v>
      </c>
      <c r="G214" s="428">
        <v>0</v>
      </c>
      <c r="H214" s="428">
        <v>0</v>
      </c>
      <c r="I214" s="428">
        <v>74.900000000000006</v>
      </c>
      <c r="J214" s="428">
        <v>74.900000000000006</v>
      </c>
      <c r="K214" s="428">
        <v>74.900000000000006</v>
      </c>
      <c r="L214" s="428">
        <v>74.900000000000006</v>
      </c>
      <c r="M214" s="428">
        <v>74.900000000000006</v>
      </c>
      <c r="N214" s="428">
        <v>74.900000000000006</v>
      </c>
      <c r="O214" s="429">
        <v>149.80000000000001</v>
      </c>
      <c r="P214" s="52">
        <v>0</v>
      </c>
      <c r="Q214" s="52">
        <v>74.900000000000006</v>
      </c>
      <c r="R214" s="52">
        <v>74.900000000000006</v>
      </c>
      <c r="S214" s="52">
        <v>0</v>
      </c>
      <c r="T214" s="52">
        <v>0</v>
      </c>
      <c r="U214" s="52">
        <v>0</v>
      </c>
      <c r="V214" s="52">
        <v>0</v>
      </c>
      <c r="W214" s="52">
        <v>0</v>
      </c>
      <c r="X214" s="52">
        <v>0</v>
      </c>
      <c r="Y214" s="52">
        <v>0</v>
      </c>
      <c r="Z214" s="52">
        <v>0</v>
      </c>
      <c r="AA214" s="52">
        <v>0</v>
      </c>
      <c r="AB214" s="52">
        <v>0</v>
      </c>
      <c r="AC214" s="52">
        <v>73.959999999999994</v>
      </c>
      <c r="AD214" s="52">
        <v>0</v>
      </c>
      <c r="AE214" s="52">
        <v>0</v>
      </c>
      <c r="AF214" s="52">
        <v>0</v>
      </c>
      <c r="AG214" s="52">
        <v>0</v>
      </c>
      <c r="AH214" s="52">
        <v>0</v>
      </c>
      <c r="AI214" s="52">
        <v>0</v>
      </c>
      <c r="AJ214" s="52">
        <v>0</v>
      </c>
      <c r="AK214" s="52">
        <v>0</v>
      </c>
      <c r="AL214" s="52">
        <v>0</v>
      </c>
      <c r="AM214" s="52">
        <v>0</v>
      </c>
      <c r="AN214" s="52">
        <v>0</v>
      </c>
      <c r="AO214" s="52">
        <v>0</v>
      </c>
      <c r="AP214" s="52">
        <v>0</v>
      </c>
      <c r="AQ214" s="52">
        <v>0</v>
      </c>
      <c r="AR214" s="52">
        <v>0</v>
      </c>
      <c r="AS214" s="52">
        <v>0</v>
      </c>
      <c r="AT214" s="52">
        <v>0</v>
      </c>
      <c r="AU214" s="52">
        <v>0</v>
      </c>
      <c r="AV214" s="52">
        <v>0</v>
      </c>
      <c r="AW214" s="52"/>
      <c r="AX214" s="52"/>
      <c r="AY214" s="52"/>
      <c r="AZ214" s="52">
        <v>0</v>
      </c>
      <c r="BA214" s="52">
        <v>0</v>
      </c>
      <c r="BB214" s="52">
        <v>0</v>
      </c>
      <c r="BC214" s="52">
        <v>0</v>
      </c>
      <c r="BD214" s="52">
        <v>0</v>
      </c>
      <c r="BE214" s="52">
        <v>0</v>
      </c>
      <c r="BF214" s="52">
        <v>0</v>
      </c>
      <c r="BG214" s="52">
        <v>0</v>
      </c>
      <c r="BH214" s="52">
        <v>0</v>
      </c>
      <c r="BI214" s="52">
        <v>0</v>
      </c>
      <c r="BJ214" s="52">
        <v>0</v>
      </c>
      <c r="BK214" s="52">
        <v>0</v>
      </c>
      <c r="BL214" s="52">
        <v>0</v>
      </c>
      <c r="BM214" s="52">
        <v>0</v>
      </c>
      <c r="BN214" s="52">
        <v>0</v>
      </c>
      <c r="BO214" s="52">
        <v>0</v>
      </c>
      <c r="BP214" s="52">
        <v>0</v>
      </c>
      <c r="BQ214" s="52">
        <v>0</v>
      </c>
      <c r="BR214" s="52">
        <v>0</v>
      </c>
      <c r="BS214" s="52">
        <v>0</v>
      </c>
      <c r="BT214" s="52">
        <v>0</v>
      </c>
      <c r="BU214" s="52">
        <v>0</v>
      </c>
      <c r="BV214" s="52">
        <v>0</v>
      </c>
      <c r="BW214" s="52">
        <v>0</v>
      </c>
      <c r="BX214" s="52">
        <v>0</v>
      </c>
      <c r="BY214" s="52">
        <v>0</v>
      </c>
      <c r="BZ214" s="52">
        <v>0</v>
      </c>
      <c r="CA214" s="52">
        <v>0</v>
      </c>
      <c r="CB214" s="52">
        <v>0</v>
      </c>
      <c r="CC214" s="52">
        <v>0</v>
      </c>
      <c r="CD214" s="52">
        <v>0</v>
      </c>
      <c r="CE214" s="52">
        <v>0</v>
      </c>
      <c r="CF214" s="52">
        <v>0</v>
      </c>
      <c r="CG214" s="52">
        <v>0</v>
      </c>
      <c r="CH214" s="52">
        <v>0</v>
      </c>
      <c r="CI214" s="52">
        <v>0</v>
      </c>
      <c r="CJ214" s="52">
        <v>0</v>
      </c>
      <c r="CK214" s="52">
        <v>0</v>
      </c>
      <c r="CL214" s="52">
        <v>0</v>
      </c>
      <c r="CM214" s="52">
        <v>0</v>
      </c>
      <c r="CN214" s="52">
        <v>0</v>
      </c>
      <c r="CO214" s="52">
        <v>0</v>
      </c>
      <c r="CP214" s="52">
        <v>0</v>
      </c>
      <c r="CQ214" s="52">
        <v>0</v>
      </c>
      <c r="CR214" s="52">
        <v>0</v>
      </c>
      <c r="CS214" s="52">
        <v>69996</v>
      </c>
      <c r="CT214" s="52">
        <v>0</v>
      </c>
      <c r="CU214" s="52">
        <v>0</v>
      </c>
      <c r="CV214" s="430">
        <f t="shared" si="6"/>
        <v>69996</v>
      </c>
    </row>
    <row r="215" spans="1:100">
      <c r="A215" s="540" t="str">
        <f t="shared" si="5"/>
        <v>6400040</v>
      </c>
      <c r="B215" s="541" t="s">
        <v>2033</v>
      </c>
      <c r="C215" s="463" t="s">
        <v>1697</v>
      </c>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428"/>
      <c r="AE215" s="428"/>
      <c r="AF215" s="428"/>
      <c r="AG215" s="428"/>
      <c r="AH215" s="52">
        <v>457.76</v>
      </c>
      <c r="AI215" s="52">
        <v>0</v>
      </c>
      <c r="AJ215" s="52">
        <v>0</v>
      </c>
      <c r="AK215" s="52">
        <v>0</v>
      </c>
      <c r="AL215" s="52">
        <v>0</v>
      </c>
      <c r="AM215" s="52">
        <v>0</v>
      </c>
      <c r="AN215" s="52">
        <v>0</v>
      </c>
      <c r="AO215" s="52">
        <v>0</v>
      </c>
      <c r="AP215" s="52">
        <v>0</v>
      </c>
      <c r="AQ215" s="52">
        <v>0</v>
      </c>
      <c r="AR215" s="52">
        <v>0</v>
      </c>
      <c r="AS215" s="52">
        <v>0</v>
      </c>
      <c r="AT215" s="52">
        <v>0</v>
      </c>
      <c r="AU215" s="52">
        <v>0</v>
      </c>
      <c r="AV215" s="52">
        <v>0</v>
      </c>
      <c r="AW215" s="52"/>
      <c r="AX215" s="52"/>
      <c r="AY215" s="52"/>
      <c r="AZ215" s="52">
        <v>0</v>
      </c>
      <c r="BA215" s="52">
        <v>0</v>
      </c>
      <c r="BB215" s="52">
        <v>0</v>
      </c>
      <c r="BC215" s="52">
        <v>33.07</v>
      </c>
      <c r="BD215" s="52">
        <v>93.57</v>
      </c>
      <c r="BE215" s="52">
        <v>326.02999999999997</v>
      </c>
      <c r="BF215" s="52">
        <v>335.68</v>
      </c>
      <c r="BG215" s="52">
        <v>31.13</v>
      </c>
      <c r="BH215" s="52">
        <v>128.66</v>
      </c>
      <c r="BI215" s="52">
        <v>315.3</v>
      </c>
      <c r="BJ215" s="52">
        <v>644.16</v>
      </c>
      <c r="BK215" s="52">
        <v>447.91</v>
      </c>
      <c r="BL215" s="52">
        <v>0</v>
      </c>
      <c r="BM215" s="52">
        <v>28.18</v>
      </c>
      <c r="BN215" s="52">
        <v>14.05</v>
      </c>
      <c r="BO215" s="52">
        <v>0</v>
      </c>
      <c r="BP215" s="52">
        <v>211.83</v>
      </c>
      <c r="BQ215" s="52">
        <v>37.380000000000003</v>
      </c>
      <c r="BR215" s="52">
        <v>42.5</v>
      </c>
      <c r="BS215" s="52">
        <v>66.7</v>
      </c>
      <c r="BT215" s="52">
        <v>204.72</v>
      </c>
      <c r="BU215" s="52">
        <v>155.31</v>
      </c>
      <c r="BV215" s="52">
        <v>43.68</v>
      </c>
      <c r="BW215" s="52">
        <v>81.47</v>
      </c>
      <c r="BX215" s="52">
        <v>0</v>
      </c>
      <c r="BY215" s="52">
        <v>439.01</v>
      </c>
      <c r="BZ215" s="52">
        <v>111.06</v>
      </c>
      <c r="CA215" s="52">
        <v>154.46</v>
      </c>
      <c r="CB215" s="52">
        <v>135.66</v>
      </c>
      <c r="CC215" s="52">
        <v>157.19999999999999</v>
      </c>
      <c r="CD215" s="52">
        <v>18.48</v>
      </c>
      <c r="CE215" s="52">
        <v>29.21</v>
      </c>
      <c r="CF215" s="52">
        <v>0</v>
      </c>
      <c r="CG215" s="52">
        <v>0</v>
      </c>
      <c r="CH215" s="52">
        <v>0</v>
      </c>
      <c r="CI215" s="52">
        <v>0</v>
      </c>
      <c r="CJ215" s="52">
        <v>0</v>
      </c>
      <c r="CK215" s="52">
        <v>0</v>
      </c>
      <c r="CL215" s="52">
        <v>0</v>
      </c>
      <c r="CM215" s="52">
        <v>0</v>
      </c>
      <c r="CN215" s="52">
        <v>0</v>
      </c>
      <c r="CO215" s="52">
        <v>0</v>
      </c>
      <c r="CP215" s="52">
        <v>0</v>
      </c>
      <c r="CQ215" s="52">
        <v>0</v>
      </c>
      <c r="CR215" s="52">
        <v>0</v>
      </c>
      <c r="CS215" s="52">
        <v>0</v>
      </c>
      <c r="CT215" s="52">
        <v>0</v>
      </c>
      <c r="CU215" s="52">
        <v>0</v>
      </c>
      <c r="CV215" s="430">
        <f t="shared" si="6"/>
        <v>0</v>
      </c>
    </row>
    <row r="216" spans="1:100">
      <c r="A216" s="540" t="str">
        <f t="shared" si="5"/>
        <v>6400050</v>
      </c>
      <c r="B216" s="541" t="s">
        <v>2034</v>
      </c>
      <c r="C216" s="463" t="s">
        <v>1121</v>
      </c>
      <c r="D216" s="426">
        <v>0</v>
      </c>
      <c r="E216" s="426">
        <v>5982.5</v>
      </c>
      <c r="F216" s="426">
        <v>19727.59</v>
      </c>
      <c r="G216" s="426">
        <v>3635.69</v>
      </c>
      <c r="H216" s="426">
        <v>357.38</v>
      </c>
      <c r="I216" s="426">
        <v>0</v>
      </c>
      <c r="J216" s="426">
        <v>0</v>
      </c>
      <c r="K216" s="426">
        <v>0</v>
      </c>
      <c r="L216" s="426">
        <v>0</v>
      </c>
      <c r="M216" s="426">
        <v>0</v>
      </c>
      <c r="N216" s="426">
        <v>0</v>
      </c>
      <c r="O216" s="427">
        <v>0</v>
      </c>
      <c r="P216" s="52">
        <v>0</v>
      </c>
      <c r="Q216" s="52">
        <v>0</v>
      </c>
      <c r="R216" s="52">
        <v>0</v>
      </c>
      <c r="S216" s="52">
        <v>0</v>
      </c>
      <c r="T216" s="52">
        <v>0</v>
      </c>
      <c r="U216" s="52">
        <v>0</v>
      </c>
      <c r="V216" s="52">
        <v>0</v>
      </c>
      <c r="W216" s="52">
        <v>0</v>
      </c>
      <c r="X216" s="52">
        <v>0</v>
      </c>
      <c r="Y216" s="52">
        <v>0</v>
      </c>
      <c r="Z216" s="52">
        <v>42.78</v>
      </c>
      <c r="AA216" s="52">
        <v>0</v>
      </c>
      <c r="AB216" s="52">
        <v>0</v>
      </c>
      <c r="AC216" s="52">
        <v>0</v>
      </c>
      <c r="AD216" s="52">
        <v>0</v>
      </c>
      <c r="AE216" s="52">
        <v>0</v>
      </c>
      <c r="AF216" s="52">
        <v>0</v>
      </c>
      <c r="AG216" s="52">
        <v>0</v>
      </c>
      <c r="AH216" s="52">
        <v>0</v>
      </c>
      <c r="AI216" s="52">
        <v>0</v>
      </c>
      <c r="AJ216" s="52">
        <v>0</v>
      </c>
      <c r="AK216" s="52">
        <v>0</v>
      </c>
      <c r="AL216" s="52">
        <v>-35.950000000000003</v>
      </c>
      <c r="AM216" s="52">
        <v>0</v>
      </c>
      <c r="AN216" s="52">
        <v>0</v>
      </c>
      <c r="AO216" s="52">
        <v>0</v>
      </c>
      <c r="AP216" s="52">
        <v>0</v>
      </c>
      <c r="AQ216" s="52">
        <v>0</v>
      </c>
      <c r="AR216" s="52">
        <v>-28.19</v>
      </c>
      <c r="AS216" s="52">
        <v>0</v>
      </c>
      <c r="AT216" s="52">
        <v>0</v>
      </c>
      <c r="AU216" s="52">
        <v>0</v>
      </c>
      <c r="AV216" s="52">
        <v>0</v>
      </c>
      <c r="AW216" s="52">
        <v>0</v>
      </c>
      <c r="AX216" s="52">
        <v>0</v>
      </c>
      <c r="AY216" s="52">
        <v>0</v>
      </c>
      <c r="AZ216" s="52">
        <v>0</v>
      </c>
      <c r="BA216" s="52">
        <v>0</v>
      </c>
      <c r="BB216" s="52">
        <v>0</v>
      </c>
      <c r="BC216" s="52">
        <v>0</v>
      </c>
      <c r="BD216" s="52">
        <v>0</v>
      </c>
      <c r="BE216" s="52">
        <v>0</v>
      </c>
      <c r="BF216" s="52">
        <v>0</v>
      </c>
      <c r="BG216" s="52">
        <v>0</v>
      </c>
      <c r="BH216" s="52">
        <v>0</v>
      </c>
      <c r="BI216" s="52">
        <v>0</v>
      </c>
      <c r="BJ216" s="52">
        <v>0</v>
      </c>
      <c r="BK216" s="52">
        <v>0</v>
      </c>
      <c r="BL216" s="52">
        <v>0</v>
      </c>
      <c r="BM216" s="52">
        <v>0</v>
      </c>
      <c r="BN216" s="52">
        <v>0</v>
      </c>
      <c r="BO216" s="52">
        <v>0</v>
      </c>
      <c r="BP216" s="52">
        <v>0</v>
      </c>
      <c r="BQ216" s="52">
        <v>0</v>
      </c>
      <c r="BR216" s="52">
        <v>0</v>
      </c>
      <c r="BS216" s="52">
        <v>0</v>
      </c>
      <c r="BT216" s="52">
        <v>0</v>
      </c>
      <c r="BU216" s="52">
        <v>0</v>
      </c>
      <c r="BV216" s="52">
        <v>0</v>
      </c>
      <c r="BW216" s="52">
        <v>0</v>
      </c>
      <c r="BX216" s="52">
        <v>0</v>
      </c>
      <c r="BY216" s="52">
        <v>0</v>
      </c>
      <c r="BZ216" s="52">
        <v>0</v>
      </c>
      <c r="CA216" s="52">
        <v>715.59</v>
      </c>
      <c r="CB216" s="52">
        <v>706.59</v>
      </c>
      <c r="CC216" s="52">
        <v>1134.08</v>
      </c>
      <c r="CD216" s="52">
        <v>471.05</v>
      </c>
      <c r="CE216" s="52">
        <v>471.05</v>
      </c>
      <c r="CF216" s="52">
        <v>0</v>
      </c>
      <c r="CG216" s="52">
        <v>0</v>
      </c>
      <c r="CH216" s="52">
        <v>0</v>
      </c>
      <c r="CI216" s="52">
        <v>0</v>
      </c>
      <c r="CJ216" s="52">
        <v>0</v>
      </c>
      <c r="CK216" s="52">
        <v>0</v>
      </c>
      <c r="CL216" s="52">
        <v>0</v>
      </c>
      <c r="CM216" s="52">
        <v>0</v>
      </c>
      <c r="CN216" s="52">
        <v>0</v>
      </c>
      <c r="CO216" s="52">
        <v>0</v>
      </c>
      <c r="CP216" s="52">
        <v>0</v>
      </c>
      <c r="CQ216" s="52">
        <v>0</v>
      </c>
      <c r="CR216" s="52">
        <v>0</v>
      </c>
      <c r="CS216" s="52">
        <v>0</v>
      </c>
      <c r="CT216" s="52">
        <v>0</v>
      </c>
      <c r="CU216" s="52">
        <v>0</v>
      </c>
      <c r="CV216" s="430">
        <f t="shared" si="6"/>
        <v>0</v>
      </c>
    </row>
    <row r="217" spans="1:100">
      <c r="A217" s="540" t="str">
        <f t="shared" si="5"/>
        <v>6400060</v>
      </c>
      <c r="B217" s="541" t="s">
        <v>2035</v>
      </c>
      <c r="C217" s="463" t="s">
        <v>1122</v>
      </c>
      <c r="D217" s="428">
        <v>51516.31</v>
      </c>
      <c r="E217" s="428">
        <v>50210.61</v>
      </c>
      <c r="F217" s="428">
        <v>28421.52</v>
      </c>
      <c r="G217" s="428">
        <v>20697.46</v>
      </c>
      <c r="H217" s="428">
        <v>67028.649999999994</v>
      </c>
      <c r="I217" s="428">
        <v>55957.760000000002</v>
      </c>
      <c r="J217" s="428">
        <v>15258.55</v>
      </c>
      <c r="K217" s="428">
        <v>21487.22</v>
      </c>
      <c r="L217" s="428">
        <v>102639.87</v>
      </c>
      <c r="M217" s="428">
        <v>67207.08</v>
      </c>
      <c r="N217" s="428">
        <v>35531.599999999999</v>
      </c>
      <c r="O217" s="429">
        <v>72754.84</v>
      </c>
      <c r="P217" s="52">
        <v>25184.11</v>
      </c>
      <c r="Q217" s="52">
        <v>34699.97</v>
      </c>
      <c r="R217" s="52">
        <v>18006.73</v>
      </c>
      <c r="S217" s="52">
        <v>58985.06</v>
      </c>
      <c r="T217" s="52">
        <v>53654.68</v>
      </c>
      <c r="U217" s="52">
        <v>32094.37</v>
      </c>
      <c r="V217" s="52">
        <v>100394.81</v>
      </c>
      <c r="W217" s="52">
        <v>23364.97</v>
      </c>
      <c r="X217" s="52">
        <v>61049.1</v>
      </c>
      <c r="Y217" s="52">
        <v>101684.81</v>
      </c>
      <c r="Z217" s="52">
        <v>45797.69</v>
      </c>
      <c r="AA217" s="52">
        <v>88843.14</v>
      </c>
      <c r="AB217" s="52">
        <v>29990.21</v>
      </c>
      <c r="AC217" s="52">
        <v>67798.009999999995</v>
      </c>
      <c r="AD217" s="52">
        <v>57003.41</v>
      </c>
      <c r="AE217" s="52">
        <v>36139.47</v>
      </c>
      <c r="AF217" s="52">
        <v>65630.460000000006</v>
      </c>
      <c r="AG217" s="52">
        <v>56090.87</v>
      </c>
      <c r="AH217" s="52">
        <v>44639.37</v>
      </c>
      <c r="AI217" s="52">
        <v>84099.06</v>
      </c>
      <c r="AJ217" s="52">
        <v>40610.949999999997</v>
      </c>
      <c r="AK217" s="52">
        <v>52495.58</v>
      </c>
      <c r="AL217" s="52">
        <v>30154.77</v>
      </c>
      <c r="AM217" s="52">
        <v>36490.5</v>
      </c>
      <c r="AN217" s="52">
        <v>2797.38</v>
      </c>
      <c r="AO217" s="52">
        <v>6077.08</v>
      </c>
      <c r="AP217" s="52">
        <v>28654.78</v>
      </c>
      <c r="AQ217" s="52">
        <v>2257.1799999999998</v>
      </c>
      <c r="AR217" s="52">
        <v>2472.85</v>
      </c>
      <c r="AS217" s="52">
        <v>11189.43</v>
      </c>
      <c r="AT217" s="52">
        <v>4153.9799999999996</v>
      </c>
      <c r="AU217" s="52">
        <v>4168.82</v>
      </c>
      <c r="AV217" s="52">
        <v>4536.13</v>
      </c>
      <c r="AW217" s="52">
        <v>4037.46</v>
      </c>
      <c r="AX217" s="52">
        <v>4250.32</v>
      </c>
      <c r="AY217" s="52">
        <v>2575.6799999999998</v>
      </c>
      <c r="AZ217" s="52">
        <v>2104.8200000000002</v>
      </c>
      <c r="BA217" s="52">
        <v>1766.31</v>
      </c>
      <c r="BB217" s="52">
        <v>2325.38</v>
      </c>
      <c r="BC217" s="52">
        <v>4417.07</v>
      </c>
      <c r="BD217" s="52">
        <v>4934.4799999999996</v>
      </c>
      <c r="BE217" s="52">
        <v>2938.25</v>
      </c>
      <c r="BF217" s="52">
        <v>2152.15</v>
      </c>
      <c r="BG217" s="52">
        <v>2701.76</v>
      </c>
      <c r="BH217" s="52">
        <v>2957.12</v>
      </c>
      <c r="BI217" s="52">
        <v>6518</v>
      </c>
      <c r="BJ217" s="52">
        <v>2093.59</v>
      </c>
      <c r="BK217" s="52">
        <v>3031.16</v>
      </c>
      <c r="BL217" s="52">
        <v>11001.94</v>
      </c>
      <c r="BM217" s="52">
        <v>2728.13</v>
      </c>
      <c r="BN217" s="52">
        <v>2308.42</v>
      </c>
      <c r="BO217" s="52">
        <v>2430.61</v>
      </c>
      <c r="BP217" s="52">
        <v>2734.42</v>
      </c>
      <c r="BQ217" s="52">
        <v>5909.83</v>
      </c>
      <c r="BR217" s="52">
        <v>-522.36</v>
      </c>
      <c r="BS217" s="52">
        <v>2385.65</v>
      </c>
      <c r="BT217" s="52">
        <v>3012.31</v>
      </c>
      <c r="BU217" s="52">
        <v>5122.41</v>
      </c>
      <c r="BV217" s="52">
        <v>1211.8800000000001</v>
      </c>
      <c r="BW217" s="52">
        <v>4354.2299999999996</v>
      </c>
      <c r="BX217" s="52">
        <v>5895.93</v>
      </c>
      <c r="BY217" s="52">
        <v>768.59</v>
      </c>
      <c r="BZ217" s="52">
        <v>3076.61</v>
      </c>
      <c r="CA217" s="52">
        <v>2548.9699999999998</v>
      </c>
      <c r="CB217" s="52">
        <v>2880.33</v>
      </c>
      <c r="CC217" s="52">
        <v>1412.08</v>
      </c>
      <c r="CD217" s="52">
        <v>4518.3500000000004</v>
      </c>
      <c r="CE217" s="52">
        <v>6890.35</v>
      </c>
      <c r="CF217" s="52">
        <v>1702.31</v>
      </c>
      <c r="CG217" s="52">
        <v>1750.98</v>
      </c>
      <c r="CH217" s="52">
        <v>521.70000000000005</v>
      </c>
      <c r="CI217" s="52">
        <v>1679.4</v>
      </c>
      <c r="CJ217" s="52">
        <v>6396.43</v>
      </c>
      <c r="CK217" s="52">
        <v>3231.97</v>
      </c>
      <c r="CL217" s="52">
        <v>1048.6099999999999</v>
      </c>
      <c r="CM217" s="52">
        <v>2215.1999999999998</v>
      </c>
      <c r="CN217" s="52">
        <v>4066.47</v>
      </c>
      <c r="CO217" s="52">
        <v>3825.85</v>
      </c>
      <c r="CP217" s="52">
        <v>2242.44</v>
      </c>
      <c r="CQ217" s="52">
        <v>6391.32</v>
      </c>
      <c r="CR217" s="52">
        <v>3197.14</v>
      </c>
      <c r="CS217" s="52">
        <v>1942.11</v>
      </c>
      <c r="CT217" s="52">
        <v>2816.38</v>
      </c>
      <c r="CU217" s="52">
        <v>3100.44</v>
      </c>
      <c r="CV217" s="430">
        <f t="shared" si="6"/>
        <v>40474.359999999993</v>
      </c>
    </row>
    <row r="218" spans="1:100">
      <c r="A218" s="540" t="str">
        <f t="shared" si="5"/>
        <v>6400070</v>
      </c>
      <c r="B218" s="541" t="s">
        <v>2036</v>
      </c>
      <c r="C218" s="463" t="s">
        <v>1123</v>
      </c>
      <c r="D218" s="426">
        <v>5079.3500000000004</v>
      </c>
      <c r="E218" s="426">
        <v>14155.06</v>
      </c>
      <c r="F218" s="426">
        <v>2316.86</v>
      </c>
      <c r="G218" s="426">
        <v>5412.14</v>
      </c>
      <c r="H218" s="426">
        <v>6259.31</v>
      </c>
      <c r="I218" s="426">
        <v>3929.48</v>
      </c>
      <c r="J218" s="426">
        <v>2823.41</v>
      </c>
      <c r="K218" s="426">
        <v>8236.89</v>
      </c>
      <c r="L218" s="426">
        <v>3411.09</v>
      </c>
      <c r="M218" s="426">
        <v>4925.08</v>
      </c>
      <c r="N218" s="426">
        <v>9135.19</v>
      </c>
      <c r="O218" s="427">
        <v>2378.16</v>
      </c>
      <c r="P218" s="52">
        <v>10665.16</v>
      </c>
      <c r="Q218" s="52">
        <v>2514.88</v>
      </c>
      <c r="R218" s="52">
        <v>2889.04</v>
      </c>
      <c r="S218" s="52">
        <v>1605.72</v>
      </c>
      <c r="T218" s="52">
        <v>3587.7</v>
      </c>
      <c r="U218" s="52">
        <v>8145.14</v>
      </c>
      <c r="V218" s="52">
        <v>2431.94</v>
      </c>
      <c r="W218" s="52">
        <v>379.31</v>
      </c>
      <c r="X218" s="52">
        <v>10438.99</v>
      </c>
      <c r="Y218" s="52">
        <v>10052.34</v>
      </c>
      <c r="Z218" s="52">
        <v>17512.27</v>
      </c>
      <c r="AA218" s="52">
        <v>12620.32</v>
      </c>
      <c r="AB218" s="52">
        <v>9369.2199999999993</v>
      </c>
      <c r="AC218" s="52">
        <v>13044.06</v>
      </c>
      <c r="AD218" s="52">
        <v>6800.26</v>
      </c>
      <c r="AE218" s="52">
        <v>2882.38</v>
      </c>
      <c r="AF218" s="52">
        <v>4228.2299999999996</v>
      </c>
      <c r="AG218" s="52">
        <v>6527.87</v>
      </c>
      <c r="AH218" s="52">
        <v>10158.75</v>
      </c>
      <c r="AI218" s="52">
        <v>10426.73</v>
      </c>
      <c r="AJ218" s="52">
        <v>7853.2</v>
      </c>
      <c r="AK218" s="52">
        <v>12274.71</v>
      </c>
      <c r="AL218" s="52">
        <v>12665.66</v>
      </c>
      <c r="AM218" s="52">
        <v>7675.62</v>
      </c>
      <c r="AN218" s="52">
        <v>3941.17</v>
      </c>
      <c r="AO218" s="52">
        <v>4611.17</v>
      </c>
      <c r="AP218" s="52">
        <v>20343.11</v>
      </c>
      <c r="AQ218" s="52">
        <v>5028.2</v>
      </c>
      <c r="AR218" s="52">
        <v>24775.15</v>
      </c>
      <c r="AS218" s="52">
        <v>22786.54</v>
      </c>
      <c r="AT218" s="52">
        <v>3224.83</v>
      </c>
      <c r="AU218" s="52">
        <v>4838.1400000000003</v>
      </c>
      <c r="AV218" s="52">
        <v>12467.73</v>
      </c>
      <c r="AW218" s="52">
        <v>10652.15</v>
      </c>
      <c r="AX218" s="52">
        <v>3250.04</v>
      </c>
      <c r="AY218" s="52">
        <v>19886.52</v>
      </c>
      <c r="AZ218" s="52">
        <v>21337.19</v>
      </c>
      <c r="BA218" s="52">
        <v>70232.12</v>
      </c>
      <c r="BB218" s="52">
        <v>5394.94</v>
      </c>
      <c r="BC218" s="52">
        <v>3356.5</v>
      </c>
      <c r="BD218" s="52">
        <v>16940.53</v>
      </c>
      <c r="BE218" s="52">
        <v>4316.74</v>
      </c>
      <c r="BF218" s="52">
        <v>6758.11</v>
      </c>
      <c r="BG218" s="52">
        <v>4121.03</v>
      </c>
      <c r="BH218" s="52">
        <v>2563.23</v>
      </c>
      <c r="BI218" s="52">
        <v>5299.41</v>
      </c>
      <c r="BJ218" s="52">
        <v>17058.8</v>
      </c>
      <c r="BK218" s="52">
        <v>16769.52</v>
      </c>
      <c r="BL218" s="52">
        <v>4486.09</v>
      </c>
      <c r="BM218" s="52">
        <v>11106.36</v>
      </c>
      <c r="BN218" s="52">
        <v>13855.78</v>
      </c>
      <c r="BO218" s="52">
        <v>6728.34</v>
      </c>
      <c r="BP218" s="52">
        <v>9187.1</v>
      </c>
      <c r="BQ218" s="52">
        <v>2932.87</v>
      </c>
      <c r="BR218" s="52">
        <v>3966.98</v>
      </c>
      <c r="BS218" s="52">
        <v>5712.92</v>
      </c>
      <c r="BT218" s="52">
        <v>10553.84</v>
      </c>
      <c r="BU218" s="52">
        <v>22310.84</v>
      </c>
      <c r="BV218" s="52">
        <v>764.59</v>
      </c>
      <c r="BW218" s="52">
        <v>12667.24</v>
      </c>
      <c r="BX218" s="52">
        <v>18356.02</v>
      </c>
      <c r="BY218" s="52">
        <v>13929.51</v>
      </c>
      <c r="BZ218" s="52">
        <v>6289.38</v>
      </c>
      <c r="CA218" s="52">
        <v>7939.36</v>
      </c>
      <c r="CB218" s="52">
        <v>80183.94</v>
      </c>
      <c r="CC218" s="52">
        <v>85886.18</v>
      </c>
      <c r="CD218" s="52">
        <v>9066.68</v>
      </c>
      <c r="CE218" s="52">
        <v>4779.26</v>
      </c>
      <c r="CF218" s="52">
        <v>5708.16</v>
      </c>
      <c r="CG218" s="52">
        <v>11160.78</v>
      </c>
      <c r="CH218" s="52">
        <v>8781.0300000000007</v>
      </c>
      <c r="CI218" s="52">
        <v>4235.91</v>
      </c>
      <c r="CJ218" s="52">
        <v>5983.46</v>
      </c>
      <c r="CK218" s="52">
        <v>20117.11</v>
      </c>
      <c r="CL218" s="52">
        <v>4552.57</v>
      </c>
      <c r="CM218" s="52">
        <v>31633.7</v>
      </c>
      <c r="CN218" s="52">
        <v>20291.13</v>
      </c>
      <c r="CO218" s="52">
        <v>5820.95</v>
      </c>
      <c r="CP218" s="52">
        <v>4516.37</v>
      </c>
      <c r="CQ218" s="52">
        <v>2019.85</v>
      </c>
      <c r="CR218" s="52">
        <v>6353.46</v>
      </c>
      <c r="CS218" s="52">
        <v>8894.76</v>
      </c>
      <c r="CT218" s="52">
        <v>227058.51</v>
      </c>
      <c r="CU218" s="52">
        <v>21430.35</v>
      </c>
      <c r="CV218" s="430">
        <f t="shared" si="6"/>
        <v>358672.22</v>
      </c>
    </row>
    <row r="219" spans="1:100">
      <c r="A219" s="540" t="str">
        <f t="shared" si="5"/>
        <v>6400080</v>
      </c>
      <c r="B219" s="541" t="s">
        <v>2037</v>
      </c>
      <c r="C219" s="463" t="s">
        <v>1124</v>
      </c>
      <c r="D219" s="428">
        <v>22751.82</v>
      </c>
      <c r="E219" s="428">
        <v>24321.91</v>
      </c>
      <c r="F219" s="428">
        <v>35729.620000000003</v>
      </c>
      <c r="G219" s="428">
        <v>20301.310000000001</v>
      </c>
      <c r="H219" s="428">
        <v>588.9</v>
      </c>
      <c r="I219" s="428">
        <v>6639.82</v>
      </c>
      <c r="J219" s="428">
        <v>3576.89</v>
      </c>
      <c r="K219" s="428">
        <v>25448.18</v>
      </c>
      <c r="L219" s="428">
        <v>31390.14</v>
      </c>
      <c r="M219" s="428">
        <v>18962.95</v>
      </c>
      <c r="N219" s="428">
        <v>17207.39</v>
      </c>
      <c r="O219" s="429">
        <v>13948.32</v>
      </c>
      <c r="P219" s="52">
        <v>11696.42</v>
      </c>
      <c r="Q219" s="52">
        <v>10989</v>
      </c>
      <c r="R219" s="52">
        <v>10652.99</v>
      </c>
      <c r="S219" s="52">
        <v>12982.01</v>
      </c>
      <c r="T219" s="52">
        <v>14079.39</v>
      </c>
      <c r="U219" s="52">
        <v>17919.349999999999</v>
      </c>
      <c r="V219" s="52">
        <v>14370.34</v>
      </c>
      <c r="W219" s="52">
        <v>11217.3</v>
      </c>
      <c r="X219" s="52">
        <v>12292.5</v>
      </c>
      <c r="Y219" s="52">
        <v>260.57</v>
      </c>
      <c r="Z219" s="52">
        <v>1368.87</v>
      </c>
      <c r="AA219" s="52">
        <v>1550.5</v>
      </c>
      <c r="AB219" s="52">
        <v>948</v>
      </c>
      <c r="AC219" s="52">
        <v>1826.91</v>
      </c>
      <c r="AD219" s="52">
        <v>979.98</v>
      </c>
      <c r="AE219" s="52">
        <v>1539.65</v>
      </c>
      <c r="AF219" s="52">
        <v>773.05</v>
      </c>
      <c r="AG219" s="52">
        <v>1944</v>
      </c>
      <c r="AH219" s="52">
        <v>2185.12</v>
      </c>
      <c r="AI219" s="52">
        <v>2430.5100000000002</v>
      </c>
      <c r="AJ219" s="52">
        <v>999.89</v>
      </c>
      <c r="AK219" s="52">
        <v>1023.39</v>
      </c>
      <c r="AL219" s="52">
        <v>1229.6500000000001</v>
      </c>
      <c r="AM219" s="52">
        <v>1617.21</v>
      </c>
      <c r="AN219" s="52">
        <v>553</v>
      </c>
      <c r="AO219" s="52">
        <v>1136</v>
      </c>
      <c r="AP219" s="52">
        <v>992.79</v>
      </c>
      <c r="AQ219" s="52">
        <v>510.79</v>
      </c>
      <c r="AR219" s="52">
        <v>3539.88</v>
      </c>
      <c r="AS219" s="52">
        <v>1257.24</v>
      </c>
      <c r="AT219" s="52">
        <v>430.69</v>
      </c>
      <c r="AU219" s="52">
        <v>600.4</v>
      </c>
      <c r="AV219" s="52">
        <v>884.27</v>
      </c>
      <c r="AW219" s="52">
        <v>4299.07</v>
      </c>
      <c r="AX219" s="52">
        <v>1604.05</v>
      </c>
      <c r="AY219" s="52">
        <v>9831.17</v>
      </c>
      <c r="AZ219" s="52">
        <v>442</v>
      </c>
      <c r="BA219" s="52">
        <v>1122.04</v>
      </c>
      <c r="BB219" s="52">
        <v>839.13</v>
      </c>
      <c r="BC219" s="52">
        <v>1685.08</v>
      </c>
      <c r="BD219" s="52">
        <v>1299.03</v>
      </c>
      <c r="BE219" s="52">
        <v>6505.62</v>
      </c>
      <c r="BF219" s="52">
        <v>1273.8900000000001</v>
      </c>
      <c r="BG219" s="52">
        <v>-3696.17</v>
      </c>
      <c r="BH219" s="52">
        <v>1190.23</v>
      </c>
      <c r="BI219" s="52">
        <v>5402.82</v>
      </c>
      <c r="BJ219" s="52">
        <v>2810.76</v>
      </c>
      <c r="BK219" s="52">
        <v>43405.08</v>
      </c>
      <c r="BL219" s="52">
        <v>5800.3</v>
      </c>
      <c r="BM219" s="52">
        <v>1640.11</v>
      </c>
      <c r="BN219" s="52">
        <v>1912.48</v>
      </c>
      <c r="BO219" s="52">
        <v>1761.07</v>
      </c>
      <c r="BP219" s="52">
        <v>1343.8</v>
      </c>
      <c r="BQ219" s="52">
        <v>2153.89</v>
      </c>
      <c r="BR219" s="52">
        <v>7251.48</v>
      </c>
      <c r="BS219" s="52">
        <v>2732.99</v>
      </c>
      <c r="BT219" s="52">
        <v>2097.9699999999998</v>
      </c>
      <c r="BU219" s="52">
        <v>2020.46</v>
      </c>
      <c r="BV219" s="52">
        <v>693.45</v>
      </c>
      <c r="BW219" s="52">
        <v>1715.61</v>
      </c>
      <c r="BX219" s="52">
        <v>99</v>
      </c>
      <c r="BY219" s="52">
        <v>1033.54</v>
      </c>
      <c r="BZ219" s="52">
        <v>506.61</v>
      </c>
      <c r="CA219" s="52">
        <v>566.91999999999996</v>
      </c>
      <c r="CB219" s="52">
        <v>1585</v>
      </c>
      <c r="CC219" s="52">
        <v>2426.0100000000002</v>
      </c>
      <c r="CD219" s="52">
        <v>3422.23</v>
      </c>
      <c r="CE219" s="52">
        <v>6034.97</v>
      </c>
      <c r="CF219" s="52">
        <v>772.62</v>
      </c>
      <c r="CG219" s="52">
        <v>615.97</v>
      </c>
      <c r="CH219" s="52">
        <v>1170.71</v>
      </c>
      <c r="CI219" s="52">
        <v>1060.3699999999999</v>
      </c>
      <c r="CJ219" s="52">
        <v>81.790000000000006</v>
      </c>
      <c r="CK219" s="52">
        <v>816.27</v>
      </c>
      <c r="CL219" s="52">
        <v>1366.54</v>
      </c>
      <c r="CM219" s="52">
        <v>1157.18</v>
      </c>
      <c r="CN219" s="52">
        <v>4505.79</v>
      </c>
      <c r="CO219" s="52">
        <v>4118.76</v>
      </c>
      <c r="CP219" s="52">
        <v>2788.33</v>
      </c>
      <c r="CQ219" s="52">
        <v>5531.82</v>
      </c>
      <c r="CR219" s="52">
        <v>1270.1500000000001</v>
      </c>
      <c r="CS219" s="52">
        <v>1414.54</v>
      </c>
      <c r="CT219" s="52">
        <v>1844.6</v>
      </c>
      <c r="CU219" s="52">
        <v>5368.04</v>
      </c>
      <c r="CV219" s="430">
        <f t="shared" si="6"/>
        <v>30263.81</v>
      </c>
    </row>
    <row r="220" spans="1:100">
      <c r="A220" s="540" t="str">
        <f t="shared" ref="A220:A288" si="7">+B220</f>
        <v>6400100</v>
      </c>
      <c r="B220" s="541" t="s">
        <v>2038</v>
      </c>
      <c r="C220" s="463" t="s">
        <v>1125</v>
      </c>
      <c r="D220" s="426">
        <v>642228.73</v>
      </c>
      <c r="E220" s="426">
        <v>323335.33</v>
      </c>
      <c r="F220" s="426">
        <v>493114.24</v>
      </c>
      <c r="G220" s="426">
        <v>723222.93</v>
      </c>
      <c r="H220" s="426">
        <v>772048.62</v>
      </c>
      <c r="I220" s="426">
        <v>631826.17000000004</v>
      </c>
      <c r="J220" s="426">
        <v>1444557.23</v>
      </c>
      <c r="K220" s="426">
        <v>669659.49</v>
      </c>
      <c r="L220" s="426">
        <v>598351.24</v>
      </c>
      <c r="M220" s="426">
        <v>1330511.17</v>
      </c>
      <c r="N220" s="426">
        <v>860466.05</v>
      </c>
      <c r="O220" s="427">
        <v>1659423.58</v>
      </c>
      <c r="P220" s="52">
        <v>638872.13</v>
      </c>
      <c r="Q220" s="52">
        <v>472564.45</v>
      </c>
      <c r="R220" s="52">
        <v>1179066.83</v>
      </c>
      <c r="S220" s="52">
        <v>848353.11</v>
      </c>
      <c r="T220" s="52">
        <v>1672124.57</v>
      </c>
      <c r="U220" s="52">
        <v>1124284.6200000001</v>
      </c>
      <c r="V220" s="52">
        <v>1146352.55</v>
      </c>
      <c r="W220" s="52">
        <v>660463.18999999994</v>
      </c>
      <c r="X220" s="52">
        <v>1045720.19</v>
      </c>
      <c r="Y220" s="52">
        <v>1288356.43</v>
      </c>
      <c r="Z220" s="52">
        <v>1980547.07</v>
      </c>
      <c r="AA220" s="52">
        <v>3103931.57</v>
      </c>
      <c r="AB220" s="52">
        <v>330056.65999999997</v>
      </c>
      <c r="AC220" s="52">
        <v>995195.71</v>
      </c>
      <c r="AD220" s="52">
        <v>1526984.74</v>
      </c>
      <c r="AE220" s="52">
        <v>976204.11</v>
      </c>
      <c r="AF220" s="52">
        <v>994575.7</v>
      </c>
      <c r="AG220" s="52">
        <v>2054497.62</v>
      </c>
      <c r="AH220" s="52">
        <v>1035393.03</v>
      </c>
      <c r="AI220" s="52">
        <v>1616548.84</v>
      </c>
      <c r="AJ220" s="52">
        <v>1423807.71</v>
      </c>
      <c r="AK220" s="52">
        <v>1427223.63</v>
      </c>
      <c r="AL220" s="52">
        <v>1425455.25</v>
      </c>
      <c r="AM220" s="52">
        <v>2636591.65</v>
      </c>
      <c r="AN220" s="52">
        <v>865147.74</v>
      </c>
      <c r="AO220" s="52">
        <v>1182371.43</v>
      </c>
      <c r="AP220" s="52">
        <v>1375667.61</v>
      </c>
      <c r="AQ220" s="52">
        <v>833520.78</v>
      </c>
      <c r="AR220" s="52">
        <v>2116793.85</v>
      </c>
      <c r="AS220" s="52">
        <v>1662189.4</v>
      </c>
      <c r="AT220" s="52">
        <v>1856104.62</v>
      </c>
      <c r="AU220" s="52">
        <v>2020065.54</v>
      </c>
      <c r="AV220" s="52">
        <v>2186907.9900000002</v>
      </c>
      <c r="AW220" s="52">
        <v>1580372.81</v>
      </c>
      <c r="AX220" s="52">
        <v>1413647.46</v>
      </c>
      <c r="AY220" s="52">
        <v>2057608.6</v>
      </c>
      <c r="AZ220" s="52">
        <v>920006.98</v>
      </c>
      <c r="BA220" s="52">
        <v>781255.42</v>
      </c>
      <c r="BB220" s="52">
        <v>2211066.85</v>
      </c>
      <c r="BC220" s="52">
        <v>1184531.42</v>
      </c>
      <c r="BD220" s="52">
        <v>2851367.79</v>
      </c>
      <c r="BE220" s="52">
        <v>1649932.65</v>
      </c>
      <c r="BF220" s="52">
        <v>1350621.55</v>
      </c>
      <c r="BG220" s="52">
        <v>2237110.2400000002</v>
      </c>
      <c r="BH220" s="52">
        <v>3720138.28</v>
      </c>
      <c r="BI220" s="52">
        <v>1431995.37</v>
      </c>
      <c r="BJ220" s="52">
        <v>2501664.0699999998</v>
      </c>
      <c r="BK220" s="52">
        <v>2109160.98</v>
      </c>
      <c r="BL220" s="52">
        <v>1467964.73</v>
      </c>
      <c r="BM220" s="52">
        <v>1586384.62</v>
      </c>
      <c r="BN220" s="52">
        <v>3059123.49</v>
      </c>
      <c r="BO220" s="52">
        <v>1741223.19</v>
      </c>
      <c r="BP220" s="52">
        <v>2214510.33</v>
      </c>
      <c r="BQ220" s="52">
        <v>2565375.2200000002</v>
      </c>
      <c r="BR220" s="52">
        <v>2988280.27</v>
      </c>
      <c r="BS220" s="52">
        <v>2082331.87</v>
      </c>
      <c r="BT220" s="52">
        <v>1555801.95</v>
      </c>
      <c r="BU220" s="52">
        <v>2951148.72</v>
      </c>
      <c r="BV220" s="52">
        <v>1554136.29</v>
      </c>
      <c r="BW220" s="52">
        <v>2826343.14</v>
      </c>
      <c r="BX220" s="52">
        <v>3154882.96</v>
      </c>
      <c r="BY220" s="52">
        <v>1715611.21</v>
      </c>
      <c r="BZ220" s="52">
        <v>2116557.56</v>
      </c>
      <c r="CA220" s="52">
        <v>2946194.02</v>
      </c>
      <c r="CB220" s="52">
        <v>3471987.55</v>
      </c>
      <c r="CC220" s="52">
        <v>2151193.23</v>
      </c>
      <c r="CD220" s="52">
        <v>2714482.81</v>
      </c>
      <c r="CE220" s="52">
        <v>6576755.04</v>
      </c>
      <c r="CF220" s="52">
        <v>5043303.8899999997</v>
      </c>
      <c r="CG220" s="52">
        <v>3819233.41</v>
      </c>
      <c r="CH220" s="52">
        <v>4289050.97</v>
      </c>
      <c r="CI220" s="52">
        <v>4358261.0599999996</v>
      </c>
      <c r="CJ220" s="52">
        <v>2915113.16</v>
      </c>
      <c r="CK220" s="52">
        <v>1317847.68</v>
      </c>
      <c r="CL220" s="52">
        <v>2039596.36</v>
      </c>
      <c r="CM220" s="52">
        <v>2760289.77</v>
      </c>
      <c r="CN220" s="52">
        <v>2356080.7999999998</v>
      </c>
      <c r="CO220" s="52">
        <v>3854071.3</v>
      </c>
      <c r="CP220" s="52">
        <v>9825471.8300000001</v>
      </c>
      <c r="CQ220" s="52">
        <v>4032012.51</v>
      </c>
      <c r="CR220" s="52">
        <v>3228118.89</v>
      </c>
      <c r="CS220" s="52">
        <v>3721083.84</v>
      </c>
      <c r="CT220" s="52">
        <v>2996582.74</v>
      </c>
      <c r="CU220" s="52">
        <v>4080500.26</v>
      </c>
      <c r="CV220" s="430">
        <f t="shared" si="6"/>
        <v>43126769.140000001</v>
      </c>
    </row>
    <row r="221" spans="1:100">
      <c r="A221" s="540" t="str">
        <f t="shared" si="7"/>
        <v>6400500</v>
      </c>
      <c r="B221" s="541" t="s">
        <v>2039</v>
      </c>
      <c r="C221" s="463" t="s">
        <v>1126</v>
      </c>
      <c r="D221" s="428">
        <v>114911.83</v>
      </c>
      <c r="E221" s="428">
        <v>181984.01</v>
      </c>
      <c r="F221" s="428">
        <v>105354.58</v>
      </c>
      <c r="G221" s="428">
        <v>174628.67</v>
      </c>
      <c r="H221" s="428">
        <v>86705.13</v>
      </c>
      <c r="I221" s="428">
        <v>102941.39</v>
      </c>
      <c r="J221" s="428">
        <v>104147.84</v>
      </c>
      <c r="K221" s="428">
        <v>76320.990000000005</v>
      </c>
      <c r="L221" s="428">
        <v>55573.24</v>
      </c>
      <c r="M221" s="428">
        <v>101729.55</v>
      </c>
      <c r="N221" s="428">
        <v>37375.040000000001</v>
      </c>
      <c r="O221" s="429">
        <v>59534.1</v>
      </c>
      <c r="P221" s="52">
        <v>38075.769999999997</v>
      </c>
      <c r="Q221" s="52">
        <v>19002.349999999999</v>
      </c>
      <c r="R221" s="52">
        <v>37511.370000000003</v>
      </c>
      <c r="S221" s="52">
        <v>57307.92</v>
      </c>
      <c r="T221" s="52">
        <v>24837.63</v>
      </c>
      <c r="U221" s="52">
        <v>54980.77</v>
      </c>
      <c r="V221" s="52">
        <v>18599.740000000002</v>
      </c>
      <c r="W221" s="52">
        <v>19114.73</v>
      </c>
      <c r="X221" s="52">
        <v>78027.509999999995</v>
      </c>
      <c r="Y221" s="52">
        <v>100304.99</v>
      </c>
      <c r="Z221" s="52">
        <v>33893.53</v>
      </c>
      <c r="AA221" s="52">
        <v>109563.97</v>
      </c>
      <c r="AB221" s="52">
        <v>20659.12</v>
      </c>
      <c r="AC221" s="52">
        <v>83940.75</v>
      </c>
      <c r="AD221" s="52">
        <v>49621.73</v>
      </c>
      <c r="AE221" s="52">
        <v>25039.45</v>
      </c>
      <c r="AF221" s="52">
        <v>37631.440000000002</v>
      </c>
      <c r="AG221" s="52">
        <v>30874.59</v>
      </c>
      <c r="AH221" s="52">
        <v>18214.27</v>
      </c>
      <c r="AI221" s="52">
        <v>55886.78</v>
      </c>
      <c r="AJ221" s="52">
        <v>30707.72</v>
      </c>
      <c r="AK221" s="52">
        <v>24696.02</v>
      </c>
      <c r="AL221" s="52">
        <v>28882.46</v>
      </c>
      <c r="AM221" s="52">
        <v>39143.919999999998</v>
      </c>
      <c r="AN221" s="52">
        <v>6969.53</v>
      </c>
      <c r="AO221" s="52">
        <v>29418.32</v>
      </c>
      <c r="AP221" s="52">
        <v>31609.09</v>
      </c>
      <c r="AQ221" s="52">
        <v>12916.81</v>
      </c>
      <c r="AR221" s="52">
        <v>9367.1</v>
      </c>
      <c r="AS221" s="52">
        <v>12669.52</v>
      </c>
      <c r="AT221" s="52">
        <v>14661.99</v>
      </c>
      <c r="AU221" s="52">
        <v>16667.29</v>
      </c>
      <c r="AV221" s="52">
        <v>20691.02</v>
      </c>
      <c r="AW221" s="52">
        <v>18379.82</v>
      </c>
      <c r="AX221" s="52">
        <v>13196.68</v>
      </c>
      <c r="AY221" s="52">
        <v>32096.86</v>
      </c>
      <c r="AZ221" s="52">
        <v>3136.9</v>
      </c>
      <c r="BA221" s="52">
        <v>9472.94</v>
      </c>
      <c r="BB221" s="52">
        <v>5438.58</v>
      </c>
      <c r="BC221" s="52">
        <v>34642.43</v>
      </c>
      <c r="BD221" s="52">
        <v>11199.16</v>
      </c>
      <c r="BE221" s="52">
        <v>4050.69</v>
      </c>
      <c r="BF221" s="52">
        <v>145382.15</v>
      </c>
      <c r="BG221" s="52">
        <v>5138.05</v>
      </c>
      <c r="BH221" s="52">
        <v>19763.82</v>
      </c>
      <c r="BI221" s="52">
        <v>28534.98</v>
      </c>
      <c r="BJ221" s="52">
        <v>43735.86</v>
      </c>
      <c r="BK221" s="52">
        <v>37352.54</v>
      </c>
      <c r="BL221" s="52">
        <v>16384.810000000001</v>
      </c>
      <c r="BM221" s="52">
        <v>24967.72</v>
      </c>
      <c r="BN221" s="52">
        <v>13092.22</v>
      </c>
      <c r="BO221" s="52">
        <v>22414.18</v>
      </c>
      <c r="BP221" s="52">
        <v>18910.849999999999</v>
      </c>
      <c r="BQ221" s="52">
        <v>16391.43</v>
      </c>
      <c r="BR221" s="52">
        <v>28066.35</v>
      </c>
      <c r="BS221" s="52">
        <v>40906.07</v>
      </c>
      <c r="BT221" s="52">
        <v>12420.74</v>
      </c>
      <c r="BU221" s="52">
        <v>47834.74</v>
      </c>
      <c r="BV221" s="52">
        <v>11085.84</v>
      </c>
      <c r="BW221" s="52">
        <v>39367.449999999997</v>
      </c>
      <c r="BX221" s="52">
        <v>5416.97</v>
      </c>
      <c r="BY221" s="52">
        <v>40470.03</v>
      </c>
      <c r="BZ221" s="52">
        <v>28892.47</v>
      </c>
      <c r="CA221" s="52">
        <v>5309.17</v>
      </c>
      <c r="CB221" s="52">
        <v>8510.2800000000007</v>
      </c>
      <c r="CC221" s="52">
        <v>2179.5500000000002</v>
      </c>
      <c r="CD221" s="52">
        <v>82158.75</v>
      </c>
      <c r="CE221" s="52">
        <v>55830.98</v>
      </c>
      <c r="CF221" s="52">
        <v>18428.349999999999</v>
      </c>
      <c r="CG221" s="52">
        <v>26467.11</v>
      </c>
      <c r="CH221" s="52">
        <v>28809.68</v>
      </c>
      <c r="CI221" s="52">
        <v>33146.589999999997</v>
      </c>
      <c r="CJ221" s="52">
        <v>8970.7099999999991</v>
      </c>
      <c r="CK221" s="52">
        <v>17865.509999999998</v>
      </c>
      <c r="CL221" s="52">
        <v>37036.04</v>
      </c>
      <c r="CM221" s="52">
        <v>1806.68</v>
      </c>
      <c r="CN221" s="52">
        <v>11541.38</v>
      </c>
      <c r="CO221" s="52">
        <v>14895.86</v>
      </c>
      <c r="CP221" s="52">
        <v>37411</v>
      </c>
      <c r="CQ221" s="52">
        <v>3455.63</v>
      </c>
      <c r="CR221" s="52">
        <v>3907.54</v>
      </c>
      <c r="CS221" s="52">
        <v>7041.16</v>
      </c>
      <c r="CT221" s="52">
        <v>6053.83</v>
      </c>
      <c r="CU221" s="52">
        <v>9978.2000000000007</v>
      </c>
      <c r="CV221" s="430">
        <f t="shared" si="6"/>
        <v>159963.54</v>
      </c>
    </row>
    <row r="222" spans="1:100">
      <c r="A222" s="540" t="str">
        <f t="shared" si="7"/>
        <v>6400505</v>
      </c>
      <c r="B222" s="541" t="s">
        <v>2041</v>
      </c>
      <c r="C222" s="463" t="s">
        <v>1438</v>
      </c>
      <c r="D222" s="428"/>
      <c r="E222" s="428"/>
      <c r="F222" s="428"/>
      <c r="G222" s="428"/>
      <c r="H222" s="428"/>
      <c r="I222" s="428"/>
      <c r="J222" s="428"/>
      <c r="K222" s="428"/>
      <c r="L222" s="428"/>
      <c r="M222" s="428"/>
      <c r="N222" s="428"/>
      <c r="O222" s="429"/>
      <c r="P222" s="52"/>
      <c r="Q222" s="52"/>
      <c r="R222" s="52"/>
      <c r="S222" s="52"/>
      <c r="T222" s="52"/>
      <c r="U222" s="52"/>
      <c r="V222" s="52"/>
      <c r="W222" s="52"/>
      <c r="X222" s="52"/>
      <c r="Y222" s="52"/>
      <c r="Z222" s="52"/>
      <c r="AA222" s="52"/>
      <c r="AB222" s="52"/>
      <c r="AC222" s="52"/>
      <c r="AD222" s="52"/>
      <c r="AE222" s="52">
        <v>0</v>
      </c>
      <c r="AF222" s="52">
        <v>136.91999999999999</v>
      </c>
      <c r="AG222" s="52">
        <v>0</v>
      </c>
      <c r="AH222" s="52">
        <v>24.59</v>
      </c>
      <c r="AI222" s="52">
        <v>733.73</v>
      </c>
      <c r="AJ222" s="52">
        <v>146.04</v>
      </c>
      <c r="AK222" s="52">
        <v>48.15</v>
      </c>
      <c r="AL222" s="52">
        <v>44.35</v>
      </c>
      <c r="AM222" s="52">
        <v>219.99</v>
      </c>
      <c r="AN222" s="52">
        <v>0</v>
      </c>
      <c r="AO222" s="52">
        <v>2106.1999999999998</v>
      </c>
      <c r="AP222" s="52">
        <v>145.91999999999999</v>
      </c>
      <c r="AQ222" s="52">
        <v>0</v>
      </c>
      <c r="AR222" s="52">
        <v>0</v>
      </c>
      <c r="AS222" s="52">
        <v>0</v>
      </c>
      <c r="AT222" s="52">
        <v>75.61</v>
      </c>
      <c r="AU222" s="52">
        <v>0</v>
      </c>
      <c r="AV222" s="52">
        <v>566.84</v>
      </c>
      <c r="AW222" s="52">
        <v>0</v>
      </c>
      <c r="AX222" s="52">
        <v>0</v>
      </c>
      <c r="AY222" s="52">
        <v>0</v>
      </c>
      <c r="AZ222" s="52">
        <v>0</v>
      </c>
      <c r="BA222" s="52">
        <v>0</v>
      </c>
      <c r="BB222" s="52">
        <v>0</v>
      </c>
      <c r="BC222" s="52">
        <v>464.43</v>
      </c>
      <c r="BD222" s="52">
        <v>57.66</v>
      </c>
      <c r="BE222" s="52">
        <v>473.18</v>
      </c>
      <c r="BF222" s="52">
        <v>0</v>
      </c>
      <c r="BG222" s="52">
        <v>768.22</v>
      </c>
      <c r="BH222" s="52">
        <v>0</v>
      </c>
      <c r="BI222" s="52">
        <v>269.33999999999997</v>
      </c>
      <c r="BJ222" s="52">
        <v>0</v>
      </c>
      <c r="BK222" s="52">
        <v>359.43</v>
      </c>
      <c r="BL222" s="52">
        <v>0</v>
      </c>
      <c r="BM222" s="52">
        <v>119.63</v>
      </c>
      <c r="BN222" s="52">
        <v>17.079999999999998</v>
      </c>
      <c r="BO222" s="52">
        <v>48.15</v>
      </c>
      <c r="BP222" s="52">
        <v>0</v>
      </c>
      <c r="BQ222" s="52">
        <v>0</v>
      </c>
      <c r="BR222" s="52">
        <v>145.24</v>
      </c>
      <c r="BS222" s="52">
        <v>9.5399999999999991</v>
      </c>
      <c r="BT222" s="52">
        <v>50.11</v>
      </c>
      <c r="BU222" s="52">
        <v>235.46</v>
      </c>
      <c r="BV222" s="52">
        <v>224.8</v>
      </c>
      <c r="BW222" s="52">
        <v>104.28</v>
      </c>
      <c r="BX222" s="52">
        <v>0</v>
      </c>
      <c r="BY222" s="52">
        <v>721.64</v>
      </c>
      <c r="BZ222" s="52">
        <v>1779.87</v>
      </c>
      <c r="CA222" s="52">
        <v>112.77</v>
      </c>
      <c r="CB222" s="52">
        <v>4.79</v>
      </c>
      <c r="CC222" s="52">
        <v>10.67</v>
      </c>
      <c r="CD222" s="52">
        <v>161.56</v>
      </c>
      <c r="CE222" s="52">
        <v>0</v>
      </c>
      <c r="CF222" s="52">
        <v>0</v>
      </c>
      <c r="CG222" s="52">
        <v>0</v>
      </c>
      <c r="CH222" s="52">
        <v>0</v>
      </c>
      <c r="CI222" s="52">
        <v>0</v>
      </c>
      <c r="CJ222" s="52">
        <v>0</v>
      </c>
      <c r="CK222" s="52">
        <v>0</v>
      </c>
      <c r="CL222" s="52">
        <v>0</v>
      </c>
      <c r="CM222" s="52">
        <v>0</v>
      </c>
      <c r="CN222" s="52">
        <v>0</v>
      </c>
      <c r="CO222" s="52">
        <v>0</v>
      </c>
      <c r="CP222" s="52">
        <v>0</v>
      </c>
      <c r="CQ222" s="52">
        <v>0</v>
      </c>
      <c r="CR222" s="52">
        <v>0</v>
      </c>
      <c r="CS222" s="52">
        <v>0</v>
      </c>
      <c r="CT222" s="52">
        <v>0</v>
      </c>
      <c r="CU222" s="52">
        <v>0</v>
      </c>
      <c r="CV222" s="430">
        <f t="shared" si="6"/>
        <v>0</v>
      </c>
    </row>
    <row r="223" spans="1:100">
      <c r="A223" s="540" t="str">
        <f t="shared" si="7"/>
        <v>6400510</v>
      </c>
      <c r="B223" s="541" t="s">
        <v>2040</v>
      </c>
      <c r="C223" s="463" t="s">
        <v>1127</v>
      </c>
      <c r="D223" s="428">
        <v>3981.7</v>
      </c>
      <c r="E223" s="428">
        <v>7733.5</v>
      </c>
      <c r="F223" s="428">
        <v>15644.96</v>
      </c>
      <c r="G223" s="428">
        <v>28317.68</v>
      </c>
      <c r="H223" s="428">
        <v>9703.16</v>
      </c>
      <c r="I223" s="428">
        <v>10492.62</v>
      </c>
      <c r="J223" s="428">
        <v>7449.85</v>
      </c>
      <c r="K223" s="428">
        <v>11307.68</v>
      </c>
      <c r="L223" s="428">
        <v>20275.59</v>
      </c>
      <c r="M223" s="428">
        <v>22273.91</v>
      </c>
      <c r="N223" s="428">
        <v>33518.46</v>
      </c>
      <c r="O223" s="429">
        <v>24759.360000000001</v>
      </c>
      <c r="P223" s="52">
        <v>5019.2700000000004</v>
      </c>
      <c r="Q223" s="52">
        <v>6927.76</v>
      </c>
      <c r="R223" s="52">
        <v>3541.29</v>
      </c>
      <c r="S223" s="52">
        <v>12914.75</v>
      </c>
      <c r="T223" s="52">
        <v>6312.45</v>
      </c>
      <c r="U223" s="52">
        <v>11106.31</v>
      </c>
      <c r="V223" s="52">
        <v>28188.92</v>
      </c>
      <c r="W223" s="52">
        <v>22559.599999999999</v>
      </c>
      <c r="X223" s="52">
        <v>7997.64</v>
      </c>
      <c r="Y223" s="52">
        <v>48056.29</v>
      </c>
      <c r="Z223" s="52">
        <v>38203.69</v>
      </c>
      <c r="AA223" s="52">
        <v>11609.43</v>
      </c>
      <c r="AB223" s="52">
        <v>2423.09</v>
      </c>
      <c r="AC223" s="52">
        <v>8447.7800000000007</v>
      </c>
      <c r="AD223" s="52">
        <v>10086.76</v>
      </c>
      <c r="AE223" s="52">
        <v>7694.67</v>
      </c>
      <c r="AF223" s="52">
        <v>40877.58</v>
      </c>
      <c r="AG223" s="52">
        <v>4772.0600000000004</v>
      </c>
      <c r="AH223" s="52">
        <v>5207.75</v>
      </c>
      <c r="AI223" s="52">
        <v>6549.53</v>
      </c>
      <c r="AJ223" s="52">
        <v>7670.58</v>
      </c>
      <c r="AK223" s="52">
        <v>4866.49</v>
      </c>
      <c r="AL223" s="52">
        <v>8505.68</v>
      </c>
      <c r="AM223" s="52">
        <v>39413.33</v>
      </c>
      <c r="AN223" s="52">
        <v>1634.6</v>
      </c>
      <c r="AO223" s="52">
        <v>6260.15</v>
      </c>
      <c r="AP223" s="52">
        <v>8642.93</v>
      </c>
      <c r="AQ223" s="52">
        <v>8129.78</v>
      </c>
      <c r="AR223" s="52">
        <v>9188.9</v>
      </c>
      <c r="AS223" s="52">
        <v>7479.1</v>
      </c>
      <c r="AT223" s="52">
        <v>5625.48</v>
      </c>
      <c r="AU223" s="52">
        <v>11046.4</v>
      </c>
      <c r="AV223" s="52">
        <v>6809.14</v>
      </c>
      <c r="AW223" s="52">
        <v>23730.76</v>
      </c>
      <c r="AX223" s="52">
        <v>5734.19</v>
      </c>
      <c r="AY223" s="52">
        <v>95362.42</v>
      </c>
      <c r="AZ223" s="52">
        <v>2624.87</v>
      </c>
      <c r="BA223" s="52">
        <v>6123.96</v>
      </c>
      <c r="BB223" s="52">
        <v>14602.43</v>
      </c>
      <c r="BC223" s="52">
        <v>13712.45</v>
      </c>
      <c r="BD223" s="52">
        <v>27541.599999999999</v>
      </c>
      <c r="BE223" s="52">
        <v>20492.07</v>
      </c>
      <c r="BF223" s="52">
        <v>152.11000000000001</v>
      </c>
      <c r="BG223" s="52">
        <v>6249.12</v>
      </c>
      <c r="BH223" s="52">
        <v>2395.0700000000002</v>
      </c>
      <c r="BI223" s="52">
        <v>14224.09</v>
      </c>
      <c r="BJ223" s="52">
        <v>12852.95</v>
      </c>
      <c r="BK223" s="52">
        <v>11989.6</v>
      </c>
      <c r="BL223" s="52">
        <v>33162.910000000003</v>
      </c>
      <c r="BM223" s="52">
        <v>6700.12</v>
      </c>
      <c r="BN223" s="52">
        <v>8288.9500000000007</v>
      </c>
      <c r="BO223" s="52">
        <v>1726.97</v>
      </c>
      <c r="BP223" s="52">
        <v>4003.59</v>
      </c>
      <c r="BQ223" s="52">
        <v>5119.93</v>
      </c>
      <c r="BR223" s="52">
        <v>35628.269999999997</v>
      </c>
      <c r="BS223" s="52">
        <v>6415.95</v>
      </c>
      <c r="BT223" s="52">
        <v>3338.01</v>
      </c>
      <c r="BU223" s="52">
        <v>7585.88</v>
      </c>
      <c r="BV223" s="52">
        <v>4741.74</v>
      </c>
      <c r="BW223" s="52">
        <v>11461.52</v>
      </c>
      <c r="BX223" s="52">
        <v>0</v>
      </c>
      <c r="BY223" s="52">
        <v>3613.78</v>
      </c>
      <c r="BZ223" s="52">
        <v>3537.6</v>
      </c>
      <c r="CA223" s="52">
        <v>4549.47</v>
      </c>
      <c r="CB223" s="52">
        <v>5251.71</v>
      </c>
      <c r="CC223" s="52">
        <v>3948.85</v>
      </c>
      <c r="CD223" s="52">
        <v>6634.23</v>
      </c>
      <c r="CE223" s="52">
        <v>7032.36</v>
      </c>
      <c r="CF223" s="52">
        <v>15501.82</v>
      </c>
      <c r="CG223" s="52">
        <v>8555.58</v>
      </c>
      <c r="CH223" s="52">
        <v>2625.07</v>
      </c>
      <c r="CI223" s="52">
        <v>26164.240000000002</v>
      </c>
      <c r="CJ223" s="52">
        <v>3350.62</v>
      </c>
      <c r="CK223" s="52">
        <v>4844.38</v>
      </c>
      <c r="CL223" s="52">
        <v>5594.89</v>
      </c>
      <c r="CM223" s="52">
        <v>12538.96</v>
      </c>
      <c r="CN223" s="52">
        <v>27996.84</v>
      </c>
      <c r="CO223" s="52">
        <v>5582.7</v>
      </c>
      <c r="CP223" s="52">
        <v>8540</v>
      </c>
      <c r="CQ223" s="52">
        <v>5029.2299999999996</v>
      </c>
      <c r="CR223" s="52">
        <v>9467.06</v>
      </c>
      <c r="CS223" s="52">
        <v>7302.07</v>
      </c>
      <c r="CT223" s="52">
        <v>7600.98</v>
      </c>
      <c r="CU223" s="52">
        <v>12850.87</v>
      </c>
      <c r="CV223" s="430">
        <f t="shared" si="6"/>
        <v>110698.59999999999</v>
      </c>
    </row>
    <row r="224" spans="1:100">
      <c r="A224" s="540" t="str">
        <f t="shared" si="7"/>
        <v>6400520</v>
      </c>
      <c r="B224" s="541" t="s">
        <v>2042</v>
      </c>
      <c r="C224" s="463" t="s">
        <v>1734</v>
      </c>
      <c r="D224" s="428"/>
      <c r="E224" s="428"/>
      <c r="F224" s="428"/>
      <c r="G224" s="428"/>
      <c r="H224" s="428"/>
      <c r="I224" s="428"/>
      <c r="J224" s="428"/>
      <c r="K224" s="428"/>
      <c r="L224" s="428"/>
      <c r="M224" s="428"/>
      <c r="N224" s="428"/>
      <c r="O224" s="429"/>
      <c r="P224" s="52"/>
      <c r="Q224" s="52"/>
      <c r="R224" s="52"/>
      <c r="S224" s="52"/>
      <c r="T224" s="52"/>
      <c r="U224" s="52"/>
      <c r="V224" s="52"/>
      <c r="W224" s="52"/>
      <c r="X224" s="52"/>
      <c r="Y224" s="52"/>
      <c r="Z224" s="52"/>
      <c r="AA224" s="52"/>
      <c r="AB224" s="52"/>
      <c r="AC224" s="52"/>
      <c r="AD224" s="52"/>
      <c r="AE224" s="52"/>
      <c r="AF224" s="52"/>
      <c r="AG224" s="52"/>
      <c r="AH224" s="52"/>
      <c r="AI224" s="52"/>
      <c r="AJ224" s="52"/>
      <c r="AK224" s="52">
        <v>0</v>
      </c>
      <c r="AL224" s="52">
        <v>15910.38</v>
      </c>
      <c r="AM224" s="52">
        <v>27068.04</v>
      </c>
      <c r="AN224" s="52">
        <v>204.9</v>
      </c>
      <c r="AO224" s="52">
        <v>0</v>
      </c>
      <c r="AP224" s="52">
        <v>0</v>
      </c>
      <c r="AQ224" s="52">
        <v>0</v>
      </c>
      <c r="AR224" s="52">
        <v>0</v>
      </c>
      <c r="AS224" s="52">
        <v>0</v>
      </c>
      <c r="AT224" s="52">
        <v>0</v>
      </c>
      <c r="AU224" s="52">
        <v>0</v>
      </c>
      <c r="AV224" s="52">
        <v>0</v>
      </c>
      <c r="AW224" s="52">
        <v>0</v>
      </c>
      <c r="AX224" s="52">
        <v>0</v>
      </c>
      <c r="AY224" s="52">
        <v>0</v>
      </c>
      <c r="AZ224" s="52">
        <v>0</v>
      </c>
      <c r="BA224" s="52">
        <v>0</v>
      </c>
      <c r="BB224" s="52">
        <v>0</v>
      </c>
      <c r="BC224" s="52">
        <v>0</v>
      </c>
      <c r="BD224" s="52">
        <v>0</v>
      </c>
      <c r="BE224" s="52">
        <v>0</v>
      </c>
      <c r="BF224" s="52">
        <v>0</v>
      </c>
      <c r="BG224" s="52">
        <v>0</v>
      </c>
      <c r="BH224" s="52">
        <v>0</v>
      </c>
      <c r="BI224" s="52">
        <v>0</v>
      </c>
      <c r="BJ224" s="52">
        <v>0</v>
      </c>
      <c r="BK224" s="52">
        <v>0</v>
      </c>
      <c r="BL224" s="52">
        <v>0</v>
      </c>
      <c r="BM224" s="52">
        <v>0</v>
      </c>
      <c r="BN224" s="52">
        <v>0</v>
      </c>
      <c r="BO224" s="52">
        <v>0</v>
      </c>
      <c r="BP224" s="52">
        <v>0</v>
      </c>
      <c r="BQ224" s="52">
        <v>0</v>
      </c>
      <c r="BR224" s="52">
        <v>0</v>
      </c>
      <c r="BS224" s="52">
        <v>0</v>
      </c>
      <c r="BT224" s="52">
        <v>0</v>
      </c>
      <c r="BU224" s="52">
        <v>1063.53</v>
      </c>
      <c r="BV224" s="52">
        <v>461.13</v>
      </c>
      <c r="BW224" s="52">
        <v>9092.85</v>
      </c>
      <c r="BX224" s="52">
        <v>0</v>
      </c>
      <c r="BY224" s="52">
        <v>0</v>
      </c>
      <c r="BZ224" s="52">
        <v>0</v>
      </c>
      <c r="CA224" s="52">
        <v>0</v>
      </c>
      <c r="CB224" s="52">
        <v>0</v>
      </c>
      <c r="CC224" s="52">
        <v>0</v>
      </c>
      <c r="CD224" s="52">
        <v>0</v>
      </c>
      <c r="CE224" s="52">
        <v>0</v>
      </c>
      <c r="CF224" s="52">
        <v>0</v>
      </c>
      <c r="CG224" s="52">
        <v>0</v>
      </c>
      <c r="CH224" s="52">
        <v>0</v>
      </c>
      <c r="CI224" s="52">
        <v>0</v>
      </c>
      <c r="CJ224" s="52">
        <v>0</v>
      </c>
      <c r="CK224" s="52">
        <v>0</v>
      </c>
      <c r="CL224" s="52">
        <v>0</v>
      </c>
      <c r="CM224" s="52">
        <v>0</v>
      </c>
      <c r="CN224" s="52">
        <v>0</v>
      </c>
      <c r="CO224" s="52">
        <v>0</v>
      </c>
      <c r="CP224" s="52">
        <v>0</v>
      </c>
      <c r="CQ224" s="52">
        <v>0</v>
      </c>
      <c r="CR224" s="52">
        <v>0</v>
      </c>
      <c r="CS224" s="52">
        <v>0</v>
      </c>
      <c r="CT224" s="52">
        <v>0</v>
      </c>
      <c r="CU224" s="52">
        <v>0</v>
      </c>
      <c r="CV224" s="430">
        <f t="shared" si="6"/>
        <v>0</v>
      </c>
    </row>
    <row r="225" spans="1:100">
      <c r="A225" s="540" t="str">
        <f t="shared" si="7"/>
        <v>6400521</v>
      </c>
      <c r="B225" s="541" t="s">
        <v>2045</v>
      </c>
      <c r="C225" s="463" t="s">
        <v>1128</v>
      </c>
      <c r="D225" s="426">
        <v>0</v>
      </c>
      <c r="E225" s="426">
        <v>0</v>
      </c>
      <c r="F225" s="426">
        <v>0</v>
      </c>
      <c r="G225" s="426">
        <v>0</v>
      </c>
      <c r="H225" s="426">
        <v>0</v>
      </c>
      <c r="I225" s="426">
        <v>0</v>
      </c>
      <c r="J225" s="426">
        <v>0</v>
      </c>
      <c r="K225" s="426">
        <v>0</v>
      </c>
      <c r="L225" s="426">
        <v>1805.04</v>
      </c>
      <c r="M225" s="426">
        <v>0</v>
      </c>
      <c r="N225" s="426">
        <v>0</v>
      </c>
      <c r="O225" s="427">
        <v>0</v>
      </c>
      <c r="P225" s="52">
        <v>0</v>
      </c>
      <c r="Q225" s="52">
        <v>0</v>
      </c>
      <c r="R225" s="52">
        <v>0</v>
      </c>
      <c r="S225" s="52">
        <v>0</v>
      </c>
      <c r="T225" s="52">
        <v>0</v>
      </c>
      <c r="U225" s="52">
        <v>0</v>
      </c>
      <c r="V225" s="52">
        <v>0</v>
      </c>
      <c r="W225" s="52">
        <v>0</v>
      </c>
      <c r="X225" s="52">
        <v>0</v>
      </c>
      <c r="Y225" s="52">
        <v>0</v>
      </c>
      <c r="Z225" s="52">
        <v>0</v>
      </c>
      <c r="AA225" s="52">
        <v>0</v>
      </c>
      <c r="AB225" s="52">
        <v>0</v>
      </c>
      <c r="AC225" s="52">
        <v>0</v>
      </c>
      <c r="AD225" s="52">
        <v>0</v>
      </c>
      <c r="AE225" s="52">
        <v>0</v>
      </c>
      <c r="AF225" s="52">
        <v>0</v>
      </c>
      <c r="AG225" s="52">
        <v>0</v>
      </c>
      <c r="AH225" s="52">
        <v>0</v>
      </c>
      <c r="AI225" s="52">
        <v>0</v>
      </c>
      <c r="AJ225" s="52">
        <v>0</v>
      </c>
      <c r="AK225" s="52">
        <v>0</v>
      </c>
      <c r="AL225" s="52">
        <v>0</v>
      </c>
      <c r="AM225" s="52">
        <v>0</v>
      </c>
      <c r="AN225" s="52">
        <v>0</v>
      </c>
      <c r="AO225" s="52">
        <v>0</v>
      </c>
      <c r="AP225" s="52">
        <v>0</v>
      </c>
      <c r="AQ225" s="52">
        <v>0</v>
      </c>
      <c r="AR225" s="52">
        <v>0</v>
      </c>
      <c r="AS225" s="52">
        <v>0</v>
      </c>
      <c r="AT225" s="52">
        <v>0</v>
      </c>
      <c r="AU225" s="52">
        <v>0</v>
      </c>
      <c r="AV225" s="52">
        <v>0</v>
      </c>
      <c r="AW225" s="52"/>
      <c r="AX225" s="52"/>
      <c r="AY225" s="52"/>
      <c r="AZ225" s="52">
        <v>0</v>
      </c>
      <c r="BA225" s="52">
        <v>0</v>
      </c>
      <c r="BB225" s="52">
        <v>0</v>
      </c>
      <c r="BC225" s="52">
        <v>0</v>
      </c>
      <c r="BD225" s="52">
        <v>0</v>
      </c>
      <c r="BE225" s="52">
        <v>0</v>
      </c>
      <c r="BF225" s="52">
        <v>0</v>
      </c>
      <c r="BG225" s="52">
        <v>0</v>
      </c>
      <c r="BH225" s="52">
        <v>0</v>
      </c>
      <c r="BI225" s="52">
        <v>0</v>
      </c>
      <c r="BJ225" s="52">
        <v>0</v>
      </c>
      <c r="BK225" s="52">
        <v>0</v>
      </c>
      <c r="BL225" s="52">
        <v>0</v>
      </c>
      <c r="BM225" s="52">
        <v>0</v>
      </c>
      <c r="BN225" s="52">
        <v>0</v>
      </c>
      <c r="BO225" s="52">
        <v>0</v>
      </c>
      <c r="BP225" s="52">
        <v>0</v>
      </c>
      <c r="BQ225" s="52">
        <v>0</v>
      </c>
      <c r="BR225" s="52">
        <v>0</v>
      </c>
      <c r="BS225" s="52">
        <v>0</v>
      </c>
      <c r="BT225" s="52">
        <v>0</v>
      </c>
      <c r="BU225" s="52">
        <v>0</v>
      </c>
      <c r="BV225" s="52">
        <v>0</v>
      </c>
      <c r="BW225" s="52">
        <v>0</v>
      </c>
      <c r="BX225" s="52">
        <v>0</v>
      </c>
      <c r="BY225" s="52">
        <v>0</v>
      </c>
      <c r="BZ225" s="52">
        <v>0</v>
      </c>
      <c r="CA225" s="52">
        <v>0</v>
      </c>
      <c r="CB225" s="52">
        <v>0</v>
      </c>
      <c r="CC225" s="52">
        <v>0</v>
      </c>
      <c r="CD225" s="52">
        <v>0</v>
      </c>
      <c r="CE225" s="52">
        <v>0</v>
      </c>
      <c r="CF225" s="52">
        <v>0</v>
      </c>
      <c r="CG225" s="52">
        <v>0</v>
      </c>
      <c r="CH225" s="52">
        <v>0</v>
      </c>
      <c r="CI225" s="52">
        <v>0</v>
      </c>
      <c r="CJ225" s="52">
        <v>0</v>
      </c>
      <c r="CK225" s="52">
        <v>0</v>
      </c>
      <c r="CL225" s="52">
        <v>0</v>
      </c>
      <c r="CM225" s="52">
        <v>0</v>
      </c>
      <c r="CN225" s="52">
        <v>0</v>
      </c>
      <c r="CO225" s="52">
        <v>0</v>
      </c>
      <c r="CP225" s="52">
        <v>0</v>
      </c>
      <c r="CQ225" s="52">
        <v>0</v>
      </c>
      <c r="CR225" s="52">
        <v>0</v>
      </c>
      <c r="CS225" s="52">
        <v>0</v>
      </c>
      <c r="CT225" s="52">
        <v>0</v>
      </c>
      <c r="CU225" s="52">
        <v>0</v>
      </c>
      <c r="CV225" s="430">
        <f t="shared" si="6"/>
        <v>0</v>
      </c>
    </row>
    <row r="226" spans="1:100">
      <c r="A226" s="540" t="str">
        <f t="shared" si="7"/>
        <v>6400530</v>
      </c>
      <c r="B226" s="541" t="s">
        <v>2043</v>
      </c>
      <c r="C226" s="463" t="s">
        <v>1129</v>
      </c>
      <c r="D226" s="428">
        <v>51.19</v>
      </c>
      <c r="E226" s="428">
        <v>279.48</v>
      </c>
      <c r="F226" s="428">
        <v>0</v>
      </c>
      <c r="G226" s="428">
        <v>0</v>
      </c>
      <c r="H226" s="428">
        <v>0</v>
      </c>
      <c r="I226" s="428">
        <v>0</v>
      </c>
      <c r="J226" s="428">
        <v>0</v>
      </c>
      <c r="K226" s="428">
        <v>-427.02</v>
      </c>
      <c r="L226" s="428">
        <v>0</v>
      </c>
      <c r="M226" s="428">
        <v>0</v>
      </c>
      <c r="N226" s="428">
        <v>0</v>
      </c>
      <c r="O226" s="429">
        <v>0</v>
      </c>
      <c r="P226" s="52">
        <v>0</v>
      </c>
      <c r="Q226" s="52">
        <v>0</v>
      </c>
      <c r="R226" s="52">
        <v>0</v>
      </c>
      <c r="S226" s="52">
        <v>0</v>
      </c>
      <c r="T226" s="52">
        <v>0</v>
      </c>
      <c r="U226" s="52">
        <v>0</v>
      </c>
      <c r="V226" s="52">
        <v>0</v>
      </c>
      <c r="W226" s="52">
        <v>0</v>
      </c>
      <c r="X226" s="52">
        <v>0</v>
      </c>
      <c r="Y226" s="52">
        <v>0</v>
      </c>
      <c r="Z226" s="52">
        <v>0</v>
      </c>
      <c r="AA226" s="52">
        <v>0</v>
      </c>
      <c r="AB226" s="52">
        <v>0</v>
      </c>
      <c r="AC226" s="52">
        <v>0</v>
      </c>
      <c r="AD226" s="52">
        <v>0</v>
      </c>
      <c r="AE226" s="52">
        <v>0</v>
      </c>
      <c r="AF226" s="52">
        <v>0</v>
      </c>
      <c r="AG226" s="52">
        <v>0</v>
      </c>
      <c r="AH226" s="52">
        <v>0</v>
      </c>
      <c r="AI226" s="52">
        <v>0</v>
      </c>
      <c r="AJ226" s="52">
        <v>0</v>
      </c>
      <c r="AK226" s="52">
        <v>0</v>
      </c>
      <c r="AL226" s="52">
        <v>0</v>
      </c>
      <c r="AM226" s="52">
        <v>0</v>
      </c>
      <c r="AN226" s="52">
        <v>0</v>
      </c>
      <c r="AO226" s="52">
        <v>0</v>
      </c>
      <c r="AP226" s="52">
        <v>0</v>
      </c>
      <c r="AQ226" s="52">
        <v>0</v>
      </c>
      <c r="AR226" s="52">
        <v>0</v>
      </c>
      <c r="AS226" s="52">
        <v>0</v>
      </c>
      <c r="AT226" s="52">
        <v>0</v>
      </c>
      <c r="AU226" s="52">
        <v>0</v>
      </c>
      <c r="AV226" s="52">
        <v>0</v>
      </c>
      <c r="AW226" s="52">
        <v>24320</v>
      </c>
      <c r="AX226" s="52">
        <v>0</v>
      </c>
      <c r="AY226" s="52">
        <v>0</v>
      </c>
      <c r="AZ226" s="52">
        <v>0</v>
      </c>
      <c r="BA226" s="52">
        <v>0</v>
      </c>
      <c r="BB226" s="52">
        <v>0</v>
      </c>
      <c r="BC226" s="52">
        <v>0</v>
      </c>
      <c r="BD226" s="52">
        <v>0</v>
      </c>
      <c r="BE226" s="52">
        <v>0</v>
      </c>
      <c r="BF226" s="52">
        <v>0</v>
      </c>
      <c r="BG226" s="52">
        <v>0</v>
      </c>
      <c r="BH226" s="52">
        <v>0</v>
      </c>
      <c r="BI226" s="52">
        <v>0</v>
      </c>
      <c r="BJ226" s="52">
        <v>0</v>
      </c>
      <c r="BK226" s="52">
        <v>0</v>
      </c>
      <c r="BL226" s="52">
        <v>0</v>
      </c>
      <c r="BM226" s="52">
        <v>0</v>
      </c>
      <c r="BN226" s="52">
        <v>0</v>
      </c>
      <c r="BO226" s="52">
        <v>0</v>
      </c>
      <c r="BP226" s="52">
        <v>0</v>
      </c>
      <c r="BQ226" s="52">
        <v>0</v>
      </c>
      <c r="BR226" s="52">
        <v>0</v>
      </c>
      <c r="BS226" s="52">
        <v>0</v>
      </c>
      <c r="BT226" s="52">
        <v>0</v>
      </c>
      <c r="BU226" s="52">
        <v>0</v>
      </c>
      <c r="BV226" s="52">
        <v>0</v>
      </c>
      <c r="BW226" s="52">
        <v>0</v>
      </c>
      <c r="BX226" s="52">
        <v>0</v>
      </c>
      <c r="BY226" s="52">
        <v>0</v>
      </c>
      <c r="BZ226" s="52">
        <v>0</v>
      </c>
      <c r="CA226" s="52">
        <v>0</v>
      </c>
      <c r="CB226" s="52">
        <v>0</v>
      </c>
      <c r="CC226" s="52">
        <v>0</v>
      </c>
      <c r="CD226" s="52">
        <v>0</v>
      </c>
      <c r="CE226" s="52">
        <v>0</v>
      </c>
      <c r="CF226" s="52">
        <v>0</v>
      </c>
      <c r="CG226" s="52">
        <v>0</v>
      </c>
      <c r="CH226" s="52">
        <v>0</v>
      </c>
      <c r="CI226" s="52">
        <v>0</v>
      </c>
      <c r="CJ226" s="52">
        <v>0</v>
      </c>
      <c r="CK226" s="52">
        <v>0</v>
      </c>
      <c r="CL226" s="52">
        <v>0</v>
      </c>
      <c r="CM226" s="52">
        <v>0</v>
      </c>
      <c r="CN226" s="52">
        <v>0</v>
      </c>
      <c r="CO226" s="52">
        <v>0</v>
      </c>
      <c r="CP226" s="52">
        <v>0</v>
      </c>
      <c r="CQ226" s="52">
        <v>0</v>
      </c>
      <c r="CR226" s="52">
        <v>0</v>
      </c>
      <c r="CS226" s="52">
        <v>0</v>
      </c>
      <c r="CT226" s="52">
        <v>0</v>
      </c>
      <c r="CU226" s="52">
        <v>0</v>
      </c>
      <c r="CV226" s="430">
        <f t="shared" si="6"/>
        <v>0</v>
      </c>
    </row>
    <row r="227" spans="1:100">
      <c r="A227" s="540" t="str">
        <f t="shared" si="7"/>
        <v>6401000</v>
      </c>
      <c r="B227" s="541" t="s">
        <v>2044</v>
      </c>
      <c r="C227" s="463" t="s">
        <v>1130</v>
      </c>
      <c r="D227" s="426">
        <v>1074317.43</v>
      </c>
      <c r="E227" s="426">
        <v>531247.84</v>
      </c>
      <c r="F227" s="426">
        <v>946982.1</v>
      </c>
      <c r="G227" s="426">
        <v>863954.56</v>
      </c>
      <c r="H227" s="426">
        <v>712465.91</v>
      </c>
      <c r="I227" s="426">
        <v>706040.77</v>
      </c>
      <c r="J227" s="426">
        <v>692789.34</v>
      </c>
      <c r="K227" s="426">
        <v>1088196.6599999999</v>
      </c>
      <c r="L227" s="426">
        <v>608513.26</v>
      </c>
      <c r="M227" s="426">
        <v>916387.27</v>
      </c>
      <c r="N227" s="426">
        <v>499554.32</v>
      </c>
      <c r="O227" s="427">
        <v>1166292.56</v>
      </c>
      <c r="P227" s="52">
        <v>418423.92</v>
      </c>
      <c r="Q227" s="52">
        <v>418441.1</v>
      </c>
      <c r="R227" s="52">
        <v>636470.1</v>
      </c>
      <c r="S227" s="52">
        <v>893774.41</v>
      </c>
      <c r="T227" s="52">
        <v>473041.27</v>
      </c>
      <c r="U227" s="52">
        <v>617063.36</v>
      </c>
      <c r="V227" s="52">
        <v>795537.05</v>
      </c>
      <c r="W227" s="52">
        <v>926787.25</v>
      </c>
      <c r="X227" s="52">
        <v>1094429.05</v>
      </c>
      <c r="Y227" s="52">
        <v>842892.79</v>
      </c>
      <c r="Z227" s="52">
        <v>1758219.46</v>
      </c>
      <c r="AA227" s="52">
        <v>926725.88</v>
      </c>
      <c r="AB227" s="52">
        <v>432900.24</v>
      </c>
      <c r="AC227" s="52">
        <v>1112032.33</v>
      </c>
      <c r="AD227" s="52">
        <v>872787.45</v>
      </c>
      <c r="AE227" s="52">
        <v>644333.34</v>
      </c>
      <c r="AF227" s="52">
        <v>758952.31</v>
      </c>
      <c r="AG227" s="52">
        <v>2176140.85</v>
      </c>
      <c r="AH227" s="52">
        <v>486211.76</v>
      </c>
      <c r="AI227" s="52">
        <v>768792.79</v>
      </c>
      <c r="AJ227" s="52">
        <v>652093.49</v>
      </c>
      <c r="AK227" s="52">
        <v>844289.93</v>
      </c>
      <c r="AL227" s="52">
        <v>956561.8</v>
      </c>
      <c r="AM227" s="52">
        <v>770671.37</v>
      </c>
      <c r="AN227" s="52">
        <v>608272.37</v>
      </c>
      <c r="AO227" s="52">
        <v>765679.38</v>
      </c>
      <c r="AP227" s="52">
        <v>948619.26</v>
      </c>
      <c r="AQ227" s="52">
        <v>702093.95</v>
      </c>
      <c r="AR227" s="52">
        <v>944913.03</v>
      </c>
      <c r="AS227" s="52">
        <v>623682.48</v>
      </c>
      <c r="AT227" s="52">
        <v>686633.1</v>
      </c>
      <c r="AU227" s="52">
        <v>1110021.67</v>
      </c>
      <c r="AV227" s="52">
        <v>460910.45</v>
      </c>
      <c r="AW227" s="52">
        <v>1063240.71</v>
      </c>
      <c r="AX227" s="52">
        <v>684883.09</v>
      </c>
      <c r="AY227" s="52">
        <v>1769601.82</v>
      </c>
      <c r="AZ227" s="52">
        <v>616877.66</v>
      </c>
      <c r="BA227" s="52">
        <v>796954.04</v>
      </c>
      <c r="BB227" s="52">
        <v>1080581.51</v>
      </c>
      <c r="BC227" s="52">
        <v>828860.57</v>
      </c>
      <c r="BD227" s="52">
        <v>806928.58</v>
      </c>
      <c r="BE227" s="52">
        <v>777231.61</v>
      </c>
      <c r="BF227" s="52">
        <v>942952.89</v>
      </c>
      <c r="BG227" s="52">
        <v>1300843.75</v>
      </c>
      <c r="BH227" s="52">
        <v>1206377.26</v>
      </c>
      <c r="BI227" s="52">
        <v>1589863.6</v>
      </c>
      <c r="BJ227" s="52">
        <v>1010800.24</v>
      </c>
      <c r="BK227" s="52">
        <v>1239649.8899999999</v>
      </c>
      <c r="BL227" s="52">
        <v>738972.02</v>
      </c>
      <c r="BM227" s="52">
        <v>1074480.42</v>
      </c>
      <c r="BN227" s="52">
        <v>977932.58</v>
      </c>
      <c r="BO227" s="52">
        <v>993606.24</v>
      </c>
      <c r="BP227" s="52">
        <v>1069150.56</v>
      </c>
      <c r="BQ227" s="52">
        <v>656121.44999999995</v>
      </c>
      <c r="BR227" s="52">
        <v>1147543.6399999999</v>
      </c>
      <c r="BS227" s="52">
        <v>673286.08</v>
      </c>
      <c r="BT227" s="52">
        <v>1134713.6599999999</v>
      </c>
      <c r="BU227" s="52">
        <v>1274987.78</v>
      </c>
      <c r="BV227" s="52">
        <v>1038740.83</v>
      </c>
      <c r="BW227" s="52">
        <v>5587768.0099999998</v>
      </c>
      <c r="BX227" s="52">
        <v>1475032.89</v>
      </c>
      <c r="BY227" s="52">
        <v>1416982.07</v>
      </c>
      <c r="BZ227" s="52">
        <v>917865.68</v>
      </c>
      <c r="CA227" s="52">
        <v>1766896.6</v>
      </c>
      <c r="CB227" s="52">
        <v>2848920.59</v>
      </c>
      <c r="CC227" s="52">
        <v>2776865.97</v>
      </c>
      <c r="CD227" s="52">
        <v>1438564.4</v>
      </c>
      <c r="CE227" s="52">
        <v>1869501.16</v>
      </c>
      <c r="CF227" s="52">
        <v>1399877.4</v>
      </c>
      <c r="CG227" s="52">
        <v>747968.95</v>
      </c>
      <c r="CH227" s="52">
        <v>1430279.66</v>
      </c>
      <c r="CI227" s="52">
        <v>1425204.5</v>
      </c>
      <c r="CJ227" s="52">
        <v>1280210.1299999999</v>
      </c>
      <c r="CK227" s="52">
        <v>1128257.6100000001</v>
      </c>
      <c r="CL227" s="52">
        <v>1114325.8400000001</v>
      </c>
      <c r="CM227" s="52">
        <v>937953.58</v>
      </c>
      <c r="CN227" s="52">
        <v>949342.56</v>
      </c>
      <c r="CO227" s="52">
        <v>1485890.3</v>
      </c>
      <c r="CP227" s="52">
        <v>1774479.95</v>
      </c>
      <c r="CQ227" s="52">
        <v>1012909.15</v>
      </c>
      <c r="CR227" s="52">
        <v>661369.13</v>
      </c>
      <c r="CS227" s="52">
        <v>1315989.27</v>
      </c>
      <c r="CT227" s="52">
        <v>7057556.2800000003</v>
      </c>
      <c r="CU227" s="52">
        <v>2530823.4500000002</v>
      </c>
      <c r="CV227" s="430">
        <f t="shared" si="6"/>
        <v>21249107.25</v>
      </c>
    </row>
    <row r="228" spans="1:100">
      <c r="A228" s="540" t="str">
        <f t="shared" si="7"/>
        <v>6401100</v>
      </c>
      <c r="B228" s="541" t="s">
        <v>2046</v>
      </c>
      <c r="C228" s="463" t="s">
        <v>1131</v>
      </c>
      <c r="D228" s="426">
        <v>1233.9000000000001</v>
      </c>
      <c r="E228" s="426">
        <v>0</v>
      </c>
      <c r="F228" s="426">
        <v>0</v>
      </c>
      <c r="G228" s="426">
        <v>-679.07</v>
      </c>
      <c r="H228" s="426">
        <v>-6446.57</v>
      </c>
      <c r="I228" s="426">
        <v>0</v>
      </c>
      <c r="J228" s="426">
        <v>-10273.32</v>
      </c>
      <c r="K228" s="426">
        <v>3495.56</v>
      </c>
      <c r="L228" s="426">
        <v>7697.07</v>
      </c>
      <c r="M228" s="426">
        <v>10784.47</v>
      </c>
      <c r="N228" s="426">
        <v>-16403.16</v>
      </c>
      <c r="O228" s="427">
        <v>0</v>
      </c>
      <c r="P228" s="52">
        <v>0</v>
      </c>
      <c r="Q228" s="52">
        <v>0</v>
      </c>
      <c r="R228" s="52">
        <v>0</v>
      </c>
      <c r="S228" s="52">
        <v>2046.6</v>
      </c>
      <c r="T228" s="52">
        <v>0</v>
      </c>
      <c r="U228" s="52">
        <v>0</v>
      </c>
      <c r="V228" s="52">
        <v>-2833.19</v>
      </c>
      <c r="W228" s="52">
        <v>0</v>
      </c>
      <c r="X228" s="52">
        <v>-579.17999999999995</v>
      </c>
      <c r="Y228" s="52">
        <v>17330.03</v>
      </c>
      <c r="Z228" s="52">
        <v>-989.65</v>
      </c>
      <c r="AA228" s="52">
        <v>88704.3</v>
      </c>
      <c r="AB228" s="52">
        <v>0</v>
      </c>
      <c r="AC228" s="52">
        <v>0</v>
      </c>
      <c r="AD228" s="52">
        <v>0</v>
      </c>
      <c r="AE228" s="52">
        <v>0</v>
      </c>
      <c r="AF228" s="52">
        <v>0</v>
      </c>
      <c r="AG228" s="52">
        <v>0</v>
      </c>
      <c r="AH228" s="52">
        <v>0</v>
      </c>
      <c r="AI228" s="52">
        <v>3898.72</v>
      </c>
      <c r="AJ228" s="52">
        <v>0</v>
      </c>
      <c r="AK228" s="52">
        <v>2057.1</v>
      </c>
      <c r="AL228" s="52">
        <v>-13743.96</v>
      </c>
      <c r="AM228" s="52">
        <v>24072.79</v>
      </c>
      <c r="AN228" s="52">
        <v>0</v>
      </c>
      <c r="AO228" s="52">
        <v>0</v>
      </c>
      <c r="AP228" s="52">
        <v>0</v>
      </c>
      <c r="AQ228" s="52">
        <v>0</v>
      </c>
      <c r="AR228" s="52">
        <v>0</v>
      </c>
      <c r="AS228" s="52">
        <v>0</v>
      </c>
      <c r="AT228" s="52">
        <v>0</v>
      </c>
      <c r="AU228" s="52">
        <v>-247.94</v>
      </c>
      <c r="AV228" s="52">
        <v>0</v>
      </c>
      <c r="AW228" s="52">
        <v>539.41999999999996</v>
      </c>
      <c r="AX228" s="52">
        <v>58107.08</v>
      </c>
      <c r="AY228" s="52">
        <v>35600.089999999997</v>
      </c>
      <c r="AZ228" s="52">
        <v>74382.91</v>
      </c>
      <c r="BA228" s="52">
        <v>0</v>
      </c>
      <c r="BB228" s="52">
        <v>0</v>
      </c>
      <c r="BC228" s="52">
        <v>0</v>
      </c>
      <c r="BD228" s="52">
        <v>0</v>
      </c>
      <c r="BE228" s="52">
        <v>0</v>
      </c>
      <c r="BF228" s="52">
        <v>0</v>
      </c>
      <c r="BG228" s="52">
        <v>-145.26</v>
      </c>
      <c r="BH228" s="52">
        <v>-80.5</v>
      </c>
      <c r="BI228" s="52">
        <v>4477.1000000000004</v>
      </c>
      <c r="BJ228" s="52">
        <v>24554.68</v>
      </c>
      <c r="BK228" s="52">
        <v>5794.79</v>
      </c>
      <c r="BL228" s="52">
        <v>0</v>
      </c>
      <c r="BM228" s="52">
        <v>0</v>
      </c>
      <c r="BN228" s="52">
        <v>0</v>
      </c>
      <c r="BO228" s="52">
        <v>0</v>
      </c>
      <c r="BP228" s="52">
        <v>0</v>
      </c>
      <c r="BQ228" s="52">
        <v>0</v>
      </c>
      <c r="BR228" s="52">
        <v>0</v>
      </c>
      <c r="BS228" s="52">
        <v>475.28</v>
      </c>
      <c r="BT228" s="52">
        <v>0</v>
      </c>
      <c r="BU228" s="52">
        <v>-7281.67</v>
      </c>
      <c r="BV228" s="52">
        <v>6573.71</v>
      </c>
      <c r="BW228" s="52">
        <v>91201.27</v>
      </c>
      <c r="BX228" s="52">
        <v>-199.77</v>
      </c>
      <c r="BY228" s="52">
        <v>0</v>
      </c>
      <c r="BZ228" s="52">
        <v>0</v>
      </c>
      <c r="CA228" s="52">
        <v>43.34</v>
      </c>
      <c r="CB228" s="52">
        <v>0</v>
      </c>
      <c r="CC228" s="52">
        <v>0</v>
      </c>
      <c r="CD228" s="52">
        <v>0</v>
      </c>
      <c r="CE228" s="52">
        <v>0</v>
      </c>
      <c r="CF228" s="52">
        <v>158.86000000000001</v>
      </c>
      <c r="CG228" s="52">
        <v>0</v>
      </c>
      <c r="CH228" s="52">
        <v>137311.67000000001</v>
      </c>
      <c r="CI228" s="52">
        <v>1685.02</v>
      </c>
      <c r="CJ228" s="52">
        <v>0</v>
      </c>
      <c r="CK228" s="52">
        <v>0</v>
      </c>
      <c r="CL228" s="52">
        <v>-43.34</v>
      </c>
      <c r="CM228" s="52">
        <v>0</v>
      </c>
      <c r="CN228" s="52">
        <v>0</v>
      </c>
      <c r="CO228" s="52">
        <v>0</v>
      </c>
      <c r="CP228" s="52">
        <v>0</v>
      </c>
      <c r="CQ228" s="52">
        <v>0</v>
      </c>
      <c r="CR228" s="52">
        <v>0</v>
      </c>
      <c r="CS228" s="52">
        <v>80.88</v>
      </c>
      <c r="CT228" s="52">
        <v>-5492736.71</v>
      </c>
      <c r="CU228" s="52">
        <v>87447.82</v>
      </c>
      <c r="CV228" s="430">
        <f t="shared" si="6"/>
        <v>-5405251.3499999996</v>
      </c>
    </row>
    <row r="229" spans="1:100">
      <c r="A229" s="540" t="str">
        <f t="shared" si="7"/>
        <v>6401200</v>
      </c>
      <c r="B229" s="541" t="s">
        <v>2047</v>
      </c>
      <c r="C229" s="463" t="s">
        <v>1132</v>
      </c>
      <c r="D229" s="426">
        <v>-4149.79</v>
      </c>
      <c r="E229" s="426">
        <v>-639.63</v>
      </c>
      <c r="F229" s="426">
        <v>-1449.44</v>
      </c>
      <c r="G229" s="426">
        <v>1646.49</v>
      </c>
      <c r="H229" s="426">
        <v>-350.41</v>
      </c>
      <c r="I229" s="426">
        <v>132.36000000000001</v>
      </c>
      <c r="J229" s="426">
        <v>1216.77</v>
      </c>
      <c r="K229" s="426">
        <v>-255.32</v>
      </c>
      <c r="L229" s="426">
        <v>-742.23</v>
      </c>
      <c r="M229" s="426">
        <v>400.81</v>
      </c>
      <c r="N229" s="426">
        <v>-3420.89</v>
      </c>
      <c r="O229" s="427">
        <v>-459.92</v>
      </c>
      <c r="P229" s="52">
        <v>6985.58</v>
      </c>
      <c r="Q229" s="52">
        <v>-261.22000000000003</v>
      </c>
      <c r="R229" s="52">
        <v>-120.27</v>
      </c>
      <c r="S229" s="52">
        <v>-303.20999999999998</v>
      </c>
      <c r="T229" s="52">
        <v>6833.23</v>
      </c>
      <c r="U229" s="52">
        <v>-252.9</v>
      </c>
      <c r="V229" s="52">
        <v>-109.47</v>
      </c>
      <c r="W229" s="52">
        <v>1819.78</v>
      </c>
      <c r="X229" s="52">
        <v>-994.3</v>
      </c>
      <c r="Y229" s="52">
        <v>-1501.44</v>
      </c>
      <c r="Z229" s="52">
        <v>1593.99</v>
      </c>
      <c r="AA229" s="52">
        <v>2432.75</v>
      </c>
      <c r="AB229" s="52">
        <v>-340.05</v>
      </c>
      <c r="AC229" s="52">
        <v>-3367.92</v>
      </c>
      <c r="AD229" s="52">
        <v>-658.86</v>
      </c>
      <c r="AE229" s="52">
        <v>-1316.26</v>
      </c>
      <c r="AF229" s="52">
        <v>51.92</v>
      </c>
      <c r="AG229" s="52">
        <v>-333.68</v>
      </c>
      <c r="AH229" s="52">
        <v>-63.89</v>
      </c>
      <c r="AI229" s="52">
        <v>-2396.66</v>
      </c>
      <c r="AJ229" s="52">
        <v>-217.35</v>
      </c>
      <c r="AK229" s="52">
        <v>-6500.29</v>
      </c>
      <c r="AL229" s="52">
        <v>805.9</v>
      </c>
      <c r="AM229" s="52">
        <v>901.45</v>
      </c>
      <c r="AN229" s="52">
        <v>-105.53</v>
      </c>
      <c r="AO229" s="52">
        <v>-595.63</v>
      </c>
      <c r="AP229" s="52">
        <v>-135.69999999999999</v>
      </c>
      <c r="AQ229" s="52">
        <v>-3617.52</v>
      </c>
      <c r="AR229" s="52">
        <v>5132.51</v>
      </c>
      <c r="AS229" s="52">
        <v>-161.07</v>
      </c>
      <c r="AT229" s="52">
        <v>-1050.7</v>
      </c>
      <c r="AU229" s="52">
        <v>-2164.7399999999998</v>
      </c>
      <c r="AV229" s="52">
        <v>2120.8200000000002</v>
      </c>
      <c r="AW229" s="52">
        <v>1467.49</v>
      </c>
      <c r="AX229" s="52">
        <v>-449.38</v>
      </c>
      <c r="AY229" s="52">
        <v>-1335.21</v>
      </c>
      <c r="AZ229" s="52">
        <v>-1073.9000000000001</v>
      </c>
      <c r="BA229" s="52">
        <v>501.09</v>
      </c>
      <c r="BB229" s="52">
        <v>-865.29</v>
      </c>
      <c r="BC229" s="52">
        <v>-868.27</v>
      </c>
      <c r="BD229" s="52">
        <v>-1547.76</v>
      </c>
      <c r="BE229" s="52">
        <v>-927.41</v>
      </c>
      <c r="BF229" s="52">
        <v>-1396.02</v>
      </c>
      <c r="BG229" s="52">
        <v>-18345.18</v>
      </c>
      <c r="BH229" s="52">
        <v>-22374.97</v>
      </c>
      <c r="BI229" s="52">
        <v>436.58</v>
      </c>
      <c r="BJ229" s="52">
        <v>-521.5</v>
      </c>
      <c r="BK229" s="52">
        <v>-3757.94</v>
      </c>
      <c r="BL229" s="52">
        <v>-3103.29</v>
      </c>
      <c r="BM229" s="52">
        <v>-6433.94</v>
      </c>
      <c r="BN229" s="52">
        <v>-627.89</v>
      </c>
      <c r="BO229" s="52">
        <v>16179.03</v>
      </c>
      <c r="BP229" s="52">
        <v>-739.01</v>
      </c>
      <c r="BQ229" s="52">
        <v>7314.98</v>
      </c>
      <c r="BR229" s="52">
        <v>-9113.7800000000007</v>
      </c>
      <c r="BS229" s="52">
        <v>174.77</v>
      </c>
      <c r="BT229" s="52">
        <v>-721.42</v>
      </c>
      <c r="BU229" s="52">
        <v>-2896.02</v>
      </c>
      <c r="BV229" s="52">
        <v>-1008.1</v>
      </c>
      <c r="BW229" s="52">
        <v>-486.92</v>
      </c>
      <c r="BX229" s="52">
        <v>-622.09</v>
      </c>
      <c r="BY229" s="52">
        <v>-1649.27</v>
      </c>
      <c r="BZ229" s="52">
        <v>-780.34</v>
      </c>
      <c r="CA229" s="52">
        <v>-599.75</v>
      </c>
      <c r="CB229" s="52">
        <v>-3829.62</v>
      </c>
      <c r="CC229" s="52">
        <v>-6529.1</v>
      </c>
      <c r="CD229" s="52">
        <v>-2331.41</v>
      </c>
      <c r="CE229" s="52">
        <v>-1592.63</v>
      </c>
      <c r="CF229" s="52">
        <v>-1691.32</v>
      </c>
      <c r="CG229" s="52">
        <v>-1206.0999999999999</v>
      </c>
      <c r="CH229" s="52">
        <v>-2874.83</v>
      </c>
      <c r="CI229" s="52">
        <v>-1960.36</v>
      </c>
      <c r="CJ229" s="52">
        <v>-3253.64</v>
      </c>
      <c r="CK229" s="52">
        <v>3966.27</v>
      </c>
      <c r="CL229" s="52">
        <v>-2510.98</v>
      </c>
      <c r="CM229" s="52">
        <v>-1116.5</v>
      </c>
      <c r="CN229" s="52">
        <v>1063.33</v>
      </c>
      <c r="CO229" s="52">
        <v>10457.32</v>
      </c>
      <c r="CP229" s="52">
        <v>39407.85</v>
      </c>
      <c r="CQ229" s="52">
        <v>2468.21</v>
      </c>
      <c r="CR229" s="52">
        <v>636.54</v>
      </c>
      <c r="CS229" s="52">
        <v>-424.52</v>
      </c>
      <c r="CT229" s="52">
        <v>-141.5</v>
      </c>
      <c r="CU229" s="52">
        <v>-4318.1400000000003</v>
      </c>
      <c r="CV229" s="430">
        <f t="shared" si="6"/>
        <v>46234.239999999998</v>
      </c>
    </row>
    <row r="230" spans="1:100">
      <c r="A230" s="540" t="str">
        <f t="shared" si="7"/>
        <v>6401300</v>
      </c>
      <c r="B230" s="541" t="s">
        <v>2049</v>
      </c>
      <c r="C230" s="463" t="s">
        <v>1133</v>
      </c>
      <c r="D230" s="428">
        <v>0</v>
      </c>
      <c r="E230" s="428">
        <v>-2631.05</v>
      </c>
      <c r="F230" s="428">
        <v>0</v>
      </c>
      <c r="G230" s="428">
        <v>64.540000000000006</v>
      </c>
      <c r="H230" s="428">
        <v>134.11000000000001</v>
      </c>
      <c r="I230" s="428">
        <v>0</v>
      </c>
      <c r="J230" s="428">
        <v>0</v>
      </c>
      <c r="K230" s="428">
        <v>0</v>
      </c>
      <c r="L230" s="428">
        <v>0</v>
      </c>
      <c r="M230" s="428">
        <v>0</v>
      </c>
      <c r="N230" s="428">
        <v>0</v>
      </c>
      <c r="O230" s="429">
        <v>0</v>
      </c>
      <c r="P230" s="52">
        <v>0</v>
      </c>
      <c r="Q230" s="52">
        <v>0</v>
      </c>
      <c r="R230" s="52">
        <v>0</v>
      </c>
      <c r="S230" s="52">
        <v>0</v>
      </c>
      <c r="T230" s="52">
        <v>0</v>
      </c>
      <c r="U230" s="52">
        <v>0</v>
      </c>
      <c r="V230" s="52">
        <v>0</v>
      </c>
      <c r="W230" s="52">
        <v>0</v>
      </c>
      <c r="X230" s="52">
        <v>0</v>
      </c>
      <c r="Y230" s="52">
        <v>0</v>
      </c>
      <c r="Z230" s="52">
        <v>0</v>
      </c>
      <c r="AA230" s="52">
        <v>0</v>
      </c>
      <c r="AB230" s="52">
        <v>0</v>
      </c>
      <c r="AC230" s="52">
        <v>0</v>
      </c>
      <c r="AD230" s="52">
        <v>0</v>
      </c>
      <c r="AE230" s="52">
        <v>0</v>
      </c>
      <c r="AF230" s="52">
        <v>0</v>
      </c>
      <c r="AG230" s="52">
        <v>0</v>
      </c>
      <c r="AH230" s="52">
        <v>0</v>
      </c>
      <c r="AI230" s="52">
        <v>0</v>
      </c>
      <c r="AJ230" s="52">
        <v>0</v>
      </c>
      <c r="AK230" s="52">
        <v>0</v>
      </c>
      <c r="AL230" s="52">
        <v>0</v>
      </c>
      <c r="AM230" s="52">
        <v>0</v>
      </c>
      <c r="AN230" s="52">
        <v>0</v>
      </c>
      <c r="AO230" s="52">
        <v>0</v>
      </c>
      <c r="AP230" s="52">
        <v>0</v>
      </c>
      <c r="AQ230" s="52">
        <v>0</v>
      </c>
      <c r="AR230" s="52">
        <v>0</v>
      </c>
      <c r="AS230" s="52">
        <v>0</v>
      </c>
      <c r="AT230" s="52">
        <v>0</v>
      </c>
      <c r="AU230" s="52">
        <v>0</v>
      </c>
      <c r="AV230" s="52">
        <v>0</v>
      </c>
      <c r="AW230" s="52">
        <v>0</v>
      </c>
      <c r="AX230" s="52">
        <v>0</v>
      </c>
      <c r="AY230" s="52">
        <v>0</v>
      </c>
      <c r="AZ230" s="52">
        <v>0</v>
      </c>
      <c r="BA230" s="52">
        <v>0</v>
      </c>
      <c r="BB230" s="52">
        <v>0</v>
      </c>
      <c r="BC230" s="52">
        <v>0</v>
      </c>
      <c r="BD230" s="52">
        <v>0</v>
      </c>
      <c r="BE230" s="52">
        <v>0</v>
      </c>
      <c r="BF230" s="52">
        <v>0</v>
      </c>
      <c r="BG230" s="52">
        <v>0</v>
      </c>
      <c r="BH230" s="52">
        <v>0</v>
      </c>
      <c r="BI230" s="52">
        <v>0</v>
      </c>
      <c r="BJ230" s="52">
        <v>0</v>
      </c>
      <c r="BK230" s="52">
        <v>0</v>
      </c>
      <c r="BL230" s="52">
        <v>0</v>
      </c>
      <c r="BM230" s="52">
        <v>0</v>
      </c>
      <c r="BN230" s="52">
        <v>0</v>
      </c>
      <c r="BO230" s="52">
        <v>0</v>
      </c>
      <c r="BP230" s="52">
        <v>0</v>
      </c>
      <c r="BQ230" s="52">
        <v>0</v>
      </c>
      <c r="BR230" s="52">
        <v>0</v>
      </c>
      <c r="BS230" s="52">
        <v>0</v>
      </c>
      <c r="BT230" s="52">
        <v>0</v>
      </c>
      <c r="BU230" s="52">
        <v>0</v>
      </c>
      <c r="BV230" s="52">
        <v>0</v>
      </c>
      <c r="BW230" s="52">
        <v>0</v>
      </c>
      <c r="BX230" s="52">
        <v>0</v>
      </c>
      <c r="BY230" s="52">
        <v>0</v>
      </c>
      <c r="BZ230" s="52">
        <v>0</v>
      </c>
      <c r="CA230" s="52">
        <v>0</v>
      </c>
      <c r="CB230" s="52">
        <v>0</v>
      </c>
      <c r="CC230" s="52">
        <v>0</v>
      </c>
      <c r="CD230" s="52">
        <v>0</v>
      </c>
      <c r="CE230" s="52">
        <v>0</v>
      </c>
      <c r="CF230" s="52">
        <v>0</v>
      </c>
      <c r="CG230" s="52">
        <v>0</v>
      </c>
      <c r="CH230" s="52">
        <v>0</v>
      </c>
      <c r="CI230" s="52">
        <v>0</v>
      </c>
      <c r="CJ230" s="52">
        <v>0</v>
      </c>
      <c r="CK230" s="52">
        <v>0</v>
      </c>
      <c r="CL230" s="52">
        <v>0</v>
      </c>
      <c r="CM230" s="52">
        <v>0</v>
      </c>
      <c r="CN230" s="52">
        <v>0</v>
      </c>
      <c r="CO230" s="52">
        <v>0</v>
      </c>
      <c r="CP230" s="52">
        <v>0</v>
      </c>
      <c r="CQ230" s="52">
        <v>0</v>
      </c>
      <c r="CR230" s="52">
        <v>0</v>
      </c>
      <c r="CS230" s="52">
        <v>0</v>
      </c>
      <c r="CT230" s="52">
        <v>0</v>
      </c>
      <c r="CU230" s="52">
        <v>0</v>
      </c>
      <c r="CV230" s="430">
        <f t="shared" si="6"/>
        <v>0</v>
      </c>
    </row>
    <row r="231" spans="1:100">
      <c r="A231" s="540" t="str">
        <f t="shared" si="7"/>
        <v>6408999</v>
      </c>
      <c r="B231" s="541" t="s">
        <v>2048</v>
      </c>
      <c r="C231" s="463" t="s">
        <v>1134</v>
      </c>
      <c r="D231" s="428">
        <v>1026893.67</v>
      </c>
      <c r="E231" s="428">
        <v>0</v>
      </c>
      <c r="F231" s="428">
        <v>0</v>
      </c>
      <c r="G231" s="428">
        <v>-3981.66</v>
      </c>
      <c r="H231" s="428">
        <v>3981.66</v>
      </c>
      <c r="I231" s="428">
        <v>0</v>
      </c>
      <c r="J231" s="428">
        <v>0</v>
      </c>
      <c r="K231" s="428">
        <v>0</v>
      </c>
      <c r="L231" s="428">
        <v>0</v>
      </c>
      <c r="M231" s="428">
        <v>-959650.73</v>
      </c>
      <c r="N231" s="428">
        <v>641</v>
      </c>
      <c r="O231" s="429">
        <v>12135.48</v>
      </c>
      <c r="P231" s="52">
        <v>0</v>
      </c>
      <c r="Q231" s="52">
        <v>0</v>
      </c>
      <c r="R231" s="52">
        <v>0</v>
      </c>
      <c r="S231" s="52">
        <v>0</v>
      </c>
      <c r="T231" s="52">
        <v>-1137.6600000000001</v>
      </c>
      <c r="U231" s="52">
        <v>0</v>
      </c>
      <c r="V231" s="52">
        <v>-0.44</v>
      </c>
      <c r="W231" s="52">
        <v>0</v>
      </c>
      <c r="X231" s="52">
        <v>0</v>
      </c>
      <c r="Y231" s="52">
        <v>0</v>
      </c>
      <c r="Z231" s="52">
        <v>-6963.15</v>
      </c>
      <c r="AA231" s="52">
        <v>-873.64</v>
      </c>
      <c r="AB231" s="52">
        <v>-29.29</v>
      </c>
      <c r="AC231" s="52">
        <v>0</v>
      </c>
      <c r="AD231" s="52">
        <v>0</v>
      </c>
      <c r="AE231" s="52">
        <v>0</v>
      </c>
      <c r="AF231" s="52">
        <v>0</v>
      </c>
      <c r="AG231" s="52">
        <v>0</v>
      </c>
      <c r="AH231" s="52">
        <v>0</v>
      </c>
      <c r="AI231" s="52">
        <v>0</v>
      </c>
      <c r="AJ231" s="52">
        <v>0</v>
      </c>
      <c r="AK231" s="52">
        <v>0</v>
      </c>
      <c r="AL231" s="52">
        <v>0</v>
      </c>
      <c r="AM231" s="52">
        <v>-85500</v>
      </c>
      <c r="AN231" s="52">
        <v>0</v>
      </c>
      <c r="AO231" s="52">
        <v>0</v>
      </c>
      <c r="AP231" s="52">
        <v>0</v>
      </c>
      <c r="AQ231" s="52">
        <v>0</v>
      </c>
      <c r="AR231" s="52">
        <v>0</v>
      </c>
      <c r="AS231" s="52">
        <v>0</v>
      </c>
      <c r="AT231" s="52">
        <v>0</v>
      </c>
      <c r="AU231" s="52">
        <v>0</v>
      </c>
      <c r="AV231" s="52">
        <v>0</v>
      </c>
      <c r="AW231" s="52">
        <v>0</v>
      </c>
      <c r="AX231" s="52">
        <v>0</v>
      </c>
      <c r="AY231" s="52">
        <v>0</v>
      </c>
      <c r="AZ231" s="52">
        <v>0</v>
      </c>
      <c r="BA231" s="52">
        <v>0</v>
      </c>
      <c r="BB231" s="52">
        <v>0</v>
      </c>
      <c r="BC231" s="52">
        <v>0</v>
      </c>
      <c r="BD231" s="52">
        <v>0</v>
      </c>
      <c r="BE231" s="52">
        <v>48.79</v>
      </c>
      <c r="BF231" s="52">
        <v>0</v>
      </c>
      <c r="BG231" s="52">
        <v>-452827.39</v>
      </c>
      <c r="BH231" s="52">
        <v>452901.08</v>
      </c>
      <c r="BI231" s="52">
        <v>0</v>
      </c>
      <c r="BJ231" s="52">
        <v>48.79</v>
      </c>
      <c r="BK231" s="52">
        <v>161168.89000000001</v>
      </c>
      <c r="BL231" s="52">
        <v>0</v>
      </c>
      <c r="BM231" s="52">
        <v>0</v>
      </c>
      <c r="BN231" s="52">
        <v>0</v>
      </c>
      <c r="BO231" s="52">
        <v>11440.09</v>
      </c>
      <c r="BP231" s="52">
        <v>0</v>
      </c>
      <c r="BQ231" s="52">
        <v>0</v>
      </c>
      <c r="BR231" s="52">
        <v>0</v>
      </c>
      <c r="BS231" s="52">
        <v>0</v>
      </c>
      <c r="BT231" s="52">
        <v>0</v>
      </c>
      <c r="BU231" s="52">
        <v>0</v>
      </c>
      <c r="BV231" s="52">
        <v>0</v>
      </c>
      <c r="BW231" s="52">
        <v>30170.34</v>
      </c>
      <c r="BX231" s="52">
        <v>0</v>
      </c>
      <c r="BY231" s="52">
        <v>0</v>
      </c>
      <c r="BZ231" s="52">
        <v>0</v>
      </c>
      <c r="CA231" s="52">
        <v>0</v>
      </c>
      <c r="CB231" s="52">
        <v>0</v>
      </c>
      <c r="CC231" s="52">
        <v>0</v>
      </c>
      <c r="CD231" s="52">
        <v>0</v>
      </c>
      <c r="CE231" s="52">
        <v>101945.03</v>
      </c>
      <c r="CF231" s="52">
        <v>56526.81</v>
      </c>
      <c r="CG231" s="52">
        <v>0</v>
      </c>
      <c r="CH231" s="52">
        <v>0</v>
      </c>
      <c r="CI231" s="52">
        <v>0</v>
      </c>
      <c r="CJ231" s="52">
        <v>0</v>
      </c>
      <c r="CK231" s="52">
        <v>876.27</v>
      </c>
      <c r="CL231" s="52">
        <v>0</v>
      </c>
      <c r="CM231" s="52">
        <v>2469.14</v>
      </c>
      <c r="CN231" s="52">
        <v>0</v>
      </c>
      <c r="CO231" s="52">
        <v>83903.02</v>
      </c>
      <c r="CP231" s="52">
        <v>63300</v>
      </c>
      <c r="CQ231" s="52">
        <v>0</v>
      </c>
      <c r="CR231" s="52">
        <v>384738.61</v>
      </c>
      <c r="CS231" s="52">
        <v>0</v>
      </c>
      <c r="CT231" s="52">
        <v>19092.32</v>
      </c>
      <c r="CU231" s="52">
        <v>226.63</v>
      </c>
      <c r="CV231" s="430">
        <f t="shared" si="6"/>
        <v>554605.99</v>
      </c>
    </row>
    <row r="232" spans="1:100">
      <c r="A232" s="540" t="str">
        <f t="shared" si="7"/>
        <v>6409000</v>
      </c>
      <c r="B232" s="541" t="s">
        <v>2050</v>
      </c>
      <c r="C232" s="463" t="s">
        <v>1135</v>
      </c>
      <c r="D232" s="426">
        <v>-2758645.01</v>
      </c>
      <c r="E232" s="426">
        <v>-920758.37</v>
      </c>
      <c r="F232" s="426">
        <v>-1381855.96</v>
      </c>
      <c r="G232" s="426">
        <v>-1695441.76</v>
      </c>
      <c r="H232" s="426">
        <v>-1442301.38</v>
      </c>
      <c r="I232" s="426">
        <v>-1466946.29</v>
      </c>
      <c r="J232" s="426">
        <v>-2172415.09</v>
      </c>
      <c r="K232" s="426">
        <v>-1733613.53</v>
      </c>
      <c r="L232" s="426">
        <v>-1202704.48</v>
      </c>
      <c r="M232" s="426">
        <v>-1303447.6000000001</v>
      </c>
      <c r="N232" s="426">
        <v>-1409146.25</v>
      </c>
      <c r="O232" s="427">
        <v>-2819093.78</v>
      </c>
      <c r="P232" s="52">
        <v>-1005298.41</v>
      </c>
      <c r="Q232" s="52">
        <v>-817746.12</v>
      </c>
      <c r="R232" s="52">
        <v>-1718895.03</v>
      </c>
      <c r="S232" s="52">
        <v>-1639780.21</v>
      </c>
      <c r="T232" s="52">
        <v>-2066942.23</v>
      </c>
      <c r="U232" s="52">
        <v>-2029589.37</v>
      </c>
      <c r="V232" s="52">
        <v>-1823598.59</v>
      </c>
      <c r="W232" s="52">
        <v>-1502290.8</v>
      </c>
      <c r="X232" s="52">
        <v>-2032095.11</v>
      </c>
      <c r="Y232" s="52">
        <v>-2183928.1800000002</v>
      </c>
      <c r="Z232" s="52">
        <v>-3592335.43</v>
      </c>
      <c r="AA232" s="52">
        <v>-4064351.95</v>
      </c>
      <c r="AB232" s="52">
        <v>-706616.8</v>
      </c>
      <c r="AC232" s="52">
        <v>-2118030.9500000002</v>
      </c>
      <c r="AD232" s="52">
        <v>-2335664.17</v>
      </c>
      <c r="AE232" s="52">
        <v>-1813758.93</v>
      </c>
      <c r="AF232" s="52">
        <v>-1710020.85</v>
      </c>
      <c r="AG232" s="52">
        <v>-3897707.61</v>
      </c>
      <c r="AH232" s="52">
        <v>-1720276.09</v>
      </c>
      <c r="AI232" s="52">
        <v>-2326367.0099999998</v>
      </c>
      <c r="AJ232" s="52">
        <v>-2040477.11</v>
      </c>
      <c r="AK232" s="52">
        <v>-2089394.06</v>
      </c>
      <c r="AL232" s="52">
        <v>-2279002</v>
      </c>
      <c r="AM232" s="52">
        <v>-3067547.3</v>
      </c>
      <c r="AN232" s="52">
        <v>-1462777.24</v>
      </c>
      <c r="AO232" s="52">
        <v>-1672115.31</v>
      </c>
      <c r="AP232" s="52">
        <v>-2252201.09</v>
      </c>
      <c r="AQ232" s="52">
        <v>-1510765.73</v>
      </c>
      <c r="AR232" s="52">
        <v>-2967458.42</v>
      </c>
      <c r="AS232" s="52">
        <v>-1959867.59</v>
      </c>
      <c r="AT232" s="52">
        <v>-2650906.85</v>
      </c>
      <c r="AU232" s="52">
        <v>-3083565.28</v>
      </c>
      <c r="AV232" s="52">
        <v>-2551535.0299999998</v>
      </c>
      <c r="AW232" s="52">
        <v>-2580997.5</v>
      </c>
      <c r="AX232" s="52">
        <v>-1884347.65</v>
      </c>
      <c r="AY232" s="52">
        <v>-3984262.28</v>
      </c>
      <c r="AZ232" s="52">
        <v>-1420871.9</v>
      </c>
      <c r="BA232" s="52">
        <v>-1528271.19</v>
      </c>
      <c r="BB232" s="52">
        <v>-3159835.78</v>
      </c>
      <c r="BC232" s="52">
        <v>-1848206.21</v>
      </c>
      <c r="BD232" s="52">
        <v>-3369369.19</v>
      </c>
      <c r="BE232" s="52">
        <v>-2385002.71</v>
      </c>
      <c r="BF232" s="52">
        <v>-2278675</v>
      </c>
      <c r="BG232" s="52">
        <v>-3450410.86</v>
      </c>
      <c r="BH232" s="52">
        <v>-5359974.1100000003</v>
      </c>
      <c r="BI232" s="52">
        <v>-3085838.56</v>
      </c>
      <c r="BJ232" s="52">
        <v>-3452224.34</v>
      </c>
      <c r="BK232" s="52">
        <v>-3423844.66</v>
      </c>
      <c r="BL232" s="52">
        <v>-2110527.15</v>
      </c>
      <c r="BM232" s="52">
        <v>-2501240.35</v>
      </c>
      <c r="BN232" s="52">
        <v>-3936260.13</v>
      </c>
      <c r="BO232" s="52">
        <v>-2576315.1</v>
      </c>
      <c r="BP232" s="52">
        <v>-3185382.69</v>
      </c>
      <c r="BQ232" s="52">
        <v>-3469052.66</v>
      </c>
      <c r="BR232" s="52">
        <v>-4032479.04</v>
      </c>
      <c r="BS232" s="52">
        <v>-2984259.98</v>
      </c>
      <c r="BT232" s="52">
        <v>-2704487.76</v>
      </c>
      <c r="BU232" s="52">
        <v>-4211562.62</v>
      </c>
      <c r="BV232" s="52">
        <v>-2498060</v>
      </c>
      <c r="BW232" s="52">
        <v>-8113109.3899999997</v>
      </c>
      <c r="BX232" s="52">
        <v>-4576454.42</v>
      </c>
      <c r="BY232" s="52">
        <v>-3074556.9</v>
      </c>
      <c r="BZ232" s="52">
        <v>-2823729.72</v>
      </c>
      <c r="CA232" s="52">
        <v>-4456861.91</v>
      </c>
      <c r="CB232" s="52">
        <v>-5733922.71</v>
      </c>
      <c r="CC232" s="52">
        <v>-4787216.2</v>
      </c>
      <c r="CD232" s="52">
        <v>-4033866.19</v>
      </c>
      <c r="CE232" s="52">
        <v>-8669109.6999999993</v>
      </c>
      <c r="CF232" s="52">
        <v>-6339240.3300000001</v>
      </c>
      <c r="CG232" s="52">
        <v>-4466791.9000000004</v>
      </c>
      <c r="CH232" s="52">
        <v>-5829363.1299999999</v>
      </c>
      <c r="CI232" s="52">
        <v>-5616227.7300000004</v>
      </c>
      <c r="CJ232" s="52">
        <v>-4121136.4</v>
      </c>
      <c r="CK232" s="52">
        <v>-1691773.01</v>
      </c>
      <c r="CL232" s="52">
        <v>-2705260.6</v>
      </c>
      <c r="CM232" s="52">
        <v>-3531773.36</v>
      </c>
      <c r="CN232" s="52">
        <v>-2761956.59</v>
      </c>
      <c r="CO232" s="52">
        <v>-4711989.93</v>
      </c>
      <c r="CP232" s="52">
        <v>-11371396.76</v>
      </c>
      <c r="CQ232" s="52">
        <v>-4911564.78</v>
      </c>
      <c r="CR232" s="52">
        <v>-4199378.24</v>
      </c>
      <c r="CS232" s="52">
        <v>-4901816.71</v>
      </c>
      <c r="CT232" s="52">
        <v>-4179269.59</v>
      </c>
      <c r="CU232" s="52">
        <v>-7019557.3899999997</v>
      </c>
      <c r="CV232" s="430">
        <f t="shared" si="6"/>
        <v>-56106873.359999999</v>
      </c>
    </row>
    <row r="233" spans="1:100">
      <c r="A233" s="540" t="str">
        <f t="shared" si="7"/>
        <v>6500010</v>
      </c>
      <c r="B233" s="541" t="s">
        <v>2051</v>
      </c>
      <c r="C233" s="463" t="s">
        <v>1136</v>
      </c>
      <c r="D233" s="426">
        <v>82290.67</v>
      </c>
      <c r="E233" s="426">
        <v>82751.92</v>
      </c>
      <c r="F233" s="426">
        <v>98162.95</v>
      </c>
      <c r="G233" s="426">
        <v>66569.990000000005</v>
      </c>
      <c r="H233" s="426">
        <v>91203.44</v>
      </c>
      <c r="I233" s="426">
        <v>92610.14</v>
      </c>
      <c r="J233" s="426">
        <v>83068.83</v>
      </c>
      <c r="K233" s="426">
        <v>115090.97</v>
      </c>
      <c r="L233" s="426">
        <v>59249.68</v>
      </c>
      <c r="M233" s="426">
        <v>162576.28</v>
      </c>
      <c r="N233" s="426">
        <v>61791.65</v>
      </c>
      <c r="O233" s="427">
        <v>65772.69</v>
      </c>
      <c r="P233" s="52">
        <v>50632.09</v>
      </c>
      <c r="Q233" s="52">
        <v>66504.42</v>
      </c>
      <c r="R233" s="52">
        <v>63185.15</v>
      </c>
      <c r="S233" s="52">
        <v>77760.639999999999</v>
      </c>
      <c r="T233" s="52">
        <v>119029.41</v>
      </c>
      <c r="U233" s="52">
        <v>71557.94</v>
      </c>
      <c r="V233" s="52">
        <v>80732.84</v>
      </c>
      <c r="W233" s="52">
        <v>69941.47</v>
      </c>
      <c r="X233" s="52">
        <v>76524.75</v>
      </c>
      <c r="Y233" s="52">
        <v>63626.5</v>
      </c>
      <c r="Z233" s="52">
        <v>119308.45</v>
      </c>
      <c r="AA233" s="52">
        <v>73138.69</v>
      </c>
      <c r="AB233" s="52">
        <v>13316.47</v>
      </c>
      <c r="AC233" s="52">
        <v>65655.740000000005</v>
      </c>
      <c r="AD233" s="52">
        <v>109954.69</v>
      </c>
      <c r="AE233" s="52">
        <v>86849.29</v>
      </c>
      <c r="AF233" s="52">
        <v>77943.520000000004</v>
      </c>
      <c r="AG233" s="52">
        <v>80254.95</v>
      </c>
      <c r="AH233" s="52">
        <v>80448.490000000005</v>
      </c>
      <c r="AI233" s="52">
        <v>84474.34</v>
      </c>
      <c r="AJ233" s="52">
        <v>78444.08</v>
      </c>
      <c r="AK233" s="52">
        <v>166089.15</v>
      </c>
      <c r="AL233" s="52">
        <v>66982.960000000006</v>
      </c>
      <c r="AM233" s="52">
        <v>102320.4</v>
      </c>
      <c r="AN233" s="52">
        <v>72855.009999999995</v>
      </c>
      <c r="AO233" s="52">
        <v>92155.83</v>
      </c>
      <c r="AP233" s="52">
        <v>129366.86</v>
      </c>
      <c r="AQ233" s="52">
        <v>104835.62</v>
      </c>
      <c r="AR233" s="52">
        <v>58584.42</v>
      </c>
      <c r="AS233" s="52">
        <v>103822.65</v>
      </c>
      <c r="AT233" s="52">
        <v>77993.83</v>
      </c>
      <c r="AU233" s="52">
        <v>73673.42</v>
      </c>
      <c r="AV233" s="52">
        <v>85244.97</v>
      </c>
      <c r="AW233" s="52">
        <v>70444.160000000003</v>
      </c>
      <c r="AX233" s="52">
        <v>87179.89</v>
      </c>
      <c r="AY233" s="52">
        <v>126385.77</v>
      </c>
      <c r="AZ233" s="52">
        <v>52373.33</v>
      </c>
      <c r="BA233" s="52">
        <v>85210.8</v>
      </c>
      <c r="BB233" s="52">
        <v>76488.02</v>
      </c>
      <c r="BC233" s="52">
        <v>60060.35</v>
      </c>
      <c r="BD233" s="52">
        <v>136767.42000000001</v>
      </c>
      <c r="BE233" s="52">
        <v>56508.68</v>
      </c>
      <c r="BF233" s="52">
        <v>111269.49</v>
      </c>
      <c r="BG233" s="52">
        <v>96830.26</v>
      </c>
      <c r="BH233" s="52">
        <v>52159.83</v>
      </c>
      <c r="BI233" s="52">
        <v>112341.15</v>
      </c>
      <c r="BJ233" s="52">
        <v>83777.320000000007</v>
      </c>
      <c r="BK233" s="52">
        <v>129895.16</v>
      </c>
      <c r="BL233" s="52">
        <v>61156.76</v>
      </c>
      <c r="BM233" s="52">
        <v>111669.02</v>
      </c>
      <c r="BN233" s="52">
        <v>125516.73</v>
      </c>
      <c r="BO233" s="52">
        <v>82252.789999999994</v>
      </c>
      <c r="BP233" s="52">
        <v>92542.76</v>
      </c>
      <c r="BQ233" s="52">
        <v>86585.44</v>
      </c>
      <c r="BR233" s="52">
        <v>93764.84</v>
      </c>
      <c r="BS233" s="52">
        <v>108406.8</v>
      </c>
      <c r="BT233" s="52">
        <v>61711.71</v>
      </c>
      <c r="BU233" s="52">
        <v>106888.97</v>
      </c>
      <c r="BV233" s="52">
        <v>99646.95</v>
      </c>
      <c r="BW233" s="52">
        <v>126823.49</v>
      </c>
      <c r="BX233" s="52">
        <v>63789.51</v>
      </c>
      <c r="BY233" s="52">
        <v>90871.74</v>
      </c>
      <c r="BZ233" s="52">
        <v>77757.399999999994</v>
      </c>
      <c r="CA233" s="52">
        <v>106774.93</v>
      </c>
      <c r="CB233" s="52">
        <v>70560.02</v>
      </c>
      <c r="CC233" s="52">
        <v>46811.54</v>
      </c>
      <c r="CD233" s="52">
        <v>93693.65</v>
      </c>
      <c r="CE233" s="52">
        <v>95853</v>
      </c>
      <c r="CF233" s="52">
        <v>69294.47</v>
      </c>
      <c r="CG233" s="52">
        <v>81386.460000000006</v>
      </c>
      <c r="CH233" s="52">
        <v>71092.25</v>
      </c>
      <c r="CI233" s="52">
        <v>125792.62</v>
      </c>
      <c r="CJ233" s="52">
        <v>42583.53</v>
      </c>
      <c r="CK233" s="52">
        <v>104889.31</v>
      </c>
      <c r="CL233" s="52">
        <v>67520.7</v>
      </c>
      <c r="CM233" s="52">
        <v>118971.97</v>
      </c>
      <c r="CN233" s="52">
        <v>62273.67</v>
      </c>
      <c r="CO233" s="52">
        <v>128691.57</v>
      </c>
      <c r="CP233" s="52">
        <v>176299.67</v>
      </c>
      <c r="CQ233" s="52">
        <v>90601.33</v>
      </c>
      <c r="CR233" s="52">
        <v>71065.62</v>
      </c>
      <c r="CS233" s="52">
        <v>155657.04</v>
      </c>
      <c r="CT233" s="52">
        <v>93574.82</v>
      </c>
      <c r="CU233" s="52">
        <v>103274.37</v>
      </c>
      <c r="CV233" s="430">
        <f t="shared" si="6"/>
        <v>1215403.6000000001</v>
      </c>
    </row>
    <row r="234" spans="1:100">
      <c r="A234" s="540" t="str">
        <f t="shared" si="7"/>
        <v>6500015</v>
      </c>
      <c r="B234" s="541" t="s">
        <v>2052</v>
      </c>
      <c r="C234" s="463" t="s">
        <v>1137</v>
      </c>
      <c r="D234" s="428">
        <v>102151.31</v>
      </c>
      <c r="E234" s="428">
        <v>108533.07</v>
      </c>
      <c r="F234" s="428">
        <v>110507.11</v>
      </c>
      <c r="G234" s="428">
        <v>85669.21</v>
      </c>
      <c r="H234" s="428">
        <v>118527.05</v>
      </c>
      <c r="I234" s="428">
        <v>115356.25</v>
      </c>
      <c r="J234" s="428">
        <v>137077.09</v>
      </c>
      <c r="K234" s="428">
        <v>121006.48</v>
      </c>
      <c r="L234" s="428">
        <v>120425.63</v>
      </c>
      <c r="M234" s="428">
        <v>138226.09</v>
      </c>
      <c r="N234" s="428">
        <v>140663.67000000001</v>
      </c>
      <c r="O234" s="429">
        <v>99592.87</v>
      </c>
      <c r="P234" s="52">
        <v>97811.67</v>
      </c>
      <c r="Q234" s="52">
        <v>87664.71</v>
      </c>
      <c r="R234" s="52">
        <v>84446.23</v>
      </c>
      <c r="S234" s="52">
        <v>109891.07</v>
      </c>
      <c r="T234" s="52">
        <v>108263.18</v>
      </c>
      <c r="U234" s="52">
        <v>107299.84</v>
      </c>
      <c r="V234" s="52">
        <v>120516.43</v>
      </c>
      <c r="W234" s="52">
        <v>101631</v>
      </c>
      <c r="X234" s="52">
        <v>100259.04</v>
      </c>
      <c r="Y234" s="52">
        <v>98761.14</v>
      </c>
      <c r="Z234" s="52">
        <v>102654.39999999999</v>
      </c>
      <c r="AA234" s="52">
        <v>85245.27</v>
      </c>
      <c r="AB234" s="52">
        <v>86348.25</v>
      </c>
      <c r="AC234" s="52">
        <v>84322.16</v>
      </c>
      <c r="AD234" s="52">
        <v>90733.68</v>
      </c>
      <c r="AE234" s="52">
        <v>85888.94</v>
      </c>
      <c r="AF234" s="52">
        <v>90756.99</v>
      </c>
      <c r="AG234" s="52">
        <v>99051.01</v>
      </c>
      <c r="AH234" s="52">
        <v>108583.23</v>
      </c>
      <c r="AI234" s="52">
        <v>92241.25</v>
      </c>
      <c r="AJ234" s="52">
        <v>106847.88</v>
      </c>
      <c r="AK234" s="52">
        <v>104561.28</v>
      </c>
      <c r="AL234" s="52">
        <v>120492.62</v>
      </c>
      <c r="AM234" s="52">
        <v>92986.41</v>
      </c>
      <c r="AN234" s="52">
        <v>85732.34</v>
      </c>
      <c r="AO234" s="52">
        <v>109492.93</v>
      </c>
      <c r="AP234" s="52">
        <v>99027.39</v>
      </c>
      <c r="AQ234" s="52">
        <v>99666.26</v>
      </c>
      <c r="AR234" s="52">
        <v>104591</v>
      </c>
      <c r="AS234" s="52">
        <v>119544.71</v>
      </c>
      <c r="AT234" s="52">
        <v>109208.19</v>
      </c>
      <c r="AU234" s="52">
        <v>98542.16</v>
      </c>
      <c r="AV234" s="52">
        <v>127829.14</v>
      </c>
      <c r="AW234" s="52">
        <v>114084.48</v>
      </c>
      <c r="AX234" s="52">
        <v>118764.48</v>
      </c>
      <c r="AY234" s="52">
        <v>111069.2</v>
      </c>
      <c r="AZ234" s="52">
        <v>97746.72</v>
      </c>
      <c r="BA234" s="52">
        <v>129975.23</v>
      </c>
      <c r="BB234" s="52">
        <v>119032.49</v>
      </c>
      <c r="BC234" s="52">
        <v>121195.64</v>
      </c>
      <c r="BD234" s="52">
        <v>127484.97</v>
      </c>
      <c r="BE234" s="52">
        <v>134312.09</v>
      </c>
      <c r="BF234" s="52">
        <v>134924.04</v>
      </c>
      <c r="BG234" s="52">
        <v>159017.15</v>
      </c>
      <c r="BH234" s="52">
        <v>133982.01999999999</v>
      </c>
      <c r="BI234" s="52">
        <v>128700.48</v>
      </c>
      <c r="BJ234" s="52">
        <v>147143.91</v>
      </c>
      <c r="BK234" s="52">
        <v>130993.61</v>
      </c>
      <c r="BL234" s="52">
        <v>98353.72</v>
      </c>
      <c r="BM234" s="52">
        <v>138757</v>
      </c>
      <c r="BN234" s="52">
        <v>89637.3</v>
      </c>
      <c r="BO234" s="52">
        <v>125041.81</v>
      </c>
      <c r="BP234" s="52">
        <v>129403.89</v>
      </c>
      <c r="BQ234" s="52">
        <v>135457.41</v>
      </c>
      <c r="BR234" s="52">
        <v>115093.07</v>
      </c>
      <c r="BS234" s="52">
        <v>140107.51999999999</v>
      </c>
      <c r="BT234" s="52">
        <v>140317.12</v>
      </c>
      <c r="BU234" s="52">
        <v>121235.06</v>
      </c>
      <c r="BV234" s="52">
        <v>141316.85</v>
      </c>
      <c r="BW234" s="52">
        <v>113365.75999999999</v>
      </c>
      <c r="BX234" s="52">
        <v>117773.78</v>
      </c>
      <c r="BY234" s="52">
        <v>135300.34</v>
      </c>
      <c r="BZ234" s="52">
        <v>124370.56</v>
      </c>
      <c r="CA234" s="52">
        <v>105916.1</v>
      </c>
      <c r="CB234" s="52">
        <v>85671.44</v>
      </c>
      <c r="CC234" s="52">
        <v>81964.52</v>
      </c>
      <c r="CD234" s="52">
        <v>106780.66</v>
      </c>
      <c r="CE234" s="52">
        <v>111063.63</v>
      </c>
      <c r="CF234" s="52">
        <v>107521.33</v>
      </c>
      <c r="CG234" s="52">
        <v>114629.14</v>
      </c>
      <c r="CH234" s="52">
        <v>116804.52</v>
      </c>
      <c r="CI234" s="52">
        <v>92227.520000000004</v>
      </c>
      <c r="CJ234" s="52">
        <v>104034.91</v>
      </c>
      <c r="CK234" s="52">
        <v>109252.26</v>
      </c>
      <c r="CL234" s="52">
        <v>123241.45</v>
      </c>
      <c r="CM234" s="52">
        <v>153745.13</v>
      </c>
      <c r="CN234" s="52">
        <v>138229.28</v>
      </c>
      <c r="CO234" s="52">
        <v>136601.45000000001</v>
      </c>
      <c r="CP234" s="52">
        <v>150155.65</v>
      </c>
      <c r="CQ234" s="52">
        <v>174614.13</v>
      </c>
      <c r="CR234" s="52">
        <v>169082.22</v>
      </c>
      <c r="CS234" s="52">
        <v>167118.35999999999</v>
      </c>
      <c r="CT234" s="52">
        <v>176100.67</v>
      </c>
      <c r="CU234" s="52">
        <v>154221.82999999999</v>
      </c>
      <c r="CV234" s="430">
        <f t="shared" si="6"/>
        <v>1756397.3399999999</v>
      </c>
    </row>
    <row r="235" spans="1:100">
      <c r="A235" s="540" t="str">
        <f t="shared" si="7"/>
        <v>6500020</v>
      </c>
      <c r="B235" s="541" t="s">
        <v>2053</v>
      </c>
      <c r="C235" s="463" t="s">
        <v>1138</v>
      </c>
      <c r="D235" s="426">
        <v>130</v>
      </c>
      <c r="E235" s="426">
        <v>13</v>
      </c>
      <c r="F235" s="426">
        <v>156</v>
      </c>
      <c r="G235" s="426">
        <v>13</v>
      </c>
      <c r="H235" s="426">
        <v>11731.3</v>
      </c>
      <c r="I235" s="426">
        <v>143</v>
      </c>
      <c r="J235" s="426">
        <v>143</v>
      </c>
      <c r="K235" s="426">
        <v>-292.47000000000003</v>
      </c>
      <c r="L235" s="426">
        <v>221885</v>
      </c>
      <c r="M235" s="426">
        <v>228635.89</v>
      </c>
      <c r="N235" s="426">
        <v>143</v>
      </c>
      <c r="O235" s="427">
        <v>143</v>
      </c>
      <c r="P235" s="52">
        <v>143</v>
      </c>
      <c r="Q235" s="52">
        <v>143</v>
      </c>
      <c r="R235" s="52">
        <v>143</v>
      </c>
      <c r="S235" s="52">
        <v>192.15</v>
      </c>
      <c r="T235" s="52">
        <v>126.21</v>
      </c>
      <c r="U235" s="52">
        <v>147.41</v>
      </c>
      <c r="V235" s="52">
        <v>91</v>
      </c>
      <c r="W235" s="52">
        <v>-1104.27</v>
      </c>
      <c r="X235" s="52">
        <v>0</v>
      </c>
      <c r="Y235" s="52">
        <v>0</v>
      </c>
      <c r="Z235" s="52">
        <v>0</v>
      </c>
      <c r="AA235" s="52">
        <v>0</v>
      </c>
      <c r="AB235" s="52">
        <v>0</v>
      </c>
      <c r="AC235" s="52">
        <v>0</v>
      </c>
      <c r="AD235" s="52">
        <v>0</v>
      </c>
      <c r="AE235" s="52">
        <v>0</v>
      </c>
      <c r="AF235" s="52">
        <v>100.88</v>
      </c>
      <c r="AG235" s="52">
        <v>0</v>
      </c>
      <c r="AH235" s="52">
        <v>0</v>
      </c>
      <c r="AI235" s="52">
        <v>0</v>
      </c>
      <c r="AJ235" s="52">
        <v>0</v>
      </c>
      <c r="AK235" s="52">
        <v>0</v>
      </c>
      <c r="AL235" s="52">
        <v>0</v>
      </c>
      <c r="AM235" s="52">
        <v>98.01</v>
      </c>
      <c r="AN235" s="52">
        <v>619.59</v>
      </c>
      <c r="AO235" s="52">
        <v>0</v>
      </c>
      <c r="AP235" s="52">
        <v>191.23</v>
      </c>
      <c r="AQ235" s="52">
        <v>0</v>
      </c>
      <c r="AR235" s="52">
        <v>0</v>
      </c>
      <c r="AS235" s="52">
        <v>0</v>
      </c>
      <c r="AT235" s="52">
        <v>0</v>
      </c>
      <c r="AU235" s="52">
        <v>0</v>
      </c>
      <c r="AV235" s="52">
        <v>0</v>
      </c>
      <c r="AW235" s="52">
        <v>0</v>
      </c>
      <c r="AX235" s="52">
        <v>0</v>
      </c>
      <c r="AY235" s="52">
        <v>0</v>
      </c>
      <c r="AZ235" s="52">
        <v>0</v>
      </c>
      <c r="BA235" s="52">
        <v>0</v>
      </c>
      <c r="BB235" s="52">
        <v>1079.5</v>
      </c>
      <c r="BC235" s="52">
        <v>-70.63</v>
      </c>
      <c r="BD235" s="52">
        <v>252.83</v>
      </c>
      <c r="BE235" s="52">
        <v>0</v>
      </c>
      <c r="BF235" s="52">
        <v>0</v>
      </c>
      <c r="BG235" s="52">
        <v>0</v>
      </c>
      <c r="BH235" s="52">
        <v>0</v>
      </c>
      <c r="BI235" s="52">
        <v>0</v>
      </c>
      <c r="BJ235" s="52">
        <v>0</v>
      </c>
      <c r="BK235" s="52">
        <v>0</v>
      </c>
      <c r="BL235" s="52">
        <v>0</v>
      </c>
      <c r="BM235" s="52">
        <v>608.26</v>
      </c>
      <c r="BN235" s="52">
        <v>-0.54</v>
      </c>
      <c r="BO235" s="52">
        <v>0</v>
      </c>
      <c r="BP235" s="52">
        <v>0</v>
      </c>
      <c r="BQ235" s="52">
        <v>0</v>
      </c>
      <c r="BR235" s="52">
        <v>0</v>
      </c>
      <c r="BS235" s="52">
        <v>2561.6799999999998</v>
      </c>
      <c r="BT235" s="52">
        <v>0</v>
      </c>
      <c r="BU235" s="52">
        <v>0</v>
      </c>
      <c r="BV235" s="52">
        <v>0</v>
      </c>
      <c r="BW235" s="52">
        <v>0</v>
      </c>
      <c r="BX235" s="52">
        <v>24.05</v>
      </c>
      <c r="BY235" s="52">
        <v>612.88</v>
      </c>
      <c r="BZ235" s="52">
        <v>0</v>
      </c>
      <c r="CA235" s="52">
        <v>0</v>
      </c>
      <c r="CB235" s="52">
        <v>0</v>
      </c>
      <c r="CC235" s="52">
        <v>13.99</v>
      </c>
      <c r="CD235" s="52">
        <v>0</v>
      </c>
      <c r="CE235" s="52">
        <v>0</v>
      </c>
      <c r="CF235" s="52">
        <v>0</v>
      </c>
      <c r="CG235" s="52">
        <v>0</v>
      </c>
      <c r="CH235" s="52">
        <v>0</v>
      </c>
      <c r="CI235" s="52">
        <v>0</v>
      </c>
      <c r="CJ235" s="52">
        <v>0</v>
      </c>
      <c r="CK235" s="52">
        <v>0</v>
      </c>
      <c r="CL235" s="52">
        <v>0</v>
      </c>
      <c r="CM235" s="52">
        <v>0</v>
      </c>
      <c r="CN235" s="52">
        <v>74.55</v>
      </c>
      <c r="CO235" s="52">
        <v>0</v>
      </c>
      <c r="CP235" s="52">
        <v>0</v>
      </c>
      <c r="CQ235" s="52">
        <v>0</v>
      </c>
      <c r="CR235" s="52">
        <v>0</v>
      </c>
      <c r="CS235" s="52">
        <v>93</v>
      </c>
      <c r="CT235" s="52">
        <v>-6.08</v>
      </c>
      <c r="CU235" s="52">
        <v>6.08</v>
      </c>
      <c r="CV235" s="430">
        <f t="shared" si="6"/>
        <v>167.55</v>
      </c>
    </row>
    <row r="236" spans="1:100">
      <c r="A236" s="540" t="str">
        <f t="shared" si="7"/>
        <v>6500810</v>
      </c>
      <c r="B236" s="541" t="s">
        <v>2054</v>
      </c>
      <c r="C236" s="463" t="s">
        <v>1139</v>
      </c>
      <c r="D236" s="426">
        <v>139519.41</v>
      </c>
      <c r="E236" s="426">
        <v>135950.64000000001</v>
      </c>
      <c r="F236" s="426">
        <v>134421.28</v>
      </c>
      <c r="G236" s="426">
        <v>133855.57999999999</v>
      </c>
      <c r="H236" s="426">
        <v>133855.57999999999</v>
      </c>
      <c r="I236" s="426">
        <v>137512.59</v>
      </c>
      <c r="J236" s="426">
        <v>135624.81</v>
      </c>
      <c r="K236" s="426">
        <v>135629.15</v>
      </c>
      <c r="L236" s="426">
        <v>135620.42000000001</v>
      </c>
      <c r="M236" s="426">
        <v>135403.43</v>
      </c>
      <c r="N236" s="426">
        <v>137826.23000000001</v>
      </c>
      <c r="O236" s="427">
        <v>138371.76</v>
      </c>
      <c r="P236" s="52">
        <v>144483.5</v>
      </c>
      <c r="Q236" s="52">
        <v>144483.38</v>
      </c>
      <c r="R236" s="52">
        <v>144495.34</v>
      </c>
      <c r="S236" s="52">
        <v>140363.54</v>
      </c>
      <c r="T236" s="52">
        <v>141938.13</v>
      </c>
      <c r="U236" s="52">
        <v>143883.85999999999</v>
      </c>
      <c r="V236" s="52">
        <v>143886.72</v>
      </c>
      <c r="W236" s="52">
        <v>143894.41</v>
      </c>
      <c r="X236" s="52">
        <v>149508.57</v>
      </c>
      <c r="Y236" s="52">
        <v>155002.18</v>
      </c>
      <c r="Z236" s="52">
        <v>155899.26999999999</v>
      </c>
      <c r="AA236" s="52">
        <v>158734.78</v>
      </c>
      <c r="AB236" s="52">
        <v>159282.70000000001</v>
      </c>
      <c r="AC236" s="52">
        <v>161866.49</v>
      </c>
      <c r="AD236" s="52">
        <v>163028.34</v>
      </c>
      <c r="AE236" s="52">
        <v>161386.68</v>
      </c>
      <c r="AF236" s="52">
        <v>162039.95000000001</v>
      </c>
      <c r="AG236" s="52">
        <v>161607.31</v>
      </c>
      <c r="AH236" s="52">
        <v>83037.63</v>
      </c>
      <c r="AI236" s="52">
        <v>232331.28</v>
      </c>
      <c r="AJ236" s="52">
        <v>161073.94</v>
      </c>
      <c r="AK236" s="52">
        <v>160482.73000000001</v>
      </c>
      <c r="AL236" s="52">
        <v>163282.16</v>
      </c>
      <c r="AM236" s="52">
        <v>203401.38</v>
      </c>
      <c r="AN236" s="52">
        <v>173289.34</v>
      </c>
      <c r="AO236" s="52">
        <v>177967.55</v>
      </c>
      <c r="AP236" s="52">
        <v>177443.52</v>
      </c>
      <c r="AQ236" s="52">
        <v>179730.22</v>
      </c>
      <c r="AR236" s="52">
        <v>176589.98</v>
      </c>
      <c r="AS236" s="52">
        <v>176619.51</v>
      </c>
      <c r="AT236" s="52">
        <v>176481.19</v>
      </c>
      <c r="AU236" s="52">
        <v>176469.5</v>
      </c>
      <c r="AV236" s="52">
        <v>175937.82</v>
      </c>
      <c r="AW236" s="52">
        <v>175922.51</v>
      </c>
      <c r="AX236" s="52">
        <v>176492.47</v>
      </c>
      <c r="AY236" s="52">
        <v>180652.67</v>
      </c>
      <c r="AZ236" s="52">
        <v>181486.2</v>
      </c>
      <c r="BA236" s="52">
        <v>187257.89</v>
      </c>
      <c r="BB236" s="52">
        <v>188943.81</v>
      </c>
      <c r="BC236" s="52">
        <v>190724.2</v>
      </c>
      <c r="BD236" s="52">
        <v>189770.71</v>
      </c>
      <c r="BE236" s="52">
        <v>189929.92</v>
      </c>
      <c r="BF236" s="52">
        <v>191681.92000000001</v>
      </c>
      <c r="BG236" s="52">
        <v>192029.68</v>
      </c>
      <c r="BH236" s="52">
        <v>176492.47</v>
      </c>
      <c r="BI236" s="52">
        <v>206927.43</v>
      </c>
      <c r="BJ236" s="52">
        <v>190050.34</v>
      </c>
      <c r="BK236" s="52">
        <v>193413.34</v>
      </c>
      <c r="BL236" s="52">
        <v>197794.25</v>
      </c>
      <c r="BM236" s="52">
        <v>198024.19</v>
      </c>
      <c r="BN236" s="52">
        <v>199805.51</v>
      </c>
      <c r="BO236" s="52">
        <v>209287.97</v>
      </c>
      <c r="BP236" s="52">
        <v>213854.51</v>
      </c>
      <c r="BQ236" s="52">
        <v>214060.7</v>
      </c>
      <c r="BR236" s="52">
        <v>212505.22</v>
      </c>
      <c r="BS236" s="52">
        <v>208079.5</v>
      </c>
      <c r="BT236" s="52">
        <v>207477</v>
      </c>
      <c r="BU236" s="52">
        <v>207477</v>
      </c>
      <c r="BV236" s="52">
        <v>223186.22</v>
      </c>
      <c r="BW236" s="52">
        <v>225445.92</v>
      </c>
      <c r="BX236" s="52">
        <v>227176.11</v>
      </c>
      <c r="BY236" s="52">
        <v>232401.55</v>
      </c>
      <c r="BZ236" s="52">
        <v>233955.19</v>
      </c>
      <c r="CA236" s="52">
        <v>234145.58</v>
      </c>
      <c r="CB236" s="52">
        <v>233372.48</v>
      </c>
      <c r="CC236" s="52">
        <v>234886.39999999999</v>
      </c>
      <c r="CD236" s="52">
        <v>236769.55</v>
      </c>
      <c r="CE236" s="52">
        <v>240999.25</v>
      </c>
      <c r="CF236" s="52">
        <v>245333.42</v>
      </c>
      <c r="CG236" s="52">
        <v>248903.8</v>
      </c>
      <c r="CH236" s="52">
        <v>248986.57</v>
      </c>
      <c r="CI236" s="52">
        <v>252306.74</v>
      </c>
      <c r="CJ236" s="52">
        <v>136639.43</v>
      </c>
      <c r="CK236" s="52">
        <v>138801.04</v>
      </c>
      <c r="CL236" s="52">
        <v>141073.32</v>
      </c>
      <c r="CM236" s="52">
        <v>142702.07999999999</v>
      </c>
      <c r="CN236" s="52">
        <v>142250.14000000001</v>
      </c>
      <c r="CO236" s="52">
        <v>142442.78</v>
      </c>
      <c r="CP236" s="52">
        <v>142694.13</v>
      </c>
      <c r="CQ236" s="52">
        <v>143826.01999999999</v>
      </c>
      <c r="CR236" s="52">
        <v>145415.67999999999</v>
      </c>
      <c r="CS236" s="52">
        <v>145447.49</v>
      </c>
      <c r="CT236" s="52">
        <v>142863.26</v>
      </c>
      <c r="CU236" s="52">
        <v>142717.09</v>
      </c>
      <c r="CV236" s="430">
        <f t="shared" si="6"/>
        <v>1706872.46</v>
      </c>
    </row>
    <row r="237" spans="1:100">
      <c r="A237" s="540" t="str">
        <f t="shared" si="7"/>
        <v>6508999</v>
      </c>
      <c r="B237" s="541" t="s">
        <v>2055</v>
      </c>
      <c r="C237" s="463" t="s">
        <v>1140</v>
      </c>
      <c r="D237" s="428">
        <v>1314.52</v>
      </c>
      <c r="E237" s="428">
        <v>0</v>
      </c>
      <c r="F237" s="428">
        <v>0</v>
      </c>
      <c r="G237" s="428">
        <v>0</v>
      </c>
      <c r="H237" s="428">
        <v>0</v>
      </c>
      <c r="I237" s="428">
        <v>0</v>
      </c>
      <c r="J237" s="428">
        <v>0</v>
      </c>
      <c r="K237" s="428">
        <v>0</v>
      </c>
      <c r="L237" s="428">
        <v>0</v>
      </c>
      <c r="M237" s="428">
        <v>0</v>
      </c>
      <c r="N237" s="428">
        <v>2033.57</v>
      </c>
      <c r="O237" s="429">
        <v>164.9</v>
      </c>
      <c r="P237" s="52">
        <v>0</v>
      </c>
      <c r="Q237" s="52">
        <v>0</v>
      </c>
      <c r="R237" s="52">
        <v>0</v>
      </c>
      <c r="S237" s="52">
        <v>0</v>
      </c>
      <c r="T237" s="52">
        <v>647</v>
      </c>
      <c r="U237" s="52">
        <v>180.81</v>
      </c>
      <c r="V237" s="52">
        <v>135.59</v>
      </c>
      <c r="W237" s="52">
        <v>176.43</v>
      </c>
      <c r="X237" s="52">
        <v>201</v>
      </c>
      <c r="Y237" s="52">
        <v>124.29</v>
      </c>
      <c r="Z237" s="52">
        <v>549.87</v>
      </c>
      <c r="AA237" s="52">
        <v>326.7</v>
      </c>
      <c r="AB237" s="52">
        <v>257.38</v>
      </c>
      <c r="AC237" s="52">
        <v>246.11</v>
      </c>
      <c r="AD237" s="52">
        <v>136.61000000000001</v>
      </c>
      <c r="AE237" s="52">
        <v>161.88999999999999</v>
      </c>
      <c r="AF237" s="52">
        <v>0</v>
      </c>
      <c r="AG237" s="52">
        <v>547.36</v>
      </c>
      <c r="AH237" s="52">
        <v>489.15</v>
      </c>
      <c r="AI237" s="52">
        <v>332.2</v>
      </c>
      <c r="AJ237" s="52">
        <v>598.54999999999995</v>
      </c>
      <c r="AK237" s="52">
        <v>335.01</v>
      </c>
      <c r="AL237" s="52">
        <v>759.58</v>
      </c>
      <c r="AM237" s="52">
        <v>-2028.53</v>
      </c>
      <c r="AN237" s="52">
        <v>733.42</v>
      </c>
      <c r="AO237" s="52">
        <v>0.06</v>
      </c>
      <c r="AP237" s="52">
        <v>0</v>
      </c>
      <c r="AQ237" s="52">
        <v>0</v>
      </c>
      <c r="AR237" s="52">
        <v>0</v>
      </c>
      <c r="AS237" s="52">
        <v>0</v>
      </c>
      <c r="AT237" s="52">
        <v>0</v>
      </c>
      <c r="AU237" s="52">
        <v>0</v>
      </c>
      <c r="AV237" s="52">
        <v>0</v>
      </c>
      <c r="AW237" s="52">
        <v>0</v>
      </c>
      <c r="AX237" s="52">
        <v>0</v>
      </c>
      <c r="AY237" s="52">
        <v>0</v>
      </c>
      <c r="AZ237" s="52">
        <v>0</v>
      </c>
      <c r="BA237" s="52">
        <v>0</v>
      </c>
      <c r="BB237" s="52">
        <v>0</v>
      </c>
      <c r="BC237" s="52">
        <v>0</v>
      </c>
      <c r="BD237" s="52">
        <v>0</v>
      </c>
      <c r="BE237" s="52">
        <v>0</v>
      </c>
      <c r="BF237" s="52">
        <v>0</v>
      </c>
      <c r="BG237" s="52">
        <v>0</v>
      </c>
      <c r="BH237" s="52">
        <v>0</v>
      </c>
      <c r="BI237" s="52">
        <v>0</v>
      </c>
      <c r="BJ237" s="52">
        <v>0</v>
      </c>
      <c r="BK237" s="52">
        <v>7</v>
      </c>
      <c r="BL237" s="52">
        <v>0</v>
      </c>
      <c r="BM237" s="52">
        <v>0</v>
      </c>
      <c r="BN237" s="52">
        <v>0</v>
      </c>
      <c r="BO237" s="52">
        <v>0</v>
      </c>
      <c r="BP237" s="52">
        <v>0</v>
      </c>
      <c r="BQ237" s="52">
        <v>0</v>
      </c>
      <c r="BR237" s="52">
        <v>0</v>
      </c>
      <c r="BS237" s="52">
        <v>0</v>
      </c>
      <c r="BT237" s="52">
        <v>0</v>
      </c>
      <c r="BU237" s="52">
        <v>0</v>
      </c>
      <c r="BV237" s="52">
        <v>0</v>
      </c>
      <c r="BW237" s="52">
        <v>0</v>
      </c>
      <c r="BX237" s="52">
        <v>0</v>
      </c>
      <c r="BY237" s="52">
        <v>0</v>
      </c>
      <c r="BZ237" s="52">
        <v>0</v>
      </c>
      <c r="CA237" s="52">
        <v>0</v>
      </c>
      <c r="CB237" s="52">
        <v>0</v>
      </c>
      <c r="CC237" s="52">
        <v>0</v>
      </c>
      <c r="CD237" s="52">
        <v>0</v>
      </c>
      <c r="CE237" s="52">
        <v>0</v>
      </c>
      <c r="CF237" s="52">
        <v>0</v>
      </c>
      <c r="CG237" s="52">
        <v>0</v>
      </c>
      <c r="CH237" s="52">
        <v>0</v>
      </c>
      <c r="CI237" s="52">
        <v>0</v>
      </c>
      <c r="CJ237" s="52">
        <v>0</v>
      </c>
      <c r="CK237" s="52">
        <v>-2077.02</v>
      </c>
      <c r="CL237" s="52">
        <v>1977.54</v>
      </c>
      <c r="CM237" s="52">
        <v>0</v>
      </c>
      <c r="CN237" s="52">
        <v>0</v>
      </c>
      <c r="CO237" s="52">
        <v>0</v>
      </c>
      <c r="CP237" s="52">
        <v>0</v>
      </c>
      <c r="CQ237" s="52">
        <v>0</v>
      </c>
      <c r="CR237" s="52">
        <v>0</v>
      </c>
      <c r="CS237" s="52">
        <v>0</v>
      </c>
      <c r="CT237" s="52">
        <v>0</v>
      </c>
      <c r="CU237" s="52">
        <v>0</v>
      </c>
      <c r="CV237" s="430">
        <f t="shared" si="6"/>
        <v>-99.480000000000018</v>
      </c>
    </row>
    <row r="238" spans="1:100">
      <c r="A238" s="540" t="str">
        <f t="shared" si="7"/>
        <v>6509000</v>
      </c>
      <c r="B238" s="541" t="s">
        <v>2056</v>
      </c>
      <c r="C238" s="463" t="s">
        <v>1141</v>
      </c>
      <c r="D238" s="428">
        <v>19396.150000000001</v>
      </c>
      <c r="E238" s="428">
        <v>0</v>
      </c>
      <c r="F238" s="428">
        <v>-2473.4299999999998</v>
      </c>
      <c r="G238" s="428">
        <v>0</v>
      </c>
      <c r="H238" s="428">
        <v>0</v>
      </c>
      <c r="I238" s="428">
        <v>-306.83999999999997</v>
      </c>
      <c r="J238" s="428">
        <v>3018.5</v>
      </c>
      <c r="K238" s="428">
        <v>-10171.290000000001</v>
      </c>
      <c r="L238" s="428">
        <v>-224010.14</v>
      </c>
      <c r="M238" s="428">
        <v>-320682.71999999997</v>
      </c>
      <c r="N238" s="428">
        <v>439.86</v>
      </c>
      <c r="O238" s="429">
        <v>-164.9</v>
      </c>
      <c r="P238" s="52">
        <v>0</v>
      </c>
      <c r="Q238" s="52">
        <v>-5</v>
      </c>
      <c r="R238" s="52">
        <v>-40</v>
      </c>
      <c r="S238" s="52">
        <v>0</v>
      </c>
      <c r="T238" s="52">
        <v>-647</v>
      </c>
      <c r="U238" s="52">
        <v>-180.81</v>
      </c>
      <c r="V238" s="52">
        <v>1458.41</v>
      </c>
      <c r="W238" s="52">
        <v>324.54000000000002</v>
      </c>
      <c r="X238" s="52">
        <v>-485.39</v>
      </c>
      <c r="Y238" s="52">
        <v>-104.05</v>
      </c>
      <c r="Z238" s="52">
        <v>-3.94</v>
      </c>
      <c r="AA238" s="52">
        <v>-729.67</v>
      </c>
      <c r="AB238" s="52">
        <v>-182.57</v>
      </c>
      <c r="AC238" s="52">
        <v>-46.41</v>
      </c>
      <c r="AD238" s="52">
        <v>-12530.67</v>
      </c>
      <c r="AE238" s="52">
        <v>-763.65</v>
      </c>
      <c r="AF238" s="52">
        <v>-443.6</v>
      </c>
      <c r="AG238" s="52">
        <v>5263.11</v>
      </c>
      <c r="AH238" s="52">
        <v>-361.82</v>
      </c>
      <c r="AI238" s="52">
        <v>-176.88</v>
      </c>
      <c r="AJ238" s="52">
        <v>-6053.75</v>
      </c>
      <c r="AK238" s="52">
        <v>-72579.649999999994</v>
      </c>
      <c r="AL238" s="52">
        <v>-15759.57</v>
      </c>
      <c r="AM238" s="52">
        <v>370.2</v>
      </c>
      <c r="AN238" s="52">
        <v>-495.29</v>
      </c>
      <c r="AO238" s="52">
        <v>-50</v>
      </c>
      <c r="AP238" s="52">
        <v>-26834.27</v>
      </c>
      <c r="AQ238" s="52">
        <v>47.3</v>
      </c>
      <c r="AR238" s="52">
        <v>0</v>
      </c>
      <c r="AS238" s="52">
        <v>-200</v>
      </c>
      <c r="AT238" s="52">
        <v>-200</v>
      </c>
      <c r="AU238" s="52">
        <v>-1263.92</v>
      </c>
      <c r="AV238" s="52">
        <v>-6067.7</v>
      </c>
      <c r="AW238" s="52">
        <v>4238.05</v>
      </c>
      <c r="AX238" s="52">
        <v>-6062.73</v>
      </c>
      <c r="AY238" s="52">
        <v>-4758.84</v>
      </c>
      <c r="AZ238" s="52">
        <v>0</v>
      </c>
      <c r="BA238" s="52">
        <v>-1956.95</v>
      </c>
      <c r="BB238" s="52">
        <v>-2735.05</v>
      </c>
      <c r="BC238" s="52">
        <v>-4483.76</v>
      </c>
      <c r="BD238" s="52">
        <v>-23363.08</v>
      </c>
      <c r="BE238" s="52">
        <v>-13213.91</v>
      </c>
      <c r="BF238" s="52">
        <v>-1490.04</v>
      </c>
      <c r="BG238" s="52">
        <v>-6440.9</v>
      </c>
      <c r="BH238" s="52">
        <v>-2301.2399999999998</v>
      </c>
      <c r="BI238" s="52">
        <v>-1618.12</v>
      </c>
      <c r="BJ238" s="52">
        <v>-6022.69</v>
      </c>
      <c r="BK238" s="52">
        <v>-3929.4</v>
      </c>
      <c r="BL238" s="52">
        <v>0</v>
      </c>
      <c r="BM238" s="52">
        <v>0</v>
      </c>
      <c r="BN238" s="52">
        <v>-358.93</v>
      </c>
      <c r="BO238" s="52">
        <v>-163</v>
      </c>
      <c r="BP238" s="52">
        <v>-763</v>
      </c>
      <c r="BQ238" s="52">
        <v>-50</v>
      </c>
      <c r="BR238" s="52">
        <v>-2583.6799999999998</v>
      </c>
      <c r="BS238" s="52">
        <v>-1720.46</v>
      </c>
      <c r="BT238" s="52">
        <v>-377.5</v>
      </c>
      <c r="BU238" s="52">
        <v>-682.48</v>
      </c>
      <c r="BV238" s="52">
        <v>-4510.68</v>
      </c>
      <c r="BW238" s="52">
        <v>-1998.59</v>
      </c>
      <c r="BX238" s="52">
        <v>0</v>
      </c>
      <c r="BY238" s="52">
        <v>-5659.21</v>
      </c>
      <c r="BZ238" s="52">
        <v>0</v>
      </c>
      <c r="CA238" s="52">
        <v>0</v>
      </c>
      <c r="CB238" s="52">
        <v>-1</v>
      </c>
      <c r="CC238" s="52">
        <v>10000</v>
      </c>
      <c r="CD238" s="52">
        <v>-5685.29</v>
      </c>
      <c r="CE238" s="52">
        <v>-1730.5</v>
      </c>
      <c r="CF238" s="52">
        <v>-13237.47</v>
      </c>
      <c r="CG238" s="52">
        <v>-548</v>
      </c>
      <c r="CH238" s="52">
        <v>-2466.25</v>
      </c>
      <c r="CI238" s="52">
        <v>-2581.81</v>
      </c>
      <c r="CJ238" s="52">
        <v>-285.75</v>
      </c>
      <c r="CK238" s="52">
        <v>-40</v>
      </c>
      <c r="CL238" s="52">
        <v>-4106.55</v>
      </c>
      <c r="CM238" s="52">
        <v>-1698.57</v>
      </c>
      <c r="CN238" s="52">
        <v>-154.88999999999999</v>
      </c>
      <c r="CO238" s="52">
        <v>-386.86</v>
      </c>
      <c r="CP238" s="52">
        <v>-270.12</v>
      </c>
      <c r="CQ238" s="52">
        <v>-536.65</v>
      </c>
      <c r="CR238" s="52">
        <v>-12</v>
      </c>
      <c r="CS238" s="52">
        <v>-306.26</v>
      </c>
      <c r="CT238" s="52">
        <v>-40.549999999999997</v>
      </c>
      <c r="CU238" s="52">
        <v>-1496.26</v>
      </c>
      <c r="CV238" s="430">
        <f t="shared" si="6"/>
        <v>-9334.4599999999991</v>
      </c>
    </row>
    <row r="239" spans="1:100">
      <c r="A239" s="540" t="str">
        <f t="shared" si="7"/>
        <v>6700400</v>
      </c>
      <c r="B239" s="541" t="s">
        <v>2057</v>
      </c>
      <c r="C239" s="463" t="s">
        <v>1142</v>
      </c>
      <c r="D239" s="426">
        <v>4791.67</v>
      </c>
      <c r="E239" s="426">
        <v>4791.67</v>
      </c>
      <c r="F239" s="426">
        <v>4791.67</v>
      </c>
      <c r="G239" s="426">
        <v>4791.67</v>
      </c>
      <c r="H239" s="426">
        <v>4791.67</v>
      </c>
      <c r="I239" s="426">
        <v>4791.67</v>
      </c>
      <c r="J239" s="426">
        <v>4791.67</v>
      </c>
      <c r="K239" s="426">
        <v>4791.67</v>
      </c>
      <c r="L239" s="426">
        <v>4791.67</v>
      </c>
      <c r="M239" s="426">
        <v>4791.67</v>
      </c>
      <c r="N239" s="426">
        <v>4791.67</v>
      </c>
      <c r="O239" s="427">
        <v>4791.67</v>
      </c>
      <c r="P239" s="52">
        <v>4791.67</v>
      </c>
      <c r="Q239" s="52">
        <v>4791.67</v>
      </c>
      <c r="R239" s="52">
        <v>4791.67</v>
      </c>
      <c r="S239" s="52">
        <v>4791.67</v>
      </c>
      <c r="T239" s="52">
        <v>4791.67</v>
      </c>
      <c r="U239" s="52">
        <v>4791.67</v>
      </c>
      <c r="V239" s="52">
        <v>4791.67</v>
      </c>
      <c r="W239" s="52">
        <v>4791.67</v>
      </c>
      <c r="X239" s="52">
        <v>4791.67</v>
      </c>
      <c r="Y239" s="52">
        <v>4791.67</v>
      </c>
      <c r="Z239" s="52">
        <v>4791.67</v>
      </c>
      <c r="AA239" s="52">
        <v>4791.67</v>
      </c>
      <c r="AB239" s="52">
        <v>4791.67</v>
      </c>
      <c r="AC239" s="52">
        <v>4791.67</v>
      </c>
      <c r="AD239" s="52">
        <v>4791.67</v>
      </c>
      <c r="AE239" s="52">
        <v>4791.67</v>
      </c>
      <c r="AF239" s="52">
        <v>4791.67</v>
      </c>
      <c r="AG239" s="52">
        <v>4791.67</v>
      </c>
      <c r="AH239" s="52">
        <v>4791.67</v>
      </c>
      <c r="AI239" s="52">
        <v>4791.67</v>
      </c>
      <c r="AJ239" s="52">
        <v>4791.67</v>
      </c>
      <c r="AK239" s="52">
        <v>4791.67</v>
      </c>
      <c r="AL239" s="52">
        <v>4791.67</v>
      </c>
      <c r="AM239" s="52">
        <v>4791.67</v>
      </c>
      <c r="AN239" s="52">
        <v>4791.67</v>
      </c>
      <c r="AO239" s="52">
        <v>4791.67</v>
      </c>
      <c r="AP239" s="52">
        <v>4791.67</v>
      </c>
      <c r="AQ239" s="52">
        <v>4791.67</v>
      </c>
      <c r="AR239" s="52">
        <v>4791.67</v>
      </c>
      <c r="AS239" s="52">
        <v>4791.67</v>
      </c>
      <c r="AT239" s="52">
        <v>4791.67</v>
      </c>
      <c r="AU239" s="52">
        <v>4791.67</v>
      </c>
      <c r="AV239" s="52">
        <v>4791.67</v>
      </c>
      <c r="AW239" s="52">
        <v>4791.67</v>
      </c>
      <c r="AX239" s="52">
        <v>4791.67</v>
      </c>
      <c r="AY239" s="52">
        <v>4791.67</v>
      </c>
      <c r="AZ239" s="52">
        <v>4791.67</v>
      </c>
      <c r="BA239" s="52">
        <v>4791.67</v>
      </c>
      <c r="BB239" s="52">
        <v>4791.67</v>
      </c>
      <c r="BC239" s="52">
        <v>4791.67</v>
      </c>
      <c r="BD239" s="52">
        <v>4791.67</v>
      </c>
      <c r="BE239" s="52">
        <v>4791.67</v>
      </c>
      <c r="BF239" s="52">
        <v>4791.67</v>
      </c>
      <c r="BG239" s="52">
        <v>4791.67</v>
      </c>
      <c r="BH239" s="52">
        <v>4791.67</v>
      </c>
      <c r="BI239" s="52">
        <v>4791.67</v>
      </c>
      <c r="BJ239" s="52">
        <v>4791.67</v>
      </c>
      <c r="BK239" s="52">
        <v>4791.67</v>
      </c>
      <c r="BL239" s="52">
        <v>4791.67</v>
      </c>
      <c r="BM239" s="52">
        <v>4791.67</v>
      </c>
      <c r="BN239" s="52">
        <v>4791.67</v>
      </c>
      <c r="BO239" s="52">
        <v>4791.67</v>
      </c>
      <c r="BP239" s="52">
        <v>4791.67</v>
      </c>
      <c r="BQ239" s="52">
        <v>4791.67</v>
      </c>
      <c r="BR239" s="52">
        <v>4791.67</v>
      </c>
      <c r="BS239" s="52">
        <v>579712.71</v>
      </c>
      <c r="BT239" s="52">
        <v>610759.89</v>
      </c>
      <c r="BU239" s="52">
        <v>608844.72</v>
      </c>
      <c r="BV239" s="52">
        <v>688731.05</v>
      </c>
      <c r="BW239" s="52">
        <v>957540.55</v>
      </c>
      <c r="BX239" s="52">
        <v>4791.67</v>
      </c>
      <c r="BY239" s="52">
        <v>4791.67</v>
      </c>
      <c r="BZ239" s="52">
        <v>4791.67</v>
      </c>
      <c r="CA239" s="52">
        <v>4791.67</v>
      </c>
      <c r="CB239" s="52">
        <v>4791.67</v>
      </c>
      <c r="CC239" s="52">
        <v>4791.67</v>
      </c>
      <c r="CD239" s="52">
        <v>4791.67</v>
      </c>
      <c r="CE239" s="52">
        <v>4791.67</v>
      </c>
      <c r="CF239" s="52">
        <v>4791.67</v>
      </c>
      <c r="CG239" s="52">
        <v>4791.67</v>
      </c>
      <c r="CH239" s="52">
        <v>4791.67</v>
      </c>
      <c r="CI239" s="52">
        <v>4791.67</v>
      </c>
      <c r="CJ239" s="52">
        <v>31666.67</v>
      </c>
      <c r="CK239" s="52">
        <v>31666.67</v>
      </c>
      <c r="CL239" s="52">
        <v>31666.67</v>
      </c>
      <c r="CM239" s="52">
        <v>31666.67</v>
      </c>
      <c r="CN239" s="52">
        <v>31666.67</v>
      </c>
      <c r="CO239" s="52">
        <v>31666.67</v>
      </c>
      <c r="CP239" s="52">
        <v>31666.67</v>
      </c>
      <c r="CQ239" s="52">
        <v>31666.67</v>
      </c>
      <c r="CR239" s="52">
        <v>31666.67</v>
      </c>
      <c r="CS239" s="52">
        <v>31666.67</v>
      </c>
      <c r="CT239" s="52">
        <v>31666.67</v>
      </c>
      <c r="CU239" s="52">
        <v>31666.67</v>
      </c>
      <c r="CV239" s="430">
        <f t="shared" si="6"/>
        <v>380000.03999999986</v>
      </c>
    </row>
    <row r="240" spans="1:100">
      <c r="A240" s="540" t="str">
        <f t="shared" si="7"/>
        <v>6700500</v>
      </c>
      <c r="B240" s="541" t="s">
        <v>2058</v>
      </c>
      <c r="C240" s="463" t="s">
        <v>1143</v>
      </c>
      <c r="D240" s="426">
        <v>0</v>
      </c>
      <c r="E240" s="426">
        <v>0</v>
      </c>
      <c r="F240" s="426">
        <v>-0.06</v>
      </c>
      <c r="G240" s="426">
        <v>0</v>
      </c>
      <c r="H240" s="426">
        <v>0</v>
      </c>
      <c r="I240" s="426">
        <v>0</v>
      </c>
      <c r="J240" s="426">
        <v>0</v>
      </c>
      <c r="K240" s="426">
        <v>0</v>
      </c>
      <c r="L240" s="426">
        <v>0</v>
      </c>
      <c r="M240" s="426">
        <v>0</v>
      </c>
      <c r="N240" s="426">
        <v>0</v>
      </c>
      <c r="O240" s="427">
        <v>0</v>
      </c>
      <c r="P240" s="52">
        <v>0</v>
      </c>
      <c r="Q240" s="52">
        <v>0</v>
      </c>
      <c r="R240" s="52">
        <v>0</v>
      </c>
      <c r="S240" s="52">
        <v>0</v>
      </c>
      <c r="T240" s="52">
        <v>0</v>
      </c>
      <c r="U240" s="52">
        <v>0</v>
      </c>
      <c r="V240" s="52">
        <v>0</v>
      </c>
      <c r="W240" s="52">
        <v>0</v>
      </c>
      <c r="X240" s="52">
        <v>0</v>
      </c>
      <c r="Y240" s="52">
        <v>0</v>
      </c>
      <c r="Z240" s="52">
        <v>0</v>
      </c>
      <c r="AA240" s="52">
        <v>0</v>
      </c>
      <c r="AB240" s="52">
        <v>0</v>
      </c>
      <c r="AC240" s="52">
        <v>0</v>
      </c>
      <c r="AD240" s="52">
        <v>0</v>
      </c>
      <c r="AE240" s="52">
        <v>0</v>
      </c>
      <c r="AF240" s="52">
        <v>0</v>
      </c>
      <c r="AG240" s="52">
        <v>0</v>
      </c>
      <c r="AH240" s="52">
        <v>0</v>
      </c>
      <c r="AI240" s="52">
        <v>0</v>
      </c>
      <c r="AJ240" s="52">
        <v>0</v>
      </c>
      <c r="AK240" s="52">
        <v>0</v>
      </c>
      <c r="AL240" s="52">
        <v>0</v>
      </c>
      <c r="AM240" s="52">
        <v>0</v>
      </c>
      <c r="AN240" s="52">
        <v>0</v>
      </c>
      <c r="AO240" s="52">
        <v>0</v>
      </c>
      <c r="AP240" s="52">
        <v>0</v>
      </c>
      <c r="AQ240" s="52">
        <v>0</v>
      </c>
      <c r="AR240" s="52">
        <v>0</v>
      </c>
      <c r="AS240" s="52">
        <v>0</v>
      </c>
      <c r="AT240" s="52">
        <v>0</v>
      </c>
      <c r="AU240" s="52">
        <v>0</v>
      </c>
      <c r="AV240" s="52">
        <v>0</v>
      </c>
      <c r="AW240" s="52">
        <v>0</v>
      </c>
      <c r="AX240" s="52">
        <v>0</v>
      </c>
      <c r="AY240" s="52">
        <v>0</v>
      </c>
      <c r="AZ240" s="52">
        <v>0</v>
      </c>
      <c r="BA240" s="52">
        <v>0</v>
      </c>
      <c r="BB240" s="52">
        <v>0</v>
      </c>
      <c r="BC240" s="52">
        <v>0</v>
      </c>
      <c r="BD240" s="52">
        <v>0</v>
      </c>
      <c r="BE240" s="52">
        <v>0</v>
      </c>
      <c r="BF240" s="52">
        <v>0</v>
      </c>
      <c r="BG240" s="52">
        <v>0</v>
      </c>
      <c r="BH240" s="52">
        <v>0</v>
      </c>
      <c r="BI240" s="52">
        <v>0</v>
      </c>
      <c r="BJ240" s="52">
        <v>0</v>
      </c>
      <c r="BK240" s="52">
        <v>0</v>
      </c>
      <c r="BL240" s="52">
        <v>0</v>
      </c>
      <c r="BM240" s="52">
        <v>0</v>
      </c>
      <c r="BN240" s="52">
        <v>0</v>
      </c>
      <c r="BO240" s="52">
        <v>0</v>
      </c>
      <c r="BP240" s="52">
        <v>0</v>
      </c>
      <c r="BQ240" s="52">
        <v>0</v>
      </c>
      <c r="BR240" s="52">
        <v>0</v>
      </c>
      <c r="BS240" s="52">
        <v>0</v>
      </c>
      <c r="BT240" s="52">
        <v>0</v>
      </c>
      <c r="BU240" s="52">
        <v>0</v>
      </c>
      <c r="BV240" s="52">
        <v>0</v>
      </c>
      <c r="BW240" s="52">
        <v>0</v>
      </c>
      <c r="BX240" s="52">
        <v>0</v>
      </c>
      <c r="BY240" s="52">
        <v>0</v>
      </c>
      <c r="BZ240" s="52">
        <v>0</v>
      </c>
      <c r="CA240" s="52">
        <v>0</v>
      </c>
      <c r="CB240" s="52">
        <v>0</v>
      </c>
      <c r="CC240" s="52">
        <v>0</v>
      </c>
      <c r="CD240" s="52">
        <v>0</v>
      </c>
      <c r="CE240" s="52">
        <v>0</v>
      </c>
      <c r="CF240" s="52">
        <v>0</v>
      </c>
      <c r="CG240" s="52">
        <v>0</v>
      </c>
      <c r="CH240" s="52">
        <v>0</v>
      </c>
      <c r="CI240" s="52">
        <v>0</v>
      </c>
      <c r="CJ240" s="52">
        <v>0</v>
      </c>
      <c r="CK240" s="52">
        <v>0</v>
      </c>
      <c r="CL240" s="52">
        <v>0</v>
      </c>
      <c r="CM240" s="52">
        <v>0</v>
      </c>
      <c r="CN240" s="52">
        <v>0</v>
      </c>
      <c r="CO240" s="52">
        <v>0</v>
      </c>
      <c r="CP240" s="52">
        <v>0</v>
      </c>
      <c r="CQ240" s="52">
        <v>0</v>
      </c>
      <c r="CR240" s="52">
        <v>0</v>
      </c>
      <c r="CS240" s="52">
        <v>0</v>
      </c>
      <c r="CT240" s="52">
        <v>0</v>
      </c>
      <c r="CU240" s="52">
        <v>0</v>
      </c>
      <c r="CV240" s="430">
        <f t="shared" si="6"/>
        <v>0</v>
      </c>
    </row>
    <row r="241" spans="1:100">
      <c r="A241" s="540" t="str">
        <f t="shared" si="7"/>
        <v>6700502</v>
      </c>
      <c r="B241" s="541" t="s">
        <v>2059</v>
      </c>
      <c r="C241" s="463" t="s">
        <v>1144</v>
      </c>
      <c r="D241" s="428">
        <v>0</v>
      </c>
      <c r="E241" s="428">
        <v>0</v>
      </c>
      <c r="F241" s="428">
        <v>0.04</v>
      </c>
      <c r="G241" s="428">
        <v>0</v>
      </c>
      <c r="H241" s="428">
        <v>26000</v>
      </c>
      <c r="I241" s="428">
        <v>0</v>
      </c>
      <c r="J241" s="428">
        <v>0</v>
      </c>
      <c r="K241" s="428">
        <v>-22700</v>
      </c>
      <c r="L241" s="428">
        <v>19720</v>
      </c>
      <c r="M241" s="428">
        <v>0</v>
      </c>
      <c r="N241" s="428">
        <v>0</v>
      </c>
      <c r="O241" s="429">
        <v>0</v>
      </c>
      <c r="P241" s="52">
        <v>0</v>
      </c>
      <c r="Q241" s="52">
        <v>0</v>
      </c>
      <c r="R241" s="52">
        <v>0</v>
      </c>
      <c r="S241" s="52">
        <v>0</v>
      </c>
      <c r="T241" s="52">
        <v>2500</v>
      </c>
      <c r="U241" s="52">
        <v>0</v>
      </c>
      <c r="V241" s="52">
        <v>0</v>
      </c>
      <c r="W241" s="52">
        <v>16870</v>
      </c>
      <c r="X241" s="52">
        <v>0</v>
      </c>
      <c r="Y241" s="52">
        <v>0</v>
      </c>
      <c r="Z241" s="52">
        <v>0</v>
      </c>
      <c r="AA241" s="52">
        <v>0</v>
      </c>
      <c r="AB241" s="52">
        <v>0</v>
      </c>
      <c r="AC241" s="52">
        <v>0</v>
      </c>
      <c r="AD241" s="52">
        <v>0</v>
      </c>
      <c r="AE241" s="52">
        <v>0</v>
      </c>
      <c r="AF241" s="52">
        <v>2450</v>
      </c>
      <c r="AG241" s="52">
        <v>17771.53</v>
      </c>
      <c r="AH241" s="52">
        <v>-4080.46</v>
      </c>
      <c r="AI241" s="52">
        <v>0</v>
      </c>
      <c r="AJ241" s="52">
        <v>0</v>
      </c>
      <c r="AK241" s="52">
        <v>0</v>
      </c>
      <c r="AL241" s="52">
        <v>0</v>
      </c>
      <c r="AM241" s="52">
        <v>12416.21</v>
      </c>
      <c r="AN241" s="52">
        <v>0</v>
      </c>
      <c r="AO241" s="52">
        <v>0</v>
      </c>
      <c r="AP241" s="52">
        <v>2164.0100000000002</v>
      </c>
      <c r="AQ241" s="52">
        <v>0</v>
      </c>
      <c r="AR241" s="52">
        <v>0</v>
      </c>
      <c r="AS241" s="52">
        <v>0</v>
      </c>
      <c r="AT241" s="52">
        <v>0</v>
      </c>
      <c r="AU241" s="52">
        <v>0</v>
      </c>
      <c r="AV241" s="52">
        <v>0</v>
      </c>
      <c r="AW241" s="52">
        <v>0</v>
      </c>
      <c r="AX241" s="52">
        <v>0</v>
      </c>
      <c r="AY241" s="52">
        <v>42500</v>
      </c>
      <c r="AZ241" s="52">
        <v>-19833.47</v>
      </c>
      <c r="BA241" s="52">
        <v>23132.639999999999</v>
      </c>
      <c r="BB241" s="52">
        <v>650</v>
      </c>
      <c r="BC241" s="52">
        <v>0</v>
      </c>
      <c r="BD241" s="52">
        <v>0</v>
      </c>
      <c r="BE241" s="52">
        <v>0</v>
      </c>
      <c r="BF241" s="52">
        <v>0</v>
      </c>
      <c r="BG241" s="52">
        <v>0</v>
      </c>
      <c r="BH241" s="52">
        <v>0</v>
      </c>
      <c r="BI241" s="52">
        <v>0</v>
      </c>
      <c r="BJ241" s="52">
        <v>0</v>
      </c>
      <c r="BK241" s="52">
        <v>45500</v>
      </c>
      <c r="BL241" s="52">
        <v>0</v>
      </c>
      <c r="BM241" s="52">
        <v>0</v>
      </c>
      <c r="BN241" s="52">
        <v>0</v>
      </c>
      <c r="BO241" s="52">
        <v>-8688.82</v>
      </c>
      <c r="BP241" s="52">
        <v>650</v>
      </c>
      <c r="BQ241" s="52">
        <v>0</v>
      </c>
      <c r="BR241" s="52">
        <v>0</v>
      </c>
      <c r="BS241" s="52">
        <v>0</v>
      </c>
      <c r="BT241" s="52">
        <v>0</v>
      </c>
      <c r="BU241" s="52">
        <v>0</v>
      </c>
      <c r="BV241" s="52">
        <v>0</v>
      </c>
      <c r="BW241" s="52">
        <v>65500</v>
      </c>
      <c r="BX241" s="52">
        <v>-5807.18</v>
      </c>
      <c r="BY241" s="52">
        <v>650</v>
      </c>
      <c r="BZ241" s="52">
        <v>0</v>
      </c>
      <c r="CA241" s="52">
        <v>0</v>
      </c>
      <c r="CB241" s="52">
        <v>125</v>
      </c>
      <c r="CC241" s="52">
        <v>0</v>
      </c>
      <c r="CD241" s="52">
        <v>0</v>
      </c>
      <c r="CE241" s="52">
        <v>0</v>
      </c>
      <c r="CF241" s="52">
        <v>0</v>
      </c>
      <c r="CG241" s="52">
        <v>0</v>
      </c>
      <c r="CH241" s="52">
        <v>0</v>
      </c>
      <c r="CI241" s="52">
        <v>82000</v>
      </c>
      <c r="CJ241" s="52">
        <v>-28429.58</v>
      </c>
      <c r="CK241" s="52">
        <v>0</v>
      </c>
      <c r="CL241" s="52">
        <v>800</v>
      </c>
      <c r="CM241" s="52">
        <v>0</v>
      </c>
      <c r="CN241" s="52">
        <v>0</v>
      </c>
      <c r="CO241" s="52">
        <v>0</v>
      </c>
      <c r="CP241" s="52">
        <v>800</v>
      </c>
      <c r="CQ241" s="52">
        <v>0</v>
      </c>
      <c r="CR241" s="52">
        <v>0</v>
      </c>
      <c r="CS241" s="52">
        <v>0</v>
      </c>
      <c r="CT241" s="52">
        <v>0</v>
      </c>
      <c r="CU241" s="52">
        <v>59500</v>
      </c>
      <c r="CV241" s="430">
        <f t="shared" si="6"/>
        <v>32670.42</v>
      </c>
    </row>
    <row r="242" spans="1:100">
      <c r="A242" s="540" t="str">
        <f t="shared" si="7"/>
        <v>6700503</v>
      </c>
      <c r="B242" s="541" t="s">
        <v>2060</v>
      </c>
      <c r="C242" s="463" t="s">
        <v>1145</v>
      </c>
      <c r="D242" s="426">
        <v>378.63</v>
      </c>
      <c r="E242" s="426">
        <v>378.63</v>
      </c>
      <c r="F242" s="426">
        <v>378.63</v>
      </c>
      <c r="G242" s="426">
        <v>378.63</v>
      </c>
      <c r="H242" s="426">
        <v>378.63</v>
      </c>
      <c r="I242" s="426">
        <v>378.63</v>
      </c>
      <c r="J242" s="426">
        <v>401.34</v>
      </c>
      <c r="K242" s="426">
        <v>401.34</v>
      </c>
      <c r="L242" s="426">
        <v>401.34</v>
      </c>
      <c r="M242" s="426">
        <v>401.34</v>
      </c>
      <c r="N242" s="426">
        <v>401.34</v>
      </c>
      <c r="O242" s="427">
        <v>401.34</v>
      </c>
      <c r="P242" s="52">
        <v>401.34</v>
      </c>
      <c r="Q242" s="52">
        <v>401.34</v>
      </c>
      <c r="R242" s="52">
        <v>401.34</v>
      </c>
      <c r="S242" s="52">
        <v>401.34</v>
      </c>
      <c r="T242" s="52">
        <v>401.34</v>
      </c>
      <c r="U242" s="52">
        <v>792.75</v>
      </c>
      <c r="V242" s="52">
        <v>391.46</v>
      </c>
      <c r="W242" s="52">
        <v>391.46</v>
      </c>
      <c r="X242" s="52">
        <v>391.46</v>
      </c>
      <c r="Y242" s="52">
        <v>391.46</v>
      </c>
      <c r="Z242" s="52">
        <v>391.46</v>
      </c>
      <c r="AA242" s="52">
        <v>391.46</v>
      </c>
      <c r="AB242" s="52">
        <v>391.46</v>
      </c>
      <c r="AC242" s="52">
        <v>391.46</v>
      </c>
      <c r="AD242" s="52">
        <v>391.46</v>
      </c>
      <c r="AE242" s="52">
        <v>391.46</v>
      </c>
      <c r="AF242" s="52">
        <v>391.48</v>
      </c>
      <c r="AG242" s="52">
        <v>388.95</v>
      </c>
      <c r="AH242" s="52">
        <v>582.36</v>
      </c>
      <c r="AI242" s="52">
        <v>193.41</v>
      </c>
      <c r="AJ242" s="52">
        <v>971.29</v>
      </c>
      <c r="AK242" s="52">
        <v>193.41</v>
      </c>
      <c r="AL242" s="52">
        <v>193.41</v>
      </c>
      <c r="AM242" s="52">
        <v>193.39</v>
      </c>
      <c r="AN242" s="52">
        <v>0</v>
      </c>
      <c r="AO242" s="52">
        <v>0</v>
      </c>
      <c r="AP242" s="52">
        <v>1384.28</v>
      </c>
      <c r="AQ242" s="52">
        <v>461.45</v>
      </c>
      <c r="AR242" s="52">
        <v>461.45</v>
      </c>
      <c r="AS242" s="52">
        <v>461.45</v>
      </c>
      <c r="AT242" s="52">
        <v>461.45</v>
      </c>
      <c r="AU242" s="52">
        <v>461.45</v>
      </c>
      <c r="AV242" s="52">
        <v>461.45</v>
      </c>
      <c r="AW242" s="52">
        <v>461.45</v>
      </c>
      <c r="AX242" s="52">
        <v>461.45</v>
      </c>
      <c r="AY242" s="52">
        <v>461.45</v>
      </c>
      <c r="AZ242" s="52">
        <v>450</v>
      </c>
      <c r="BA242" s="52">
        <v>450</v>
      </c>
      <c r="BB242" s="52">
        <v>1223.8499999999999</v>
      </c>
      <c r="BC242" s="52">
        <v>707.95</v>
      </c>
      <c r="BD242" s="52">
        <v>707.95</v>
      </c>
      <c r="BE242" s="52">
        <v>707.95</v>
      </c>
      <c r="BF242" s="52">
        <v>707.95</v>
      </c>
      <c r="BG242" s="52">
        <v>707.95</v>
      </c>
      <c r="BH242" s="52">
        <v>707.95</v>
      </c>
      <c r="BI242" s="52">
        <v>707.95</v>
      </c>
      <c r="BJ242" s="52">
        <v>707.95</v>
      </c>
      <c r="BK242" s="52">
        <v>707.95</v>
      </c>
      <c r="BL242" s="52">
        <v>679.01</v>
      </c>
      <c r="BM242" s="52">
        <v>678.98</v>
      </c>
      <c r="BN242" s="52">
        <v>678.98</v>
      </c>
      <c r="BO242" s="52">
        <v>678.98</v>
      </c>
      <c r="BP242" s="52">
        <v>678.98</v>
      </c>
      <c r="BQ242" s="52">
        <v>678.98</v>
      </c>
      <c r="BR242" s="52">
        <v>678.98</v>
      </c>
      <c r="BS242" s="52">
        <v>678.98</v>
      </c>
      <c r="BT242" s="52">
        <v>678.98</v>
      </c>
      <c r="BU242" s="52">
        <v>678.98</v>
      </c>
      <c r="BV242" s="52">
        <v>678.98</v>
      </c>
      <c r="BW242" s="52">
        <v>678.98</v>
      </c>
      <c r="BX242" s="52">
        <v>327.78</v>
      </c>
      <c r="BY242" s="52">
        <v>583.63</v>
      </c>
      <c r="BZ242" s="52">
        <v>455.69</v>
      </c>
      <c r="CA242" s="52">
        <v>455.69</v>
      </c>
      <c r="CB242" s="52">
        <v>455.69</v>
      </c>
      <c r="CC242" s="52">
        <v>455.69</v>
      </c>
      <c r="CD242" s="52">
        <v>455.69</v>
      </c>
      <c r="CE242" s="52">
        <v>455.69</v>
      </c>
      <c r="CF242" s="52">
        <v>455.69</v>
      </c>
      <c r="CG242" s="52">
        <v>455.69</v>
      </c>
      <c r="CH242" s="52">
        <v>455.69</v>
      </c>
      <c r="CI242" s="52">
        <v>455.69</v>
      </c>
      <c r="CJ242" s="52">
        <v>567.25</v>
      </c>
      <c r="CK242" s="52">
        <v>567.23</v>
      </c>
      <c r="CL242" s="52">
        <v>567.23</v>
      </c>
      <c r="CM242" s="52">
        <v>567.23</v>
      </c>
      <c r="CN242" s="52">
        <v>567.23</v>
      </c>
      <c r="CO242" s="52">
        <v>567.23</v>
      </c>
      <c r="CP242" s="52">
        <v>567.23</v>
      </c>
      <c r="CQ242" s="52">
        <v>567.23</v>
      </c>
      <c r="CR242" s="52">
        <v>567.23</v>
      </c>
      <c r="CS242" s="52">
        <v>567.23</v>
      </c>
      <c r="CT242" s="52">
        <v>567.23</v>
      </c>
      <c r="CU242" s="52">
        <v>567.23</v>
      </c>
      <c r="CV242" s="430">
        <f t="shared" si="6"/>
        <v>6806.7799999999988</v>
      </c>
    </row>
    <row r="243" spans="1:100">
      <c r="A243" s="540" t="str">
        <f t="shared" si="7"/>
        <v>6700504</v>
      </c>
      <c r="B243" s="541" t="s">
        <v>2465</v>
      </c>
      <c r="C243" s="463" t="s">
        <v>2467</v>
      </c>
      <c r="D243" s="428"/>
      <c r="E243" s="428"/>
      <c r="F243" s="428"/>
      <c r="G243" s="428"/>
      <c r="H243" s="428"/>
      <c r="I243" s="428"/>
      <c r="J243" s="428"/>
      <c r="K243" s="428"/>
      <c r="L243" s="428"/>
      <c r="M243" s="428"/>
      <c r="N243" s="428"/>
      <c r="O243" s="429"/>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v>4002.17</v>
      </c>
      <c r="BY243" s="52">
        <v>4002.15</v>
      </c>
      <c r="BZ243" s="52">
        <v>4002.15</v>
      </c>
      <c r="CA243" s="52">
        <v>4002.15</v>
      </c>
      <c r="CB243" s="52">
        <v>4002.15</v>
      </c>
      <c r="CC243" s="52">
        <v>4002.15</v>
      </c>
      <c r="CD243" s="52">
        <v>4002.15</v>
      </c>
      <c r="CE243" s="52">
        <v>4002.15</v>
      </c>
      <c r="CF243" s="52">
        <v>4002.15</v>
      </c>
      <c r="CG243" s="52">
        <v>4002.15</v>
      </c>
      <c r="CH243" s="52">
        <v>4002.15</v>
      </c>
      <c r="CI243" s="52">
        <v>4002.15</v>
      </c>
      <c r="CJ243" s="52">
        <v>4725.03</v>
      </c>
      <c r="CK243" s="52">
        <v>4795.7299999999996</v>
      </c>
      <c r="CL243" s="52">
        <v>4760.63</v>
      </c>
      <c r="CM243" s="52">
        <v>4760.63</v>
      </c>
      <c r="CN243" s="52">
        <v>4760.63</v>
      </c>
      <c r="CO243" s="52">
        <v>4760.63</v>
      </c>
      <c r="CP243" s="52">
        <v>4760.63</v>
      </c>
      <c r="CQ243" s="52">
        <v>4760.63</v>
      </c>
      <c r="CR243" s="52">
        <v>4760.63</v>
      </c>
      <c r="CS243" s="52">
        <v>4760.63</v>
      </c>
      <c r="CT243" s="52">
        <v>4760.63</v>
      </c>
      <c r="CU243" s="52">
        <v>4760.63</v>
      </c>
      <c r="CV243" s="430">
        <f t="shared" si="6"/>
        <v>57127.05999999999</v>
      </c>
    </row>
    <row r="244" spans="1:100">
      <c r="A244" s="540" t="str">
        <f t="shared" si="7"/>
        <v>6700505</v>
      </c>
      <c r="B244" s="541" t="s">
        <v>2062</v>
      </c>
      <c r="C244" s="463" t="s">
        <v>1146</v>
      </c>
      <c r="D244" s="428">
        <v>2120.6999999999998</v>
      </c>
      <c r="E244" s="428">
        <v>2120.6999999999998</v>
      </c>
      <c r="F244" s="428">
        <v>2120.6999999999998</v>
      </c>
      <c r="G244" s="428">
        <v>2120.6999999999998</v>
      </c>
      <c r="H244" s="428">
        <v>2120.6999999999998</v>
      </c>
      <c r="I244" s="428">
        <v>2120.6999999999998</v>
      </c>
      <c r="J244" s="428">
        <v>2258.3000000000002</v>
      </c>
      <c r="K244" s="428">
        <v>2258.3000000000002</v>
      </c>
      <c r="L244" s="428">
        <v>2258.3000000000002</v>
      </c>
      <c r="M244" s="428">
        <v>2258.3000000000002</v>
      </c>
      <c r="N244" s="428">
        <v>2258.3000000000002</v>
      </c>
      <c r="O244" s="429">
        <v>2258.3000000000002</v>
      </c>
      <c r="P244" s="52">
        <v>2258.3000000000002</v>
      </c>
      <c r="Q244" s="52">
        <v>2258.3000000000002</v>
      </c>
      <c r="R244" s="52">
        <v>2258.3000000000002</v>
      </c>
      <c r="S244" s="52">
        <v>2258.3000000000002</v>
      </c>
      <c r="T244" s="52">
        <v>2258.3000000000002</v>
      </c>
      <c r="U244" s="52">
        <v>2258.2800000000002</v>
      </c>
      <c r="V244" s="52">
        <v>348.55</v>
      </c>
      <c r="W244" s="52">
        <v>348.55</v>
      </c>
      <c r="X244" s="52">
        <v>348.55</v>
      </c>
      <c r="Y244" s="52">
        <v>348.55</v>
      </c>
      <c r="Z244" s="52">
        <v>348.55</v>
      </c>
      <c r="AA244" s="52">
        <v>348.55</v>
      </c>
      <c r="AB244" s="52">
        <v>348.55</v>
      </c>
      <c r="AC244" s="52">
        <v>348.55</v>
      </c>
      <c r="AD244" s="52">
        <v>348.55</v>
      </c>
      <c r="AE244" s="52">
        <v>348.55</v>
      </c>
      <c r="AF244" s="52">
        <v>348.55</v>
      </c>
      <c r="AG244" s="52">
        <v>348.56</v>
      </c>
      <c r="AH244" s="52">
        <v>223.02</v>
      </c>
      <c r="AI244" s="52">
        <v>223.02</v>
      </c>
      <c r="AJ244" s="52">
        <v>223.02</v>
      </c>
      <c r="AK244" s="52">
        <v>223.02</v>
      </c>
      <c r="AL244" s="52">
        <v>223.02</v>
      </c>
      <c r="AM244" s="52">
        <v>223.02</v>
      </c>
      <c r="AN244" s="52">
        <v>223.02</v>
      </c>
      <c r="AO244" s="52">
        <v>223.02</v>
      </c>
      <c r="AP244" s="52">
        <v>223.02</v>
      </c>
      <c r="AQ244" s="52">
        <v>223.02</v>
      </c>
      <c r="AR244" s="52">
        <v>223.02</v>
      </c>
      <c r="AS244" s="52">
        <v>223.02</v>
      </c>
      <c r="AT244" s="52">
        <v>224.15</v>
      </c>
      <c r="AU244" s="52">
        <v>224.17</v>
      </c>
      <c r="AV244" s="52">
        <v>224.17</v>
      </c>
      <c r="AW244" s="52">
        <v>224.17</v>
      </c>
      <c r="AX244" s="52">
        <v>224.17</v>
      </c>
      <c r="AY244" s="52">
        <v>246.67</v>
      </c>
      <c r="AZ244" s="52">
        <v>246.66</v>
      </c>
      <c r="BA244" s="52">
        <v>175.44</v>
      </c>
      <c r="BB244" s="52">
        <v>222.91</v>
      </c>
      <c r="BC244" s="52">
        <v>222.91</v>
      </c>
      <c r="BD244" s="52">
        <v>222.91</v>
      </c>
      <c r="BE244" s="52">
        <v>222.91</v>
      </c>
      <c r="BF244" s="52">
        <v>222.91</v>
      </c>
      <c r="BG244" s="52">
        <v>222.91</v>
      </c>
      <c r="BH244" s="52">
        <v>222.91</v>
      </c>
      <c r="BI244" s="52">
        <v>222.91</v>
      </c>
      <c r="BJ244" s="52">
        <v>222.91</v>
      </c>
      <c r="BK244" s="52">
        <v>200</v>
      </c>
      <c r="BL244" s="52">
        <v>245.86</v>
      </c>
      <c r="BM244" s="52">
        <v>222.91</v>
      </c>
      <c r="BN244" s="52">
        <v>222.91</v>
      </c>
      <c r="BO244" s="52">
        <v>222.91</v>
      </c>
      <c r="BP244" s="52">
        <v>222.91</v>
      </c>
      <c r="BQ244" s="52">
        <v>222.91</v>
      </c>
      <c r="BR244" s="52">
        <v>222.91</v>
      </c>
      <c r="BS244" s="52">
        <v>222.91</v>
      </c>
      <c r="BT244" s="52">
        <v>222.91</v>
      </c>
      <c r="BU244" s="52">
        <v>222.91</v>
      </c>
      <c r="BV244" s="52">
        <v>222.91</v>
      </c>
      <c r="BW244" s="52">
        <v>222.95</v>
      </c>
      <c r="BX244" s="52">
        <v>222.91</v>
      </c>
      <c r="BY244" s="52">
        <v>222.91</v>
      </c>
      <c r="BZ244" s="52">
        <v>222.91</v>
      </c>
      <c r="CA244" s="52">
        <v>222.91</v>
      </c>
      <c r="CB244" s="52">
        <v>222.91</v>
      </c>
      <c r="CC244" s="52">
        <v>222.91</v>
      </c>
      <c r="CD244" s="52">
        <v>222.91</v>
      </c>
      <c r="CE244" s="52">
        <v>222.91</v>
      </c>
      <c r="CF244" s="52">
        <v>222.91</v>
      </c>
      <c r="CG244" s="52">
        <v>222.91</v>
      </c>
      <c r="CH244" s="52">
        <v>222.91</v>
      </c>
      <c r="CI244" s="52">
        <v>280</v>
      </c>
      <c r="CJ244" s="52">
        <v>210</v>
      </c>
      <c r="CK244" s="52">
        <v>245</v>
      </c>
      <c r="CL244" s="52">
        <v>245</v>
      </c>
      <c r="CM244" s="52">
        <v>257.45</v>
      </c>
      <c r="CN244" s="52">
        <v>245</v>
      </c>
      <c r="CO244" s="52">
        <v>245</v>
      </c>
      <c r="CP244" s="52">
        <v>245</v>
      </c>
      <c r="CQ244" s="52">
        <v>245</v>
      </c>
      <c r="CR244" s="52">
        <v>245</v>
      </c>
      <c r="CS244" s="52">
        <v>245</v>
      </c>
      <c r="CT244" s="52">
        <v>245</v>
      </c>
      <c r="CU244" s="52">
        <v>300</v>
      </c>
      <c r="CV244" s="430">
        <f t="shared" si="6"/>
        <v>2972.45</v>
      </c>
    </row>
    <row r="245" spans="1:100">
      <c r="A245" s="540" t="str">
        <f t="shared" si="7"/>
        <v>6700506</v>
      </c>
      <c r="B245" s="541" t="s">
        <v>2061</v>
      </c>
      <c r="C245" s="463" t="s">
        <v>1147</v>
      </c>
      <c r="D245" s="426">
        <v>11540.95</v>
      </c>
      <c r="E245" s="426">
        <v>11540.95</v>
      </c>
      <c r="F245" s="426">
        <v>11540.95</v>
      </c>
      <c r="G245" s="426">
        <v>11540.95</v>
      </c>
      <c r="H245" s="426">
        <v>11540.95</v>
      </c>
      <c r="I245" s="426">
        <v>11540.95</v>
      </c>
      <c r="J245" s="426">
        <v>12607.86</v>
      </c>
      <c r="K245" s="426">
        <v>12607.86</v>
      </c>
      <c r="L245" s="426">
        <v>12607.86</v>
      </c>
      <c r="M245" s="426">
        <v>12607.86</v>
      </c>
      <c r="N245" s="426">
        <v>12607.86</v>
      </c>
      <c r="O245" s="427">
        <v>12607.86</v>
      </c>
      <c r="P245" s="52">
        <v>12607.86</v>
      </c>
      <c r="Q245" s="52">
        <v>12607.86</v>
      </c>
      <c r="R245" s="52">
        <v>12607.86</v>
      </c>
      <c r="S245" s="52">
        <v>12607.86</v>
      </c>
      <c r="T245" s="52">
        <v>12607.86</v>
      </c>
      <c r="U245" s="52">
        <v>12607.81</v>
      </c>
      <c r="V245" s="52">
        <v>8963.99</v>
      </c>
      <c r="W245" s="52">
        <v>8963.99</v>
      </c>
      <c r="X245" s="52">
        <v>8963.99</v>
      </c>
      <c r="Y245" s="52">
        <v>8963.99</v>
      </c>
      <c r="Z245" s="52">
        <v>8963.99</v>
      </c>
      <c r="AA245" s="52">
        <v>8963.99</v>
      </c>
      <c r="AB245" s="52">
        <v>8963.99</v>
      </c>
      <c r="AC245" s="52">
        <v>9962.81</v>
      </c>
      <c r="AD245" s="52">
        <v>8963.99</v>
      </c>
      <c r="AE245" s="52">
        <v>8963.99</v>
      </c>
      <c r="AF245" s="52">
        <v>8963.99</v>
      </c>
      <c r="AG245" s="52">
        <v>8964</v>
      </c>
      <c r="AH245" s="52">
        <v>10196.56</v>
      </c>
      <c r="AI245" s="52">
        <v>10196.56</v>
      </c>
      <c r="AJ245" s="52">
        <v>10196.56</v>
      </c>
      <c r="AK245" s="52">
        <v>10196.56</v>
      </c>
      <c r="AL245" s="52">
        <v>10196.56</v>
      </c>
      <c r="AM245" s="52">
        <v>10196.56</v>
      </c>
      <c r="AN245" s="52">
        <v>10196.56</v>
      </c>
      <c r="AO245" s="52">
        <v>10196.56</v>
      </c>
      <c r="AP245" s="52">
        <v>12585.18</v>
      </c>
      <c r="AQ245" s="52">
        <v>10770.32</v>
      </c>
      <c r="AR245" s="52">
        <v>10770.32</v>
      </c>
      <c r="AS245" s="52">
        <v>10770.32</v>
      </c>
      <c r="AT245" s="52">
        <v>10770.32</v>
      </c>
      <c r="AU245" s="52">
        <v>10770.32</v>
      </c>
      <c r="AV245" s="52">
        <v>10770.32</v>
      </c>
      <c r="AW245" s="52">
        <v>10770.32</v>
      </c>
      <c r="AX245" s="52">
        <v>10770.32</v>
      </c>
      <c r="AY245" s="52">
        <v>11857</v>
      </c>
      <c r="AZ245" s="52">
        <v>21697.58</v>
      </c>
      <c r="BA245" s="52">
        <v>16777.29</v>
      </c>
      <c r="BB245" s="52">
        <v>16777.29</v>
      </c>
      <c r="BC245" s="52">
        <v>16777.29</v>
      </c>
      <c r="BD245" s="52">
        <v>16777.29</v>
      </c>
      <c r="BE245" s="52">
        <v>16777.29</v>
      </c>
      <c r="BF245" s="52">
        <v>16777.29</v>
      </c>
      <c r="BG245" s="52">
        <v>16777.29</v>
      </c>
      <c r="BH245" s="52">
        <v>16777.29</v>
      </c>
      <c r="BI245" s="52">
        <v>16777.29</v>
      </c>
      <c r="BJ245" s="52">
        <v>16777.29</v>
      </c>
      <c r="BK245" s="52">
        <v>17000</v>
      </c>
      <c r="BL245" s="52">
        <v>16978.060000000001</v>
      </c>
      <c r="BM245" s="52">
        <v>16989.02</v>
      </c>
      <c r="BN245" s="52">
        <v>16989.02</v>
      </c>
      <c r="BO245" s="52">
        <v>16989.02</v>
      </c>
      <c r="BP245" s="52">
        <v>16989.02</v>
      </c>
      <c r="BQ245" s="52">
        <v>16989.02</v>
      </c>
      <c r="BR245" s="52">
        <v>16989.02</v>
      </c>
      <c r="BS245" s="52">
        <v>16989.02</v>
      </c>
      <c r="BT245" s="52">
        <v>16989.02</v>
      </c>
      <c r="BU245" s="52">
        <v>16989.02</v>
      </c>
      <c r="BV245" s="52">
        <v>16989.02</v>
      </c>
      <c r="BW245" s="52">
        <v>17000</v>
      </c>
      <c r="BX245" s="52">
        <v>17000</v>
      </c>
      <c r="BY245" s="52">
        <v>17251.38</v>
      </c>
      <c r="BZ245" s="52">
        <v>17083.79</v>
      </c>
      <c r="CA245" s="52">
        <v>17083.79</v>
      </c>
      <c r="CB245" s="52">
        <v>17083.79</v>
      </c>
      <c r="CC245" s="52">
        <v>-12267.53</v>
      </c>
      <c r="CD245" s="52">
        <v>12890.73</v>
      </c>
      <c r="CE245" s="52">
        <v>12890.73</v>
      </c>
      <c r="CF245" s="52">
        <v>12890.73</v>
      </c>
      <c r="CG245" s="52">
        <v>12890.73</v>
      </c>
      <c r="CH245" s="52">
        <v>12890.73</v>
      </c>
      <c r="CI245" s="52">
        <v>11701.38</v>
      </c>
      <c r="CJ245" s="52">
        <v>12799.25</v>
      </c>
      <c r="CK245" s="52">
        <v>12799.25</v>
      </c>
      <c r="CL245" s="52">
        <v>12799.25</v>
      </c>
      <c r="CM245" s="52">
        <v>12799.25</v>
      </c>
      <c r="CN245" s="52">
        <v>12799.25</v>
      </c>
      <c r="CO245" s="52">
        <v>6126.84</v>
      </c>
      <c r="CP245" s="52">
        <v>6126.87</v>
      </c>
      <c r="CQ245" s="52">
        <v>6126.87</v>
      </c>
      <c r="CR245" s="52">
        <v>6126.87</v>
      </c>
      <c r="CS245" s="52">
        <v>6126.87</v>
      </c>
      <c r="CT245" s="52">
        <v>6126.87</v>
      </c>
      <c r="CU245" s="52">
        <v>6126.87</v>
      </c>
      <c r="CV245" s="430">
        <f t="shared" si="6"/>
        <v>106884.30999999997</v>
      </c>
    </row>
    <row r="246" spans="1:100">
      <c r="A246" s="540" t="str">
        <f t="shared" si="7"/>
        <v>6700507</v>
      </c>
      <c r="B246" s="541" t="s">
        <v>2063</v>
      </c>
      <c r="C246" s="463" t="s">
        <v>1148</v>
      </c>
      <c r="D246" s="428">
        <v>89093.21</v>
      </c>
      <c r="E246" s="428">
        <v>89093.21</v>
      </c>
      <c r="F246" s="428">
        <v>89093.21</v>
      </c>
      <c r="G246" s="428">
        <v>85232.8</v>
      </c>
      <c r="H246" s="428">
        <v>85232.8</v>
      </c>
      <c r="I246" s="428">
        <v>85232.8</v>
      </c>
      <c r="J246" s="428">
        <v>99227.12</v>
      </c>
      <c r="K246" s="428">
        <v>86341.47</v>
      </c>
      <c r="L246" s="428">
        <v>92784.29</v>
      </c>
      <c r="M246" s="428">
        <v>96677.91</v>
      </c>
      <c r="N246" s="428">
        <v>93757.7</v>
      </c>
      <c r="O246" s="429">
        <v>93757.7</v>
      </c>
      <c r="P246" s="52">
        <v>93757.7</v>
      </c>
      <c r="Q246" s="52">
        <v>93757.7</v>
      </c>
      <c r="R246" s="52">
        <v>82476.7</v>
      </c>
      <c r="S246" s="52">
        <v>93757.7</v>
      </c>
      <c r="T246" s="52">
        <v>93757.7</v>
      </c>
      <c r="U246" s="52">
        <v>93757.66</v>
      </c>
      <c r="V246" s="52">
        <v>102857.26</v>
      </c>
      <c r="W246" s="52">
        <v>102857.26</v>
      </c>
      <c r="X246" s="52">
        <v>102857.26</v>
      </c>
      <c r="Y246" s="52">
        <v>111792.82</v>
      </c>
      <c r="Z246" s="52">
        <v>102857.26</v>
      </c>
      <c r="AA246" s="52">
        <v>102857.26</v>
      </c>
      <c r="AB246" s="52">
        <v>102857.26</v>
      </c>
      <c r="AC246" s="52">
        <v>102857.26</v>
      </c>
      <c r="AD246" s="52">
        <v>102857.26</v>
      </c>
      <c r="AE246" s="52">
        <v>42217.26</v>
      </c>
      <c r="AF246" s="52">
        <v>102857.26</v>
      </c>
      <c r="AG246" s="52">
        <v>102857.22</v>
      </c>
      <c r="AH246" s="52">
        <v>102891.89</v>
      </c>
      <c r="AI246" s="52">
        <v>102891.89</v>
      </c>
      <c r="AJ246" s="52">
        <v>102891.89</v>
      </c>
      <c r="AK246" s="52">
        <v>111803.45</v>
      </c>
      <c r="AL246" s="52">
        <v>102891.89</v>
      </c>
      <c r="AM246" s="52">
        <v>102891.89</v>
      </c>
      <c r="AN246" s="52">
        <v>111399.93</v>
      </c>
      <c r="AO246" s="52">
        <v>102891.89</v>
      </c>
      <c r="AP246" s="52">
        <v>116539.58</v>
      </c>
      <c r="AQ246" s="52">
        <v>104278.56</v>
      </c>
      <c r="AR246" s="52">
        <v>101514.43</v>
      </c>
      <c r="AS246" s="52">
        <v>103906.08</v>
      </c>
      <c r="AT246" s="52">
        <v>103925.44</v>
      </c>
      <c r="AU246" s="52">
        <v>103925.44</v>
      </c>
      <c r="AV246" s="52">
        <v>103925.44</v>
      </c>
      <c r="AW246" s="52">
        <v>104686.92</v>
      </c>
      <c r="AX246" s="52">
        <v>103925.44</v>
      </c>
      <c r="AY246" s="52">
        <v>132138.37</v>
      </c>
      <c r="AZ246" s="52">
        <v>98538.95</v>
      </c>
      <c r="BA246" s="52">
        <v>114464.52</v>
      </c>
      <c r="BB246" s="52">
        <v>115361.19</v>
      </c>
      <c r="BC246" s="52">
        <v>115361.19</v>
      </c>
      <c r="BD246" s="52">
        <v>119310.41</v>
      </c>
      <c r="BE246" s="52">
        <v>-40032.6</v>
      </c>
      <c r="BF246" s="52">
        <v>116019.4</v>
      </c>
      <c r="BG246" s="52">
        <v>116019.4</v>
      </c>
      <c r="BH246" s="52">
        <v>116019.4</v>
      </c>
      <c r="BI246" s="52">
        <v>116019.4</v>
      </c>
      <c r="BJ246" s="52">
        <v>116019.4</v>
      </c>
      <c r="BK246" s="52">
        <v>156300</v>
      </c>
      <c r="BL246" s="52">
        <v>149276.47</v>
      </c>
      <c r="BM246" s="52">
        <v>127294.1</v>
      </c>
      <c r="BN246" s="52">
        <v>144388.78</v>
      </c>
      <c r="BO246" s="52">
        <v>144314.87</v>
      </c>
      <c r="BP246" s="52">
        <v>-48839.87</v>
      </c>
      <c r="BQ246" s="52">
        <v>144236.41</v>
      </c>
      <c r="BR246" s="52">
        <v>144236.41</v>
      </c>
      <c r="BS246" s="52">
        <v>144236.41</v>
      </c>
      <c r="BT246" s="52">
        <v>144236.41</v>
      </c>
      <c r="BU246" s="52">
        <v>144236.41</v>
      </c>
      <c r="BV246" s="52">
        <v>144236.41</v>
      </c>
      <c r="BW246" s="52">
        <v>183732.99</v>
      </c>
      <c r="BX246" s="52">
        <v>-55560.92</v>
      </c>
      <c r="BY246" s="52">
        <v>237346.96</v>
      </c>
      <c r="BZ246" s="52">
        <v>222134.02</v>
      </c>
      <c r="CA246" s="52">
        <v>191171.51</v>
      </c>
      <c r="CB246" s="52">
        <v>191171.51</v>
      </c>
      <c r="CC246" s="52">
        <v>111925.15</v>
      </c>
      <c r="CD246" s="52">
        <v>207876.92</v>
      </c>
      <c r="CE246" s="52">
        <v>207819.03</v>
      </c>
      <c r="CF246" s="52">
        <v>207819.03</v>
      </c>
      <c r="CG246" s="52">
        <v>207819.03</v>
      </c>
      <c r="CH246" s="52">
        <v>207819.03</v>
      </c>
      <c r="CI246" s="52">
        <v>253175.74</v>
      </c>
      <c r="CJ246" s="52">
        <v>244428.74</v>
      </c>
      <c r="CK246" s="52">
        <v>284780.65000000002</v>
      </c>
      <c r="CL246" s="52">
        <v>243893.02</v>
      </c>
      <c r="CM246" s="52">
        <v>242374.02</v>
      </c>
      <c r="CN246" s="52">
        <v>243893.02</v>
      </c>
      <c r="CO246" s="52">
        <v>367168.1</v>
      </c>
      <c r="CP246" s="52">
        <v>367168.13</v>
      </c>
      <c r="CQ246" s="52">
        <v>367168.13</v>
      </c>
      <c r="CR246" s="52">
        <v>367168.13</v>
      </c>
      <c r="CS246" s="52">
        <v>367168.13</v>
      </c>
      <c r="CT246" s="52">
        <v>367168.13</v>
      </c>
      <c r="CU246" s="52">
        <v>402662.11</v>
      </c>
      <c r="CV246" s="430">
        <f t="shared" si="6"/>
        <v>3865040.3099999991</v>
      </c>
    </row>
    <row r="247" spans="1:100">
      <c r="A247" s="540" t="str">
        <f>+B247</f>
        <v>6700508</v>
      </c>
      <c r="B247" s="541" t="s">
        <v>2464</v>
      </c>
      <c r="C247" s="463" t="s">
        <v>2466</v>
      </c>
      <c r="D247" s="428"/>
      <c r="E247" s="428"/>
      <c r="F247" s="428"/>
      <c r="G247" s="428"/>
      <c r="H247" s="428"/>
      <c r="I247" s="428"/>
      <c r="J247" s="428"/>
      <c r="K247" s="428"/>
      <c r="L247" s="428"/>
      <c r="M247" s="428"/>
      <c r="N247" s="428"/>
      <c r="O247" s="429"/>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v>562.26</v>
      </c>
      <c r="BY247" s="52">
        <v>562.17999999999995</v>
      </c>
      <c r="BZ247" s="52">
        <v>562.17999999999995</v>
      </c>
      <c r="CA247" s="52">
        <v>562.17999999999995</v>
      </c>
      <c r="CB247" s="52">
        <v>562.17999999999995</v>
      </c>
      <c r="CC247" s="52">
        <v>562.17999999999995</v>
      </c>
      <c r="CD247" s="52">
        <v>562.17999999999995</v>
      </c>
      <c r="CE247" s="52">
        <v>562.17999999999995</v>
      </c>
      <c r="CF247" s="52">
        <v>562.17999999999995</v>
      </c>
      <c r="CG247" s="52">
        <v>562.17999999999995</v>
      </c>
      <c r="CH247" s="52">
        <v>562.17999999999995</v>
      </c>
      <c r="CI247" s="52">
        <v>562.17999999999995</v>
      </c>
      <c r="CJ247" s="52">
        <v>640</v>
      </c>
      <c r="CK247" s="52">
        <v>665.71</v>
      </c>
      <c r="CL247" s="52">
        <v>652.86</v>
      </c>
      <c r="CM247" s="52">
        <v>652.86</v>
      </c>
      <c r="CN247" s="52">
        <v>652.86</v>
      </c>
      <c r="CO247" s="52">
        <v>652.86</v>
      </c>
      <c r="CP247" s="52">
        <v>652.86</v>
      </c>
      <c r="CQ247" s="52">
        <v>652.86</v>
      </c>
      <c r="CR247" s="52">
        <v>652.86</v>
      </c>
      <c r="CS247" s="52">
        <v>652.86</v>
      </c>
      <c r="CT247" s="52">
        <v>652.86</v>
      </c>
      <c r="CU247" s="52">
        <v>652.86</v>
      </c>
      <c r="CV247" s="430">
        <f t="shared" si="6"/>
        <v>7834.3099999999986</v>
      </c>
    </row>
    <row r="248" spans="1:100">
      <c r="A248" s="540" t="str">
        <f t="shared" si="7"/>
        <v>6700509</v>
      </c>
      <c r="B248" s="541" t="s">
        <v>2064</v>
      </c>
      <c r="C248" s="463" t="s">
        <v>1149</v>
      </c>
      <c r="D248" s="428">
        <v>150000</v>
      </c>
      <c r="E248" s="428">
        <v>150000</v>
      </c>
      <c r="F248" s="428">
        <v>7818</v>
      </c>
      <c r="G248" s="428">
        <v>152455.17000000001</v>
      </c>
      <c r="H248" s="428">
        <v>150000</v>
      </c>
      <c r="I248" s="428">
        <v>-297537</v>
      </c>
      <c r="J248" s="428">
        <v>150000</v>
      </c>
      <c r="K248" s="428">
        <v>147544.82999999999</v>
      </c>
      <c r="L248" s="428">
        <v>-97262</v>
      </c>
      <c r="M248" s="428">
        <v>150000</v>
      </c>
      <c r="N248" s="428">
        <v>150000</v>
      </c>
      <c r="O248" s="429">
        <v>-438330</v>
      </c>
      <c r="P248" s="52">
        <v>0</v>
      </c>
      <c r="Q248" s="52">
        <v>0</v>
      </c>
      <c r="R248" s="52">
        <v>-428325</v>
      </c>
      <c r="S248" s="52">
        <v>0</v>
      </c>
      <c r="T248" s="52">
        <v>0</v>
      </c>
      <c r="U248" s="52">
        <v>-276270</v>
      </c>
      <c r="V248" s="52">
        <v>0</v>
      </c>
      <c r="W248" s="52">
        <v>0</v>
      </c>
      <c r="X248" s="52">
        <v>-233969</v>
      </c>
      <c r="Y248" s="52">
        <v>0</v>
      </c>
      <c r="Z248" s="52">
        <v>0</v>
      </c>
      <c r="AA248" s="52">
        <v>386533</v>
      </c>
      <c r="AB248" s="52">
        <v>0</v>
      </c>
      <c r="AC248" s="52">
        <v>0</v>
      </c>
      <c r="AD248" s="52">
        <v>-424390</v>
      </c>
      <c r="AE248" s="52">
        <v>0</v>
      </c>
      <c r="AF248" s="52">
        <v>0</v>
      </c>
      <c r="AG248" s="52">
        <v>393830</v>
      </c>
      <c r="AH248" s="52">
        <v>0</v>
      </c>
      <c r="AI248" s="52">
        <v>0</v>
      </c>
      <c r="AJ248" s="52">
        <v>-100932</v>
      </c>
      <c r="AK248" s="52">
        <v>0</v>
      </c>
      <c r="AL248" s="52">
        <v>0</v>
      </c>
      <c r="AM248" s="52">
        <v>256623</v>
      </c>
      <c r="AN248" s="52">
        <v>0</v>
      </c>
      <c r="AO248" s="52">
        <v>0</v>
      </c>
      <c r="AP248" s="52">
        <v>6256.16</v>
      </c>
      <c r="AQ248" s="52">
        <v>0</v>
      </c>
      <c r="AR248" s="52">
        <v>0</v>
      </c>
      <c r="AS248" s="52">
        <v>-157045.1</v>
      </c>
      <c r="AT248" s="52">
        <v>0</v>
      </c>
      <c r="AU248" s="52">
        <v>0</v>
      </c>
      <c r="AV248" s="52">
        <v>380555.37</v>
      </c>
      <c r="AW248" s="52">
        <v>0</v>
      </c>
      <c r="AX248" s="52">
        <v>0</v>
      </c>
      <c r="AY248" s="52">
        <v>-413670.95</v>
      </c>
      <c r="AZ248" s="52">
        <v>0</v>
      </c>
      <c r="BA248" s="52">
        <v>0</v>
      </c>
      <c r="BB248" s="52">
        <v>-120050.22</v>
      </c>
      <c r="BC248" s="52">
        <v>0</v>
      </c>
      <c r="BD248" s="52">
        <v>0</v>
      </c>
      <c r="BE248" s="52">
        <v>89915</v>
      </c>
      <c r="BF248" s="52">
        <v>0</v>
      </c>
      <c r="BG248" s="52">
        <v>0</v>
      </c>
      <c r="BH248" s="52">
        <v>35400.9</v>
      </c>
      <c r="BI248" s="52">
        <v>0</v>
      </c>
      <c r="BJ248" s="52">
        <v>0</v>
      </c>
      <c r="BK248" s="52">
        <v>-62119.5</v>
      </c>
      <c r="BL248" s="52">
        <v>0</v>
      </c>
      <c r="BM248" s="52">
        <v>0</v>
      </c>
      <c r="BN248" s="52">
        <v>810725</v>
      </c>
      <c r="BO248" s="52">
        <v>0</v>
      </c>
      <c r="BP248" s="52">
        <v>0</v>
      </c>
      <c r="BQ248" s="52">
        <v>212852</v>
      </c>
      <c r="BR248" s="52">
        <v>1000000</v>
      </c>
      <c r="BS248" s="52">
        <v>0</v>
      </c>
      <c r="BT248" s="52">
        <v>-554591</v>
      </c>
      <c r="BU248" s="52">
        <v>0</v>
      </c>
      <c r="BV248" s="52">
        <v>135000</v>
      </c>
      <c r="BW248" s="52">
        <v>104572</v>
      </c>
      <c r="BX248" s="52">
        <v>0</v>
      </c>
      <c r="BY248" s="52">
        <v>0</v>
      </c>
      <c r="BZ248" s="52">
        <v>-335653</v>
      </c>
      <c r="CA248" s="52">
        <v>0</v>
      </c>
      <c r="CB248" s="52">
        <v>0</v>
      </c>
      <c r="CC248" s="52">
        <v>306401</v>
      </c>
      <c r="CD248" s="52">
        <v>0</v>
      </c>
      <c r="CE248" s="52">
        <v>0</v>
      </c>
      <c r="CF248" s="52">
        <v>-90453</v>
      </c>
      <c r="CG248" s="52">
        <v>0</v>
      </c>
      <c r="CH248" s="52">
        <v>0</v>
      </c>
      <c r="CI248" s="52">
        <v>646145</v>
      </c>
      <c r="CJ248" s="52">
        <v>0</v>
      </c>
      <c r="CK248" s="52">
        <v>0</v>
      </c>
      <c r="CL248" s="52">
        <v>143683</v>
      </c>
      <c r="CM248" s="52">
        <v>0</v>
      </c>
      <c r="CN248" s="52">
        <v>0</v>
      </c>
      <c r="CO248" s="52">
        <v>-97206.01</v>
      </c>
      <c r="CP248" s="52">
        <v>0</v>
      </c>
      <c r="CQ248" s="52">
        <v>0</v>
      </c>
      <c r="CR248" s="52">
        <v>312483.59999999998</v>
      </c>
      <c r="CS248" s="52">
        <v>0</v>
      </c>
      <c r="CT248" s="52">
        <v>0</v>
      </c>
      <c r="CU248" s="52">
        <v>1091826</v>
      </c>
      <c r="CV248" s="430">
        <f t="shared" si="6"/>
        <v>1450786.5899999999</v>
      </c>
    </row>
    <row r="249" spans="1:100">
      <c r="A249" s="540" t="str">
        <f t="shared" si="7"/>
        <v>6700513</v>
      </c>
      <c r="B249" s="541" t="s">
        <v>2065</v>
      </c>
      <c r="C249" s="463" t="s">
        <v>1150</v>
      </c>
      <c r="D249" s="428">
        <v>2401.92</v>
      </c>
      <c r="E249" s="428">
        <v>2401.92</v>
      </c>
      <c r="F249" s="428">
        <v>2401.92</v>
      </c>
      <c r="G249" s="428">
        <v>2401.92</v>
      </c>
      <c r="H249" s="428">
        <v>2401.92</v>
      </c>
      <c r="I249" s="428">
        <v>2401.92</v>
      </c>
      <c r="J249" s="428">
        <v>2792.05</v>
      </c>
      <c r="K249" s="428">
        <v>2792.05</v>
      </c>
      <c r="L249" s="428">
        <v>2792.05</v>
      </c>
      <c r="M249" s="428">
        <v>2792.05</v>
      </c>
      <c r="N249" s="428">
        <v>2792.05</v>
      </c>
      <c r="O249" s="429">
        <v>2792.05</v>
      </c>
      <c r="P249" s="52">
        <v>2792.05</v>
      </c>
      <c r="Q249" s="52">
        <v>2792.05</v>
      </c>
      <c r="R249" s="52">
        <v>2792.05</v>
      </c>
      <c r="S249" s="52">
        <v>2792.05</v>
      </c>
      <c r="T249" s="52">
        <v>2792.05</v>
      </c>
      <c r="U249" s="52">
        <v>2792.01</v>
      </c>
      <c r="V249" s="52">
        <v>926.87</v>
      </c>
      <c r="W249" s="52">
        <v>926.87</v>
      </c>
      <c r="X249" s="52">
        <v>926.87</v>
      </c>
      <c r="Y249" s="52">
        <v>926.87</v>
      </c>
      <c r="Z249" s="52">
        <v>926.87</v>
      </c>
      <c r="AA249" s="52">
        <v>926.87</v>
      </c>
      <c r="AB249" s="52">
        <v>926.87</v>
      </c>
      <c r="AC249" s="52">
        <v>926.87</v>
      </c>
      <c r="AD249" s="52">
        <v>926.87</v>
      </c>
      <c r="AE249" s="52">
        <v>926.87</v>
      </c>
      <c r="AF249" s="52">
        <v>926.87</v>
      </c>
      <c r="AG249" s="52">
        <v>926.84</v>
      </c>
      <c r="AH249" s="52">
        <v>910.15</v>
      </c>
      <c r="AI249" s="52">
        <v>910.15</v>
      </c>
      <c r="AJ249" s="52">
        <v>910.15</v>
      </c>
      <c r="AK249" s="52">
        <v>910.15</v>
      </c>
      <c r="AL249" s="52">
        <v>910.15</v>
      </c>
      <c r="AM249" s="52">
        <v>910.15</v>
      </c>
      <c r="AN249" s="52">
        <v>910.15</v>
      </c>
      <c r="AO249" s="52">
        <v>910.15</v>
      </c>
      <c r="AP249" s="52">
        <v>1128.71</v>
      </c>
      <c r="AQ249" s="52">
        <v>959.08</v>
      </c>
      <c r="AR249" s="52">
        <v>959.08</v>
      </c>
      <c r="AS249" s="52">
        <v>959.08</v>
      </c>
      <c r="AT249" s="52">
        <v>959.08</v>
      </c>
      <c r="AU249" s="52">
        <v>959.08</v>
      </c>
      <c r="AV249" s="52">
        <v>959.08</v>
      </c>
      <c r="AW249" s="52">
        <v>959.08</v>
      </c>
      <c r="AX249" s="52">
        <v>959.08</v>
      </c>
      <c r="AY249" s="52">
        <v>941.67</v>
      </c>
      <c r="AZ249" s="52">
        <v>-941.67</v>
      </c>
      <c r="BA249" s="52">
        <v>941.67</v>
      </c>
      <c r="BB249" s="52">
        <v>0</v>
      </c>
      <c r="BC249" s="52">
        <v>0</v>
      </c>
      <c r="BD249" s="52">
        <v>0</v>
      </c>
      <c r="BE249" s="52">
        <v>0</v>
      </c>
      <c r="BF249" s="52">
        <v>0</v>
      </c>
      <c r="BG249" s="52">
        <v>0</v>
      </c>
      <c r="BH249" s="52">
        <v>0</v>
      </c>
      <c r="BI249" s="52">
        <v>0</v>
      </c>
      <c r="BJ249" s="52">
        <v>0</v>
      </c>
      <c r="BK249" s="52">
        <v>0</v>
      </c>
      <c r="BL249" s="52">
        <v>0</v>
      </c>
      <c r="BM249" s="52">
        <v>0</v>
      </c>
      <c r="BN249" s="52">
        <v>0</v>
      </c>
      <c r="BO249" s="52">
        <v>0</v>
      </c>
      <c r="BP249" s="52">
        <v>0</v>
      </c>
      <c r="BQ249" s="52">
        <v>0</v>
      </c>
      <c r="BR249" s="52">
        <v>0</v>
      </c>
      <c r="BS249" s="52">
        <v>0</v>
      </c>
      <c r="BT249" s="52">
        <v>0</v>
      </c>
      <c r="BU249" s="52">
        <v>0</v>
      </c>
      <c r="BV249" s="52">
        <v>0</v>
      </c>
      <c r="BW249" s="52">
        <v>0</v>
      </c>
      <c r="BX249" s="52">
        <v>0</v>
      </c>
      <c r="BY249" s="52">
        <v>0</v>
      </c>
      <c r="BZ249" s="52">
        <v>0</v>
      </c>
      <c r="CA249" s="52">
        <v>0</v>
      </c>
      <c r="CB249" s="52">
        <v>0</v>
      </c>
      <c r="CC249" s="52">
        <v>0</v>
      </c>
      <c r="CD249" s="52">
        <v>0</v>
      </c>
      <c r="CE249" s="52">
        <v>0</v>
      </c>
      <c r="CF249" s="52">
        <v>0</v>
      </c>
      <c r="CG249" s="52">
        <v>0</v>
      </c>
      <c r="CH249" s="52">
        <v>0</v>
      </c>
      <c r="CI249" s="52">
        <v>0</v>
      </c>
      <c r="CJ249" s="52">
        <v>0</v>
      </c>
      <c r="CK249" s="52">
        <v>0</v>
      </c>
      <c r="CL249" s="52">
        <v>0</v>
      </c>
      <c r="CM249" s="52">
        <v>0</v>
      </c>
      <c r="CN249" s="52">
        <v>0</v>
      </c>
      <c r="CO249" s="52">
        <v>0</v>
      </c>
      <c r="CP249" s="52">
        <v>0</v>
      </c>
      <c r="CQ249" s="52">
        <v>0</v>
      </c>
      <c r="CR249" s="52">
        <v>0</v>
      </c>
      <c r="CS249" s="52">
        <v>0</v>
      </c>
      <c r="CT249" s="52">
        <v>0</v>
      </c>
      <c r="CU249" s="52">
        <v>0</v>
      </c>
      <c r="CV249" s="430">
        <f t="shared" si="6"/>
        <v>0</v>
      </c>
    </row>
    <row r="250" spans="1:100">
      <c r="A250" s="540" t="str">
        <f t="shared" si="7"/>
        <v>6700514</v>
      </c>
      <c r="B250" s="541" t="s">
        <v>2066</v>
      </c>
      <c r="C250" s="463" t="s">
        <v>1151</v>
      </c>
      <c r="D250" s="426">
        <v>8055.68</v>
      </c>
      <c r="E250" s="426">
        <v>8055.68</v>
      </c>
      <c r="F250" s="426">
        <v>8055.68</v>
      </c>
      <c r="G250" s="426">
        <v>7505.76</v>
      </c>
      <c r="H250" s="426">
        <v>7641.25</v>
      </c>
      <c r="I250" s="426">
        <v>7641.25</v>
      </c>
      <c r="J250" s="426">
        <v>7550.97</v>
      </c>
      <c r="K250" s="426">
        <v>7652.55</v>
      </c>
      <c r="L250" s="426">
        <v>7571.42</v>
      </c>
      <c r="M250" s="426">
        <v>7639.03</v>
      </c>
      <c r="N250" s="426">
        <v>7639.03</v>
      </c>
      <c r="O250" s="427">
        <v>7639.03</v>
      </c>
      <c r="P250" s="52">
        <v>7639.03</v>
      </c>
      <c r="Q250" s="52">
        <v>7639.03</v>
      </c>
      <c r="R250" s="52">
        <v>7603.03</v>
      </c>
      <c r="S250" s="52">
        <v>7639.03</v>
      </c>
      <c r="T250" s="52">
        <v>5319.61</v>
      </c>
      <c r="U250" s="52">
        <v>6055.6</v>
      </c>
      <c r="V250" s="52">
        <v>6055.6</v>
      </c>
      <c r="W250" s="52">
        <v>6055.6</v>
      </c>
      <c r="X250" s="52">
        <v>6055.6</v>
      </c>
      <c r="Y250" s="52">
        <v>6055.6</v>
      </c>
      <c r="Z250" s="52">
        <v>6055.6</v>
      </c>
      <c r="AA250" s="52">
        <v>6055.6</v>
      </c>
      <c r="AB250" s="52">
        <v>6005.6</v>
      </c>
      <c r="AC250" s="52">
        <v>6032.9</v>
      </c>
      <c r="AD250" s="52">
        <v>6055.58</v>
      </c>
      <c r="AE250" s="52">
        <v>5361.56</v>
      </c>
      <c r="AF250" s="52">
        <v>5383.56</v>
      </c>
      <c r="AG250" s="52">
        <v>5383.56</v>
      </c>
      <c r="AH250" s="52">
        <v>5383.56</v>
      </c>
      <c r="AI250" s="52">
        <v>5383.56</v>
      </c>
      <c r="AJ250" s="52">
        <v>5383.56</v>
      </c>
      <c r="AK250" s="52">
        <v>5383.56</v>
      </c>
      <c r="AL250" s="52">
        <v>5383.56</v>
      </c>
      <c r="AM250" s="52">
        <v>5383.56</v>
      </c>
      <c r="AN250" s="52">
        <v>5383.56</v>
      </c>
      <c r="AO250" s="52">
        <v>5383.56</v>
      </c>
      <c r="AP250" s="52">
        <v>2484.86</v>
      </c>
      <c r="AQ250" s="52">
        <v>2767.37</v>
      </c>
      <c r="AR250" s="52">
        <v>3085.84</v>
      </c>
      <c r="AS250" s="52">
        <v>3033.31</v>
      </c>
      <c r="AT250" s="52">
        <v>2985.03</v>
      </c>
      <c r="AU250" s="52">
        <v>3033.31</v>
      </c>
      <c r="AV250" s="52">
        <v>3033.31</v>
      </c>
      <c r="AW250" s="52">
        <v>3033.31</v>
      </c>
      <c r="AX250" s="52">
        <v>3033.31</v>
      </c>
      <c r="AY250" s="52">
        <v>2962.42</v>
      </c>
      <c r="AZ250" s="52">
        <v>2867.66</v>
      </c>
      <c r="BA250" s="52">
        <v>3289.98</v>
      </c>
      <c r="BB250" s="52">
        <v>2872.54</v>
      </c>
      <c r="BC250" s="52">
        <v>2998.14</v>
      </c>
      <c r="BD250" s="52">
        <v>2998.14</v>
      </c>
      <c r="BE250" s="52">
        <v>2998.14</v>
      </c>
      <c r="BF250" s="52">
        <v>2998.14</v>
      </c>
      <c r="BG250" s="52">
        <v>2998.14</v>
      </c>
      <c r="BH250" s="52">
        <v>2998.14</v>
      </c>
      <c r="BI250" s="52">
        <v>2998.14</v>
      </c>
      <c r="BJ250" s="52">
        <v>2998.14</v>
      </c>
      <c r="BK250" s="52">
        <v>5000</v>
      </c>
      <c r="BL250" s="52">
        <v>5000</v>
      </c>
      <c r="BM250" s="52">
        <v>-1180.4100000000001</v>
      </c>
      <c r="BN250" s="52">
        <v>2943.82</v>
      </c>
      <c r="BO250" s="52">
        <v>2943.82</v>
      </c>
      <c r="BP250" s="52">
        <v>2943.82</v>
      </c>
      <c r="BQ250" s="52">
        <v>2943.82</v>
      </c>
      <c r="BR250" s="52">
        <v>2943.82</v>
      </c>
      <c r="BS250" s="52">
        <v>2943.82</v>
      </c>
      <c r="BT250" s="52">
        <v>2943.82</v>
      </c>
      <c r="BU250" s="52">
        <v>2943.82</v>
      </c>
      <c r="BV250" s="52">
        <v>2943.82</v>
      </c>
      <c r="BW250" s="52">
        <v>3593.8</v>
      </c>
      <c r="BX250" s="52">
        <v>3593.81</v>
      </c>
      <c r="BY250" s="52">
        <v>3593.81</v>
      </c>
      <c r="BZ250" s="52">
        <v>3542.31</v>
      </c>
      <c r="CA250" s="52">
        <v>3542.31</v>
      </c>
      <c r="CB250" s="52">
        <v>3542.31</v>
      </c>
      <c r="CC250" s="52">
        <v>1353.89</v>
      </c>
      <c r="CD250" s="52">
        <v>2576.0500000000002</v>
      </c>
      <c r="CE250" s="52">
        <v>3145.35</v>
      </c>
      <c r="CF250" s="52">
        <v>3032.77</v>
      </c>
      <c r="CG250" s="52">
        <v>-5194.93</v>
      </c>
      <c r="CH250" s="52">
        <v>-1823.43</v>
      </c>
      <c r="CI250" s="52">
        <v>2493.19</v>
      </c>
      <c r="CJ250" s="52">
        <v>2508.91</v>
      </c>
      <c r="CK250" s="52">
        <v>2494.62</v>
      </c>
      <c r="CL250" s="52">
        <v>3640</v>
      </c>
      <c r="CM250" s="52">
        <v>3640</v>
      </c>
      <c r="CN250" s="52">
        <v>3917.84</v>
      </c>
      <c r="CO250" s="52">
        <v>3732.63</v>
      </c>
      <c r="CP250" s="52">
        <v>3756.58</v>
      </c>
      <c r="CQ250" s="52">
        <v>3732.63</v>
      </c>
      <c r="CR250" s="52">
        <v>3732.63</v>
      </c>
      <c r="CS250" s="52">
        <v>3732.63</v>
      </c>
      <c r="CT250" s="52">
        <v>3732.63</v>
      </c>
      <c r="CU250" s="52">
        <v>3732.63</v>
      </c>
      <c r="CV250" s="430">
        <f t="shared" si="6"/>
        <v>42353.729999999996</v>
      </c>
    </row>
    <row r="251" spans="1:100">
      <c r="A251" s="540" t="str">
        <f t="shared" si="7"/>
        <v>6700515</v>
      </c>
      <c r="B251" s="541" t="s">
        <v>2067</v>
      </c>
      <c r="C251" s="463" t="s">
        <v>1152</v>
      </c>
      <c r="D251" s="428">
        <v>3495.2</v>
      </c>
      <c r="E251" s="428">
        <v>3495.2</v>
      </c>
      <c r="F251" s="428">
        <v>3495.2</v>
      </c>
      <c r="G251" s="428">
        <v>3495.2</v>
      </c>
      <c r="H251" s="428">
        <v>3495.2</v>
      </c>
      <c r="I251" s="428">
        <v>3495.2</v>
      </c>
      <c r="J251" s="428">
        <v>3750.97</v>
      </c>
      <c r="K251" s="428">
        <v>3750.97</v>
      </c>
      <c r="L251" s="428">
        <v>3750.97</v>
      </c>
      <c r="M251" s="428">
        <v>3750.97</v>
      </c>
      <c r="N251" s="428">
        <v>3750.97</v>
      </c>
      <c r="O251" s="429">
        <v>3750.97</v>
      </c>
      <c r="P251" s="52">
        <v>3750.97</v>
      </c>
      <c r="Q251" s="52">
        <v>3750.97</v>
      </c>
      <c r="R251" s="52">
        <v>3750.97</v>
      </c>
      <c r="S251" s="52">
        <v>3750.97</v>
      </c>
      <c r="T251" s="52">
        <v>3750.97</v>
      </c>
      <c r="U251" s="52">
        <v>3751.7</v>
      </c>
      <c r="V251" s="52">
        <v>2707.24</v>
      </c>
      <c r="W251" s="52">
        <v>2707.24</v>
      </c>
      <c r="X251" s="52">
        <v>2707.24</v>
      </c>
      <c r="Y251" s="52">
        <v>2707.24</v>
      </c>
      <c r="Z251" s="52">
        <v>2707.24</v>
      </c>
      <c r="AA251" s="52">
        <v>2707.24</v>
      </c>
      <c r="AB251" s="52">
        <v>2707.24</v>
      </c>
      <c r="AC251" s="52">
        <v>2707.24</v>
      </c>
      <c r="AD251" s="52">
        <v>2707.24</v>
      </c>
      <c r="AE251" s="52">
        <v>2707.24</v>
      </c>
      <c r="AF251" s="52">
        <v>2707.24</v>
      </c>
      <c r="AG251" s="52">
        <v>2707.21</v>
      </c>
      <c r="AH251" s="52">
        <v>2816.35</v>
      </c>
      <c r="AI251" s="52">
        <v>2816.35</v>
      </c>
      <c r="AJ251" s="52">
        <v>2816.35</v>
      </c>
      <c r="AK251" s="52">
        <v>2816.35</v>
      </c>
      <c r="AL251" s="52">
        <v>2816.35</v>
      </c>
      <c r="AM251" s="52">
        <v>2816.35</v>
      </c>
      <c r="AN251" s="52">
        <v>2816.35</v>
      </c>
      <c r="AO251" s="52">
        <v>2816.35</v>
      </c>
      <c r="AP251" s="52">
        <v>3919.51</v>
      </c>
      <c r="AQ251" s="52">
        <v>2887.24</v>
      </c>
      <c r="AR251" s="52">
        <v>2887.24</v>
      </c>
      <c r="AS251" s="52">
        <v>2887.24</v>
      </c>
      <c r="AT251" s="52">
        <v>2887.24</v>
      </c>
      <c r="AU251" s="52">
        <v>2887.24</v>
      </c>
      <c r="AV251" s="52">
        <v>2887.24</v>
      </c>
      <c r="AW251" s="52">
        <v>2887.24</v>
      </c>
      <c r="AX251" s="52">
        <v>2887.24</v>
      </c>
      <c r="AY251" s="52">
        <v>2998.72</v>
      </c>
      <c r="AZ251" s="52">
        <v>2998.73</v>
      </c>
      <c r="BA251" s="52">
        <v>2998.73</v>
      </c>
      <c r="BB251" s="52">
        <v>2998.73</v>
      </c>
      <c r="BC251" s="52">
        <v>2998.73</v>
      </c>
      <c r="BD251" s="52">
        <v>3916.31</v>
      </c>
      <c r="BE251" s="52">
        <v>3151.67</v>
      </c>
      <c r="BF251" s="52">
        <v>3151.67</v>
      </c>
      <c r="BG251" s="52">
        <v>3151.67</v>
      </c>
      <c r="BH251" s="52">
        <v>3151.67</v>
      </c>
      <c r="BI251" s="52">
        <v>3151.67</v>
      </c>
      <c r="BJ251" s="52">
        <v>3151.67</v>
      </c>
      <c r="BK251" s="52">
        <v>3200</v>
      </c>
      <c r="BL251" s="52">
        <v>2759.19</v>
      </c>
      <c r="BM251" s="52">
        <v>2979.57</v>
      </c>
      <c r="BN251" s="52">
        <v>3075.38</v>
      </c>
      <c r="BO251" s="52">
        <v>3003.51</v>
      </c>
      <c r="BP251" s="52">
        <v>3003.51</v>
      </c>
      <c r="BQ251" s="52">
        <v>3003.51</v>
      </c>
      <c r="BR251" s="52">
        <v>3003.51</v>
      </c>
      <c r="BS251" s="52">
        <v>3003.51</v>
      </c>
      <c r="BT251" s="52">
        <v>3003.51</v>
      </c>
      <c r="BU251" s="52">
        <v>3003.51</v>
      </c>
      <c r="BV251" s="52">
        <v>3003.51</v>
      </c>
      <c r="BW251" s="52">
        <v>3197.09</v>
      </c>
      <c r="BX251" s="52">
        <v>3197.11</v>
      </c>
      <c r="BY251" s="52">
        <v>3197.11</v>
      </c>
      <c r="BZ251" s="52">
        <v>3197.11</v>
      </c>
      <c r="CA251" s="52">
        <v>3197.11</v>
      </c>
      <c r="CB251" s="52">
        <v>3197.11</v>
      </c>
      <c r="CC251" s="52">
        <v>3197.11</v>
      </c>
      <c r="CD251" s="52">
        <v>3197.11</v>
      </c>
      <c r="CE251" s="52">
        <v>3197.11</v>
      </c>
      <c r="CF251" s="52">
        <v>3197.11</v>
      </c>
      <c r="CG251" s="52">
        <v>3197.11</v>
      </c>
      <c r="CH251" s="52">
        <v>3197.11</v>
      </c>
      <c r="CI251" s="52">
        <v>3197.11</v>
      </c>
      <c r="CJ251" s="52">
        <v>3197.11</v>
      </c>
      <c r="CK251" s="52">
        <v>3197.11</v>
      </c>
      <c r="CL251" s="52">
        <v>3197.11</v>
      </c>
      <c r="CM251" s="52">
        <v>3197.11</v>
      </c>
      <c r="CN251" s="52">
        <v>3197.11</v>
      </c>
      <c r="CO251" s="52">
        <v>2834.56</v>
      </c>
      <c r="CP251" s="52">
        <v>2834.59</v>
      </c>
      <c r="CQ251" s="52">
        <v>2834.59</v>
      </c>
      <c r="CR251" s="52">
        <v>2834.59</v>
      </c>
      <c r="CS251" s="52">
        <v>2834.59</v>
      </c>
      <c r="CT251" s="52">
        <v>2834.59</v>
      </c>
      <c r="CU251" s="52">
        <v>2834.59</v>
      </c>
      <c r="CV251" s="430">
        <f t="shared" si="6"/>
        <v>35827.649999999994</v>
      </c>
    </row>
    <row r="252" spans="1:100">
      <c r="A252" s="540" t="str">
        <f t="shared" si="7"/>
        <v>6700516</v>
      </c>
      <c r="B252" s="541" t="s">
        <v>2068</v>
      </c>
      <c r="C252" s="463" t="s">
        <v>1153</v>
      </c>
      <c r="D252" s="426">
        <v>0</v>
      </c>
      <c r="E252" s="426">
        <v>0</v>
      </c>
      <c r="F252" s="426">
        <v>0</v>
      </c>
      <c r="G252" s="426">
        <v>0</v>
      </c>
      <c r="H252" s="426">
        <v>0</v>
      </c>
      <c r="I252" s="426">
        <v>0</v>
      </c>
      <c r="J252" s="426">
        <v>0</v>
      </c>
      <c r="K252" s="426">
        <v>0</v>
      </c>
      <c r="L252" s="426">
        <v>0</v>
      </c>
      <c r="M252" s="426">
        <v>243.85</v>
      </c>
      <c r="N252" s="426">
        <v>243.85</v>
      </c>
      <c r="O252" s="427">
        <v>1471.82</v>
      </c>
      <c r="P252" s="52">
        <v>243.85</v>
      </c>
      <c r="Q252" s="52">
        <v>243.85</v>
      </c>
      <c r="R252" s="52">
        <v>243.85</v>
      </c>
      <c r="S252" s="52">
        <v>243.85</v>
      </c>
      <c r="T252" s="52">
        <v>243.85</v>
      </c>
      <c r="U252" s="52">
        <v>243.85</v>
      </c>
      <c r="V252" s="52">
        <v>-1381.85</v>
      </c>
      <c r="W252" s="52">
        <v>81.28</v>
      </c>
      <c r="X252" s="52">
        <v>81.28</v>
      </c>
      <c r="Y252" s="52">
        <v>81.28</v>
      </c>
      <c r="Z252" s="52">
        <v>81.28</v>
      </c>
      <c r="AA252" s="52">
        <v>81.28</v>
      </c>
      <c r="AB252" s="52">
        <v>81.28</v>
      </c>
      <c r="AC252" s="52">
        <v>81.28</v>
      </c>
      <c r="AD252" s="52">
        <v>81.28</v>
      </c>
      <c r="AE252" s="52">
        <v>81.28</v>
      </c>
      <c r="AF252" s="52">
        <v>81.28</v>
      </c>
      <c r="AG252" s="52">
        <v>81.28</v>
      </c>
      <c r="AH252" s="52">
        <v>81.28</v>
      </c>
      <c r="AI252" s="52">
        <v>81.28</v>
      </c>
      <c r="AJ252" s="52">
        <v>81.28</v>
      </c>
      <c r="AK252" s="52">
        <v>81.28</v>
      </c>
      <c r="AL252" s="52">
        <v>81.28</v>
      </c>
      <c r="AM252" s="52">
        <v>81.28</v>
      </c>
      <c r="AN252" s="52">
        <v>81.28</v>
      </c>
      <c r="AO252" s="52">
        <v>81.28</v>
      </c>
      <c r="AP252" s="52">
        <v>81.28</v>
      </c>
      <c r="AQ252" s="52">
        <v>81.28</v>
      </c>
      <c r="AR252" s="52">
        <v>81.28</v>
      </c>
      <c r="AS252" s="52">
        <v>81.28</v>
      </c>
      <c r="AT252" s="52">
        <v>81.28</v>
      </c>
      <c r="AU252" s="52">
        <v>-287</v>
      </c>
      <c r="AV252" s="52">
        <v>20.59</v>
      </c>
      <c r="AW252" s="52">
        <v>20.59</v>
      </c>
      <c r="AX252" s="52">
        <v>20.59</v>
      </c>
      <c r="AY252" s="52">
        <v>20.59</v>
      </c>
      <c r="AZ252" s="52">
        <v>0</v>
      </c>
      <c r="BA252" s="52">
        <v>37.5</v>
      </c>
      <c r="BB252" s="52">
        <v>184.87</v>
      </c>
      <c r="BC252" s="52">
        <v>74.13</v>
      </c>
      <c r="BD252" s="52">
        <v>74.13</v>
      </c>
      <c r="BE252" s="52">
        <v>74.13</v>
      </c>
      <c r="BF252" s="52">
        <v>74.13</v>
      </c>
      <c r="BG252" s="52">
        <v>74.13</v>
      </c>
      <c r="BH252" s="52">
        <v>74.13</v>
      </c>
      <c r="BI252" s="52">
        <v>74.13</v>
      </c>
      <c r="BJ252" s="52">
        <v>74.13</v>
      </c>
      <c r="BK252" s="52">
        <v>74.13</v>
      </c>
      <c r="BL252" s="52">
        <v>74.03</v>
      </c>
      <c r="BM252" s="52">
        <v>74.08</v>
      </c>
      <c r="BN252" s="52">
        <v>74.08</v>
      </c>
      <c r="BO252" s="52">
        <v>74.08</v>
      </c>
      <c r="BP252" s="52">
        <v>74.08</v>
      </c>
      <c r="BQ252" s="52">
        <v>74.08</v>
      </c>
      <c r="BR252" s="52">
        <v>74.08</v>
      </c>
      <c r="BS252" s="52">
        <v>74.08</v>
      </c>
      <c r="BT252" s="52">
        <v>74.08</v>
      </c>
      <c r="BU252" s="52">
        <v>74.08</v>
      </c>
      <c r="BV252" s="52">
        <v>74.08</v>
      </c>
      <c r="BW252" s="52">
        <v>74.08</v>
      </c>
      <c r="BX252" s="52">
        <v>154.93</v>
      </c>
      <c r="BY252" s="52">
        <v>154.97</v>
      </c>
      <c r="BZ252" s="52">
        <v>154.97</v>
      </c>
      <c r="CA252" s="52">
        <v>154.97</v>
      </c>
      <c r="CB252" s="52">
        <v>154.97</v>
      </c>
      <c r="CC252" s="52">
        <v>154.97</v>
      </c>
      <c r="CD252" s="52">
        <v>154.97</v>
      </c>
      <c r="CE252" s="52">
        <v>154.97</v>
      </c>
      <c r="CF252" s="52">
        <v>154.97</v>
      </c>
      <c r="CG252" s="52">
        <v>154.97</v>
      </c>
      <c r="CH252" s="52">
        <v>154.97</v>
      </c>
      <c r="CI252" s="52">
        <v>154.97</v>
      </c>
      <c r="CJ252" s="52">
        <v>85.89</v>
      </c>
      <c r="CK252" s="52">
        <v>85.84</v>
      </c>
      <c r="CL252" s="52">
        <v>85.84</v>
      </c>
      <c r="CM252" s="52">
        <v>85.84</v>
      </c>
      <c r="CN252" s="52">
        <v>85.84</v>
      </c>
      <c r="CO252" s="52">
        <v>85.84</v>
      </c>
      <c r="CP252" s="52">
        <v>85.84</v>
      </c>
      <c r="CQ252" s="52">
        <v>85.84</v>
      </c>
      <c r="CR252" s="52">
        <v>85.84</v>
      </c>
      <c r="CS252" s="52">
        <v>85.84</v>
      </c>
      <c r="CT252" s="52">
        <v>85.84</v>
      </c>
      <c r="CU252" s="52">
        <v>85.84</v>
      </c>
      <c r="CV252" s="430">
        <f t="shared" si="6"/>
        <v>1030.1300000000003</v>
      </c>
    </row>
    <row r="253" spans="1:100">
      <c r="A253" s="540" t="str">
        <f t="shared" si="7"/>
        <v>6700517</v>
      </c>
      <c r="B253" s="541" t="s">
        <v>2069</v>
      </c>
      <c r="C253" s="463" t="s">
        <v>1154</v>
      </c>
      <c r="D253" s="428">
        <v>0</v>
      </c>
      <c r="E253" s="428">
        <v>214.76</v>
      </c>
      <c r="F253" s="428">
        <v>101.31</v>
      </c>
      <c r="G253" s="428">
        <v>2431.1999999999998</v>
      </c>
      <c r="H253" s="428">
        <v>0</v>
      </c>
      <c r="I253" s="428">
        <v>1836.57</v>
      </c>
      <c r="J253" s="428">
        <v>0</v>
      </c>
      <c r="K253" s="428">
        <v>506.5</v>
      </c>
      <c r="L253" s="428">
        <v>0</v>
      </c>
      <c r="M253" s="428">
        <v>-2153.64</v>
      </c>
      <c r="N253" s="428">
        <v>0</v>
      </c>
      <c r="O253" s="429">
        <v>0</v>
      </c>
      <c r="P253" s="52">
        <v>0</v>
      </c>
      <c r="Q253" s="52">
        <v>0</v>
      </c>
      <c r="R253" s="52">
        <v>1013.46</v>
      </c>
      <c r="S253" s="52">
        <v>2200</v>
      </c>
      <c r="T253" s="52">
        <v>0</v>
      </c>
      <c r="U253" s="52">
        <v>3100</v>
      </c>
      <c r="V253" s="52">
        <v>0</v>
      </c>
      <c r="W253" s="52">
        <v>0</v>
      </c>
      <c r="X253" s="52">
        <v>0</v>
      </c>
      <c r="Y253" s="52">
        <v>0</v>
      </c>
      <c r="Z253" s="52">
        <v>112</v>
      </c>
      <c r="AA253" s="52">
        <v>300</v>
      </c>
      <c r="AB253" s="52">
        <v>0</v>
      </c>
      <c r="AC253" s="52">
        <v>500</v>
      </c>
      <c r="AD253" s="52">
        <v>300</v>
      </c>
      <c r="AE253" s="52">
        <v>0</v>
      </c>
      <c r="AF253" s="52">
        <v>7555</v>
      </c>
      <c r="AG253" s="52">
        <v>1875</v>
      </c>
      <c r="AH253" s="52">
        <v>700</v>
      </c>
      <c r="AI253" s="52">
        <v>1100</v>
      </c>
      <c r="AJ253" s="52">
        <v>10562</v>
      </c>
      <c r="AK253" s="52">
        <v>0</v>
      </c>
      <c r="AL253" s="52">
        <v>0</v>
      </c>
      <c r="AM253" s="52">
        <v>1451</v>
      </c>
      <c r="AN253" s="52">
        <v>-112</v>
      </c>
      <c r="AO253" s="52">
        <v>0</v>
      </c>
      <c r="AP253" s="52">
        <v>900</v>
      </c>
      <c r="AQ253" s="52">
        <v>2200</v>
      </c>
      <c r="AR253" s="52">
        <v>0</v>
      </c>
      <c r="AS253" s="52">
        <v>800</v>
      </c>
      <c r="AT253" s="52">
        <v>-1534</v>
      </c>
      <c r="AU253" s="52">
        <v>600</v>
      </c>
      <c r="AV253" s="52">
        <v>200</v>
      </c>
      <c r="AW253" s="52">
        <v>100</v>
      </c>
      <c r="AX253" s="52">
        <v>-1875</v>
      </c>
      <c r="AY253" s="52">
        <v>0</v>
      </c>
      <c r="AZ253" s="52">
        <v>0</v>
      </c>
      <c r="BA253" s="52">
        <v>2100</v>
      </c>
      <c r="BB253" s="52">
        <v>800</v>
      </c>
      <c r="BC253" s="52">
        <v>100</v>
      </c>
      <c r="BD253" s="52">
        <v>3399</v>
      </c>
      <c r="BE253" s="52">
        <v>500</v>
      </c>
      <c r="BF253" s="52">
        <v>0</v>
      </c>
      <c r="BG253" s="52">
        <v>2950</v>
      </c>
      <c r="BH253" s="52">
        <v>0</v>
      </c>
      <c r="BI253" s="52">
        <v>100</v>
      </c>
      <c r="BJ253" s="52">
        <v>300</v>
      </c>
      <c r="BK253" s="52">
        <v>0</v>
      </c>
      <c r="BL253" s="52">
        <v>0</v>
      </c>
      <c r="BM253" s="52">
        <v>-30</v>
      </c>
      <c r="BN253" s="52">
        <v>0</v>
      </c>
      <c r="BO253" s="52">
        <v>420</v>
      </c>
      <c r="BP253" s="52">
        <v>0</v>
      </c>
      <c r="BQ253" s="52">
        <v>0</v>
      </c>
      <c r="BR253" s="52">
        <v>0</v>
      </c>
      <c r="BS253" s="52">
        <v>0</v>
      </c>
      <c r="BT253" s="52">
        <v>0</v>
      </c>
      <c r="BU253" s="52">
        <v>0</v>
      </c>
      <c r="BV253" s="52">
        <v>370</v>
      </c>
      <c r="BW253" s="52">
        <v>54354</v>
      </c>
      <c r="BX253" s="52">
        <v>200</v>
      </c>
      <c r="BY253" s="52">
        <v>1280</v>
      </c>
      <c r="BZ253" s="52">
        <v>3750</v>
      </c>
      <c r="CA253" s="52">
        <v>0</v>
      </c>
      <c r="CB253" s="52">
        <v>0</v>
      </c>
      <c r="CC253" s="52">
        <v>0</v>
      </c>
      <c r="CD253" s="52">
        <v>174</v>
      </c>
      <c r="CE253" s="52">
        <v>0</v>
      </c>
      <c r="CF253" s="52">
        <v>0</v>
      </c>
      <c r="CG253" s="52">
        <v>4619</v>
      </c>
      <c r="CH253" s="52">
        <v>2300</v>
      </c>
      <c r="CI253" s="52">
        <v>48884</v>
      </c>
      <c r="CJ253" s="52">
        <v>100</v>
      </c>
      <c r="CK253" s="52">
        <v>0</v>
      </c>
      <c r="CL253" s="52">
        <v>0</v>
      </c>
      <c r="CM253" s="52">
        <v>799</v>
      </c>
      <c r="CN253" s="52">
        <v>770</v>
      </c>
      <c r="CO253" s="52">
        <v>2950</v>
      </c>
      <c r="CP253" s="52">
        <v>0</v>
      </c>
      <c r="CQ253" s="52">
        <v>0</v>
      </c>
      <c r="CR253" s="52">
        <v>0</v>
      </c>
      <c r="CS253" s="52">
        <v>2000</v>
      </c>
      <c r="CT253" s="52">
        <v>100</v>
      </c>
      <c r="CU253" s="52">
        <v>0</v>
      </c>
      <c r="CV253" s="430">
        <f t="shared" si="6"/>
        <v>6719</v>
      </c>
    </row>
    <row r="254" spans="1:100">
      <c r="A254" s="540" t="str">
        <f t="shared" si="7"/>
        <v>6700518</v>
      </c>
      <c r="B254" s="541" t="s">
        <v>2071</v>
      </c>
      <c r="C254" s="463" t="s">
        <v>1155</v>
      </c>
      <c r="D254" s="426">
        <v>0</v>
      </c>
      <c r="E254" s="426">
        <v>0</v>
      </c>
      <c r="F254" s="426">
        <v>0</v>
      </c>
      <c r="G254" s="426">
        <v>0</v>
      </c>
      <c r="H254" s="426">
        <v>0</v>
      </c>
      <c r="I254" s="426">
        <v>0</v>
      </c>
      <c r="J254" s="426">
        <v>0</v>
      </c>
      <c r="K254" s="426">
        <v>0</v>
      </c>
      <c r="L254" s="426">
        <v>0</v>
      </c>
      <c r="M254" s="426">
        <v>0</v>
      </c>
      <c r="N254" s="426">
        <v>0</v>
      </c>
      <c r="O254" s="427">
        <v>853.5</v>
      </c>
      <c r="P254" s="52">
        <v>853.5</v>
      </c>
      <c r="Q254" s="52">
        <v>-946.17</v>
      </c>
      <c r="R254" s="52">
        <v>278</v>
      </c>
      <c r="S254" s="52">
        <v>-92.67</v>
      </c>
      <c r="T254" s="52">
        <v>370.68</v>
      </c>
      <c r="U254" s="52">
        <v>92.67</v>
      </c>
      <c r="V254" s="52">
        <v>92.67</v>
      </c>
      <c r="W254" s="52">
        <v>92.67</v>
      </c>
      <c r="X254" s="52">
        <v>92.67</v>
      </c>
      <c r="Y254" s="52">
        <v>92.67</v>
      </c>
      <c r="Z254" s="52">
        <v>92.67</v>
      </c>
      <c r="AA254" s="52">
        <v>92.64</v>
      </c>
      <c r="AB254" s="52">
        <v>75.400000000000006</v>
      </c>
      <c r="AC254" s="52">
        <v>75.400000000000006</v>
      </c>
      <c r="AD254" s="52">
        <v>75.400000000000006</v>
      </c>
      <c r="AE254" s="52">
        <v>75.400000000000006</v>
      </c>
      <c r="AF254" s="52">
        <v>75.400000000000006</v>
      </c>
      <c r="AG254" s="52">
        <v>75.400000000000006</v>
      </c>
      <c r="AH254" s="52">
        <v>75.400000000000006</v>
      </c>
      <c r="AI254" s="52">
        <v>75.400000000000006</v>
      </c>
      <c r="AJ254" s="52">
        <v>75.400000000000006</v>
      </c>
      <c r="AK254" s="52">
        <v>75.400000000000006</v>
      </c>
      <c r="AL254" s="52">
        <v>75.400000000000006</v>
      </c>
      <c r="AM254" s="52">
        <v>75.34</v>
      </c>
      <c r="AN254" s="52">
        <v>0</v>
      </c>
      <c r="AO254" s="52">
        <v>0</v>
      </c>
      <c r="AP254" s="52">
        <v>218</v>
      </c>
      <c r="AQ254" s="52">
        <v>72.66</v>
      </c>
      <c r="AR254" s="52">
        <v>72.66</v>
      </c>
      <c r="AS254" s="52">
        <v>72.66</v>
      </c>
      <c r="AT254" s="52">
        <v>72.66</v>
      </c>
      <c r="AU254" s="52">
        <v>72.66</v>
      </c>
      <c r="AV254" s="52">
        <v>72.66</v>
      </c>
      <c r="AW254" s="52">
        <v>72.66</v>
      </c>
      <c r="AX254" s="52">
        <v>72.66</v>
      </c>
      <c r="AY254" s="52">
        <v>72.66</v>
      </c>
      <c r="AZ254" s="52">
        <v>72.66</v>
      </c>
      <c r="BA254" s="52">
        <v>72.66</v>
      </c>
      <c r="BB254" s="52">
        <v>72.66</v>
      </c>
      <c r="BC254" s="52">
        <v>72.66</v>
      </c>
      <c r="BD254" s="52">
        <v>72.66</v>
      </c>
      <c r="BE254" s="52">
        <v>72.66</v>
      </c>
      <c r="BF254" s="52">
        <v>72.66</v>
      </c>
      <c r="BG254" s="52">
        <v>72.66</v>
      </c>
      <c r="BH254" s="52">
        <v>72.66</v>
      </c>
      <c r="BI254" s="52">
        <v>72.66</v>
      </c>
      <c r="BJ254" s="52">
        <v>72.66</v>
      </c>
      <c r="BK254" s="52">
        <v>72.66</v>
      </c>
      <c r="BL254" s="52">
        <v>72.66</v>
      </c>
      <c r="BM254" s="52">
        <v>72.66</v>
      </c>
      <c r="BN254" s="52">
        <v>72.66</v>
      </c>
      <c r="BO254" s="52">
        <v>72.66</v>
      </c>
      <c r="BP254" s="52">
        <v>72.66</v>
      </c>
      <c r="BQ254" s="52">
        <v>72.66</v>
      </c>
      <c r="BR254" s="52">
        <v>72.66</v>
      </c>
      <c r="BS254" s="52">
        <v>72.66</v>
      </c>
      <c r="BT254" s="52">
        <v>90.94</v>
      </c>
      <c r="BU254" s="52">
        <v>81.81</v>
      </c>
      <c r="BV254" s="52">
        <v>81.81</v>
      </c>
      <c r="BW254" s="52">
        <v>81.81</v>
      </c>
      <c r="BX254" s="52">
        <v>63.35</v>
      </c>
      <c r="BY254" s="52">
        <v>63.36</v>
      </c>
      <c r="BZ254" s="52">
        <v>63.36</v>
      </c>
      <c r="CA254" s="52">
        <v>63.36</v>
      </c>
      <c r="CB254" s="52">
        <v>63.36</v>
      </c>
      <c r="CC254" s="52">
        <v>63.36</v>
      </c>
      <c r="CD254" s="52">
        <v>63.36</v>
      </c>
      <c r="CE254" s="52">
        <v>63.36</v>
      </c>
      <c r="CF254" s="52">
        <v>63.36</v>
      </c>
      <c r="CG254" s="52">
        <v>63.36</v>
      </c>
      <c r="CH254" s="52">
        <v>63.36</v>
      </c>
      <c r="CI254" s="52">
        <v>63.36</v>
      </c>
      <c r="CJ254" s="52">
        <v>63.36</v>
      </c>
      <c r="CK254" s="52">
        <v>63.36</v>
      </c>
      <c r="CL254" s="52">
        <v>63.36</v>
      </c>
      <c r="CM254" s="52">
        <v>63.36</v>
      </c>
      <c r="CN254" s="52">
        <v>63.36</v>
      </c>
      <c r="CO254" s="52">
        <v>63.36</v>
      </c>
      <c r="CP254" s="52">
        <v>63.36</v>
      </c>
      <c r="CQ254" s="52">
        <v>63.36</v>
      </c>
      <c r="CR254" s="52">
        <v>63.36</v>
      </c>
      <c r="CS254" s="52">
        <v>63.36</v>
      </c>
      <c r="CT254" s="52">
        <v>63.36</v>
      </c>
      <c r="CU254" s="52">
        <v>63.36</v>
      </c>
      <c r="CV254" s="430">
        <f t="shared" si="6"/>
        <v>760.32</v>
      </c>
    </row>
    <row r="255" spans="1:100">
      <c r="A255" s="540" t="str">
        <f t="shared" si="7"/>
        <v>6700519</v>
      </c>
      <c r="B255" s="541" t="s">
        <v>2070</v>
      </c>
      <c r="C255" s="463" t="s">
        <v>1156</v>
      </c>
      <c r="D255" s="428">
        <v>10644.05</v>
      </c>
      <c r="E255" s="428">
        <v>10644.05</v>
      </c>
      <c r="F255" s="428">
        <v>10644.05</v>
      </c>
      <c r="G255" s="428">
        <v>8742.0499999999993</v>
      </c>
      <c r="H255" s="428">
        <v>10644.05</v>
      </c>
      <c r="I255" s="428">
        <v>10644.05</v>
      </c>
      <c r="J255" s="428">
        <v>11078.65</v>
      </c>
      <c r="K255" s="428">
        <v>11078.65</v>
      </c>
      <c r="L255" s="428">
        <v>11078.65</v>
      </c>
      <c r="M255" s="428">
        <v>11078.65</v>
      </c>
      <c r="N255" s="428">
        <v>11078.65</v>
      </c>
      <c r="O255" s="429">
        <v>11078.65</v>
      </c>
      <c r="P255" s="52">
        <v>11078.65</v>
      </c>
      <c r="Q255" s="52">
        <v>11078.65</v>
      </c>
      <c r="R255" s="52">
        <v>11078.65</v>
      </c>
      <c r="S255" s="52">
        <v>11078.65</v>
      </c>
      <c r="T255" s="52">
        <v>11078.65</v>
      </c>
      <c r="U255" s="52">
        <v>11078.63</v>
      </c>
      <c r="V255" s="52">
        <v>13334.49</v>
      </c>
      <c r="W255" s="52">
        <v>13334.49</v>
      </c>
      <c r="X255" s="52">
        <v>13334.49</v>
      </c>
      <c r="Y255" s="52">
        <v>13334.49</v>
      </c>
      <c r="Z255" s="52">
        <v>13334.49</v>
      </c>
      <c r="AA255" s="52">
        <v>13334.49</v>
      </c>
      <c r="AB255" s="52">
        <v>15517.79</v>
      </c>
      <c r="AC255" s="52">
        <v>13334.49</v>
      </c>
      <c r="AD255" s="52">
        <v>13334.49</v>
      </c>
      <c r="AE255" s="52">
        <v>15189.59</v>
      </c>
      <c r="AF255" s="52">
        <v>4422.82</v>
      </c>
      <c r="AG255" s="52">
        <v>13334.46</v>
      </c>
      <c r="AH255" s="52">
        <v>8327.2900000000009</v>
      </c>
      <c r="AI255" s="52">
        <v>6472.19</v>
      </c>
      <c r="AJ255" s="52">
        <v>6472.19</v>
      </c>
      <c r="AK255" s="52">
        <v>13248.75</v>
      </c>
      <c r="AL255" s="52">
        <v>6472.19</v>
      </c>
      <c r="AM255" s="52">
        <v>6472.19</v>
      </c>
      <c r="AN255" s="52">
        <v>8327.2900000000009</v>
      </c>
      <c r="AO255" s="52">
        <v>6472.19</v>
      </c>
      <c r="AP255" s="52">
        <v>6472.19</v>
      </c>
      <c r="AQ255" s="52">
        <v>6472.19</v>
      </c>
      <c r="AR255" s="52">
        <v>6472.19</v>
      </c>
      <c r="AS255" s="52">
        <v>8749.59</v>
      </c>
      <c r="AT255" s="52">
        <v>7935.95</v>
      </c>
      <c r="AU255" s="52">
        <v>5658.55</v>
      </c>
      <c r="AV255" s="52">
        <v>5658.55</v>
      </c>
      <c r="AW255" s="52">
        <v>7935.95</v>
      </c>
      <c r="AX255" s="52">
        <v>5658.55</v>
      </c>
      <c r="AY255" s="52">
        <v>5916.83</v>
      </c>
      <c r="AZ255" s="52">
        <v>7965.12</v>
      </c>
      <c r="BA255" s="52">
        <v>5802.25</v>
      </c>
      <c r="BB255" s="52">
        <v>5802.25</v>
      </c>
      <c r="BC255" s="52">
        <v>7089.96</v>
      </c>
      <c r="BD255" s="52">
        <v>5802.25</v>
      </c>
      <c r="BE255" s="52">
        <v>5802.25</v>
      </c>
      <c r="BF255" s="52">
        <v>7089.96</v>
      </c>
      <c r="BG255" s="52">
        <v>5802.25</v>
      </c>
      <c r="BH255" s="52">
        <v>5802.25</v>
      </c>
      <c r="BI255" s="52">
        <v>7089.96</v>
      </c>
      <c r="BJ255" s="52">
        <v>7089.96</v>
      </c>
      <c r="BK255" s="52">
        <v>5524.86</v>
      </c>
      <c r="BL255" s="52">
        <v>5524.88</v>
      </c>
      <c r="BM255" s="52">
        <v>5524.88</v>
      </c>
      <c r="BN255" s="52">
        <v>5524.88</v>
      </c>
      <c r="BO255" s="52">
        <v>5524.88</v>
      </c>
      <c r="BP255" s="52">
        <v>5524.88</v>
      </c>
      <c r="BQ255" s="52">
        <v>5524.88</v>
      </c>
      <c r="BR255" s="52">
        <v>5524.88</v>
      </c>
      <c r="BS255" s="52">
        <v>5524.88</v>
      </c>
      <c r="BT255" s="52">
        <v>7137.68</v>
      </c>
      <c r="BU255" s="52">
        <v>5524.88</v>
      </c>
      <c r="BV255" s="52">
        <v>5524.88</v>
      </c>
      <c r="BW255" s="52">
        <v>5800</v>
      </c>
      <c r="BX255" s="52">
        <v>5800</v>
      </c>
      <c r="BY255" s="52">
        <v>7840.54</v>
      </c>
      <c r="BZ255" s="52">
        <v>7954.8</v>
      </c>
      <c r="CA255" s="52">
        <v>6480.18</v>
      </c>
      <c r="CB255" s="52">
        <v>6480.18</v>
      </c>
      <c r="CC255" s="52">
        <v>6480.18</v>
      </c>
      <c r="CD255" s="52">
        <v>6480.18</v>
      </c>
      <c r="CE255" s="52">
        <v>6480.18</v>
      </c>
      <c r="CF255" s="52">
        <v>6480.18</v>
      </c>
      <c r="CG255" s="52">
        <v>6480.18</v>
      </c>
      <c r="CH255" s="52">
        <v>6480.18</v>
      </c>
      <c r="CI255" s="52">
        <v>7324</v>
      </c>
      <c r="CJ255" s="52">
        <v>7300</v>
      </c>
      <c r="CK255" s="52">
        <v>9561.58</v>
      </c>
      <c r="CL255" s="52">
        <v>8053.88</v>
      </c>
      <c r="CM255" s="52">
        <v>12023.96</v>
      </c>
      <c r="CN255" s="52">
        <v>8053.88</v>
      </c>
      <c r="CO255" s="52">
        <v>8053.88</v>
      </c>
      <c r="CP255" s="52">
        <v>8053.88</v>
      </c>
      <c r="CQ255" s="52">
        <v>8053.88</v>
      </c>
      <c r="CR255" s="52">
        <v>8053.88</v>
      </c>
      <c r="CS255" s="52">
        <v>8053.88</v>
      </c>
      <c r="CT255" s="52">
        <v>8053.88</v>
      </c>
      <c r="CU255" s="52">
        <v>8991.6299999999992</v>
      </c>
      <c r="CV255" s="430">
        <f t="shared" si="6"/>
        <v>102308.21</v>
      </c>
    </row>
    <row r="256" spans="1:100">
      <c r="A256" s="540" t="str">
        <f t="shared" si="7"/>
        <v>6700520</v>
      </c>
      <c r="B256" s="541" t="s">
        <v>2072</v>
      </c>
      <c r="C256" s="463" t="s">
        <v>1157</v>
      </c>
      <c r="D256" s="426">
        <v>-8456.66</v>
      </c>
      <c r="E256" s="426">
        <v>0</v>
      </c>
      <c r="F256" s="426">
        <v>-0.03</v>
      </c>
      <c r="G256" s="426">
        <v>-12035</v>
      </c>
      <c r="H256" s="426">
        <v>-25336</v>
      </c>
      <c r="I256" s="426">
        <v>0</v>
      </c>
      <c r="J256" s="426">
        <v>0</v>
      </c>
      <c r="K256" s="426">
        <v>0</v>
      </c>
      <c r="L256" s="426">
        <v>0</v>
      </c>
      <c r="M256" s="426">
        <v>0</v>
      </c>
      <c r="N256" s="426">
        <v>0</v>
      </c>
      <c r="O256" s="427">
        <v>0</v>
      </c>
      <c r="P256" s="52">
        <v>0</v>
      </c>
      <c r="Q256" s="52">
        <v>0</v>
      </c>
      <c r="R256" s="52">
        <v>69</v>
      </c>
      <c r="S256" s="52">
        <v>-109</v>
      </c>
      <c r="T256" s="52">
        <v>0</v>
      </c>
      <c r="U256" s="52">
        <v>0</v>
      </c>
      <c r="V256" s="52">
        <v>0</v>
      </c>
      <c r="W256" s="52">
        <v>0</v>
      </c>
      <c r="X256" s="52">
        <v>0</v>
      </c>
      <c r="Y256" s="52">
        <v>0</v>
      </c>
      <c r="Z256" s="52">
        <v>0</v>
      </c>
      <c r="AA256" s="52">
        <v>0</v>
      </c>
      <c r="AB256" s="52">
        <v>0</v>
      </c>
      <c r="AC256" s="52">
        <v>0</v>
      </c>
      <c r="AD256" s="52">
        <v>114</v>
      </c>
      <c r="AE256" s="52">
        <v>0</v>
      </c>
      <c r="AF256" s="52">
        <v>0</v>
      </c>
      <c r="AG256" s="52">
        <v>0</v>
      </c>
      <c r="AH256" s="52">
        <v>-30750.53</v>
      </c>
      <c r="AI256" s="52">
        <v>0</v>
      </c>
      <c r="AJ256" s="52">
        <v>0</v>
      </c>
      <c r="AK256" s="52">
        <v>0</v>
      </c>
      <c r="AL256" s="52">
        <v>0</v>
      </c>
      <c r="AM256" s="52">
        <v>0</v>
      </c>
      <c r="AN256" s="52">
        <v>0</v>
      </c>
      <c r="AO256" s="52">
        <v>0</v>
      </c>
      <c r="AP256" s="52">
        <v>7526</v>
      </c>
      <c r="AQ256" s="52">
        <v>0</v>
      </c>
      <c r="AR256" s="52">
        <v>0</v>
      </c>
      <c r="AS256" s="52">
        <v>0</v>
      </c>
      <c r="AT256" s="52">
        <v>0</v>
      </c>
      <c r="AU256" s="52">
        <v>0</v>
      </c>
      <c r="AV256" s="52">
        <v>0</v>
      </c>
      <c r="AW256" s="52">
        <v>0</v>
      </c>
      <c r="AX256" s="52">
        <v>0</v>
      </c>
      <c r="AY256" s="52">
        <v>0</v>
      </c>
      <c r="AZ256" s="52">
        <v>0</v>
      </c>
      <c r="BA256" s="52">
        <v>0</v>
      </c>
      <c r="BB256" s="52">
        <v>0</v>
      </c>
      <c r="BC256" s="52">
        <v>0</v>
      </c>
      <c r="BD256" s="52">
        <v>0</v>
      </c>
      <c r="BE256" s="52">
        <v>0</v>
      </c>
      <c r="BF256" s="52">
        <v>0</v>
      </c>
      <c r="BG256" s="52">
        <v>0</v>
      </c>
      <c r="BH256" s="52">
        <v>0</v>
      </c>
      <c r="BI256" s="52">
        <v>0</v>
      </c>
      <c r="BJ256" s="52">
        <v>0</v>
      </c>
      <c r="BK256" s="52">
        <v>0</v>
      </c>
      <c r="BL256" s="52">
        <v>0</v>
      </c>
      <c r="BM256" s="52">
        <v>0</v>
      </c>
      <c r="BN256" s="52">
        <v>0</v>
      </c>
      <c r="BO256" s="52">
        <v>0</v>
      </c>
      <c r="BP256" s="52">
        <v>0</v>
      </c>
      <c r="BQ256" s="52">
        <v>0</v>
      </c>
      <c r="BR256" s="52">
        <v>0</v>
      </c>
      <c r="BS256" s="52">
        <v>0</v>
      </c>
      <c r="BT256" s="52">
        <v>0</v>
      </c>
      <c r="BU256" s="52">
        <v>0</v>
      </c>
      <c r="BV256" s="52">
        <v>0</v>
      </c>
      <c r="BW256" s="52">
        <v>0</v>
      </c>
      <c r="BX256" s="52">
        <v>0</v>
      </c>
      <c r="BY256" s="52">
        <v>0</v>
      </c>
      <c r="BZ256" s="52">
        <v>0</v>
      </c>
      <c r="CA256" s="52">
        <v>0</v>
      </c>
      <c r="CB256" s="52">
        <v>0</v>
      </c>
      <c r="CC256" s="52">
        <v>0</v>
      </c>
      <c r="CD256" s="52">
        <v>0</v>
      </c>
      <c r="CE256" s="52">
        <v>0</v>
      </c>
      <c r="CF256" s="52">
        <v>0</v>
      </c>
      <c r="CG256" s="52">
        <v>0</v>
      </c>
      <c r="CH256" s="52">
        <v>0</v>
      </c>
      <c r="CI256" s="52">
        <v>0</v>
      </c>
      <c r="CJ256" s="52">
        <v>0</v>
      </c>
      <c r="CK256" s="52">
        <v>0</v>
      </c>
      <c r="CL256" s="52">
        <v>0</v>
      </c>
      <c r="CM256" s="52">
        <v>0</v>
      </c>
      <c r="CN256" s="52">
        <v>0</v>
      </c>
      <c r="CO256" s="52">
        <v>0</v>
      </c>
      <c r="CP256" s="52">
        <v>0</v>
      </c>
      <c r="CQ256" s="52">
        <v>0</v>
      </c>
      <c r="CR256" s="52">
        <v>0</v>
      </c>
      <c r="CS256" s="52">
        <v>0</v>
      </c>
      <c r="CT256" s="52">
        <v>0</v>
      </c>
      <c r="CU256" s="52">
        <v>0</v>
      </c>
      <c r="CV256" s="430">
        <f t="shared" si="6"/>
        <v>0</v>
      </c>
    </row>
    <row r="257" spans="1:100">
      <c r="A257" s="540" t="str">
        <f t="shared" si="7"/>
        <v>6700599</v>
      </c>
      <c r="B257" s="541" t="s">
        <v>2074</v>
      </c>
      <c r="C257" s="463" t="s">
        <v>1158</v>
      </c>
      <c r="D257" s="426">
        <v>2670.57</v>
      </c>
      <c r="E257" s="426">
        <v>0</v>
      </c>
      <c r="F257" s="426">
        <v>506</v>
      </c>
      <c r="G257" s="426">
        <v>0</v>
      </c>
      <c r="H257" s="426">
        <v>0</v>
      </c>
      <c r="I257" s="426">
        <v>0</v>
      </c>
      <c r="J257" s="426">
        <v>3400.29</v>
      </c>
      <c r="K257" s="426">
        <v>8770.2099999999991</v>
      </c>
      <c r="L257" s="426">
        <v>315.04000000000002</v>
      </c>
      <c r="M257" s="426">
        <v>2896.21</v>
      </c>
      <c r="N257" s="426">
        <v>315.04000000000002</v>
      </c>
      <c r="O257" s="427">
        <v>315.04000000000002</v>
      </c>
      <c r="P257" s="52">
        <v>2770.49</v>
      </c>
      <c r="Q257" s="52">
        <v>315.04000000000002</v>
      </c>
      <c r="R257" s="52">
        <v>315.04000000000002</v>
      </c>
      <c r="S257" s="52">
        <v>2498.34</v>
      </c>
      <c r="T257" s="52">
        <v>315.04000000000002</v>
      </c>
      <c r="U257" s="52">
        <v>-504.67</v>
      </c>
      <c r="V257" s="52">
        <v>2183.3000000000002</v>
      </c>
      <c r="W257" s="52">
        <v>6000</v>
      </c>
      <c r="X257" s="52">
        <v>0</v>
      </c>
      <c r="Y257" s="52">
        <v>2183.3000000000002</v>
      </c>
      <c r="Z257" s="52">
        <v>0</v>
      </c>
      <c r="AA257" s="52">
        <v>0</v>
      </c>
      <c r="AB257" s="52">
        <v>0</v>
      </c>
      <c r="AC257" s="52">
        <v>0</v>
      </c>
      <c r="AD257" s="52">
        <v>0</v>
      </c>
      <c r="AE257" s="52">
        <v>0</v>
      </c>
      <c r="AF257" s="52">
        <v>118.5</v>
      </c>
      <c r="AG257" s="52">
        <v>118.5</v>
      </c>
      <c r="AH257" s="52">
        <v>118.5</v>
      </c>
      <c r="AI257" s="52">
        <v>358.5</v>
      </c>
      <c r="AJ257" s="52">
        <v>358.5</v>
      </c>
      <c r="AK257" s="52">
        <v>358.5</v>
      </c>
      <c r="AL257" s="52">
        <v>358.5</v>
      </c>
      <c r="AM257" s="52">
        <v>358.5</v>
      </c>
      <c r="AN257" s="52">
        <v>358.5</v>
      </c>
      <c r="AO257" s="52">
        <v>358.5</v>
      </c>
      <c r="AP257" s="52">
        <v>358.5</v>
      </c>
      <c r="AQ257" s="52">
        <v>358.5</v>
      </c>
      <c r="AR257" s="52">
        <v>406.75</v>
      </c>
      <c r="AS257" s="52">
        <v>406.75</v>
      </c>
      <c r="AT257" s="52">
        <v>1924.68</v>
      </c>
      <c r="AU257" s="52">
        <v>1165.74</v>
      </c>
      <c r="AV257" s="52">
        <v>1165.74</v>
      </c>
      <c r="AW257" s="52">
        <v>1165.74</v>
      </c>
      <c r="AX257" s="52">
        <v>1165.74</v>
      </c>
      <c r="AY257" s="52">
        <v>1384.42</v>
      </c>
      <c r="AZ257" s="52">
        <v>1193.07</v>
      </c>
      <c r="BA257" s="52">
        <v>1193.07</v>
      </c>
      <c r="BB257" s="52">
        <v>1193.07</v>
      </c>
      <c r="BC257" s="52">
        <v>1193.07</v>
      </c>
      <c r="BD257" s="52">
        <v>1224.5</v>
      </c>
      <c r="BE257" s="52">
        <v>465.51</v>
      </c>
      <c r="BF257" s="52">
        <v>465.51</v>
      </c>
      <c r="BG257" s="52">
        <v>2800.59</v>
      </c>
      <c r="BH257" s="52">
        <v>3441.54</v>
      </c>
      <c r="BI257" s="52">
        <v>2346.04</v>
      </c>
      <c r="BJ257" s="52">
        <v>2346.04</v>
      </c>
      <c r="BK257" s="52">
        <v>2346.04</v>
      </c>
      <c r="BL257" s="52">
        <v>3718.68</v>
      </c>
      <c r="BM257" s="52">
        <v>6556.49</v>
      </c>
      <c r="BN257" s="52">
        <v>2689.21</v>
      </c>
      <c r="BO257" s="52">
        <v>2689.21</v>
      </c>
      <c r="BP257" s="52">
        <v>2463.6999999999998</v>
      </c>
      <c r="BQ257" s="52">
        <v>1272.3699999999999</v>
      </c>
      <c r="BR257" s="52">
        <v>5084.8</v>
      </c>
      <c r="BS257" s="52">
        <v>3008.76</v>
      </c>
      <c r="BT257" s="52">
        <v>3008.76</v>
      </c>
      <c r="BU257" s="52">
        <v>2765.59</v>
      </c>
      <c r="BV257" s="52">
        <v>3351.89</v>
      </c>
      <c r="BW257" s="52">
        <v>3008.76</v>
      </c>
      <c r="BX257" s="52">
        <v>3008.76</v>
      </c>
      <c r="BY257" s="52">
        <v>3008.76</v>
      </c>
      <c r="BZ257" s="52">
        <v>6204.4</v>
      </c>
      <c r="CA257" s="52">
        <v>3008.76</v>
      </c>
      <c r="CB257" s="52">
        <v>2669.18</v>
      </c>
      <c r="CC257" s="52">
        <v>2807.17</v>
      </c>
      <c r="CD257" s="52">
        <v>4302.67</v>
      </c>
      <c r="CE257" s="52">
        <v>841.67</v>
      </c>
      <c r="CF257" s="52">
        <v>13813.48</v>
      </c>
      <c r="CG257" s="52">
        <v>62157.99</v>
      </c>
      <c r="CH257" s="52">
        <v>4337.29</v>
      </c>
      <c r="CI257" s="52">
        <v>4043.16</v>
      </c>
      <c r="CJ257" s="52">
        <v>4316.3</v>
      </c>
      <c r="CK257" s="52">
        <v>4179.7299999999996</v>
      </c>
      <c r="CL257" s="52">
        <v>4179.7299999999996</v>
      </c>
      <c r="CM257" s="52">
        <v>4179.7299999999996</v>
      </c>
      <c r="CN257" s="52">
        <v>4498.7299999999996</v>
      </c>
      <c r="CO257" s="52">
        <v>4498.7299999999996</v>
      </c>
      <c r="CP257" s="52">
        <v>4139.33</v>
      </c>
      <c r="CQ257" s="52">
        <v>5882.3</v>
      </c>
      <c r="CR257" s="52">
        <v>5882.3</v>
      </c>
      <c r="CS257" s="52">
        <v>5588.13</v>
      </c>
      <c r="CT257" s="52">
        <v>6176.33</v>
      </c>
      <c r="CU257" s="52">
        <v>5882.16</v>
      </c>
      <c r="CV257" s="430">
        <f t="shared" si="6"/>
        <v>59403.5</v>
      </c>
    </row>
    <row r="258" spans="1:100">
      <c r="A258" s="540" t="str">
        <f t="shared" si="7"/>
        <v>6709000</v>
      </c>
      <c r="B258" s="541" t="s">
        <v>2073</v>
      </c>
      <c r="C258" s="463" t="s">
        <v>1445</v>
      </c>
      <c r="D258" s="426"/>
      <c r="E258" s="426"/>
      <c r="F258" s="426"/>
      <c r="G258" s="426"/>
      <c r="H258" s="426"/>
      <c r="I258" s="426"/>
      <c r="J258" s="426"/>
      <c r="K258" s="426"/>
      <c r="L258" s="426"/>
      <c r="M258" s="426"/>
      <c r="N258" s="426"/>
      <c r="O258" s="427"/>
      <c r="P258" s="52"/>
      <c r="Q258" s="52"/>
      <c r="R258" s="52"/>
      <c r="S258" s="52"/>
      <c r="T258" s="52"/>
      <c r="U258" s="52"/>
      <c r="V258" s="52"/>
      <c r="W258" s="52"/>
      <c r="X258" s="52"/>
      <c r="Y258" s="52"/>
      <c r="Z258" s="52"/>
      <c r="AA258" s="52"/>
      <c r="AB258" s="52"/>
      <c r="AC258" s="52"/>
      <c r="AD258" s="52"/>
      <c r="AE258" s="52">
        <v>0</v>
      </c>
      <c r="AF258" s="52">
        <v>-2275</v>
      </c>
      <c r="AG258" s="52">
        <v>-1875</v>
      </c>
      <c r="AH258" s="52">
        <v>-100</v>
      </c>
      <c r="AI258" s="52">
        <v>0</v>
      </c>
      <c r="AJ258" s="52">
        <v>-10450</v>
      </c>
      <c r="AK258" s="52">
        <v>0</v>
      </c>
      <c r="AL258" s="52">
        <v>0</v>
      </c>
      <c r="AM258" s="52">
        <v>-1151</v>
      </c>
      <c r="AN258" s="52">
        <v>0</v>
      </c>
      <c r="AO258" s="52">
        <v>0</v>
      </c>
      <c r="AP258" s="52">
        <v>-400</v>
      </c>
      <c r="AQ258" s="52">
        <v>0</v>
      </c>
      <c r="AR258" s="52">
        <v>0</v>
      </c>
      <c r="AS258" s="52">
        <v>0</v>
      </c>
      <c r="AT258" s="52">
        <v>1202</v>
      </c>
      <c r="AU258" s="52">
        <v>-100</v>
      </c>
      <c r="AV258" s="52">
        <v>0</v>
      </c>
      <c r="AW258" s="52">
        <v>0</v>
      </c>
      <c r="AX258" s="52">
        <v>1875</v>
      </c>
      <c r="AY258" s="52">
        <v>0</v>
      </c>
      <c r="AZ258" s="52">
        <v>0</v>
      </c>
      <c r="BA258" s="52">
        <v>-100</v>
      </c>
      <c r="BB258" s="52">
        <v>0</v>
      </c>
      <c r="BC258" s="52">
        <v>0</v>
      </c>
      <c r="BD258" s="52">
        <v>-899</v>
      </c>
      <c r="BE258" s="52">
        <v>0</v>
      </c>
      <c r="BF258" s="52">
        <v>0</v>
      </c>
      <c r="BG258" s="52">
        <v>-850</v>
      </c>
      <c r="BH258" s="52">
        <v>0</v>
      </c>
      <c r="BI258" s="52">
        <v>-100</v>
      </c>
      <c r="BJ258" s="52">
        <v>-100</v>
      </c>
      <c r="BK258" s="52">
        <v>0</v>
      </c>
      <c r="BL258" s="52">
        <v>0</v>
      </c>
      <c r="BM258" s="52">
        <v>0</v>
      </c>
      <c r="BN258" s="52">
        <v>0</v>
      </c>
      <c r="BO258" s="52">
        <v>0</v>
      </c>
      <c r="BP258" s="52">
        <v>0</v>
      </c>
      <c r="BQ258" s="52">
        <v>0</v>
      </c>
      <c r="BR258" s="52">
        <v>0</v>
      </c>
      <c r="BS258" s="52">
        <v>0</v>
      </c>
      <c r="BT258" s="52">
        <v>0</v>
      </c>
      <c r="BU258" s="52">
        <v>-100</v>
      </c>
      <c r="BV258" s="52">
        <v>0</v>
      </c>
      <c r="BW258" s="52">
        <v>-53754</v>
      </c>
      <c r="BX258" s="52">
        <v>-200</v>
      </c>
      <c r="BY258" s="52">
        <v>-1280</v>
      </c>
      <c r="BZ258" s="52">
        <v>-1750</v>
      </c>
      <c r="CA258" s="52">
        <v>0</v>
      </c>
      <c r="CB258" s="52">
        <v>0</v>
      </c>
      <c r="CC258" s="52">
        <v>0</v>
      </c>
      <c r="CD258" s="52">
        <v>0</v>
      </c>
      <c r="CE258" s="52">
        <v>0</v>
      </c>
      <c r="CF258" s="52">
        <v>-6471</v>
      </c>
      <c r="CG258" s="52">
        <v>-3820</v>
      </c>
      <c r="CH258" s="52">
        <v>-2300</v>
      </c>
      <c r="CI258" s="52">
        <v>-48884</v>
      </c>
      <c r="CJ258" s="52">
        <v>-100</v>
      </c>
      <c r="CK258" s="52">
        <v>0</v>
      </c>
      <c r="CL258" s="52">
        <v>0</v>
      </c>
      <c r="CM258" s="52">
        <v>-799</v>
      </c>
      <c r="CN258" s="52">
        <v>-770</v>
      </c>
      <c r="CO258" s="52">
        <v>-2950</v>
      </c>
      <c r="CP258" s="52">
        <v>0</v>
      </c>
      <c r="CQ258" s="52">
        <v>0</v>
      </c>
      <c r="CR258" s="52">
        <v>0</v>
      </c>
      <c r="CS258" s="52">
        <v>-2000</v>
      </c>
      <c r="CT258" s="52">
        <v>-100</v>
      </c>
      <c r="CU258" s="52">
        <v>0</v>
      </c>
      <c r="CV258" s="430">
        <f t="shared" si="6"/>
        <v>-6719</v>
      </c>
    </row>
    <row r="259" spans="1:100">
      <c r="A259" s="540" t="str">
        <f>+B259</f>
        <v>6710030</v>
      </c>
      <c r="B259" s="541" t="s">
        <v>2493</v>
      </c>
      <c r="C259" s="463" t="s">
        <v>2494</v>
      </c>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v>28</v>
      </c>
      <c r="CC259" s="52">
        <v>0</v>
      </c>
      <c r="CD259" s="52">
        <v>0</v>
      </c>
      <c r="CE259" s="52">
        <v>0</v>
      </c>
      <c r="CF259" s="52">
        <v>0</v>
      </c>
      <c r="CG259" s="52">
        <v>0</v>
      </c>
      <c r="CH259" s="52">
        <v>0</v>
      </c>
      <c r="CI259" s="52">
        <v>0</v>
      </c>
      <c r="CJ259" s="52">
        <v>0</v>
      </c>
      <c r="CK259" s="52">
        <v>0</v>
      </c>
      <c r="CL259" s="52">
        <v>0</v>
      </c>
      <c r="CM259" s="52">
        <v>0</v>
      </c>
      <c r="CN259" s="52">
        <v>0</v>
      </c>
      <c r="CO259" s="52">
        <v>0</v>
      </c>
      <c r="CP259" s="52">
        <v>0</v>
      </c>
      <c r="CQ259" s="52">
        <v>0</v>
      </c>
      <c r="CR259" s="52">
        <v>0</v>
      </c>
      <c r="CS259" s="52">
        <v>0</v>
      </c>
      <c r="CT259" s="52">
        <v>0</v>
      </c>
      <c r="CU259" s="52">
        <v>0</v>
      </c>
      <c r="CV259" s="430">
        <f t="shared" si="6"/>
        <v>0</v>
      </c>
    </row>
    <row r="260" spans="1:100">
      <c r="A260" s="540" t="str">
        <f t="shared" si="7"/>
        <v>6710050</v>
      </c>
      <c r="B260" s="541" t="s">
        <v>2075</v>
      </c>
      <c r="C260" s="463" t="s">
        <v>1159</v>
      </c>
      <c r="D260" s="426">
        <v>7580</v>
      </c>
      <c r="E260" s="426">
        <v>3203.74</v>
      </c>
      <c r="F260" s="426">
        <v>1270.1600000000001</v>
      </c>
      <c r="G260" s="426">
        <v>524.29999999999995</v>
      </c>
      <c r="H260" s="426">
        <v>140</v>
      </c>
      <c r="I260" s="426">
        <v>17096.61</v>
      </c>
      <c r="J260" s="426">
        <v>2518.2199999999998</v>
      </c>
      <c r="K260" s="426">
        <v>15396.64</v>
      </c>
      <c r="L260" s="426">
        <v>1508.81</v>
      </c>
      <c r="M260" s="426">
        <v>2110.6999999999998</v>
      </c>
      <c r="N260" s="426">
        <v>115790.79</v>
      </c>
      <c r="O260" s="427">
        <v>-576.91</v>
      </c>
      <c r="P260" s="52">
        <v>13704</v>
      </c>
      <c r="Q260" s="52">
        <v>8178.82</v>
      </c>
      <c r="R260" s="52">
        <v>23849.85</v>
      </c>
      <c r="S260" s="52">
        <v>190.65</v>
      </c>
      <c r="T260" s="52">
        <v>16773.86</v>
      </c>
      <c r="U260" s="52">
        <v>6218.45</v>
      </c>
      <c r="V260" s="52">
        <v>417.6</v>
      </c>
      <c r="W260" s="52">
        <v>880.75</v>
      </c>
      <c r="X260" s="52">
        <v>7535.49</v>
      </c>
      <c r="Y260" s="52">
        <v>11865.38</v>
      </c>
      <c r="Z260" s="52">
        <v>114504.17</v>
      </c>
      <c r="AA260" s="52">
        <v>1135212.3700000001</v>
      </c>
      <c r="AB260" s="52">
        <v>67179.62</v>
      </c>
      <c r="AC260" s="52">
        <v>14128.68</v>
      </c>
      <c r="AD260" s="52">
        <v>10521.23</v>
      </c>
      <c r="AE260" s="52">
        <v>2058.41</v>
      </c>
      <c r="AF260" s="52">
        <v>1122</v>
      </c>
      <c r="AG260" s="52">
        <v>6297.08</v>
      </c>
      <c r="AH260" s="52">
        <v>96176.8</v>
      </c>
      <c r="AI260" s="52">
        <v>5070.54</v>
      </c>
      <c r="AJ260" s="52">
        <v>1704.11</v>
      </c>
      <c r="AK260" s="52">
        <v>112971.5</v>
      </c>
      <c r="AL260" s="52">
        <v>1775.35</v>
      </c>
      <c r="AM260" s="52">
        <v>49750.93</v>
      </c>
      <c r="AN260" s="52">
        <v>10658.77</v>
      </c>
      <c r="AO260" s="52">
        <v>15698.14</v>
      </c>
      <c r="AP260" s="52">
        <v>5533.62</v>
      </c>
      <c r="AQ260" s="52">
        <v>4292.8100000000004</v>
      </c>
      <c r="AR260" s="52">
        <v>6631.85</v>
      </c>
      <c r="AS260" s="52">
        <v>1657</v>
      </c>
      <c r="AT260" s="52">
        <v>7439.38</v>
      </c>
      <c r="AU260" s="52">
        <v>17055.8</v>
      </c>
      <c r="AV260" s="52">
        <v>2583.09</v>
      </c>
      <c r="AW260" s="52">
        <v>-2415.1</v>
      </c>
      <c r="AX260" s="52">
        <v>129590.59</v>
      </c>
      <c r="AY260" s="52">
        <v>32820.36</v>
      </c>
      <c r="AZ260" s="52">
        <v>7870.25</v>
      </c>
      <c r="BA260" s="52">
        <v>19243.009999999998</v>
      </c>
      <c r="BB260" s="52">
        <v>1795.12</v>
      </c>
      <c r="BC260" s="52">
        <v>4020.95</v>
      </c>
      <c r="BD260" s="52">
        <v>1231.8499999999999</v>
      </c>
      <c r="BE260" s="52">
        <v>2290.9499999999998</v>
      </c>
      <c r="BF260" s="52">
        <v>55924.39</v>
      </c>
      <c r="BG260" s="52">
        <v>14378.89</v>
      </c>
      <c r="BH260" s="52">
        <v>13545.21</v>
      </c>
      <c r="BI260" s="52">
        <v>3404.04</v>
      </c>
      <c r="BJ260" s="52">
        <v>118306.73</v>
      </c>
      <c r="BK260" s="52">
        <v>43350.05</v>
      </c>
      <c r="BL260" s="52">
        <v>13747.43</v>
      </c>
      <c r="BM260" s="52">
        <v>9129.11</v>
      </c>
      <c r="BN260" s="52">
        <v>9494.82</v>
      </c>
      <c r="BO260" s="52">
        <v>2919.86</v>
      </c>
      <c r="BP260" s="52">
        <v>1040.44</v>
      </c>
      <c r="BQ260" s="52">
        <v>-388.63</v>
      </c>
      <c r="BR260" s="52">
        <v>5085.68</v>
      </c>
      <c r="BS260" s="52">
        <v>3373.28</v>
      </c>
      <c r="BT260" s="52">
        <v>-284.25</v>
      </c>
      <c r="BU260" s="52">
        <v>6932.65</v>
      </c>
      <c r="BV260" s="52">
        <v>136641.88</v>
      </c>
      <c r="BW260" s="52">
        <v>51623.26</v>
      </c>
      <c r="BX260" s="52">
        <v>7159.89</v>
      </c>
      <c r="BY260" s="52">
        <v>6337.99</v>
      </c>
      <c r="BZ260" s="52">
        <v>21381.41</v>
      </c>
      <c r="CA260" s="52">
        <v>2626.93</v>
      </c>
      <c r="CB260" s="52">
        <v>6376.55</v>
      </c>
      <c r="CC260" s="52">
        <v>7477.61</v>
      </c>
      <c r="CD260" s="52">
        <v>7493.89</v>
      </c>
      <c r="CE260" s="52">
        <v>2497.8200000000002</v>
      </c>
      <c r="CF260" s="52">
        <v>2563.13</v>
      </c>
      <c r="CG260" s="52">
        <v>18377.38</v>
      </c>
      <c r="CH260" s="52">
        <v>19356.02</v>
      </c>
      <c r="CI260" s="52">
        <v>155763.98000000001</v>
      </c>
      <c r="CJ260" s="52">
        <v>566.51</v>
      </c>
      <c r="CK260" s="52">
        <v>10848.11</v>
      </c>
      <c r="CL260" s="52">
        <v>13076.58</v>
      </c>
      <c r="CM260" s="52">
        <v>4407.54</v>
      </c>
      <c r="CN260" s="52">
        <v>5486.93</v>
      </c>
      <c r="CO260" s="52">
        <v>10558.41</v>
      </c>
      <c r="CP260" s="52">
        <v>5436.02</v>
      </c>
      <c r="CQ260" s="52">
        <v>1639.69</v>
      </c>
      <c r="CR260" s="52">
        <v>1509</v>
      </c>
      <c r="CS260" s="52">
        <v>1355.7</v>
      </c>
      <c r="CT260" s="52">
        <v>143490.14000000001</v>
      </c>
      <c r="CU260" s="52">
        <v>36021.599999999999</v>
      </c>
      <c r="CV260" s="430">
        <f t="shared" si="6"/>
        <v>234396.23</v>
      </c>
    </row>
    <row r="261" spans="1:100">
      <c r="A261" s="540" t="str">
        <f t="shared" si="7"/>
        <v>6710060</v>
      </c>
      <c r="B261" s="541" t="s">
        <v>2077</v>
      </c>
      <c r="C261" s="463" t="s">
        <v>1439</v>
      </c>
      <c r="D261" s="426"/>
      <c r="E261" s="426"/>
      <c r="F261" s="426"/>
      <c r="G261" s="426"/>
      <c r="H261" s="426"/>
      <c r="I261" s="426"/>
      <c r="J261" s="426"/>
      <c r="K261" s="426"/>
      <c r="L261" s="426"/>
      <c r="M261" s="426"/>
      <c r="N261" s="426"/>
      <c r="O261" s="427"/>
      <c r="P261" s="52"/>
      <c r="Q261" s="52"/>
      <c r="R261" s="52"/>
      <c r="S261" s="52"/>
      <c r="T261" s="52"/>
      <c r="U261" s="52"/>
      <c r="V261" s="52"/>
      <c r="W261" s="52"/>
      <c r="X261" s="52"/>
      <c r="Y261" s="52"/>
      <c r="Z261" s="52"/>
      <c r="AA261" s="52"/>
      <c r="AB261" s="52"/>
      <c r="AC261" s="52"/>
      <c r="AD261" s="52"/>
      <c r="AE261" s="52">
        <v>0</v>
      </c>
      <c r="AF261" s="52">
        <v>151.84</v>
      </c>
      <c r="AG261" s="52">
        <v>0</v>
      </c>
      <c r="AH261" s="52">
        <v>0</v>
      </c>
      <c r="AI261" s="52">
        <v>0</v>
      </c>
      <c r="AJ261" s="52">
        <v>0</v>
      </c>
      <c r="AK261" s="52">
        <v>152.44</v>
      </c>
      <c r="AL261" s="52">
        <v>0</v>
      </c>
      <c r="AM261" s="52">
        <v>0</v>
      </c>
      <c r="AN261" s="52">
        <v>0</v>
      </c>
      <c r="AO261" s="52">
        <v>0</v>
      </c>
      <c r="AP261" s="52">
        <v>0</v>
      </c>
      <c r="AQ261" s="52">
        <v>0</v>
      </c>
      <c r="AR261" s="52">
        <v>0</v>
      </c>
      <c r="AS261" s="52">
        <v>10.88</v>
      </c>
      <c r="AT261" s="52">
        <v>159.63</v>
      </c>
      <c r="AU261" s="52">
        <v>0</v>
      </c>
      <c r="AV261" s="52">
        <v>0</v>
      </c>
      <c r="AW261" s="52">
        <v>0</v>
      </c>
      <c r="AX261" s="52">
        <v>84.19</v>
      </c>
      <c r="AY261" s="52">
        <v>161.05000000000001</v>
      </c>
      <c r="AZ261" s="52">
        <v>0</v>
      </c>
      <c r="BA261" s="52">
        <v>0</v>
      </c>
      <c r="BB261" s="52">
        <v>0</v>
      </c>
      <c r="BC261" s="52">
        <v>202.57</v>
      </c>
      <c r="BD261" s="52">
        <v>0</v>
      </c>
      <c r="BE261" s="52">
        <v>394</v>
      </c>
      <c r="BF261" s="52">
        <v>0</v>
      </c>
      <c r="BG261" s="52">
        <v>322.27</v>
      </c>
      <c r="BH261" s="52">
        <v>0</v>
      </c>
      <c r="BI261" s="52">
        <v>0</v>
      </c>
      <c r="BJ261" s="52">
        <v>0</v>
      </c>
      <c r="BK261" s="52">
        <v>0</v>
      </c>
      <c r="BL261" s="52">
        <v>0</v>
      </c>
      <c r="BM261" s="52">
        <v>0</v>
      </c>
      <c r="BN261" s="52">
        <v>0</v>
      </c>
      <c r="BO261" s="52">
        <v>0</v>
      </c>
      <c r="BP261" s="52">
        <v>0</v>
      </c>
      <c r="BQ261" s="52">
        <v>0</v>
      </c>
      <c r="BR261" s="52">
        <v>0</v>
      </c>
      <c r="BS261" s="52">
        <v>475.26</v>
      </c>
      <c r="BT261" s="52">
        <v>27.49</v>
      </c>
      <c r="BU261" s="52">
        <v>629.82000000000005</v>
      </c>
      <c r="BV261" s="52">
        <v>536.71</v>
      </c>
      <c r="BW261" s="52">
        <v>460.42</v>
      </c>
      <c r="BX261" s="52">
        <v>0</v>
      </c>
      <c r="BY261" s="52">
        <v>573.94000000000005</v>
      </c>
      <c r="BZ261" s="52">
        <v>432.4</v>
      </c>
      <c r="CA261" s="52">
        <v>114.05</v>
      </c>
      <c r="CB261" s="52">
        <v>0</v>
      </c>
      <c r="CC261" s="52">
        <v>2622.21</v>
      </c>
      <c r="CD261" s="52">
        <v>3262.12</v>
      </c>
      <c r="CE261" s="52">
        <v>1357.45</v>
      </c>
      <c r="CF261" s="52">
        <v>0</v>
      </c>
      <c r="CG261" s="52">
        <v>0</v>
      </c>
      <c r="CH261" s="52">
        <v>101</v>
      </c>
      <c r="CI261" s="52">
        <v>0</v>
      </c>
      <c r="CJ261" s="52">
        <v>156.19999999999999</v>
      </c>
      <c r="CK261" s="52">
        <v>0</v>
      </c>
      <c r="CL261" s="52">
        <v>0</v>
      </c>
      <c r="CM261" s="52">
        <v>0</v>
      </c>
      <c r="CN261" s="52">
        <v>0</v>
      </c>
      <c r="CO261" s="52">
        <v>0</v>
      </c>
      <c r="CP261" s="52">
        <v>0</v>
      </c>
      <c r="CQ261" s="52">
        <v>0</v>
      </c>
      <c r="CR261" s="52">
        <v>70.02</v>
      </c>
      <c r="CS261" s="52">
        <v>0</v>
      </c>
      <c r="CT261" s="52">
        <v>0</v>
      </c>
      <c r="CU261" s="52">
        <v>0</v>
      </c>
      <c r="CV261" s="430">
        <f t="shared" si="6"/>
        <v>226.21999999999997</v>
      </c>
    </row>
    <row r="262" spans="1:100">
      <c r="A262" s="540" t="str">
        <f t="shared" si="7"/>
        <v>6710700</v>
      </c>
      <c r="B262" s="541" t="s">
        <v>2076</v>
      </c>
      <c r="C262" s="463" t="s">
        <v>1160</v>
      </c>
      <c r="D262" s="426">
        <v>39564</v>
      </c>
      <c r="E262" s="426">
        <v>39564</v>
      </c>
      <c r="F262" s="426">
        <v>39564</v>
      </c>
      <c r="G262" s="426">
        <v>39564</v>
      </c>
      <c r="H262" s="426">
        <v>39564</v>
      </c>
      <c r="I262" s="426">
        <v>38709</v>
      </c>
      <c r="J262" s="426">
        <v>38709</v>
      </c>
      <c r="K262" s="426">
        <v>38577</v>
      </c>
      <c r="L262" s="426">
        <v>38577</v>
      </c>
      <c r="M262" s="426">
        <v>38577</v>
      </c>
      <c r="N262" s="426">
        <v>38577</v>
      </c>
      <c r="O262" s="427">
        <v>38577</v>
      </c>
      <c r="P262" s="52">
        <v>31608</v>
      </c>
      <c r="Q262" s="52">
        <v>31608</v>
      </c>
      <c r="R262" s="52">
        <v>31608</v>
      </c>
      <c r="S262" s="52">
        <v>31608</v>
      </c>
      <c r="T262" s="52">
        <v>31608</v>
      </c>
      <c r="U262" s="52">
        <v>31608</v>
      </c>
      <c r="V262" s="52">
        <v>31608</v>
      </c>
      <c r="W262" s="52">
        <v>31608</v>
      </c>
      <c r="X262" s="52">
        <v>32587</v>
      </c>
      <c r="Y262" s="52">
        <v>32587</v>
      </c>
      <c r="Z262" s="52">
        <v>32587</v>
      </c>
      <c r="AA262" s="52">
        <v>32587</v>
      </c>
      <c r="AB262" s="52">
        <v>31083</v>
      </c>
      <c r="AC262" s="52">
        <v>31315</v>
      </c>
      <c r="AD262" s="52">
        <v>31315</v>
      </c>
      <c r="AE262" s="52">
        <v>31106.400000000001</v>
      </c>
      <c r="AF262" s="52">
        <v>31106.400000000001</v>
      </c>
      <c r="AG262" s="52">
        <v>31106.400000000001</v>
      </c>
      <c r="AH262" s="52">
        <v>31106.400000000001</v>
      </c>
      <c r="AI262" s="52">
        <v>31106.400000000001</v>
      </c>
      <c r="AJ262" s="52">
        <v>31106.400000000001</v>
      </c>
      <c r="AK262" s="52">
        <v>31106.400000000001</v>
      </c>
      <c r="AL262" s="52">
        <v>31315.38</v>
      </c>
      <c r="AM262" s="52">
        <v>31315.38</v>
      </c>
      <c r="AN262" s="52">
        <v>37688.89</v>
      </c>
      <c r="AO262" s="52">
        <v>37688.89</v>
      </c>
      <c r="AP262" s="52">
        <v>37688.89</v>
      </c>
      <c r="AQ262" s="52">
        <v>37688.89</v>
      </c>
      <c r="AR262" s="52">
        <v>37688.89</v>
      </c>
      <c r="AS262" s="52">
        <v>37688.89</v>
      </c>
      <c r="AT262" s="52">
        <v>37688.89</v>
      </c>
      <c r="AU262" s="52">
        <v>37688.89</v>
      </c>
      <c r="AV262" s="52">
        <v>37688.89</v>
      </c>
      <c r="AW262" s="52">
        <v>37688.89</v>
      </c>
      <c r="AX262" s="52">
        <v>37688.89</v>
      </c>
      <c r="AY262" s="52">
        <v>37688.89</v>
      </c>
      <c r="AZ262" s="52">
        <v>36540.01</v>
      </c>
      <c r="BA262" s="52">
        <v>36540.01</v>
      </c>
      <c r="BB262" s="52">
        <v>36540.01</v>
      </c>
      <c r="BC262" s="52">
        <v>36540.01</v>
      </c>
      <c r="BD262" s="52">
        <v>36540.01</v>
      </c>
      <c r="BE262" s="52">
        <v>36540.01</v>
      </c>
      <c r="BF262" s="52">
        <v>36540.01</v>
      </c>
      <c r="BG262" s="52">
        <v>36540.01</v>
      </c>
      <c r="BH262" s="52">
        <v>36540.01</v>
      </c>
      <c r="BI262" s="52">
        <v>36540.01</v>
      </c>
      <c r="BJ262" s="52">
        <v>36540.01</v>
      </c>
      <c r="BK262" s="52">
        <v>36540.01</v>
      </c>
      <c r="BL262" s="52">
        <v>36897.919999999998</v>
      </c>
      <c r="BM262" s="52">
        <v>36897.919999999998</v>
      </c>
      <c r="BN262" s="52">
        <v>36897.919999999998</v>
      </c>
      <c r="BO262" s="52">
        <v>36897.919999999998</v>
      </c>
      <c r="BP262" s="52">
        <v>36897.919999999998</v>
      </c>
      <c r="BQ262" s="52">
        <v>36897.919999999998</v>
      </c>
      <c r="BR262" s="52">
        <v>36897.919999999998</v>
      </c>
      <c r="BS262" s="52">
        <v>36897.919999999998</v>
      </c>
      <c r="BT262" s="52">
        <v>36897.919999999998</v>
      </c>
      <c r="BU262" s="52">
        <v>36897.919999999998</v>
      </c>
      <c r="BV262" s="52">
        <v>36897.919999999998</v>
      </c>
      <c r="BW262" s="52">
        <v>36897.919999999998</v>
      </c>
      <c r="BX262" s="52">
        <v>44750.7</v>
      </c>
      <c r="BY262" s="52">
        <v>44750.7</v>
      </c>
      <c r="BZ262" s="52">
        <v>44750.7</v>
      </c>
      <c r="CA262" s="52">
        <v>44750.7</v>
      </c>
      <c r="CB262" s="52">
        <v>44750.7</v>
      </c>
      <c r="CC262" s="52">
        <v>44750.7</v>
      </c>
      <c r="CD262" s="52">
        <v>44750.7</v>
      </c>
      <c r="CE262" s="52">
        <v>44750.7</v>
      </c>
      <c r="CF262" s="52">
        <v>44750.7</v>
      </c>
      <c r="CG262" s="52">
        <v>44750.7</v>
      </c>
      <c r="CH262" s="52">
        <v>44750.7</v>
      </c>
      <c r="CI262" s="52">
        <v>44750.7</v>
      </c>
      <c r="CJ262" s="52">
        <v>37378</v>
      </c>
      <c r="CK262" s="52">
        <v>37378</v>
      </c>
      <c r="CL262" s="52">
        <v>62470</v>
      </c>
      <c r="CM262" s="52">
        <v>45742</v>
      </c>
      <c r="CN262" s="52">
        <v>45742</v>
      </c>
      <c r="CO262" s="52">
        <v>45742</v>
      </c>
      <c r="CP262" s="52">
        <v>45742</v>
      </c>
      <c r="CQ262" s="52">
        <v>45742</v>
      </c>
      <c r="CR262" s="52">
        <v>45742</v>
      </c>
      <c r="CS262" s="52">
        <v>45742</v>
      </c>
      <c r="CT262" s="52">
        <v>45742</v>
      </c>
      <c r="CU262" s="52">
        <v>45742</v>
      </c>
      <c r="CV262" s="430">
        <f t="shared" ref="CV262:CV325" si="8">SUM(CJ262:CU262)</f>
        <v>548904</v>
      </c>
    </row>
    <row r="263" spans="1:100">
      <c r="A263" s="540" t="str">
        <f t="shared" si="7"/>
        <v>6710800</v>
      </c>
      <c r="B263" s="541" t="s">
        <v>2078</v>
      </c>
      <c r="C263" s="463" t="s">
        <v>1161</v>
      </c>
      <c r="D263" s="428">
        <v>1234.57</v>
      </c>
      <c r="E263" s="428">
        <v>2508.5500000000002</v>
      </c>
      <c r="F263" s="428">
        <v>889.77</v>
      </c>
      <c r="G263" s="428">
        <v>1711.53</v>
      </c>
      <c r="H263" s="428">
        <v>1109.3900000000001</v>
      </c>
      <c r="I263" s="428">
        <v>1056.22</v>
      </c>
      <c r="J263" s="428">
        <v>3792.89</v>
      </c>
      <c r="K263" s="428">
        <v>248.58</v>
      </c>
      <c r="L263" s="428">
        <v>996.35</v>
      </c>
      <c r="M263" s="428">
        <v>1770.18</v>
      </c>
      <c r="N263" s="428">
        <v>2681.29</v>
      </c>
      <c r="O263" s="429">
        <v>948.41</v>
      </c>
      <c r="P263" s="52">
        <v>1350.45</v>
      </c>
      <c r="Q263" s="52">
        <v>1095.32</v>
      </c>
      <c r="R263" s="52">
        <v>1626.23</v>
      </c>
      <c r="S263" s="52">
        <v>911.12</v>
      </c>
      <c r="T263" s="52">
        <v>4297.37</v>
      </c>
      <c r="U263" s="52">
        <v>2059.62</v>
      </c>
      <c r="V263" s="52">
        <v>2268.6999999999998</v>
      </c>
      <c r="W263" s="52">
        <v>541.9</v>
      </c>
      <c r="X263" s="52">
        <v>1774.02</v>
      </c>
      <c r="Y263" s="52">
        <v>3753.19</v>
      </c>
      <c r="Z263" s="52">
        <v>849.29</v>
      </c>
      <c r="AA263" s="52">
        <v>3419.06</v>
      </c>
      <c r="AB263" s="52">
        <v>1004.45</v>
      </c>
      <c r="AC263" s="52">
        <v>835.29</v>
      </c>
      <c r="AD263" s="52">
        <v>444.2</v>
      </c>
      <c r="AE263" s="52">
        <v>620.02</v>
      </c>
      <c r="AF263" s="52">
        <v>1199.71</v>
      </c>
      <c r="AG263" s="52">
        <v>1876.6</v>
      </c>
      <c r="AH263" s="52">
        <v>1670.98</v>
      </c>
      <c r="AI263" s="52">
        <v>2597.88</v>
      </c>
      <c r="AJ263" s="52">
        <v>929.78</v>
      </c>
      <c r="AK263" s="52">
        <v>938.91</v>
      </c>
      <c r="AL263" s="52">
        <v>1315.73</v>
      </c>
      <c r="AM263" s="52">
        <v>2869.84</v>
      </c>
      <c r="AN263" s="52">
        <v>2478.2399999999998</v>
      </c>
      <c r="AO263" s="52">
        <v>2001.41</v>
      </c>
      <c r="AP263" s="52">
        <v>7638.09</v>
      </c>
      <c r="AQ263" s="52">
        <v>2064.3200000000002</v>
      </c>
      <c r="AR263" s="52">
        <v>6701.37</v>
      </c>
      <c r="AS263" s="52">
        <v>1620.02</v>
      </c>
      <c r="AT263" s="52">
        <v>3888.18</v>
      </c>
      <c r="AU263" s="52">
        <v>4527.17</v>
      </c>
      <c r="AV263" s="52">
        <v>1814.91</v>
      </c>
      <c r="AW263" s="52">
        <v>2770.1</v>
      </c>
      <c r="AX263" s="52">
        <v>1923.59</v>
      </c>
      <c r="AY263" s="52">
        <v>1204.8499999999999</v>
      </c>
      <c r="AZ263" s="52">
        <v>8206.7900000000009</v>
      </c>
      <c r="BA263" s="52">
        <v>3097.62</v>
      </c>
      <c r="BB263" s="52">
        <v>2929.7</v>
      </c>
      <c r="BC263" s="52">
        <v>1633.1</v>
      </c>
      <c r="BD263" s="52">
        <v>19319.169999999998</v>
      </c>
      <c r="BE263" s="52">
        <v>1154.08</v>
      </c>
      <c r="BF263" s="52">
        <v>1429.6</v>
      </c>
      <c r="BG263" s="52">
        <v>4408.5200000000004</v>
      </c>
      <c r="BH263" s="52">
        <v>1594.38</v>
      </c>
      <c r="BI263" s="52">
        <v>1292.47</v>
      </c>
      <c r="BJ263" s="52">
        <v>5010.0200000000004</v>
      </c>
      <c r="BK263" s="52">
        <v>1793.08</v>
      </c>
      <c r="BL263" s="52">
        <v>8068.35</v>
      </c>
      <c r="BM263" s="52">
        <v>1110.8399999999999</v>
      </c>
      <c r="BN263" s="52">
        <v>874.72</v>
      </c>
      <c r="BO263" s="52">
        <v>-84.61</v>
      </c>
      <c r="BP263" s="52">
        <v>1130.43</v>
      </c>
      <c r="BQ263" s="52">
        <v>1108.3800000000001</v>
      </c>
      <c r="BR263" s="52">
        <v>1012.83</v>
      </c>
      <c r="BS263" s="52">
        <v>1372.55</v>
      </c>
      <c r="BT263" s="52">
        <v>1364.22</v>
      </c>
      <c r="BU263" s="52">
        <v>1747.61</v>
      </c>
      <c r="BV263" s="52">
        <v>1482.04</v>
      </c>
      <c r="BW263" s="52">
        <v>1265.5999999999999</v>
      </c>
      <c r="BX263" s="52">
        <v>1158.72</v>
      </c>
      <c r="BY263" s="52">
        <v>890.25</v>
      </c>
      <c r="BZ263" s="52">
        <v>801.28</v>
      </c>
      <c r="CA263" s="52">
        <v>588.70000000000005</v>
      </c>
      <c r="CB263" s="52">
        <v>1344.31</v>
      </c>
      <c r="CC263" s="52">
        <v>658.07</v>
      </c>
      <c r="CD263" s="52">
        <v>306.44</v>
      </c>
      <c r="CE263" s="52">
        <v>840.03</v>
      </c>
      <c r="CF263" s="52">
        <v>3365.92</v>
      </c>
      <c r="CG263" s="52">
        <v>1255.9100000000001</v>
      </c>
      <c r="CH263" s="52">
        <v>737.32</v>
      </c>
      <c r="CI263" s="52">
        <v>860.52</v>
      </c>
      <c r="CJ263" s="52">
        <v>7902.99</v>
      </c>
      <c r="CK263" s="52">
        <v>1894.09</v>
      </c>
      <c r="CL263" s="52">
        <v>1204.1300000000001</v>
      </c>
      <c r="CM263" s="52">
        <v>2359.84</v>
      </c>
      <c r="CN263" s="52">
        <v>1801.75</v>
      </c>
      <c r="CO263" s="52">
        <v>884.67</v>
      </c>
      <c r="CP263" s="52">
        <v>714.64</v>
      </c>
      <c r="CQ263" s="52">
        <v>1616.17</v>
      </c>
      <c r="CR263" s="52">
        <v>3394.57</v>
      </c>
      <c r="CS263" s="52">
        <v>348.98</v>
      </c>
      <c r="CT263" s="52">
        <v>1659.99</v>
      </c>
      <c r="CU263" s="52">
        <v>1271.46</v>
      </c>
      <c r="CV263" s="430">
        <f t="shared" si="8"/>
        <v>25053.279999999999</v>
      </c>
    </row>
    <row r="264" spans="1:100">
      <c r="A264" s="540" t="str">
        <f t="shared" si="7"/>
        <v>6719000</v>
      </c>
      <c r="B264" s="541" t="s">
        <v>2079</v>
      </c>
      <c r="C264" s="463" t="s">
        <v>1162</v>
      </c>
      <c r="D264" s="428">
        <v>0</v>
      </c>
      <c r="E264" s="428">
        <v>0</v>
      </c>
      <c r="F264" s="428">
        <v>0</v>
      </c>
      <c r="G264" s="428">
        <v>0</v>
      </c>
      <c r="H264" s="428">
        <v>-40</v>
      </c>
      <c r="I264" s="428">
        <v>-203.5</v>
      </c>
      <c r="J264" s="428">
        <v>-235.7</v>
      </c>
      <c r="K264" s="428">
        <v>-11081.59</v>
      </c>
      <c r="L264" s="428">
        <v>-311.39999999999998</v>
      </c>
      <c r="M264" s="428">
        <v>-507.92</v>
      </c>
      <c r="N264" s="428">
        <v>0</v>
      </c>
      <c r="O264" s="429">
        <v>-231.15</v>
      </c>
      <c r="P264" s="52">
        <v>-195.21</v>
      </c>
      <c r="Q264" s="52">
        <v>-89.9</v>
      </c>
      <c r="R264" s="52">
        <v>-80.7</v>
      </c>
      <c r="S264" s="52">
        <v>-171.3</v>
      </c>
      <c r="T264" s="52">
        <v>-366.8</v>
      </c>
      <c r="U264" s="52">
        <v>-295.55</v>
      </c>
      <c r="V264" s="52">
        <v>-390.11</v>
      </c>
      <c r="W264" s="52">
        <v>-219.8</v>
      </c>
      <c r="X264" s="52">
        <v>-588.89</v>
      </c>
      <c r="Y264" s="52">
        <v>-665.2</v>
      </c>
      <c r="Z264" s="52">
        <v>-5704.26</v>
      </c>
      <c r="AA264" s="52">
        <v>-1128933.93</v>
      </c>
      <c r="AB264" s="52">
        <v>-31040.9</v>
      </c>
      <c r="AC264" s="52">
        <v>-3932.12</v>
      </c>
      <c r="AD264" s="52">
        <v>-230.8</v>
      </c>
      <c r="AE264" s="52">
        <v>-229</v>
      </c>
      <c r="AF264" s="52">
        <v>0</v>
      </c>
      <c r="AG264" s="52">
        <v>-973.01</v>
      </c>
      <c r="AH264" s="52">
        <v>-95072.9</v>
      </c>
      <c r="AI264" s="52">
        <v>-2565.0500000000002</v>
      </c>
      <c r="AJ264" s="52">
        <v>-179.8</v>
      </c>
      <c r="AK264" s="52">
        <v>-252.7</v>
      </c>
      <c r="AL264" s="52">
        <v>-539.54999999999995</v>
      </c>
      <c r="AM264" s="52">
        <v>0</v>
      </c>
      <c r="AN264" s="52">
        <v>-5163.87</v>
      </c>
      <c r="AO264" s="52">
        <v>0</v>
      </c>
      <c r="AP264" s="52">
        <v>-4936.9799999999996</v>
      </c>
      <c r="AQ264" s="52">
        <v>-846.65</v>
      </c>
      <c r="AR264" s="52">
        <v>-8719.7199999999993</v>
      </c>
      <c r="AS264" s="52">
        <v>-301.89999999999998</v>
      </c>
      <c r="AT264" s="52">
        <v>-5419.98</v>
      </c>
      <c r="AU264" s="52">
        <v>-1791.13</v>
      </c>
      <c r="AV264" s="52">
        <v>37.840000000000003</v>
      </c>
      <c r="AW264" s="52">
        <v>-364.15</v>
      </c>
      <c r="AX264" s="52">
        <v>-1479.05</v>
      </c>
      <c r="AY264" s="52">
        <v>-1105.68</v>
      </c>
      <c r="AZ264" s="52">
        <v>-4494.33</v>
      </c>
      <c r="BA264" s="52">
        <v>-3427.11</v>
      </c>
      <c r="BB264" s="52">
        <v>-1250.0999999999999</v>
      </c>
      <c r="BC264" s="52">
        <v>-996.69</v>
      </c>
      <c r="BD264" s="52">
        <v>-18154.7</v>
      </c>
      <c r="BE264" s="52">
        <v>0</v>
      </c>
      <c r="BF264" s="52">
        <v>-53260.3</v>
      </c>
      <c r="BG264" s="52">
        <v>-2963</v>
      </c>
      <c r="BH264" s="52">
        <v>-721</v>
      </c>
      <c r="BI264" s="52">
        <v>-301.87</v>
      </c>
      <c r="BJ264" s="52">
        <v>-3799.5</v>
      </c>
      <c r="BK264" s="52">
        <v>-1139.0999999999999</v>
      </c>
      <c r="BL264" s="52">
        <v>-6737.08</v>
      </c>
      <c r="BM264" s="52">
        <v>-220.5</v>
      </c>
      <c r="BN264" s="52">
        <v>-81.400000000000006</v>
      </c>
      <c r="BO264" s="52">
        <v>959.3</v>
      </c>
      <c r="BP264" s="52">
        <v>-925.2</v>
      </c>
      <c r="BQ264" s="52">
        <v>-132.6</v>
      </c>
      <c r="BR264" s="52">
        <v>-714.98</v>
      </c>
      <c r="BS264" s="52">
        <v>-824.29</v>
      </c>
      <c r="BT264" s="52">
        <v>-535.09</v>
      </c>
      <c r="BU264" s="52">
        <v>-576.49</v>
      </c>
      <c r="BV264" s="52">
        <v>-1996.59</v>
      </c>
      <c r="BW264" s="52">
        <v>-1331.79</v>
      </c>
      <c r="BX264" s="52">
        <v>-1838.9</v>
      </c>
      <c r="BY264" s="52">
        <v>-1369.32</v>
      </c>
      <c r="BZ264" s="52">
        <v>-2135.58</v>
      </c>
      <c r="CA264" s="52">
        <v>-1674.81</v>
      </c>
      <c r="CB264" s="52">
        <v>-1110.5</v>
      </c>
      <c r="CC264" s="52">
        <v>-903.63</v>
      </c>
      <c r="CD264" s="52">
        <v>-1329.93</v>
      </c>
      <c r="CE264" s="52">
        <v>-1117.1300000000001</v>
      </c>
      <c r="CF264" s="52">
        <v>-3867.77</v>
      </c>
      <c r="CG264" s="52">
        <v>-3634.47</v>
      </c>
      <c r="CH264" s="52">
        <v>-1297.9000000000001</v>
      </c>
      <c r="CI264" s="52">
        <v>-731.46</v>
      </c>
      <c r="CJ264" s="52">
        <v>-6753.53</v>
      </c>
      <c r="CK264" s="52">
        <v>-164.73</v>
      </c>
      <c r="CL264" s="52">
        <v>-447.7</v>
      </c>
      <c r="CM264" s="52">
        <v>-1104.9000000000001</v>
      </c>
      <c r="CN264" s="52">
        <v>-480.1</v>
      </c>
      <c r="CO264" s="52">
        <v>-673.8</v>
      </c>
      <c r="CP264" s="52">
        <v>-807.8</v>
      </c>
      <c r="CQ264" s="52">
        <v>-350.9</v>
      </c>
      <c r="CR264" s="52">
        <v>-943.6</v>
      </c>
      <c r="CS264" s="52">
        <v>-999.9</v>
      </c>
      <c r="CT264" s="52">
        <v>-709.75</v>
      </c>
      <c r="CU264" s="52">
        <v>-700.7</v>
      </c>
      <c r="CV264" s="430">
        <f t="shared" si="8"/>
        <v>-14137.409999999998</v>
      </c>
    </row>
    <row r="265" spans="1:100">
      <c r="A265" s="540" t="str">
        <f t="shared" si="7"/>
        <v>6720010</v>
      </c>
      <c r="B265" s="541" t="s">
        <v>2080</v>
      </c>
      <c r="C265" s="463" t="s">
        <v>1163</v>
      </c>
      <c r="D265" s="428">
        <v>30744.87</v>
      </c>
      <c r="E265" s="428">
        <v>26649.51</v>
      </c>
      <c r="F265" s="428">
        <v>21204.15</v>
      </c>
      <c r="G265" s="428">
        <v>32094.87</v>
      </c>
      <c r="H265" s="428">
        <v>21204.15</v>
      </c>
      <c r="I265" s="428">
        <v>26649.51</v>
      </c>
      <c r="J265" s="428">
        <v>26649.51</v>
      </c>
      <c r="K265" s="428">
        <v>21362.76</v>
      </c>
      <c r="L265" s="428">
        <v>21204.15</v>
      </c>
      <c r="M265" s="428">
        <v>30816.87</v>
      </c>
      <c r="N265" s="428">
        <v>25371.51</v>
      </c>
      <c r="O265" s="429">
        <v>32421.57</v>
      </c>
      <c r="P265" s="52">
        <v>18015.38</v>
      </c>
      <c r="Q265" s="52">
        <v>44183.54</v>
      </c>
      <c r="R265" s="52">
        <v>34288.94</v>
      </c>
      <c r="S265" s="52">
        <v>24321.79</v>
      </c>
      <c r="T265" s="52">
        <v>23624.09</v>
      </c>
      <c r="U265" s="52">
        <v>16665.38</v>
      </c>
      <c r="V265" s="52">
        <v>32132.799999999999</v>
      </c>
      <c r="W265" s="52">
        <v>22274.09</v>
      </c>
      <c r="X265" s="52">
        <v>24384.25</v>
      </c>
      <c r="Y265" s="52">
        <v>18831.18</v>
      </c>
      <c r="Z265" s="52">
        <v>24539.89</v>
      </c>
      <c r="AA265" s="52">
        <v>28698.6</v>
      </c>
      <c r="AB265" s="52">
        <v>25985.14</v>
      </c>
      <c r="AC265" s="52">
        <v>24727.15</v>
      </c>
      <c r="AD265" s="52">
        <v>24727.15</v>
      </c>
      <c r="AE265" s="52">
        <v>24727.15</v>
      </c>
      <c r="AF265" s="52">
        <v>24727.15</v>
      </c>
      <c r="AG265" s="52">
        <v>33412.43</v>
      </c>
      <c r="AH265" s="52">
        <v>26020.7</v>
      </c>
      <c r="AI265" s="52">
        <v>26020.7</v>
      </c>
      <c r="AJ265" s="52">
        <v>26020.7</v>
      </c>
      <c r="AK265" s="52">
        <v>26020.7</v>
      </c>
      <c r="AL265" s="52">
        <v>26209.52</v>
      </c>
      <c r="AM265" s="52">
        <v>19119.419999999998</v>
      </c>
      <c r="AN265" s="52">
        <v>37508.769999999997</v>
      </c>
      <c r="AO265" s="52">
        <v>28912.639999999999</v>
      </c>
      <c r="AP265" s="52">
        <v>29697.42</v>
      </c>
      <c r="AQ265" s="52">
        <v>29944.81</v>
      </c>
      <c r="AR265" s="52">
        <v>29816.33</v>
      </c>
      <c r="AS265" s="52">
        <v>29816.33</v>
      </c>
      <c r="AT265" s="52">
        <v>29816.33</v>
      </c>
      <c r="AU265" s="52">
        <v>29816.33</v>
      </c>
      <c r="AV265" s="52">
        <v>29816.33</v>
      </c>
      <c r="AW265" s="52">
        <v>29816.33</v>
      </c>
      <c r="AX265" s="52">
        <v>30005.13</v>
      </c>
      <c r="AY265" s="52">
        <v>21778.240000000002</v>
      </c>
      <c r="AZ265" s="52">
        <v>37307.980000000003</v>
      </c>
      <c r="BA265" s="52">
        <v>27701.82</v>
      </c>
      <c r="BB265" s="52">
        <v>29318.71</v>
      </c>
      <c r="BC265" s="52">
        <v>29479.119999999999</v>
      </c>
      <c r="BD265" s="52">
        <v>29479.119999999999</v>
      </c>
      <c r="BE265" s="52">
        <v>29479.119999999999</v>
      </c>
      <c r="BF265" s="52">
        <v>29479.119999999999</v>
      </c>
      <c r="BG265" s="52">
        <v>29479.119999999999</v>
      </c>
      <c r="BH265" s="52">
        <v>22757.200000000001</v>
      </c>
      <c r="BI265" s="52">
        <v>36201.040000000001</v>
      </c>
      <c r="BJ265" s="52">
        <v>29658.69</v>
      </c>
      <c r="BK265" s="52">
        <v>29640.560000000001</v>
      </c>
      <c r="BL265" s="52">
        <v>27564.79</v>
      </c>
      <c r="BM265" s="52">
        <v>21935.87</v>
      </c>
      <c r="BN265" s="52">
        <v>28884.34</v>
      </c>
      <c r="BO265" s="52">
        <v>35832.81</v>
      </c>
      <c r="BP265" s="52">
        <v>28884.34</v>
      </c>
      <c r="BQ265" s="52">
        <v>28884.34</v>
      </c>
      <c r="BR265" s="52">
        <v>28884.34</v>
      </c>
      <c r="BS265" s="52">
        <v>28884.34</v>
      </c>
      <c r="BT265" s="52">
        <v>28884.34</v>
      </c>
      <c r="BU265" s="52">
        <v>28884.34</v>
      </c>
      <c r="BV265" s="52">
        <v>21935.87</v>
      </c>
      <c r="BW265" s="52">
        <v>35089.97</v>
      </c>
      <c r="BX265" s="52">
        <v>41663.120000000003</v>
      </c>
      <c r="BY265" s="52">
        <v>42749.48</v>
      </c>
      <c r="BZ265" s="52">
        <v>37666.129999999997</v>
      </c>
      <c r="CA265" s="52">
        <v>35636.910000000003</v>
      </c>
      <c r="CB265" s="52">
        <v>28366.76</v>
      </c>
      <c r="CC265" s="52">
        <v>42907.06</v>
      </c>
      <c r="CD265" s="52">
        <v>35636.910000000003</v>
      </c>
      <c r="CE265" s="52">
        <v>35636.910000000003</v>
      </c>
      <c r="CF265" s="52">
        <v>35636.910000000003</v>
      </c>
      <c r="CG265" s="52">
        <v>35740.44</v>
      </c>
      <c r="CH265" s="52">
        <v>34740.44</v>
      </c>
      <c r="CI265" s="52">
        <v>36740.44</v>
      </c>
      <c r="CJ265" s="52">
        <v>36526.44</v>
      </c>
      <c r="CK265" s="52">
        <v>29062.79</v>
      </c>
      <c r="CL265" s="52">
        <v>36526.44</v>
      </c>
      <c r="CM265" s="52">
        <v>44085.65</v>
      </c>
      <c r="CN265" s="52">
        <v>38467.800000000003</v>
      </c>
      <c r="CO265" s="52">
        <v>36372.080000000002</v>
      </c>
      <c r="CP265" s="52">
        <v>36372.080000000002</v>
      </c>
      <c r="CQ265" s="52">
        <v>36372.080000000002</v>
      </c>
      <c r="CR265" s="52">
        <v>28785.16</v>
      </c>
      <c r="CS265" s="52">
        <v>44338.34</v>
      </c>
      <c r="CT265" s="52">
        <v>35372.080000000002</v>
      </c>
      <c r="CU265" s="52">
        <v>37372.080000000002</v>
      </c>
      <c r="CV265" s="430">
        <f t="shared" si="8"/>
        <v>439653.02</v>
      </c>
    </row>
    <row r="266" spans="1:100">
      <c r="A266" s="540" t="str">
        <f t="shared" si="7"/>
        <v>6720020</v>
      </c>
      <c r="B266" s="541" t="s">
        <v>2081</v>
      </c>
      <c r="C266" s="463" t="s">
        <v>1164</v>
      </c>
      <c r="D266" s="426">
        <v>0</v>
      </c>
      <c r="E266" s="426">
        <v>0</v>
      </c>
      <c r="F266" s="426">
        <v>0</v>
      </c>
      <c r="G266" s="426">
        <v>0</v>
      </c>
      <c r="H266" s="426">
        <v>0</v>
      </c>
      <c r="I266" s="426">
        <v>0</v>
      </c>
      <c r="J266" s="426">
        <v>0</v>
      </c>
      <c r="K266" s="426">
        <v>0</v>
      </c>
      <c r="L266" s="426">
        <v>0</v>
      </c>
      <c r="M266" s="426">
        <v>18.739999999999998</v>
      </c>
      <c r="N266" s="426">
        <v>0</v>
      </c>
      <c r="O266" s="427">
        <v>0</v>
      </c>
      <c r="P266" s="52">
        <v>0</v>
      </c>
      <c r="Q266" s="52">
        <v>0</v>
      </c>
      <c r="R266" s="52">
        <v>233.74</v>
      </c>
      <c r="S266" s="52">
        <v>0</v>
      </c>
      <c r="T266" s="52">
        <v>0</v>
      </c>
      <c r="U266" s="52">
        <v>0</v>
      </c>
      <c r="V266" s="52">
        <v>0</v>
      </c>
      <c r="W266" s="52">
        <v>0</v>
      </c>
      <c r="X266" s="52">
        <v>0</v>
      </c>
      <c r="Y266" s="52">
        <v>0</v>
      </c>
      <c r="Z266" s="52">
        <v>0</v>
      </c>
      <c r="AA266" s="52">
        <v>0</v>
      </c>
      <c r="AB266" s="52">
        <v>0</v>
      </c>
      <c r="AC266" s="52">
        <v>0</v>
      </c>
      <c r="AD266" s="52">
        <v>0</v>
      </c>
      <c r="AE266" s="52">
        <v>0</v>
      </c>
      <c r="AF266" s="52">
        <v>0</v>
      </c>
      <c r="AG266" s="52">
        <v>330.23</v>
      </c>
      <c r="AH266" s="52">
        <v>-330.23</v>
      </c>
      <c r="AI266" s="52">
        <v>0</v>
      </c>
      <c r="AJ266" s="52">
        <v>0</v>
      </c>
      <c r="AK266" s="52">
        <v>0</v>
      </c>
      <c r="AL266" s="52">
        <v>0</v>
      </c>
      <c r="AM266" s="52">
        <v>0</v>
      </c>
      <c r="AN266" s="52">
        <v>0</v>
      </c>
      <c r="AO266" s="52">
        <v>0</v>
      </c>
      <c r="AP266" s="52">
        <v>0</v>
      </c>
      <c r="AQ266" s="52">
        <v>0</v>
      </c>
      <c r="AR266" s="52">
        <v>35</v>
      </c>
      <c r="AS266" s="52">
        <v>-35</v>
      </c>
      <c r="AT266" s="52">
        <v>0</v>
      </c>
      <c r="AU266" s="52">
        <v>105</v>
      </c>
      <c r="AV266" s="52">
        <v>7.35</v>
      </c>
      <c r="AW266" s="52">
        <v>0</v>
      </c>
      <c r="AX266" s="52">
        <v>874.54</v>
      </c>
      <c r="AY266" s="52">
        <v>657.5</v>
      </c>
      <c r="AZ266" s="52">
        <v>93.63</v>
      </c>
      <c r="BA266" s="52">
        <v>17.5</v>
      </c>
      <c r="BB266" s="52">
        <v>594.38</v>
      </c>
      <c r="BC266" s="52">
        <v>-518.26</v>
      </c>
      <c r="BD266" s="52">
        <v>348.96</v>
      </c>
      <c r="BE266" s="52">
        <v>-119.28</v>
      </c>
      <c r="BF266" s="52">
        <v>2.4500000000000002</v>
      </c>
      <c r="BG266" s="52">
        <v>0</v>
      </c>
      <c r="BH266" s="52">
        <v>0</v>
      </c>
      <c r="BI266" s="52">
        <v>0</v>
      </c>
      <c r="BJ266" s="52">
        <v>0</v>
      </c>
      <c r="BK266" s="52">
        <v>0</v>
      </c>
      <c r="BL266" s="52">
        <v>0</v>
      </c>
      <c r="BM266" s="52">
        <v>0</v>
      </c>
      <c r="BN266" s="52">
        <v>0</v>
      </c>
      <c r="BO266" s="52">
        <v>0</v>
      </c>
      <c r="BP266" s="52">
        <v>0</v>
      </c>
      <c r="BQ266" s="52">
        <v>0</v>
      </c>
      <c r="BR266" s="52">
        <v>0</v>
      </c>
      <c r="BS266" s="52">
        <v>0</v>
      </c>
      <c r="BT266" s="52">
        <v>0</v>
      </c>
      <c r="BU266" s="52">
        <v>0</v>
      </c>
      <c r="BV266" s="52">
        <v>0</v>
      </c>
      <c r="BW266" s="52">
        <v>0</v>
      </c>
      <c r="BX266" s="52">
        <v>0</v>
      </c>
      <c r="BY266" s="52">
        <v>0</v>
      </c>
      <c r="BZ266" s="52">
        <v>0</v>
      </c>
      <c r="CA266" s="52">
        <v>0</v>
      </c>
      <c r="CB266" s="52">
        <v>0</v>
      </c>
      <c r="CC266" s="52">
        <v>0</v>
      </c>
      <c r="CD266" s="52">
        <v>0</v>
      </c>
      <c r="CE266" s="52">
        <v>0</v>
      </c>
      <c r="CF266" s="52">
        <v>0</v>
      </c>
      <c r="CG266" s="52">
        <v>0</v>
      </c>
      <c r="CH266" s="52">
        <v>0</v>
      </c>
      <c r="CI266" s="52">
        <v>0</v>
      </c>
      <c r="CJ266" s="52">
        <v>0</v>
      </c>
      <c r="CK266" s="52">
        <v>0</v>
      </c>
      <c r="CL266" s="52">
        <v>0</v>
      </c>
      <c r="CM266" s="52">
        <v>0</v>
      </c>
      <c r="CN266" s="52">
        <v>0</v>
      </c>
      <c r="CO266" s="52">
        <v>0</v>
      </c>
      <c r="CP266" s="52">
        <v>0</v>
      </c>
      <c r="CQ266" s="52">
        <v>0</v>
      </c>
      <c r="CR266" s="52">
        <v>0</v>
      </c>
      <c r="CS266" s="52">
        <v>0</v>
      </c>
      <c r="CT266" s="52">
        <v>0</v>
      </c>
      <c r="CU266" s="52">
        <v>0</v>
      </c>
      <c r="CV266" s="430">
        <f t="shared" si="8"/>
        <v>0</v>
      </c>
    </row>
    <row r="267" spans="1:100">
      <c r="A267" s="540" t="str">
        <f t="shared" si="7"/>
        <v>6720030</v>
      </c>
      <c r="B267" s="541" t="s">
        <v>2082</v>
      </c>
      <c r="C267" s="463" t="s">
        <v>1165</v>
      </c>
      <c r="D267" s="428">
        <v>11027.1</v>
      </c>
      <c r="E267" s="428">
        <v>25033.759999999998</v>
      </c>
      <c r="F267" s="428">
        <v>29946.22</v>
      </c>
      <c r="G267" s="428">
        <v>22146.45</v>
      </c>
      <c r="H267" s="428">
        <v>17937.240000000002</v>
      </c>
      <c r="I267" s="428">
        <v>30357.5</v>
      </c>
      <c r="J267" s="428">
        <v>2651</v>
      </c>
      <c r="K267" s="428">
        <v>12042.43</v>
      </c>
      <c r="L267" s="428">
        <v>12020.83</v>
      </c>
      <c r="M267" s="428">
        <v>11799.72</v>
      </c>
      <c r="N267" s="428">
        <v>19584.099999999999</v>
      </c>
      <c r="O267" s="429">
        <v>15559.54</v>
      </c>
      <c r="P267" s="52">
        <v>7301.85</v>
      </c>
      <c r="Q267" s="52">
        <v>18327.849999999999</v>
      </c>
      <c r="R267" s="52">
        <v>11306.07</v>
      </c>
      <c r="S267" s="52">
        <v>5162.2299999999996</v>
      </c>
      <c r="T267" s="52">
        <v>12835.51</v>
      </c>
      <c r="U267" s="52">
        <v>4973.37</v>
      </c>
      <c r="V267" s="52">
        <v>3051.82</v>
      </c>
      <c r="W267" s="52">
        <v>6342.26</v>
      </c>
      <c r="X267" s="52">
        <v>18675.77</v>
      </c>
      <c r="Y267" s="52">
        <v>3436.43</v>
      </c>
      <c r="Z267" s="52">
        <v>12093.9</v>
      </c>
      <c r="AA267" s="52">
        <v>3256.83</v>
      </c>
      <c r="AB267" s="52">
        <v>3520.97</v>
      </c>
      <c r="AC267" s="52">
        <v>11639.02</v>
      </c>
      <c r="AD267" s="52">
        <v>3374.66</v>
      </c>
      <c r="AE267" s="52">
        <v>-4943.5600000000004</v>
      </c>
      <c r="AF267" s="52">
        <v>9637.59</v>
      </c>
      <c r="AG267" s="52">
        <v>3177.66</v>
      </c>
      <c r="AH267" s="52">
        <v>10035.41</v>
      </c>
      <c r="AI267" s="52">
        <v>209.16</v>
      </c>
      <c r="AJ267" s="52">
        <v>1882.99</v>
      </c>
      <c r="AK267" s="52">
        <v>1566.97</v>
      </c>
      <c r="AL267" s="52">
        <v>2003.92</v>
      </c>
      <c r="AM267" s="52">
        <v>1882.99</v>
      </c>
      <c r="AN267" s="52">
        <v>2507.41</v>
      </c>
      <c r="AO267" s="52">
        <v>1936.27</v>
      </c>
      <c r="AP267" s="52">
        <v>2204.98</v>
      </c>
      <c r="AQ267" s="52">
        <v>2067.8000000000002</v>
      </c>
      <c r="AR267" s="52">
        <v>0</v>
      </c>
      <c r="AS267" s="52">
        <v>0</v>
      </c>
      <c r="AT267" s="52">
        <v>0</v>
      </c>
      <c r="AU267" s="52">
        <v>0</v>
      </c>
      <c r="AV267" s="52">
        <v>0</v>
      </c>
      <c r="AW267" s="52">
        <v>0</v>
      </c>
      <c r="AX267" s="52">
        <v>0</v>
      </c>
      <c r="AY267" s="52">
        <v>610.65</v>
      </c>
      <c r="AZ267" s="52">
        <v>173.1</v>
      </c>
      <c r="BA267" s="52">
        <v>23075.78</v>
      </c>
      <c r="BB267" s="52">
        <v>0</v>
      </c>
      <c r="BC267" s="52">
        <v>0</v>
      </c>
      <c r="BD267" s="52">
        <v>-1755.18</v>
      </c>
      <c r="BE267" s="52">
        <v>-26.45</v>
      </c>
      <c r="BF267" s="52">
        <v>0</v>
      </c>
      <c r="BG267" s="52">
        <v>0</v>
      </c>
      <c r="BH267" s="52">
        <v>0</v>
      </c>
      <c r="BI267" s="52">
        <v>0</v>
      </c>
      <c r="BJ267" s="52">
        <v>0</v>
      </c>
      <c r="BK267" s="52">
        <v>0</v>
      </c>
      <c r="BL267" s="52">
        <v>0</v>
      </c>
      <c r="BM267" s="52">
        <v>0</v>
      </c>
      <c r="BN267" s="52">
        <v>0</v>
      </c>
      <c r="BO267" s="52">
        <v>0</v>
      </c>
      <c r="BP267" s="52">
        <v>0</v>
      </c>
      <c r="BQ267" s="52">
        <v>0</v>
      </c>
      <c r="BR267" s="52">
        <v>0</v>
      </c>
      <c r="BS267" s="52">
        <v>0</v>
      </c>
      <c r="BT267" s="52">
        <v>0</v>
      </c>
      <c r="BU267" s="52">
        <v>-549.45000000000005</v>
      </c>
      <c r="BV267" s="52">
        <v>0</v>
      </c>
      <c r="BW267" s="52">
        <v>0</v>
      </c>
      <c r="BX267" s="52">
        <v>0</v>
      </c>
      <c r="BY267" s="52">
        <v>0</v>
      </c>
      <c r="BZ267" s="52">
        <v>0</v>
      </c>
      <c r="CA267" s="52">
        <v>0</v>
      </c>
      <c r="CB267" s="52">
        <v>0</v>
      </c>
      <c r="CC267" s="52">
        <v>0</v>
      </c>
      <c r="CD267" s="52">
        <v>0</v>
      </c>
      <c r="CE267" s="52">
        <v>0</v>
      </c>
      <c r="CF267" s="52">
        <v>0</v>
      </c>
      <c r="CG267" s="52">
        <v>0</v>
      </c>
      <c r="CH267" s="52">
        <v>0</v>
      </c>
      <c r="CI267" s="52">
        <v>0</v>
      </c>
      <c r="CJ267" s="52">
        <v>0</v>
      </c>
      <c r="CK267" s="52">
        <v>0</v>
      </c>
      <c r="CL267" s="52">
        <v>0</v>
      </c>
      <c r="CM267" s="52">
        <v>0</v>
      </c>
      <c r="CN267" s="52">
        <v>0</v>
      </c>
      <c r="CO267" s="52">
        <v>0</v>
      </c>
      <c r="CP267" s="52">
        <v>0</v>
      </c>
      <c r="CQ267" s="52">
        <v>0</v>
      </c>
      <c r="CR267" s="52">
        <v>0</v>
      </c>
      <c r="CS267" s="52">
        <v>0</v>
      </c>
      <c r="CT267" s="52">
        <v>0</v>
      </c>
      <c r="CU267" s="52">
        <v>0</v>
      </c>
      <c r="CV267" s="430">
        <f t="shared" si="8"/>
        <v>0</v>
      </c>
    </row>
    <row r="268" spans="1:100">
      <c r="A268" s="540" t="str">
        <f t="shared" si="7"/>
        <v>6720050</v>
      </c>
      <c r="B268" s="541" t="s">
        <v>2083</v>
      </c>
      <c r="C268" s="463" t="s">
        <v>1166</v>
      </c>
      <c r="D268" s="428">
        <v>110.48</v>
      </c>
      <c r="E268" s="428">
        <v>181.95</v>
      </c>
      <c r="F268" s="428">
        <v>187.32</v>
      </c>
      <c r="G268" s="428">
        <v>216.4</v>
      </c>
      <c r="H268" s="428">
        <v>180.83</v>
      </c>
      <c r="I268" s="428">
        <v>370.03</v>
      </c>
      <c r="J268" s="428">
        <v>202.28</v>
      </c>
      <c r="K268" s="428">
        <v>110.48</v>
      </c>
      <c r="L268" s="428">
        <v>287.52</v>
      </c>
      <c r="M268" s="428">
        <v>110.48</v>
      </c>
      <c r="N268" s="428">
        <v>166.37</v>
      </c>
      <c r="O268" s="429">
        <v>226.68</v>
      </c>
      <c r="P268" s="52">
        <v>0</v>
      </c>
      <c r="Q268" s="52">
        <v>38.299999999999997</v>
      </c>
      <c r="R268" s="52">
        <v>0</v>
      </c>
      <c r="S268" s="52">
        <v>40.97</v>
      </c>
      <c r="T268" s="52">
        <v>332.81</v>
      </c>
      <c r="U268" s="52">
        <v>75.03</v>
      </c>
      <c r="V268" s="52">
        <v>94.46</v>
      </c>
      <c r="W268" s="52">
        <v>59.47</v>
      </c>
      <c r="X268" s="52">
        <v>46.72</v>
      </c>
      <c r="Y268" s="52">
        <v>0</v>
      </c>
      <c r="Z268" s="52">
        <v>0</v>
      </c>
      <c r="AA268" s="52">
        <v>57.95</v>
      </c>
      <c r="AB268" s="52">
        <v>335.98</v>
      </c>
      <c r="AC268" s="52">
        <v>377.18</v>
      </c>
      <c r="AD268" s="52">
        <v>364.8</v>
      </c>
      <c r="AE268" s="52">
        <v>146.49</v>
      </c>
      <c r="AF268" s="52">
        <v>150.6</v>
      </c>
      <c r="AG268" s="52">
        <v>111.21</v>
      </c>
      <c r="AH268" s="52">
        <v>111.21</v>
      </c>
      <c r="AI268" s="52">
        <v>111.21</v>
      </c>
      <c r="AJ268" s="52">
        <v>178.4</v>
      </c>
      <c r="AK268" s="52">
        <v>146.53</v>
      </c>
      <c r="AL268" s="52">
        <v>144.52000000000001</v>
      </c>
      <c r="AM268" s="52">
        <v>111.21</v>
      </c>
      <c r="AN268" s="52">
        <v>76.5</v>
      </c>
      <c r="AO268" s="52">
        <v>115.85</v>
      </c>
      <c r="AP268" s="52">
        <v>41.97</v>
      </c>
      <c r="AQ268" s="52">
        <v>53.5</v>
      </c>
      <c r="AR268" s="52">
        <v>37.549999999999997</v>
      </c>
      <c r="AS268" s="52">
        <v>50.44</v>
      </c>
      <c r="AT268" s="52">
        <v>195.45</v>
      </c>
      <c r="AU268" s="52">
        <v>78.14</v>
      </c>
      <c r="AV268" s="52">
        <v>0</v>
      </c>
      <c r="AW268" s="52">
        <v>0</v>
      </c>
      <c r="AX268" s="52">
        <v>56.64</v>
      </c>
      <c r="AY268" s="52">
        <v>68.8</v>
      </c>
      <c r="AZ268" s="52">
        <v>0</v>
      </c>
      <c r="BA268" s="52">
        <v>85.99</v>
      </c>
      <c r="BB268" s="52">
        <v>0</v>
      </c>
      <c r="BC268" s="52">
        <v>87.44</v>
      </c>
      <c r="BD268" s="52">
        <v>264.52</v>
      </c>
      <c r="BE268" s="52">
        <v>92.56</v>
      </c>
      <c r="BF268" s="52">
        <v>98.36</v>
      </c>
      <c r="BG268" s="52">
        <v>0</v>
      </c>
      <c r="BH268" s="52">
        <v>221.61</v>
      </c>
      <c r="BI268" s="52">
        <v>70.84</v>
      </c>
      <c r="BJ268" s="52">
        <v>109.95</v>
      </c>
      <c r="BK268" s="52">
        <v>74.709999999999994</v>
      </c>
      <c r="BL268" s="52">
        <v>0</v>
      </c>
      <c r="BM268" s="52">
        <v>0</v>
      </c>
      <c r="BN268" s="52">
        <v>0</v>
      </c>
      <c r="BO268" s="52">
        <v>0</v>
      </c>
      <c r="BP268" s="52">
        <v>0</v>
      </c>
      <c r="BQ268" s="52">
        <v>0</v>
      </c>
      <c r="BR268" s="52">
        <v>0</v>
      </c>
      <c r="BS268" s="52">
        <v>0</v>
      </c>
      <c r="BT268" s="52">
        <v>0</v>
      </c>
      <c r="BU268" s="52">
        <v>0</v>
      </c>
      <c r="BV268" s="52">
        <v>0</v>
      </c>
      <c r="BW268" s="52">
        <v>0</v>
      </c>
      <c r="BX268" s="52">
        <v>0</v>
      </c>
      <c r="BY268" s="52">
        <v>0</v>
      </c>
      <c r="BZ268" s="52">
        <v>0</v>
      </c>
      <c r="CA268" s="52">
        <v>0</v>
      </c>
      <c r="CB268" s="52">
        <v>0</v>
      </c>
      <c r="CC268" s="52">
        <v>0</v>
      </c>
      <c r="CD268" s="52">
        <v>0</v>
      </c>
      <c r="CE268" s="52">
        <v>0</v>
      </c>
      <c r="CF268" s="52">
        <v>0</v>
      </c>
      <c r="CG268" s="52">
        <v>0</v>
      </c>
      <c r="CH268" s="52">
        <v>0</v>
      </c>
      <c r="CI268" s="52">
        <v>0</v>
      </c>
      <c r="CJ268" s="52">
        <v>0</v>
      </c>
      <c r="CK268" s="52">
        <v>0</v>
      </c>
      <c r="CL268" s="52">
        <v>0</v>
      </c>
      <c r="CM268" s="52">
        <v>0</v>
      </c>
      <c r="CN268" s="52">
        <v>545.88</v>
      </c>
      <c r="CO268" s="52">
        <v>0</v>
      </c>
      <c r="CP268" s="52">
        <v>0</v>
      </c>
      <c r="CQ268" s="52">
        <v>0</v>
      </c>
      <c r="CR268" s="52">
        <v>0</v>
      </c>
      <c r="CS268" s="52">
        <v>0</v>
      </c>
      <c r="CT268" s="52">
        <v>0</v>
      </c>
      <c r="CU268" s="52">
        <v>0</v>
      </c>
      <c r="CV268" s="430">
        <f t="shared" si="8"/>
        <v>545.88</v>
      </c>
    </row>
    <row r="269" spans="1:100">
      <c r="A269" s="540" t="str">
        <f t="shared" si="7"/>
        <v>6720060</v>
      </c>
      <c r="B269" s="541" t="s">
        <v>2462</v>
      </c>
      <c r="C269" s="463" t="s">
        <v>2463</v>
      </c>
      <c r="D269" s="428"/>
      <c r="E269" s="428"/>
      <c r="F269" s="428"/>
      <c r="G269" s="428"/>
      <c r="H269" s="428"/>
      <c r="I269" s="428"/>
      <c r="J269" s="428"/>
      <c r="K269" s="428"/>
      <c r="L269" s="428"/>
      <c r="M269" s="428"/>
      <c r="N269" s="428"/>
      <c r="O269" s="429"/>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v>0</v>
      </c>
      <c r="BY269" s="52">
        <v>0</v>
      </c>
      <c r="BZ269" s="52">
        <v>0</v>
      </c>
      <c r="CA269" s="52">
        <v>0</v>
      </c>
      <c r="CB269" s="52">
        <v>0</v>
      </c>
      <c r="CC269" s="52">
        <v>0</v>
      </c>
      <c r="CD269" s="52">
        <v>0</v>
      </c>
      <c r="CE269" s="52">
        <v>0</v>
      </c>
      <c r="CF269" s="52">
        <v>0</v>
      </c>
      <c r="CG269" s="52">
        <v>0</v>
      </c>
      <c r="CH269" s="52">
        <v>0</v>
      </c>
      <c r="CI269" s="52">
        <v>0</v>
      </c>
      <c r="CJ269" s="52">
        <v>0</v>
      </c>
      <c r="CK269" s="52">
        <v>0</v>
      </c>
      <c r="CL269" s="52">
        <v>0</v>
      </c>
      <c r="CM269" s="52">
        <v>0</v>
      </c>
      <c r="CN269" s="52">
        <v>0</v>
      </c>
      <c r="CO269" s="52">
        <v>0</v>
      </c>
      <c r="CP269" s="52">
        <v>0</v>
      </c>
      <c r="CQ269" s="52">
        <v>0</v>
      </c>
      <c r="CR269" s="52">
        <v>0</v>
      </c>
      <c r="CS269" s="52">
        <v>0</v>
      </c>
      <c r="CT269" s="52">
        <v>0</v>
      </c>
      <c r="CU269" s="52">
        <v>0</v>
      </c>
      <c r="CV269" s="430">
        <f t="shared" si="8"/>
        <v>0</v>
      </c>
    </row>
    <row r="270" spans="1:100">
      <c r="A270" s="540" t="str">
        <f t="shared" si="7"/>
        <v>6720800</v>
      </c>
      <c r="B270" s="541" t="s">
        <v>2084</v>
      </c>
      <c r="C270" s="463" t="s">
        <v>1167</v>
      </c>
      <c r="D270" s="426">
        <v>202.08</v>
      </c>
      <c r="E270" s="426">
        <v>0</v>
      </c>
      <c r="F270" s="426">
        <v>0</v>
      </c>
      <c r="G270" s="426">
        <v>202.08</v>
      </c>
      <c r="H270" s="426">
        <v>0</v>
      </c>
      <c r="I270" s="426">
        <v>0</v>
      </c>
      <c r="J270" s="426">
        <v>3894.52</v>
      </c>
      <c r="K270" s="426">
        <v>0</v>
      </c>
      <c r="L270" s="426">
        <v>0</v>
      </c>
      <c r="M270" s="426">
        <v>0</v>
      </c>
      <c r="N270" s="426">
        <v>1280.31</v>
      </c>
      <c r="O270" s="427">
        <v>2182.09</v>
      </c>
      <c r="P270" s="52">
        <v>1465.66</v>
      </c>
      <c r="Q270" s="52">
        <v>16.45</v>
      </c>
      <c r="R270" s="52">
        <v>1394.11</v>
      </c>
      <c r="S270" s="52">
        <v>67.67</v>
      </c>
      <c r="T270" s="52">
        <v>94.47</v>
      </c>
      <c r="U270" s="52">
        <v>0</v>
      </c>
      <c r="V270" s="52">
        <v>0</v>
      </c>
      <c r="W270" s="52">
        <v>0</v>
      </c>
      <c r="X270" s="52">
        <v>0</v>
      </c>
      <c r="Y270" s="52">
        <v>67.2</v>
      </c>
      <c r="Z270" s="52">
        <v>0</v>
      </c>
      <c r="AA270" s="52">
        <v>0</v>
      </c>
      <c r="AB270" s="52">
        <v>0</v>
      </c>
      <c r="AC270" s="52">
        <v>0</v>
      </c>
      <c r="AD270" s="52">
        <v>513.6</v>
      </c>
      <c r="AE270" s="52">
        <v>128.4</v>
      </c>
      <c r="AF270" s="52">
        <v>128.4</v>
      </c>
      <c r="AG270" s="52">
        <v>128.4</v>
      </c>
      <c r="AH270" s="52">
        <v>128.4</v>
      </c>
      <c r="AI270" s="52">
        <v>128.4</v>
      </c>
      <c r="AJ270" s="52">
        <v>128.4</v>
      </c>
      <c r="AK270" s="52">
        <v>128.4</v>
      </c>
      <c r="AL270" s="52">
        <v>893.4</v>
      </c>
      <c r="AM270" s="52">
        <v>181.95</v>
      </c>
      <c r="AN270" s="52">
        <v>128.4</v>
      </c>
      <c r="AO270" s="52">
        <v>128.4</v>
      </c>
      <c r="AP270" s="52">
        <v>493.08</v>
      </c>
      <c r="AQ270" s="52">
        <v>153.88</v>
      </c>
      <c r="AR270" s="52">
        <v>128.4</v>
      </c>
      <c r="AS270" s="52">
        <v>120</v>
      </c>
      <c r="AT270" s="52">
        <v>136.80000000000001</v>
      </c>
      <c r="AU270" s="52">
        <v>0</v>
      </c>
      <c r="AV270" s="52">
        <v>129</v>
      </c>
      <c r="AW270" s="52">
        <v>129</v>
      </c>
      <c r="AX270" s="52">
        <v>249.6</v>
      </c>
      <c r="AY270" s="52">
        <v>129</v>
      </c>
      <c r="AZ270" s="52">
        <v>129</v>
      </c>
      <c r="BA270" s="52">
        <v>329.55</v>
      </c>
      <c r="BB270" s="52">
        <v>382.46</v>
      </c>
      <c r="BC270" s="52">
        <v>314.07</v>
      </c>
      <c r="BD270" s="52">
        <v>2656.66</v>
      </c>
      <c r="BE270" s="52">
        <v>401.18</v>
      </c>
      <c r="BF270" s="52">
        <v>659.7</v>
      </c>
      <c r="BG270" s="52">
        <v>333.73</v>
      </c>
      <c r="BH270" s="52">
        <v>348.58</v>
      </c>
      <c r="BI270" s="52">
        <v>331.18</v>
      </c>
      <c r="BJ270" s="52">
        <v>-240</v>
      </c>
      <c r="BK270" s="52">
        <v>258</v>
      </c>
      <c r="BL270" s="52">
        <v>349</v>
      </c>
      <c r="BM270" s="52">
        <v>349</v>
      </c>
      <c r="BN270" s="52">
        <v>317.47000000000003</v>
      </c>
      <c r="BO270" s="52">
        <v>362.2</v>
      </c>
      <c r="BP270" s="52">
        <v>342.89</v>
      </c>
      <c r="BQ270" s="52">
        <v>349</v>
      </c>
      <c r="BR270" s="52">
        <v>362.58</v>
      </c>
      <c r="BS270" s="52">
        <v>129</v>
      </c>
      <c r="BT270" s="52">
        <v>593.30999999999995</v>
      </c>
      <c r="BU270" s="52">
        <v>865.34</v>
      </c>
      <c r="BV270" s="52">
        <v>344.3</v>
      </c>
      <c r="BW270" s="52">
        <v>387.29</v>
      </c>
      <c r="BX270" s="52">
        <v>369.01</v>
      </c>
      <c r="BY270" s="52">
        <v>360.01</v>
      </c>
      <c r="BZ270" s="52">
        <v>374.45</v>
      </c>
      <c r="CA270" s="52">
        <v>378.96</v>
      </c>
      <c r="CB270" s="52">
        <v>372.21</v>
      </c>
      <c r="CC270" s="52">
        <v>129</v>
      </c>
      <c r="CD270" s="52">
        <v>376.06</v>
      </c>
      <c r="CE270" s="52">
        <v>394.06</v>
      </c>
      <c r="CF270" s="52">
        <v>376.06</v>
      </c>
      <c r="CG270" s="52">
        <v>378.3</v>
      </c>
      <c r="CH270" s="52">
        <v>385.06</v>
      </c>
      <c r="CI270" s="52">
        <v>369.3</v>
      </c>
      <c r="CJ270" s="52">
        <v>376.06</v>
      </c>
      <c r="CK270" s="52">
        <v>376.06</v>
      </c>
      <c r="CL270" s="52">
        <v>421.01</v>
      </c>
      <c r="CM270" s="52">
        <v>405.45</v>
      </c>
      <c r="CN270" s="52">
        <v>407.31</v>
      </c>
      <c r="CO270" s="52">
        <v>294.45</v>
      </c>
      <c r="CP270" s="52">
        <v>278.31</v>
      </c>
      <c r="CQ270" s="52">
        <v>266.77</v>
      </c>
      <c r="CR270" s="52">
        <v>524.77</v>
      </c>
      <c r="CS270" s="52">
        <v>138.66999999999999</v>
      </c>
      <c r="CT270" s="52">
        <v>553.96</v>
      </c>
      <c r="CU270" s="52">
        <v>452.63</v>
      </c>
      <c r="CV270" s="430">
        <f t="shared" si="8"/>
        <v>4495.45</v>
      </c>
    </row>
    <row r="271" spans="1:100">
      <c r="A271" s="540" t="str">
        <f t="shared" si="7"/>
        <v>6729000</v>
      </c>
      <c r="B271" s="541" t="s">
        <v>2085</v>
      </c>
      <c r="C271" s="463" t="s">
        <v>1168</v>
      </c>
      <c r="D271" s="426">
        <v>0</v>
      </c>
      <c r="E271" s="426">
        <v>0</v>
      </c>
      <c r="F271" s="426">
        <v>0</v>
      </c>
      <c r="G271" s="426">
        <v>0</v>
      </c>
      <c r="H271" s="426">
        <v>0</v>
      </c>
      <c r="I271" s="426">
        <v>0</v>
      </c>
      <c r="J271" s="426">
        <v>-3894.52</v>
      </c>
      <c r="K271" s="426">
        <v>0</v>
      </c>
      <c r="L271" s="426">
        <v>0</v>
      </c>
      <c r="M271" s="426">
        <v>0</v>
      </c>
      <c r="N271" s="426">
        <v>0</v>
      </c>
      <c r="O271" s="427">
        <v>0</v>
      </c>
      <c r="P271" s="52">
        <v>0</v>
      </c>
      <c r="Q271" s="52">
        <v>0</v>
      </c>
      <c r="R271" s="52">
        <v>0</v>
      </c>
      <c r="S271" s="52">
        <v>0</v>
      </c>
      <c r="T271" s="52">
        <v>0</v>
      </c>
      <c r="U271" s="52">
        <v>0</v>
      </c>
      <c r="V271" s="52">
        <v>0</v>
      </c>
      <c r="W271" s="52">
        <v>0</v>
      </c>
      <c r="X271" s="52">
        <v>0</v>
      </c>
      <c r="Y271" s="52">
        <v>0</v>
      </c>
      <c r="Z271" s="52">
        <v>0</v>
      </c>
      <c r="AA271" s="52">
        <v>0</v>
      </c>
      <c r="AB271" s="52">
        <v>1</v>
      </c>
      <c r="AC271" s="52">
        <v>2</v>
      </c>
      <c r="AD271" s="52">
        <v>3</v>
      </c>
      <c r="AE271" s="52">
        <v>0</v>
      </c>
      <c r="AF271" s="52">
        <v>0</v>
      </c>
      <c r="AG271" s="52">
        <v>0</v>
      </c>
      <c r="AH271" s="52">
        <v>0</v>
      </c>
      <c r="AI271" s="52">
        <v>0</v>
      </c>
      <c r="AJ271" s="52">
        <v>0</v>
      </c>
      <c r="AK271" s="52">
        <v>0</v>
      </c>
      <c r="AL271" s="52">
        <v>0</v>
      </c>
      <c r="AM271" s="52">
        <v>0</v>
      </c>
      <c r="AN271" s="52">
        <v>0</v>
      </c>
      <c r="AO271" s="52">
        <v>0</v>
      </c>
      <c r="AP271" s="52">
        <v>0</v>
      </c>
      <c r="AQ271" s="52">
        <v>0</v>
      </c>
      <c r="AR271" s="52">
        <v>0</v>
      </c>
      <c r="AS271" s="52">
        <v>0</v>
      </c>
      <c r="AT271" s="52">
        <v>0</v>
      </c>
      <c r="AU271" s="52">
        <v>0</v>
      </c>
      <c r="AV271" s="52">
        <v>0</v>
      </c>
      <c r="AW271" s="52">
        <v>0</v>
      </c>
      <c r="AX271" s="52">
        <v>0</v>
      </c>
      <c r="AY271" s="52">
        <v>0</v>
      </c>
      <c r="AZ271" s="52">
        <v>0</v>
      </c>
      <c r="BA271" s="52">
        <v>-8.4</v>
      </c>
      <c r="BB271" s="52">
        <v>-240</v>
      </c>
      <c r="BC271" s="52">
        <v>0</v>
      </c>
      <c r="BD271" s="52">
        <v>0</v>
      </c>
      <c r="BE271" s="52">
        <v>0</v>
      </c>
      <c r="BF271" s="52">
        <v>0</v>
      </c>
      <c r="BG271" s="52">
        <v>0</v>
      </c>
      <c r="BH271" s="52">
        <v>0</v>
      </c>
      <c r="BI271" s="52">
        <v>8.4</v>
      </c>
      <c r="BJ271" s="52">
        <v>240</v>
      </c>
      <c r="BK271" s="52">
        <v>0</v>
      </c>
      <c r="BL271" s="52">
        <v>0</v>
      </c>
      <c r="BM271" s="52">
        <v>0</v>
      </c>
      <c r="BN271" s="52">
        <v>0</v>
      </c>
      <c r="BO271" s="52">
        <v>0</v>
      </c>
      <c r="BP271" s="52">
        <v>0</v>
      </c>
      <c r="BQ271" s="52">
        <v>0</v>
      </c>
      <c r="BR271" s="52">
        <v>0</v>
      </c>
      <c r="BS271" s="52">
        <v>0</v>
      </c>
      <c r="BT271" s="52">
        <v>0</v>
      </c>
      <c r="BU271" s="52">
        <v>0</v>
      </c>
      <c r="BV271" s="52">
        <v>0</v>
      </c>
      <c r="BW271" s="52">
        <v>0</v>
      </c>
      <c r="BX271" s="52">
        <v>0</v>
      </c>
      <c r="BY271" s="52">
        <v>0</v>
      </c>
      <c r="BZ271" s="52">
        <v>0</v>
      </c>
      <c r="CA271" s="52">
        <v>0</v>
      </c>
      <c r="CB271" s="52">
        <v>0</v>
      </c>
      <c r="CC271" s="52">
        <v>0</v>
      </c>
      <c r="CD271" s="52">
        <v>0</v>
      </c>
      <c r="CE271" s="52">
        <v>0</v>
      </c>
      <c r="CF271" s="52">
        <v>0</v>
      </c>
      <c r="CG271" s="52">
        <v>0</v>
      </c>
      <c r="CH271" s="52">
        <v>0</v>
      </c>
      <c r="CI271" s="52">
        <v>0</v>
      </c>
      <c r="CJ271" s="52">
        <v>0</v>
      </c>
      <c r="CK271" s="52">
        <v>0</v>
      </c>
      <c r="CL271" s="52">
        <v>0</v>
      </c>
      <c r="CM271" s="52">
        <v>0</v>
      </c>
      <c r="CN271" s="52">
        <v>0</v>
      </c>
      <c r="CO271" s="52">
        <v>0</v>
      </c>
      <c r="CP271" s="52">
        <v>0</v>
      </c>
      <c r="CQ271" s="52">
        <v>0</v>
      </c>
      <c r="CR271" s="52">
        <v>0</v>
      </c>
      <c r="CS271" s="52">
        <v>0</v>
      </c>
      <c r="CT271" s="52">
        <v>0</v>
      </c>
      <c r="CU271" s="52">
        <v>0</v>
      </c>
      <c r="CV271" s="430">
        <f t="shared" si="8"/>
        <v>0</v>
      </c>
    </row>
    <row r="272" spans="1:100">
      <c r="A272" s="540" t="str">
        <f t="shared" si="7"/>
        <v>6730010</v>
      </c>
      <c r="B272" s="541" t="s">
        <v>2086</v>
      </c>
      <c r="C272" s="463" t="s">
        <v>1169</v>
      </c>
      <c r="D272" s="426">
        <v>38582.300000000003</v>
      </c>
      <c r="E272" s="426">
        <v>32458.61</v>
      </c>
      <c r="F272" s="426">
        <v>27738.880000000001</v>
      </c>
      <c r="G272" s="426">
        <v>2077.59</v>
      </c>
      <c r="H272" s="426">
        <v>44902.23</v>
      </c>
      <c r="I272" s="426">
        <v>28939.01</v>
      </c>
      <c r="J272" s="426">
        <v>52039.06</v>
      </c>
      <c r="K272" s="426">
        <v>39061.370000000003</v>
      </c>
      <c r="L272" s="426">
        <v>27598.14</v>
      </c>
      <c r="M272" s="426">
        <v>56319.28</v>
      </c>
      <c r="N272" s="426">
        <v>19776.62</v>
      </c>
      <c r="O272" s="427">
        <v>39070.19</v>
      </c>
      <c r="P272" s="52">
        <v>38729.360000000001</v>
      </c>
      <c r="Q272" s="52">
        <v>26891.119999999999</v>
      </c>
      <c r="R272" s="52">
        <v>39443.61</v>
      </c>
      <c r="S272" s="52">
        <v>30166.3</v>
      </c>
      <c r="T272" s="52">
        <v>22979.96</v>
      </c>
      <c r="U272" s="52">
        <v>46305.95</v>
      </c>
      <c r="V272" s="52">
        <v>37873.33</v>
      </c>
      <c r="W272" s="52">
        <v>27001.97</v>
      </c>
      <c r="X272" s="52">
        <v>47023.82</v>
      </c>
      <c r="Y272" s="52">
        <v>27943.84</v>
      </c>
      <c r="Z272" s="52">
        <v>31362.44</v>
      </c>
      <c r="AA272" s="52">
        <v>165929.21</v>
      </c>
      <c r="AB272" s="52">
        <v>30390.48</v>
      </c>
      <c r="AC272" s="52">
        <v>31989.46</v>
      </c>
      <c r="AD272" s="52">
        <v>31325.27</v>
      </c>
      <c r="AE272" s="52">
        <v>38089.64</v>
      </c>
      <c r="AF272" s="52">
        <v>29155.01</v>
      </c>
      <c r="AG272" s="52">
        <v>32998.230000000003</v>
      </c>
      <c r="AH272" s="52">
        <v>32584.7</v>
      </c>
      <c r="AI272" s="52">
        <v>43469.22</v>
      </c>
      <c r="AJ272" s="52">
        <v>36691.1</v>
      </c>
      <c r="AK272" s="52">
        <v>34333.370000000003</v>
      </c>
      <c r="AL272" s="52">
        <v>36553.589999999997</v>
      </c>
      <c r="AM272" s="52">
        <v>39447.35</v>
      </c>
      <c r="AN272" s="52">
        <v>29785.599999999999</v>
      </c>
      <c r="AO272" s="52">
        <v>33462.910000000003</v>
      </c>
      <c r="AP272" s="52">
        <v>29175.08</v>
      </c>
      <c r="AQ272" s="52">
        <v>32877.9</v>
      </c>
      <c r="AR272" s="52">
        <v>32154.23</v>
      </c>
      <c r="AS272" s="52">
        <v>38178.910000000003</v>
      </c>
      <c r="AT272" s="52">
        <v>34915.31</v>
      </c>
      <c r="AU272" s="52">
        <v>33532.43</v>
      </c>
      <c r="AV272" s="52">
        <v>33316.080000000002</v>
      </c>
      <c r="AW272" s="52">
        <v>37530.660000000003</v>
      </c>
      <c r="AX272" s="52">
        <v>31691.599999999999</v>
      </c>
      <c r="AY272" s="52">
        <v>33210.42</v>
      </c>
      <c r="AZ272" s="52">
        <v>38026.519999999997</v>
      </c>
      <c r="BA272" s="52">
        <v>25705.35</v>
      </c>
      <c r="BB272" s="52">
        <v>27658.44</v>
      </c>
      <c r="BC272" s="52">
        <v>35701.19</v>
      </c>
      <c r="BD272" s="52">
        <v>25243.61</v>
      </c>
      <c r="BE272" s="52">
        <v>41066.6</v>
      </c>
      <c r="BF272" s="52">
        <v>27509.97</v>
      </c>
      <c r="BG272" s="52">
        <v>32781.61</v>
      </c>
      <c r="BH272" s="52">
        <v>38432.54</v>
      </c>
      <c r="BI272" s="52">
        <v>31151.3</v>
      </c>
      <c r="BJ272" s="52">
        <v>25897.56</v>
      </c>
      <c r="BK272" s="52">
        <v>44002.09</v>
      </c>
      <c r="BL272" s="52">
        <v>25193.31</v>
      </c>
      <c r="BM272" s="52">
        <v>27887.759999999998</v>
      </c>
      <c r="BN272" s="52">
        <v>32195.08</v>
      </c>
      <c r="BO272" s="52">
        <v>27325.77</v>
      </c>
      <c r="BP272" s="52">
        <v>30371.39</v>
      </c>
      <c r="BQ272" s="52">
        <v>28483.759999999998</v>
      </c>
      <c r="BR272" s="52">
        <v>26645.26</v>
      </c>
      <c r="BS272" s="52">
        <v>24088.68</v>
      </c>
      <c r="BT272" s="52">
        <v>51231.95</v>
      </c>
      <c r="BU272" s="52">
        <v>44542.87</v>
      </c>
      <c r="BV272" s="52">
        <v>23037.64</v>
      </c>
      <c r="BW272" s="52">
        <v>30776.18</v>
      </c>
      <c r="BX272" s="52">
        <v>28210.39</v>
      </c>
      <c r="BY272" s="52">
        <v>26817.5</v>
      </c>
      <c r="BZ272" s="52">
        <v>24689.16</v>
      </c>
      <c r="CA272" s="52">
        <v>25792.02</v>
      </c>
      <c r="CB272" s="52">
        <v>24909.58</v>
      </c>
      <c r="CC272" s="52">
        <v>27460.799999999999</v>
      </c>
      <c r="CD272" s="52">
        <v>28563.82</v>
      </c>
      <c r="CE272" s="52">
        <v>32688.75</v>
      </c>
      <c r="CF272" s="52">
        <v>21140.26</v>
      </c>
      <c r="CG272" s="52">
        <v>20877.09</v>
      </c>
      <c r="CH272" s="52">
        <v>51214.92</v>
      </c>
      <c r="CI272" s="52">
        <v>26184.66</v>
      </c>
      <c r="CJ272" s="52">
        <v>70697.070000000007</v>
      </c>
      <c r="CK272" s="52">
        <v>34231.980000000003</v>
      </c>
      <c r="CL272" s="52">
        <v>26457.49</v>
      </c>
      <c r="CM272" s="52">
        <v>40135.96</v>
      </c>
      <c r="CN272" s="52">
        <v>21958.79</v>
      </c>
      <c r="CO272" s="52">
        <v>46467.76</v>
      </c>
      <c r="CP272" s="52">
        <v>41887.339999999997</v>
      </c>
      <c r="CQ272" s="52">
        <v>17989.57</v>
      </c>
      <c r="CR272" s="52">
        <v>72135.22</v>
      </c>
      <c r="CS272" s="52">
        <v>46795.87</v>
      </c>
      <c r="CT272" s="52">
        <v>27883.040000000001</v>
      </c>
      <c r="CU272" s="52">
        <v>28558.39</v>
      </c>
      <c r="CV272" s="430">
        <f t="shared" si="8"/>
        <v>475198.48000000004</v>
      </c>
    </row>
    <row r="273" spans="1:100">
      <c r="A273" s="540" t="str">
        <f t="shared" si="7"/>
        <v>6730020</v>
      </c>
      <c r="B273" s="541" t="s">
        <v>2087</v>
      </c>
      <c r="C273" s="463" t="s">
        <v>1170</v>
      </c>
      <c r="D273" s="428">
        <v>0</v>
      </c>
      <c r="E273" s="428">
        <v>0</v>
      </c>
      <c r="F273" s="428">
        <v>0</v>
      </c>
      <c r="G273" s="428">
        <v>0</v>
      </c>
      <c r="H273" s="428">
        <v>0</v>
      </c>
      <c r="I273" s="428">
        <v>0</v>
      </c>
      <c r="J273" s="428">
        <v>0</v>
      </c>
      <c r="K273" s="428">
        <v>13.22</v>
      </c>
      <c r="L273" s="428">
        <v>0</v>
      </c>
      <c r="M273" s="428">
        <v>0</v>
      </c>
      <c r="N273" s="428">
        <v>0</v>
      </c>
      <c r="O273" s="429">
        <v>0</v>
      </c>
      <c r="P273" s="52">
        <v>0</v>
      </c>
      <c r="Q273" s="52">
        <v>0</v>
      </c>
      <c r="R273" s="52">
        <v>0</v>
      </c>
      <c r="S273" s="52">
        <v>0</v>
      </c>
      <c r="T273" s="52">
        <v>0</v>
      </c>
      <c r="U273" s="52">
        <v>0</v>
      </c>
      <c r="V273" s="52">
        <v>0</v>
      </c>
      <c r="W273" s="52">
        <v>0</v>
      </c>
      <c r="X273" s="52">
        <v>0</v>
      </c>
      <c r="Y273" s="52">
        <v>0</v>
      </c>
      <c r="Z273" s="52">
        <v>0</v>
      </c>
      <c r="AA273" s="52">
        <v>0</v>
      </c>
      <c r="AB273" s="52">
        <v>0</v>
      </c>
      <c r="AC273" s="52">
        <v>0</v>
      </c>
      <c r="AD273" s="52">
        <v>0</v>
      </c>
      <c r="AE273" s="52">
        <v>0</v>
      </c>
      <c r="AF273" s="52">
        <v>0</v>
      </c>
      <c r="AG273" s="52">
        <v>0</v>
      </c>
      <c r="AH273" s="52">
        <v>0</v>
      </c>
      <c r="AI273" s="52">
        <v>0</v>
      </c>
      <c r="AJ273" s="52">
        <v>0</v>
      </c>
      <c r="AK273" s="52">
        <v>0</v>
      </c>
      <c r="AL273" s="52">
        <v>0</v>
      </c>
      <c r="AM273" s="52">
        <v>48.02</v>
      </c>
      <c r="AN273" s="52">
        <v>0</v>
      </c>
      <c r="AO273" s="52">
        <v>14.42</v>
      </c>
      <c r="AP273" s="52">
        <v>0</v>
      </c>
      <c r="AQ273" s="52">
        <v>0</v>
      </c>
      <c r="AR273" s="52">
        <v>0</v>
      </c>
      <c r="AS273" s="52">
        <v>0</v>
      </c>
      <c r="AT273" s="52">
        <v>24.01</v>
      </c>
      <c r="AU273" s="52">
        <v>0</v>
      </c>
      <c r="AV273" s="52">
        <v>0</v>
      </c>
      <c r="AW273" s="52">
        <v>0</v>
      </c>
      <c r="AX273" s="52">
        <v>0</v>
      </c>
      <c r="AY273" s="52">
        <v>0</v>
      </c>
      <c r="AZ273" s="52">
        <v>138.41999999999999</v>
      </c>
      <c r="BA273" s="52">
        <v>57.31</v>
      </c>
      <c r="BB273" s="52">
        <v>970.05</v>
      </c>
      <c r="BC273" s="52">
        <v>18.77</v>
      </c>
      <c r="BD273" s="52">
        <v>32.08</v>
      </c>
      <c r="BE273" s="52">
        <v>64.209999999999994</v>
      </c>
      <c r="BF273" s="52">
        <v>71.739999999999995</v>
      </c>
      <c r="BG273" s="52">
        <v>29.38</v>
      </c>
      <c r="BH273" s="52">
        <v>789.31</v>
      </c>
      <c r="BI273" s="52">
        <v>95.87</v>
      </c>
      <c r="BJ273" s="52">
        <v>0</v>
      </c>
      <c r="BK273" s="52">
        <v>0</v>
      </c>
      <c r="BL273" s="52">
        <v>0</v>
      </c>
      <c r="BM273" s="52">
        <v>0</v>
      </c>
      <c r="BN273" s="52">
        <v>0</v>
      </c>
      <c r="BO273" s="52">
        <v>0</v>
      </c>
      <c r="BP273" s="52">
        <v>0</v>
      </c>
      <c r="BQ273" s="52">
        <v>0</v>
      </c>
      <c r="BR273" s="52">
        <v>0</v>
      </c>
      <c r="BS273" s="52">
        <v>0</v>
      </c>
      <c r="BT273" s="52">
        <v>0</v>
      </c>
      <c r="BU273" s="52">
        <v>0</v>
      </c>
      <c r="BV273" s="52">
        <v>0</v>
      </c>
      <c r="BW273" s="52">
        <v>0</v>
      </c>
      <c r="BX273" s="52">
        <v>0</v>
      </c>
      <c r="BY273" s="52">
        <v>0</v>
      </c>
      <c r="BZ273" s="52">
        <v>0</v>
      </c>
      <c r="CA273" s="52">
        <v>23.08</v>
      </c>
      <c r="CB273" s="52">
        <v>24.68</v>
      </c>
      <c r="CC273" s="52">
        <v>0</v>
      </c>
      <c r="CD273" s="52">
        <v>0</v>
      </c>
      <c r="CE273" s="52">
        <v>0</v>
      </c>
      <c r="CF273" s="52">
        <v>0</v>
      </c>
      <c r="CG273" s="52">
        <v>0</v>
      </c>
      <c r="CH273" s="52">
        <v>0</v>
      </c>
      <c r="CI273" s="52">
        <v>0</v>
      </c>
      <c r="CJ273" s="52">
        <v>53.41</v>
      </c>
      <c r="CK273" s="52">
        <v>0</v>
      </c>
      <c r="CL273" s="52">
        <v>0</v>
      </c>
      <c r="CM273" s="52">
        <v>0</v>
      </c>
      <c r="CN273" s="52">
        <v>0</v>
      </c>
      <c r="CO273" s="52">
        <v>0</v>
      </c>
      <c r="CP273" s="52">
        <v>0</v>
      </c>
      <c r="CQ273" s="52">
        <v>0</v>
      </c>
      <c r="CR273" s="52">
        <v>0</v>
      </c>
      <c r="CS273" s="52">
        <v>0</v>
      </c>
      <c r="CT273" s="52">
        <v>0</v>
      </c>
      <c r="CU273" s="52">
        <v>0</v>
      </c>
      <c r="CV273" s="430">
        <f t="shared" si="8"/>
        <v>53.41</v>
      </c>
    </row>
    <row r="274" spans="1:100">
      <c r="A274" s="540" t="str">
        <f t="shared" si="7"/>
        <v>6730030</v>
      </c>
      <c r="B274" s="541" t="s">
        <v>2088</v>
      </c>
      <c r="C274" s="463" t="s">
        <v>1171</v>
      </c>
      <c r="D274" s="428">
        <v>176788.81</v>
      </c>
      <c r="E274" s="428">
        <v>145555.42000000001</v>
      </c>
      <c r="F274" s="428">
        <v>161197.93</v>
      </c>
      <c r="G274" s="428">
        <v>126214.65</v>
      </c>
      <c r="H274" s="428">
        <v>147677.04</v>
      </c>
      <c r="I274" s="428">
        <v>149750.67000000001</v>
      </c>
      <c r="J274" s="428">
        <v>155734.81</v>
      </c>
      <c r="K274" s="428">
        <v>137475.04999999999</v>
      </c>
      <c r="L274" s="428">
        <v>167229.82999999999</v>
      </c>
      <c r="M274" s="428">
        <v>151027.67000000001</v>
      </c>
      <c r="N274" s="428">
        <v>147217.85</v>
      </c>
      <c r="O274" s="429">
        <v>143483.09</v>
      </c>
      <c r="P274" s="52">
        <v>146617.5</v>
      </c>
      <c r="Q274" s="52">
        <v>133016.59</v>
      </c>
      <c r="R274" s="52">
        <v>149443.44</v>
      </c>
      <c r="S274" s="52">
        <v>123127.17</v>
      </c>
      <c r="T274" s="52">
        <v>181405.97</v>
      </c>
      <c r="U274" s="52">
        <v>153520.53</v>
      </c>
      <c r="V274" s="52">
        <v>125888.78</v>
      </c>
      <c r="W274" s="52">
        <v>139733.49</v>
      </c>
      <c r="X274" s="52">
        <v>139229.32</v>
      </c>
      <c r="Y274" s="52">
        <v>130513.05</v>
      </c>
      <c r="Z274" s="52">
        <v>138718.28</v>
      </c>
      <c r="AA274" s="52">
        <v>142083.19</v>
      </c>
      <c r="AB274" s="52">
        <v>138364.07</v>
      </c>
      <c r="AC274" s="52">
        <v>133533.26</v>
      </c>
      <c r="AD274" s="52">
        <v>145948.32999999999</v>
      </c>
      <c r="AE274" s="52">
        <v>135603.72</v>
      </c>
      <c r="AF274" s="52">
        <v>125423.99</v>
      </c>
      <c r="AG274" s="52">
        <v>146671.71</v>
      </c>
      <c r="AH274" s="52">
        <v>141236.49</v>
      </c>
      <c r="AI274" s="52">
        <v>118139.84</v>
      </c>
      <c r="AJ274" s="52">
        <v>163599.39000000001</v>
      </c>
      <c r="AK274" s="52">
        <v>136204.46</v>
      </c>
      <c r="AL274" s="52">
        <v>140349.26</v>
      </c>
      <c r="AM274" s="52">
        <v>136928.60999999999</v>
      </c>
      <c r="AN274" s="52">
        <v>123011.08</v>
      </c>
      <c r="AO274" s="52">
        <v>145641.01999999999</v>
      </c>
      <c r="AP274" s="52">
        <v>137982.6</v>
      </c>
      <c r="AQ274" s="52">
        <v>139182.43</v>
      </c>
      <c r="AR274" s="52">
        <v>141378.19</v>
      </c>
      <c r="AS274" s="52">
        <v>168620.7</v>
      </c>
      <c r="AT274" s="52">
        <v>137143.38</v>
      </c>
      <c r="AU274" s="52">
        <v>149938.54999999999</v>
      </c>
      <c r="AV274" s="52">
        <v>137088.44</v>
      </c>
      <c r="AW274" s="52">
        <v>139200.04</v>
      </c>
      <c r="AX274" s="52">
        <v>142470.76999999999</v>
      </c>
      <c r="AY274" s="52">
        <v>124478.6</v>
      </c>
      <c r="AZ274" s="52">
        <v>138374.63</v>
      </c>
      <c r="BA274" s="52">
        <v>138280.82</v>
      </c>
      <c r="BB274" s="52">
        <v>141506.64000000001</v>
      </c>
      <c r="BC274" s="52">
        <v>136381.26999999999</v>
      </c>
      <c r="BD274" s="52">
        <v>137852.01999999999</v>
      </c>
      <c r="BE274" s="52">
        <v>130842.25</v>
      </c>
      <c r="BF274" s="52">
        <v>138334.6</v>
      </c>
      <c r="BG274" s="52">
        <v>144030.18</v>
      </c>
      <c r="BH274" s="52">
        <v>201401.99</v>
      </c>
      <c r="BI274" s="52">
        <v>175894.5</v>
      </c>
      <c r="BJ274" s="52">
        <v>160234.70000000001</v>
      </c>
      <c r="BK274" s="52">
        <v>138029.57999999999</v>
      </c>
      <c r="BL274" s="52">
        <v>158529.16</v>
      </c>
      <c r="BM274" s="52">
        <v>148842.38</v>
      </c>
      <c r="BN274" s="52">
        <v>158694.07</v>
      </c>
      <c r="BO274" s="52">
        <v>165537.39000000001</v>
      </c>
      <c r="BP274" s="52">
        <v>164345.19</v>
      </c>
      <c r="BQ274" s="52">
        <v>166354.26999999999</v>
      </c>
      <c r="BR274" s="52">
        <v>173096.38</v>
      </c>
      <c r="BS274" s="52">
        <v>172676.2</v>
      </c>
      <c r="BT274" s="52">
        <v>169425.88</v>
      </c>
      <c r="BU274" s="52">
        <v>175355.68</v>
      </c>
      <c r="BV274" s="52">
        <v>160127.63</v>
      </c>
      <c r="BW274" s="52">
        <v>194068.06</v>
      </c>
      <c r="BX274" s="52">
        <v>175483.01</v>
      </c>
      <c r="BY274" s="52">
        <v>178595.39</v>
      </c>
      <c r="BZ274" s="52">
        <v>170596.56</v>
      </c>
      <c r="CA274" s="52">
        <v>171965.4</v>
      </c>
      <c r="CB274" s="52">
        <v>153265.34</v>
      </c>
      <c r="CC274" s="52">
        <v>216286.97</v>
      </c>
      <c r="CD274" s="52">
        <v>179080.1</v>
      </c>
      <c r="CE274" s="52">
        <v>166829.85999999999</v>
      </c>
      <c r="CF274" s="52">
        <v>202440.53</v>
      </c>
      <c r="CG274" s="52">
        <v>185784.2</v>
      </c>
      <c r="CH274" s="52">
        <v>190125.42</v>
      </c>
      <c r="CI274" s="52">
        <v>188999.67999999999</v>
      </c>
      <c r="CJ274" s="52">
        <v>186271.83</v>
      </c>
      <c r="CK274" s="52">
        <v>197590.1</v>
      </c>
      <c r="CL274" s="52">
        <v>195323.95</v>
      </c>
      <c r="CM274" s="52">
        <v>196774.11</v>
      </c>
      <c r="CN274" s="52">
        <v>192961.76</v>
      </c>
      <c r="CO274" s="52">
        <v>194595.65</v>
      </c>
      <c r="CP274" s="52">
        <v>208472.32000000001</v>
      </c>
      <c r="CQ274" s="52">
        <v>206692.66</v>
      </c>
      <c r="CR274" s="52">
        <v>197976.18</v>
      </c>
      <c r="CS274" s="52">
        <v>201793.24</v>
      </c>
      <c r="CT274" s="52">
        <v>234118.61</v>
      </c>
      <c r="CU274" s="52">
        <v>203116.25</v>
      </c>
      <c r="CV274" s="430">
        <f t="shared" si="8"/>
        <v>2415686.6599999997</v>
      </c>
    </row>
    <row r="275" spans="1:100">
      <c r="A275" s="540" t="str">
        <f t="shared" si="7"/>
        <v>6730050</v>
      </c>
      <c r="B275" s="541" t="s">
        <v>2089</v>
      </c>
      <c r="C275" s="463" t="s">
        <v>1172</v>
      </c>
      <c r="D275" s="426">
        <v>8534.77</v>
      </c>
      <c r="E275" s="426">
        <v>5612.72</v>
      </c>
      <c r="F275" s="426">
        <v>6202.99</v>
      </c>
      <c r="G275" s="426">
        <v>6960.79</v>
      </c>
      <c r="H275" s="426">
        <v>8077.71</v>
      </c>
      <c r="I275" s="426">
        <v>7221.53</v>
      </c>
      <c r="J275" s="426">
        <v>7673.15</v>
      </c>
      <c r="K275" s="426">
        <v>6380.41</v>
      </c>
      <c r="L275" s="426">
        <v>5572.29</v>
      </c>
      <c r="M275" s="426">
        <v>10429.129999999999</v>
      </c>
      <c r="N275" s="426">
        <v>6175</v>
      </c>
      <c r="O275" s="427">
        <v>7130.14</v>
      </c>
      <c r="P275" s="52">
        <v>6312.31</v>
      </c>
      <c r="Q275" s="52">
        <v>5424.86</v>
      </c>
      <c r="R275" s="52">
        <v>5363.7</v>
      </c>
      <c r="S275" s="52">
        <v>9008.58</v>
      </c>
      <c r="T275" s="52">
        <v>5284.79</v>
      </c>
      <c r="U275" s="52">
        <v>4934.5600000000004</v>
      </c>
      <c r="V275" s="52">
        <v>10712.86</v>
      </c>
      <c r="W275" s="52">
        <v>4417.76</v>
      </c>
      <c r="X275" s="52">
        <v>4508.1400000000003</v>
      </c>
      <c r="Y275" s="52">
        <v>7800.69</v>
      </c>
      <c r="Z275" s="52">
        <v>5221.92</v>
      </c>
      <c r="AA275" s="52">
        <v>5081.9399999999996</v>
      </c>
      <c r="AB275" s="52">
        <v>6850.96</v>
      </c>
      <c r="AC275" s="52">
        <v>5052.87</v>
      </c>
      <c r="AD275" s="52">
        <v>5593.55</v>
      </c>
      <c r="AE275" s="52">
        <v>7261.46</v>
      </c>
      <c r="AF275" s="52">
        <v>6841.84</v>
      </c>
      <c r="AG275" s="52">
        <v>7098.02</v>
      </c>
      <c r="AH275" s="52">
        <v>6902.9</v>
      </c>
      <c r="AI275" s="52">
        <v>5137.8599999999997</v>
      </c>
      <c r="AJ275" s="52">
        <v>10487.3</v>
      </c>
      <c r="AK275" s="52">
        <v>3558.62</v>
      </c>
      <c r="AL275" s="52">
        <v>8055.54</v>
      </c>
      <c r="AM275" s="52">
        <v>6733.78</v>
      </c>
      <c r="AN275" s="52">
        <v>11943.24</v>
      </c>
      <c r="AO275" s="52">
        <v>4077.8</v>
      </c>
      <c r="AP275" s="52">
        <v>3081.83</v>
      </c>
      <c r="AQ275" s="52">
        <v>4353.08</v>
      </c>
      <c r="AR275" s="52">
        <v>4322.3100000000004</v>
      </c>
      <c r="AS275" s="52">
        <v>2313.4</v>
      </c>
      <c r="AT275" s="52">
        <v>4553.32</v>
      </c>
      <c r="AU275" s="52">
        <v>3450.01</v>
      </c>
      <c r="AV275" s="52">
        <v>3448.84</v>
      </c>
      <c r="AW275" s="52">
        <v>7421.59</v>
      </c>
      <c r="AX275" s="52">
        <v>3572.91</v>
      </c>
      <c r="AY275" s="52">
        <v>3379.65</v>
      </c>
      <c r="AZ275" s="52">
        <v>4435.1499999999996</v>
      </c>
      <c r="BA275" s="52">
        <v>3246.09</v>
      </c>
      <c r="BB275" s="52">
        <v>2031.81</v>
      </c>
      <c r="BC275" s="52">
        <v>7134.7</v>
      </c>
      <c r="BD275" s="52">
        <v>3834.52</v>
      </c>
      <c r="BE275" s="52">
        <v>2885.1</v>
      </c>
      <c r="BF275" s="52">
        <v>7335.27</v>
      </c>
      <c r="BG275" s="52">
        <v>6204.1</v>
      </c>
      <c r="BH275" s="52">
        <v>962.14</v>
      </c>
      <c r="BI275" s="52">
        <v>3365.18</v>
      </c>
      <c r="BJ275" s="52">
        <v>6962.2</v>
      </c>
      <c r="BK275" s="52">
        <v>2022.95</v>
      </c>
      <c r="BL275" s="52">
        <v>6266.28</v>
      </c>
      <c r="BM275" s="52">
        <v>3904.66</v>
      </c>
      <c r="BN275" s="52">
        <v>4387.49</v>
      </c>
      <c r="BO275" s="52">
        <v>4639.37</v>
      </c>
      <c r="BP275" s="52">
        <v>6725.54</v>
      </c>
      <c r="BQ275" s="52">
        <v>3026.35</v>
      </c>
      <c r="BR275" s="52">
        <v>6793.21</v>
      </c>
      <c r="BS275" s="52">
        <v>5288.25</v>
      </c>
      <c r="BT275" s="52">
        <v>6026.93</v>
      </c>
      <c r="BU275" s="52">
        <v>7381.67</v>
      </c>
      <c r="BV275" s="52">
        <v>6499.53</v>
      </c>
      <c r="BW275" s="52">
        <v>5143.0200000000004</v>
      </c>
      <c r="BX275" s="52">
        <v>8908.19</v>
      </c>
      <c r="BY275" s="52">
        <v>6960.34</v>
      </c>
      <c r="BZ275" s="52">
        <v>6608.39</v>
      </c>
      <c r="CA275" s="52">
        <v>7767.43</v>
      </c>
      <c r="CB275" s="52">
        <v>12918.15</v>
      </c>
      <c r="CC275" s="52">
        <v>12304.93</v>
      </c>
      <c r="CD275" s="52">
        <v>1512.05</v>
      </c>
      <c r="CE275" s="52">
        <v>5095.22</v>
      </c>
      <c r="CF275" s="52">
        <v>5508.99</v>
      </c>
      <c r="CG275" s="52">
        <v>6151.77</v>
      </c>
      <c r="CH275" s="52">
        <v>6457.96</v>
      </c>
      <c r="CI275" s="52">
        <v>5778.79</v>
      </c>
      <c r="CJ275" s="52">
        <v>16088.08</v>
      </c>
      <c r="CK275" s="52">
        <v>3117.8</v>
      </c>
      <c r="CL275" s="52">
        <v>10264.73</v>
      </c>
      <c r="CM275" s="52">
        <v>7361.33</v>
      </c>
      <c r="CN275" s="52">
        <v>6251.09</v>
      </c>
      <c r="CO275" s="52">
        <v>9154.32</v>
      </c>
      <c r="CP275" s="52">
        <v>9728</v>
      </c>
      <c r="CQ275" s="52">
        <v>6710.73</v>
      </c>
      <c r="CR275" s="52">
        <v>15562.68</v>
      </c>
      <c r="CS275" s="52">
        <v>6636.96</v>
      </c>
      <c r="CT275" s="52">
        <v>10563.15</v>
      </c>
      <c r="CU275" s="52">
        <v>9157.1</v>
      </c>
      <c r="CV275" s="430">
        <f t="shared" si="8"/>
        <v>110595.97000000002</v>
      </c>
    </row>
    <row r="276" spans="1:100">
      <c r="A276" s="540" t="str">
        <f t="shared" si="7"/>
        <v>6730060</v>
      </c>
      <c r="B276" s="541" t="s">
        <v>2090</v>
      </c>
      <c r="C276" s="463" t="s">
        <v>1173</v>
      </c>
      <c r="D276" s="428">
        <v>1625.42</v>
      </c>
      <c r="E276" s="428">
        <v>2114.34</v>
      </c>
      <c r="F276" s="428">
        <v>2582.84</v>
      </c>
      <c r="G276" s="428">
        <v>500.83</v>
      </c>
      <c r="H276" s="428">
        <v>3133.64</v>
      </c>
      <c r="I276" s="428">
        <v>1673.29</v>
      </c>
      <c r="J276" s="428">
        <v>2129.3200000000002</v>
      </c>
      <c r="K276" s="428">
        <v>715.06</v>
      </c>
      <c r="L276" s="428">
        <v>1172.21</v>
      </c>
      <c r="M276" s="428">
        <v>2507.29</v>
      </c>
      <c r="N276" s="428">
        <v>1090.3900000000001</v>
      </c>
      <c r="O276" s="429">
        <v>1316.64</v>
      </c>
      <c r="P276" s="52">
        <v>1741.6</v>
      </c>
      <c r="Q276" s="52">
        <v>296.45</v>
      </c>
      <c r="R276" s="52">
        <v>2362.83</v>
      </c>
      <c r="S276" s="52">
        <v>1823.5</v>
      </c>
      <c r="T276" s="52">
        <v>937.43</v>
      </c>
      <c r="U276" s="52">
        <v>1763.05</v>
      </c>
      <c r="V276" s="52">
        <v>1530.4</v>
      </c>
      <c r="W276" s="52">
        <v>502.28</v>
      </c>
      <c r="X276" s="52">
        <v>2453.06</v>
      </c>
      <c r="Y276" s="52">
        <v>1500.49</v>
      </c>
      <c r="Z276" s="52">
        <v>1371</v>
      </c>
      <c r="AA276" s="52">
        <v>1241.26</v>
      </c>
      <c r="AB276" s="52">
        <v>734.83</v>
      </c>
      <c r="AC276" s="52">
        <v>1376.13</v>
      </c>
      <c r="AD276" s="52">
        <v>1240.76</v>
      </c>
      <c r="AE276" s="52">
        <v>1323.14</v>
      </c>
      <c r="AF276" s="52">
        <v>1280.75</v>
      </c>
      <c r="AG276" s="52">
        <v>1678.26</v>
      </c>
      <c r="AH276" s="52">
        <v>1385.17</v>
      </c>
      <c r="AI276" s="52">
        <v>1826.87</v>
      </c>
      <c r="AJ276" s="52">
        <v>704</v>
      </c>
      <c r="AK276" s="52">
        <v>2059.04</v>
      </c>
      <c r="AL276" s="52">
        <v>1472.07</v>
      </c>
      <c r="AM276" s="52">
        <v>4281.84</v>
      </c>
      <c r="AN276" s="52">
        <v>1859.11</v>
      </c>
      <c r="AO276" s="52">
        <v>1529.68</v>
      </c>
      <c r="AP276" s="52">
        <v>2072.2199999999998</v>
      </c>
      <c r="AQ276" s="52">
        <v>1397.06</v>
      </c>
      <c r="AR276" s="52">
        <v>1235.6099999999999</v>
      </c>
      <c r="AS276" s="52">
        <v>2824.4</v>
      </c>
      <c r="AT276" s="52">
        <v>5553.41</v>
      </c>
      <c r="AU276" s="52">
        <v>3414.51</v>
      </c>
      <c r="AV276" s="52">
        <v>3575.5</v>
      </c>
      <c r="AW276" s="52">
        <v>9530.73</v>
      </c>
      <c r="AX276" s="52">
        <v>2071.98</v>
      </c>
      <c r="AY276" s="52">
        <v>8313.15</v>
      </c>
      <c r="AZ276" s="52">
        <v>12581.92</v>
      </c>
      <c r="BA276" s="52">
        <v>3483.88</v>
      </c>
      <c r="BB276" s="52">
        <v>3217.75</v>
      </c>
      <c r="BC276" s="52">
        <v>3790.01</v>
      </c>
      <c r="BD276" s="52">
        <v>2885.68</v>
      </c>
      <c r="BE276" s="52">
        <v>5041.07</v>
      </c>
      <c r="BF276" s="52">
        <v>9084.4500000000007</v>
      </c>
      <c r="BG276" s="52">
        <v>1666.38</v>
      </c>
      <c r="BH276" s="52">
        <v>674.04</v>
      </c>
      <c r="BI276" s="52">
        <v>10996.08</v>
      </c>
      <c r="BJ276" s="52">
        <v>2918.35</v>
      </c>
      <c r="BK276" s="52">
        <v>2893.69</v>
      </c>
      <c r="BL276" s="52">
        <v>9703.66</v>
      </c>
      <c r="BM276" s="52">
        <v>2266.37</v>
      </c>
      <c r="BN276" s="52">
        <v>5068.99</v>
      </c>
      <c r="BO276" s="52">
        <v>4803.55</v>
      </c>
      <c r="BP276" s="52">
        <v>7047.93</v>
      </c>
      <c r="BQ276" s="52">
        <v>3775.37</v>
      </c>
      <c r="BR276" s="52">
        <v>3118.77</v>
      </c>
      <c r="BS276" s="52">
        <v>1477.91</v>
      </c>
      <c r="BT276" s="52">
        <v>3561.98</v>
      </c>
      <c r="BU276" s="52">
        <v>6921.73</v>
      </c>
      <c r="BV276" s="52">
        <v>2949.25</v>
      </c>
      <c r="BW276" s="52">
        <v>3569.77</v>
      </c>
      <c r="BX276" s="52">
        <v>3113.87</v>
      </c>
      <c r="BY276" s="52">
        <v>3294.7</v>
      </c>
      <c r="BZ276" s="52">
        <v>3333.15</v>
      </c>
      <c r="CA276" s="52">
        <v>4920.92</v>
      </c>
      <c r="CB276" s="52">
        <v>1172.76</v>
      </c>
      <c r="CC276" s="52">
        <v>306.29000000000002</v>
      </c>
      <c r="CD276" s="52">
        <v>17439.62</v>
      </c>
      <c r="CE276" s="52">
        <v>3775.06</v>
      </c>
      <c r="CF276" s="52">
        <v>702.26</v>
      </c>
      <c r="CG276" s="52">
        <v>2454.54</v>
      </c>
      <c r="CH276" s="52">
        <v>6010.88</v>
      </c>
      <c r="CI276" s="52">
        <v>6675.81</v>
      </c>
      <c r="CJ276" s="52">
        <v>4508.09</v>
      </c>
      <c r="CK276" s="52">
        <v>1378.69</v>
      </c>
      <c r="CL276" s="52">
        <v>6098.82</v>
      </c>
      <c r="CM276" s="52">
        <v>4422.08</v>
      </c>
      <c r="CN276" s="52">
        <v>3969.17</v>
      </c>
      <c r="CO276" s="52">
        <v>4261.03</v>
      </c>
      <c r="CP276" s="52">
        <v>3909.56</v>
      </c>
      <c r="CQ276" s="52">
        <v>3136.6</v>
      </c>
      <c r="CR276" s="52">
        <v>3928.99</v>
      </c>
      <c r="CS276" s="52">
        <v>1122.46</v>
      </c>
      <c r="CT276" s="52">
        <v>6466.73</v>
      </c>
      <c r="CU276" s="52">
        <v>467.35</v>
      </c>
      <c r="CV276" s="430">
        <f t="shared" si="8"/>
        <v>43669.57</v>
      </c>
    </row>
    <row r="277" spans="1:100">
      <c r="A277" s="540" t="str">
        <f t="shared" si="7"/>
        <v>6730800</v>
      </c>
      <c r="B277" s="541" t="s">
        <v>2091</v>
      </c>
      <c r="C277" s="463" t="s">
        <v>1174</v>
      </c>
      <c r="D277" s="426">
        <v>1992</v>
      </c>
      <c r="E277" s="426">
        <v>672.53</v>
      </c>
      <c r="F277" s="426">
        <v>770.04</v>
      </c>
      <c r="G277" s="426">
        <v>1029.6500000000001</v>
      </c>
      <c r="H277" s="426">
        <v>573.97</v>
      </c>
      <c r="I277" s="426">
        <v>1239.57</v>
      </c>
      <c r="J277" s="426">
        <v>1284.55</v>
      </c>
      <c r="K277" s="426">
        <v>175.09</v>
      </c>
      <c r="L277" s="426">
        <v>1458.17</v>
      </c>
      <c r="M277" s="426">
        <v>1879.26</v>
      </c>
      <c r="N277" s="426">
        <v>321.35000000000002</v>
      </c>
      <c r="O277" s="427">
        <v>831.08</v>
      </c>
      <c r="P277" s="52">
        <v>464.97</v>
      </c>
      <c r="Q277" s="52">
        <v>-42.86</v>
      </c>
      <c r="R277" s="52">
        <v>1027.07</v>
      </c>
      <c r="S277" s="52">
        <v>524.83000000000004</v>
      </c>
      <c r="T277" s="52">
        <v>1262.1400000000001</v>
      </c>
      <c r="U277" s="52">
        <v>1005.68</v>
      </c>
      <c r="V277" s="52">
        <v>458.23</v>
      </c>
      <c r="W277" s="52">
        <v>469.51</v>
      </c>
      <c r="X277" s="52">
        <v>840.45</v>
      </c>
      <c r="Y277" s="52">
        <v>347</v>
      </c>
      <c r="Z277" s="52">
        <v>596.02</v>
      </c>
      <c r="AA277" s="52">
        <v>913.47</v>
      </c>
      <c r="AB277" s="52">
        <v>342.34</v>
      </c>
      <c r="AC277" s="52">
        <v>789.26</v>
      </c>
      <c r="AD277" s="52">
        <v>711.35</v>
      </c>
      <c r="AE277" s="52">
        <v>650.57000000000005</v>
      </c>
      <c r="AF277" s="52">
        <v>9988.69</v>
      </c>
      <c r="AG277" s="52">
        <v>681.23</v>
      </c>
      <c r="AH277" s="52">
        <v>652.67999999999995</v>
      </c>
      <c r="AI277" s="52">
        <v>1262.43</v>
      </c>
      <c r="AJ277" s="52">
        <v>110.13</v>
      </c>
      <c r="AK277" s="52">
        <v>791.77</v>
      </c>
      <c r="AL277" s="52">
        <v>2870.39</v>
      </c>
      <c r="AM277" s="52">
        <v>714.77</v>
      </c>
      <c r="AN277" s="52">
        <v>801.01</v>
      </c>
      <c r="AO277" s="52">
        <v>504.66</v>
      </c>
      <c r="AP277" s="52">
        <v>791.96</v>
      </c>
      <c r="AQ277" s="52">
        <v>780.73</v>
      </c>
      <c r="AR277" s="52">
        <v>428.61</v>
      </c>
      <c r="AS277" s="52">
        <v>585.73</v>
      </c>
      <c r="AT277" s="52">
        <v>763.84</v>
      </c>
      <c r="AU277" s="52">
        <v>1878.36</v>
      </c>
      <c r="AV277" s="52">
        <v>651.07000000000005</v>
      </c>
      <c r="AW277" s="52">
        <v>1141.5899999999999</v>
      </c>
      <c r="AX277" s="52">
        <v>780.22</v>
      </c>
      <c r="AY277" s="52">
        <v>1024.17</v>
      </c>
      <c r="AZ277" s="52">
        <v>1620.3</v>
      </c>
      <c r="BA277" s="52">
        <v>555.69000000000005</v>
      </c>
      <c r="BB277" s="52">
        <v>785.72</v>
      </c>
      <c r="BC277" s="52">
        <v>998.77</v>
      </c>
      <c r="BD277" s="52">
        <v>664.9</v>
      </c>
      <c r="BE277" s="52">
        <v>952.39</v>
      </c>
      <c r="BF277" s="52">
        <v>336.33</v>
      </c>
      <c r="BG277" s="52">
        <v>813.45</v>
      </c>
      <c r="BH277" s="52">
        <v>599.64</v>
      </c>
      <c r="BI277" s="52">
        <v>1102.56</v>
      </c>
      <c r="BJ277" s="52">
        <v>421.14</v>
      </c>
      <c r="BK277" s="52">
        <v>707.63</v>
      </c>
      <c r="BL277" s="52">
        <v>538.19000000000005</v>
      </c>
      <c r="BM277" s="52">
        <v>2482.0300000000002</v>
      </c>
      <c r="BN277" s="52">
        <v>495.64</v>
      </c>
      <c r="BO277" s="52">
        <v>411.88</v>
      </c>
      <c r="BP277" s="52">
        <v>763.9</v>
      </c>
      <c r="BQ277" s="52">
        <v>929.99</v>
      </c>
      <c r="BR277" s="52">
        <v>894.56</v>
      </c>
      <c r="BS277" s="52">
        <v>2308.25</v>
      </c>
      <c r="BT277" s="52">
        <v>758.15</v>
      </c>
      <c r="BU277" s="52">
        <v>1403.5</v>
      </c>
      <c r="BV277" s="52">
        <v>421.37</v>
      </c>
      <c r="BW277" s="52">
        <v>882.35</v>
      </c>
      <c r="BX277" s="52">
        <v>1594.23</v>
      </c>
      <c r="BY277" s="52">
        <v>1052.82</v>
      </c>
      <c r="BZ277" s="52">
        <v>1243.1300000000001</v>
      </c>
      <c r="CA277" s="52">
        <v>512.80999999999995</v>
      </c>
      <c r="CB277" s="52">
        <v>937.02</v>
      </c>
      <c r="CC277" s="52">
        <v>1409.76</v>
      </c>
      <c r="CD277" s="52">
        <v>1745.31</v>
      </c>
      <c r="CE277" s="52">
        <v>2141.73</v>
      </c>
      <c r="CF277" s="52">
        <v>1922.42</v>
      </c>
      <c r="CG277" s="52">
        <v>1696.64</v>
      </c>
      <c r="CH277" s="52">
        <v>4218.18</v>
      </c>
      <c r="CI277" s="52">
        <v>1539.97</v>
      </c>
      <c r="CJ277" s="52">
        <v>2308.0700000000002</v>
      </c>
      <c r="CK277" s="52">
        <v>3010.39</v>
      </c>
      <c r="CL277" s="52">
        <v>2181.4499999999998</v>
      </c>
      <c r="CM277" s="52">
        <v>856.68</v>
      </c>
      <c r="CN277" s="52">
        <v>840.85</v>
      </c>
      <c r="CO277" s="52">
        <v>1477.27</v>
      </c>
      <c r="CP277" s="52">
        <v>1844.23</v>
      </c>
      <c r="CQ277" s="52">
        <v>2349.7600000000002</v>
      </c>
      <c r="CR277" s="52">
        <v>1552.46</v>
      </c>
      <c r="CS277" s="52">
        <v>8057.66</v>
      </c>
      <c r="CT277" s="52">
        <v>1134.54</v>
      </c>
      <c r="CU277" s="52">
        <v>13260.27</v>
      </c>
      <c r="CV277" s="430">
        <f t="shared" si="8"/>
        <v>38873.630000000005</v>
      </c>
    </row>
    <row r="278" spans="1:100">
      <c r="A278" s="540" t="str">
        <f t="shared" si="7"/>
        <v>6739000</v>
      </c>
      <c r="B278" s="541" t="s">
        <v>2092</v>
      </c>
      <c r="C278" s="463" t="s">
        <v>1175</v>
      </c>
      <c r="D278" s="428">
        <v>-4481.5200000000004</v>
      </c>
      <c r="E278" s="428">
        <v>-8.15</v>
      </c>
      <c r="F278" s="428">
        <v>-4478.99</v>
      </c>
      <c r="G278" s="428">
        <v>-5.34</v>
      </c>
      <c r="H278" s="428">
        <v>-5.53</v>
      </c>
      <c r="I278" s="428">
        <v>-8.14</v>
      </c>
      <c r="J278" s="428">
        <v>-9.59</v>
      </c>
      <c r="K278" s="428">
        <v>0</v>
      </c>
      <c r="L278" s="428">
        <v>-5.18</v>
      </c>
      <c r="M278" s="428">
        <v>-10.16</v>
      </c>
      <c r="N278" s="428">
        <v>0</v>
      </c>
      <c r="O278" s="429">
        <v>-5.08</v>
      </c>
      <c r="P278" s="52">
        <v>-5.18</v>
      </c>
      <c r="Q278" s="52">
        <v>-5.04</v>
      </c>
      <c r="R278" s="52">
        <v>-35.96</v>
      </c>
      <c r="S278" s="52">
        <v>-5.07</v>
      </c>
      <c r="T278" s="52">
        <v>-260.33999999999997</v>
      </c>
      <c r="U278" s="52">
        <v>-173.33</v>
      </c>
      <c r="V278" s="52">
        <v>-130.44</v>
      </c>
      <c r="W278" s="52">
        <v>-132.30000000000001</v>
      </c>
      <c r="X278" s="52">
        <v>-137.49</v>
      </c>
      <c r="Y278" s="52">
        <v>-137.38999999999999</v>
      </c>
      <c r="Z278" s="52">
        <v>-137.35</v>
      </c>
      <c r="AA278" s="52">
        <v>-125094.92</v>
      </c>
      <c r="AB278" s="52">
        <v>-138.08000000000001</v>
      </c>
      <c r="AC278" s="52">
        <v>-138.54</v>
      </c>
      <c r="AD278" s="52">
        <v>-133.13</v>
      </c>
      <c r="AE278" s="52">
        <v>-133.13999999999999</v>
      </c>
      <c r="AF278" s="52">
        <v>-9189.2099999999991</v>
      </c>
      <c r="AG278" s="52">
        <v>-266.24</v>
      </c>
      <c r="AH278" s="52">
        <v>-135.49</v>
      </c>
      <c r="AI278" s="52">
        <v>-141.91</v>
      </c>
      <c r="AJ278" s="52">
        <v>-5.2</v>
      </c>
      <c r="AK278" s="52">
        <v>-7.47</v>
      </c>
      <c r="AL278" s="52">
        <v>-5.07</v>
      </c>
      <c r="AM278" s="52">
        <v>-5.07</v>
      </c>
      <c r="AN278" s="52">
        <v>-7.43</v>
      </c>
      <c r="AO278" s="52">
        <v>-6.03</v>
      </c>
      <c r="AP278" s="52">
        <v>-8.49</v>
      </c>
      <c r="AQ278" s="52">
        <v>-14.93</v>
      </c>
      <c r="AR278" s="52">
        <v>-6.4</v>
      </c>
      <c r="AS278" s="52">
        <v>-499.96</v>
      </c>
      <c r="AT278" s="52">
        <v>-6.48</v>
      </c>
      <c r="AU278" s="52">
        <v>-6.25</v>
      </c>
      <c r="AV278" s="52">
        <v>-221.27</v>
      </c>
      <c r="AW278" s="52">
        <v>-7550.18</v>
      </c>
      <c r="AX278" s="52">
        <v>-487.7</v>
      </c>
      <c r="AY278" s="52">
        <v>-214.64</v>
      </c>
      <c r="AZ278" s="52">
        <v>-11059.83</v>
      </c>
      <c r="BA278" s="52">
        <v>-82.36</v>
      </c>
      <c r="BB278" s="52">
        <v>-1940.76</v>
      </c>
      <c r="BC278" s="52">
        <v>572.87</v>
      </c>
      <c r="BD278" s="52">
        <v>-165.04</v>
      </c>
      <c r="BE278" s="52">
        <v>-252.73</v>
      </c>
      <c r="BF278" s="52">
        <v>-7264.39</v>
      </c>
      <c r="BG278" s="52">
        <v>-195.47</v>
      </c>
      <c r="BH278" s="52">
        <v>-52136.61</v>
      </c>
      <c r="BI278" s="52">
        <v>-7082.86</v>
      </c>
      <c r="BJ278" s="52">
        <v>-839.53</v>
      </c>
      <c r="BK278" s="52">
        <v>-99.13</v>
      </c>
      <c r="BL278" s="52">
        <v>-5229.2299999999996</v>
      </c>
      <c r="BM278" s="52">
        <v>-63.4</v>
      </c>
      <c r="BN278" s="52">
        <v>-1203.19</v>
      </c>
      <c r="BO278" s="52">
        <v>-87.81</v>
      </c>
      <c r="BP278" s="52">
        <v>-4992.5</v>
      </c>
      <c r="BQ278" s="52">
        <v>-2403.25</v>
      </c>
      <c r="BR278" s="52">
        <v>-4045.79</v>
      </c>
      <c r="BS278" s="52">
        <v>-5927.36</v>
      </c>
      <c r="BT278" s="52">
        <v>-3671.55</v>
      </c>
      <c r="BU278" s="52">
        <v>-4938.47</v>
      </c>
      <c r="BV278" s="52">
        <v>-3589.58</v>
      </c>
      <c r="BW278" s="52">
        <v>-4350.41</v>
      </c>
      <c r="BX278" s="52">
        <v>-4839.62</v>
      </c>
      <c r="BY278" s="52">
        <v>-5898.09</v>
      </c>
      <c r="BZ278" s="52">
        <v>-4473.38</v>
      </c>
      <c r="CA278" s="52">
        <v>-4397.03</v>
      </c>
      <c r="CB278" s="52">
        <v>-4001.23</v>
      </c>
      <c r="CC278" s="52">
        <v>-4195.29</v>
      </c>
      <c r="CD278" s="52">
        <v>-5017.08</v>
      </c>
      <c r="CE278" s="52">
        <v>-4685.84</v>
      </c>
      <c r="CF278" s="52">
        <v>-5692.38</v>
      </c>
      <c r="CG278" s="52">
        <v>-4276.1000000000004</v>
      </c>
      <c r="CH278" s="52">
        <v>-11217.75</v>
      </c>
      <c r="CI278" s="52">
        <v>-6359.23</v>
      </c>
      <c r="CJ278" s="52">
        <v>-6451.39</v>
      </c>
      <c r="CK278" s="52">
        <v>-8000.49</v>
      </c>
      <c r="CL278" s="52">
        <v>-4909.33</v>
      </c>
      <c r="CM278" s="52">
        <v>-9028.7099999999991</v>
      </c>
      <c r="CN278" s="52">
        <v>-9500.5300000000007</v>
      </c>
      <c r="CO278" s="52">
        <v>-8620.61</v>
      </c>
      <c r="CP278" s="52">
        <v>-20779.169999999998</v>
      </c>
      <c r="CQ278" s="52">
        <v>-14865.6</v>
      </c>
      <c r="CR278" s="52">
        <v>-12642.8</v>
      </c>
      <c r="CS278" s="52">
        <v>-14440.88</v>
      </c>
      <c r="CT278" s="52">
        <v>-46456.03</v>
      </c>
      <c r="CU278" s="52">
        <v>-20917.5</v>
      </c>
      <c r="CV278" s="430">
        <f t="shared" si="8"/>
        <v>-176613.04</v>
      </c>
    </row>
    <row r="279" spans="1:100">
      <c r="A279" s="540" t="str">
        <f t="shared" si="7"/>
        <v>6780020</v>
      </c>
      <c r="B279" s="541" t="s">
        <v>2093</v>
      </c>
      <c r="C279" s="463" t="s">
        <v>1176</v>
      </c>
      <c r="D279" s="426">
        <v>-19918.57</v>
      </c>
      <c r="E279" s="426">
        <v>-23155.26</v>
      </c>
      <c r="F279" s="426">
        <v>-18041.55</v>
      </c>
      <c r="G279" s="426">
        <v>-1248.47</v>
      </c>
      <c r="H279" s="426">
        <v>-25829</v>
      </c>
      <c r="I279" s="426">
        <v>-17092.75</v>
      </c>
      <c r="J279" s="426">
        <v>-30366.15</v>
      </c>
      <c r="K279" s="426">
        <v>0</v>
      </c>
      <c r="L279" s="426">
        <v>-13574.4</v>
      </c>
      <c r="M279" s="426">
        <v>-14021.25</v>
      </c>
      <c r="N279" s="426">
        <v>-14421.05</v>
      </c>
      <c r="O279" s="427">
        <v>-11276.9</v>
      </c>
      <c r="P279" s="52">
        <v>-96</v>
      </c>
      <c r="Q279" s="52">
        <v>0</v>
      </c>
      <c r="R279" s="52">
        <v>-62233.55</v>
      </c>
      <c r="S279" s="52">
        <v>-1472</v>
      </c>
      <c r="T279" s="52">
        <v>-31357.65</v>
      </c>
      <c r="U279" s="52">
        <v>-10410.6</v>
      </c>
      <c r="V279" s="52">
        <v>-4293.6000000000004</v>
      </c>
      <c r="W279" s="52">
        <v>-10551.7</v>
      </c>
      <c r="X279" s="52">
        <v>-3344.1</v>
      </c>
      <c r="Y279" s="52">
        <v>-34312.75</v>
      </c>
      <c r="Z279" s="52">
        <v>-29056.75</v>
      </c>
      <c r="AA279" s="52">
        <v>-12343.95</v>
      </c>
      <c r="AB279" s="52">
        <v>-8394.65</v>
      </c>
      <c r="AC279" s="52">
        <v>-2894.4</v>
      </c>
      <c r="AD279" s="52">
        <v>-64921.15</v>
      </c>
      <c r="AE279" s="52">
        <v>-4216.8999999999996</v>
      </c>
      <c r="AF279" s="52">
        <v>-77657.95</v>
      </c>
      <c r="AG279" s="52">
        <v>-10459.15</v>
      </c>
      <c r="AH279" s="52">
        <v>-3006</v>
      </c>
      <c r="AI279" s="52">
        <v>-13665.1</v>
      </c>
      <c r="AJ279" s="52">
        <v>-39087.199999999997</v>
      </c>
      <c r="AK279" s="52">
        <v>-26559.65</v>
      </c>
      <c r="AL279" s="52">
        <v>-8182.63</v>
      </c>
      <c r="AM279" s="52">
        <v>-12216.13</v>
      </c>
      <c r="AN279" s="52">
        <v>-5086</v>
      </c>
      <c r="AO279" s="52">
        <v>-28667.15</v>
      </c>
      <c r="AP279" s="52">
        <v>-6065</v>
      </c>
      <c r="AQ279" s="52">
        <v>-43566.5</v>
      </c>
      <c r="AR279" s="52">
        <v>-29775</v>
      </c>
      <c r="AS279" s="52">
        <v>-8865</v>
      </c>
      <c r="AT279" s="52">
        <v>-20945</v>
      </c>
      <c r="AU279" s="52">
        <v>-15809.55</v>
      </c>
      <c r="AV279" s="52">
        <v>0</v>
      </c>
      <c r="AW279" s="52">
        <v>-1363.8</v>
      </c>
      <c r="AX279" s="52">
        <v>-34450</v>
      </c>
      <c r="AY279" s="52">
        <v>-1470.25</v>
      </c>
      <c r="AZ279" s="52">
        <v>-326</v>
      </c>
      <c r="BA279" s="52">
        <v>0</v>
      </c>
      <c r="BB279" s="52">
        <v>-1268.45</v>
      </c>
      <c r="BC279" s="52">
        <v>-33161.5</v>
      </c>
      <c r="BD279" s="52">
        <v>-46608.04</v>
      </c>
      <c r="BE279" s="52">
        <v>0</v>
      </c>
      <c r="BF279" s="52">
        <v>-1731.9</v>
      </c>
      <c r="BG279" s="52">
        <v>-45791.75</v>
      </c>
      <c r="BH279" s="52">
        <v>-74534</v>
      </c>
      <c r="BI279" s="52">
        <v>-287.01</v>
      </c>
      <c r="BJ279" s="52">
        <v>0</v>
      </c>
      <c r="BK279" s="52">
        <v>213.89</v>
      </c>
      <c r="BL279" s="52">
        <v>-1042.5999999999999</v>
      </c>
      <c r="BM279" s="52">
        <v>-1351.1</v>
      </c>
      <c r="BN279" s="52">
        <v>0</v>
      </c>
      <c r="BO279" s="52">
        <v>-53581.1</v>
      </c>
      <c r="BP279" s="52">
        <v>0</v>
      </c>
      <c r="BQ279" s="52">
        <v>-108136</v>
      </c>
      <c r="BR279" s="52">
        <v>-39928.949999999997</v>
      </c>
      <c r="BS279" s="52">
        <v>-12960</v>
      </c>
      <c r="BT279" s="52">
        <v>-661.6</v>
      </c>
      <c r="BU279" s="52">
        <v>-17596.87</v>
      </c>
      <c r="BV279" s="52">
        <v>-3840</v>
      </c>
      <c r="BW279" s="52">
        <v>-47940</v>
      </c>
      <c r="BX279" s="52">
        <v>-29753.34</v>
      </c>
      <c r="BY279" s="52">
        <v>-5918.3</v>
      </c>
      <c r="BZ279" s="52">
        <v>-79035</v>
      </c>
      <c r="CA279" s="52">
        <v>-1264.55</v>
      </c>
      <c r="CB279" s="52">
        <v>735.3</v>
      </c>
      <c r="CC279" s="52">
        <v>-573.04999999999995</v>
      </c>
      <c r="CD279" s="52">
        <v>-47047.8</v>
      </c>
      <c r="CE279" s="52">
        <v>-226.56</v>
      </c>
      <c r="CF279" s="52">
        <v>-37229.550000000003</v>
      </c>
      <c r="CG279" s="52">
        <v>-10522</v>
      </c>
      <c r="CH279" s="52">
        <v>-42081.5</v>
      </c>
      <c r="CI279" s="52">
        <v>0</v>
      </c>
      <c r="CJ279" s="52">
        <v>0</v>
      </c>
      <c r="CK279" s="52">
        <v>0</v>
      </c>
      <c r="CL279" s="52">
        <v>-32490</v>
      </c>
      <c r="CM279" s="52">
        <v>0</v>
      </c>
      <c r="CN279" s="52">
        <v>-67925</v>
      </c>
      <c r="CO279" s="52">
        <v>-12587</v>
      </c>
      <c r="CP279" s="52">
        <v>0</v>
      </c>
      <c r="CQ279" s="52">
        <v>0</v>
      </c>
      <c r="CR279" s="52">
        <v>-137560</v>
      </c>
      <c r="CS279" s="52">
        <v>-25256.5</v>
      </c>
      <c r="CT279" s="52">
        <v>-21506.95</v>
      </c>
      <c r="CU279" s="52">
        <v>-112385</v>
      </c>
      <c r="CV279" s="430">
        <f t="shared" si="8"/>
        <v>-409710.45</v>
      </c>
    </row>
    <row r="280" spans="1:100">
      <c r="A280" s="540" t="str">
        <f t="shared" si="7"/>
        <v>6780040</v>
      </c>
      <c r="B280" s="541" t="s">
        <v>2094</v>
      </c>
      <c r="C280" s="463" t="s">
        <v>1177</v>
      </c>
      <c r="D280" s="426">
        <v>185206.3</v>
      </c>
      <c r="E280" s="426">
        <v>20677.919999999998</v>
      </c>
      <c r="F280" s="426">
        <v>-62019.05</v>
      </c>
      <c r="G280" s="426">
        <v>-35352.910000000003</v>
      </c>
      <c r="H280" s="426">
        <v>51380.92</v>
      </c>
      <c r="I280" s="426">
        <v>-26610.67</v>
      </c>
      <c r="J280" s="426">
        <v>-76924.94</v>
      </c>
      <c r="K280" s="426">
        <v>-42186.38</v>
      </c>
      <c r="L280" s="426">
        <v>-10100.209999999999</v>
      </c>
      <c r="M280" s="426">
        <v>-29464.85</v>
      </c>
      <c r="N280" s="426">
        <v>-25741.58</v>
      </c>
      <c r="O280" s="427">
        <v>-43746.91</v>
      </c>
      <c r="P280" s="52">
        <v>24565.05</v>
      </c>
      <c r="Q280" s="52">
        <v>-51131.45</v>
      </c>
      <c r="R280" s="52">
        <v>-96891.61</v>
      </c>
      <c r="S280" s="52">
        <v>-30756.76</v>
      </c>
      <c r="T280" s="52">
        <v>-44437.38</v>
      </c>
      <c r="U280" s="52">
        <v>-32046.6</v>
      </c>
      <c r="V280" s="52">
        <v>-17744.650000000001</v>
      </c>
      <c r="W280" s="52">
        <v>-25125.02</v>
      </c>
      <c r="X280" s="52">
        <v>23952.19</v>
      </c>
      <c r="Y280" s="52">
        <v>-37612.25</v>
      </c>
      <c r="Z280" s="52">
        <v>-37180.910000000003</v>
      </c>
      <c r="AA280" s="52">
        <v>-127421.75999999999</v>
      </c>
      <c r="AB280" s="52">
        <v>-38496.86</v>
      </c>
      <c r="AC280" s="52">
        <v>-12543.69</v>
      </c>
      <c r="AD280" s="52">
        <v>-43962.19</v>
      </c>
      <c r="AE280" s="52">
        <v>-39427.370000000003</v>
      </c>
      <c r="AF280" s="52">
        <v>-7778.84</v>
      </c>
      <c r="AG280" s="52">
        <v>-125545.84</v>
      </c>
      <c r="AH280" s="52">
        <v>3596.23</v>
      </c>
      <c r="AI280" s="52">
        <v>22783.24</v>
      </c>
      <c r="AJ280" s="52">
        <v>-106393.7</v>
      </c>
      <c r="AK280" s="52">
        <v>-133099.81</v>
      </c>
      <c r="AL280" s="52">
        <v>-52250.57</v>
      </c>
      <c r="AM280" s="52">
        <v>-67705.2</v>
      </c>
      <c r="AN280" s="52">
        <v>-23239.16</v>
      </c>
      <c r="AO280" s="52">
        <v>-35364.11</v>
      </c>
      <c r="AP280" s="52">
        <v>-230422.62</v>
      </c>
      <c r="AQ280" s="52">
        <v>145888.79999999999</v>
      </c>
      <c r="AR280" s="52">
        <v>-68297.19</v>
      </c>
      <c r="AS280" s="52">
        <v>-25271.040000000001</v>
      </c>
      <c r="AT280" s="52">
        <v>10790.61</v>
      </c>
      <c r="AU280" s="52">
        <v>80139.47</v>
      </c>
      <c r="AV280" s="52">
        <v>-36115.839999999997</v>
      </c>
      <c r="AW280" s="52">
        <v>-127152.89</v>
      </c>
      <c r="AX280" s="52">
        <v>19301.5</v>
      </c>
      <c r="AY280" s="52">
        <v>-241846.27</v>
      </c>
      <c r="AZ280" s="52">
        <v>24834.94</v>
      </c>
      <c r="BA280" s="52">
        <v>-50747.74</v>
      </c>
      <c r="BB280" s="52">
        <v>-60514.78</v>
      </c>
      <c r="BC280" s="52">
        <v>-115303.62</v>
      </c>
      <c r="BD280" s="52">
        <v>-40473.94</v>
      </c>
      <c r="BE280" s="52">
        <v>-51231.16</v>
      </c>
      <c r="BF280" s="52">
        <v>-122511.52</v>
      </c>
      <c r="BG280" s="52">
        <v>-139039.94</v>
      </c>
      <c r="BH280" s="52">
        <v>-69582.429999999993</v>
      </c>
      <c r="BI280" s="52">
        <v>-4463.28</v>
      </c>
      <c r="BJ280" s="52">
        <v>-3857.55</v>
      </c>
      <c r="BK280" s="52">
        <v>-175220.58</v>
      </c>
      <c r="BL280" s="52">
        <v>-22386.79</v>
      </c>
      <c r="BM280" s="52">
        <v>-64029.42</v>
      </c>
      <c r="BN280" s="52">
        <v>-97432.2</v>
      </c>
      <c r="BO280" s="52">
        <v>-89058.14</v>
      </c>
      <c r="BP280" s="52">
        <v>-42857.11</v>
      </c>
      <c r="BQ280" s="52">
        <v>-45772.639999999999</v>
      </c>
      <c r="BR280" s="52">
        <v>-114816.58</v>
      </c>
      <c r="BS280" s="52">
        <v>-13020.95</v>
      </c>
      <c r="BT280" s="52">
        <v>-130794.84</v>
      </c>
      <c r="BU280" s="52">
        <v>-19817.52</v>
      </c>
      <c r="BV280" s="52">
        <v>-75682.19</v>
      </c>
      <c r="BW280" s="52">
        <v>-71333.039999999994</v>
      </c>
      <c r="BX280" s="52">
        <v>-20416.759999999998</v>
      </c>
      <c r="BY280" s="52">
        <v>-53993.99</v>
      </c>
      <c r="BZ280" s="52">
        <v>-46214.5</v>
      </c>
      <c r="CA280" s="52">
        <v>-141281.96</v>
      </c>
      <c r="CB280" s="52">
        <v>-205545.59</v>
      </c>
      <c r="CC280" s="52">
        <v>-180735.1</v>
      </c>
      <c r="CD280" s="52">
        <v>-83813.75</v>
      </c>
      <c r="CE280" s="52">
        <v>-9950.61</v>
      </c>
      <c r="CF280" s="52">
        <v>-83191.070000000007</v>
      </c>
      <c r="CG280" s="52">
        <v>19442.89</v>
      </c>
      <c r="CH280" s="52">
        <v>-116876.74</v>
      </c>
      <c r="CI280" s="52">
        <v>14461.41</v>
      </c>
      <c r="CJ280" s="52">
        <v>-18379.419999999998</v>
      </c>
      <c r="CK280" s="52">
        <v>-110492.69</v>
      </c>
      <c r="CL280" s="52">
        <v>-15737.33</v>
      </c>
      <c r="CM280" s="52">
        <v>-132804.34</v>
      </c>
      <c r="CN280" s="52">
        <v>-21256.46</v>
      </c>
      <c r="CO280" s="52">
        <v>-130532.43</v>
      </c>
      <c r="CP280" s="52">
        <v>-49612.9</v>
      </c>
      <c r="CQ280" s="52">
        <v>-272228.08</v>
      </c>
      <c r="CR280" s="52">
        <v>-44816.65</v>
      </c>
      <c r="CS280" s="52">
        <v>-24077.27</v>
      </c>
      <c r="CT280" s="52">
        <v>-88668.09</v>
      </c>
      <c r="CU280" s="52">
        <v>-7388.53</v>
      </c>
      <c r="CV280" s="430">
        <f t="shared" si="8"/>
        <v>-915994.19000000018</v>
      </c>
    </row>
    <row r="281" spans="1:100">
      <c r="A281" s="540" t="str">
        <f t="shared" si="7"/>
        <v>6780800</v>
      </c>
      <c r="B281" s="541" t="s">
        <v>2095</v>
      </c>
      <c r="C281" s="463" t="s">
        <v>1178</v>
      </c>
      <c r="D281" s="428">
        <v>0</v>
      </c>
      <c r="E281" s="428">
        <v>0</v>
      </c>
      <c r="F281" s="428">
        <v>0</v>
      </c>
      <c r="G281" s="428">
        <v>-26.62</v>
      </c>
      <c r="H281" s="428">
        <v>0</v>
      </c>
      <c r="I281" s="428">
        <v>-50690.51</v>
      </c>
      <c r="J281" s="428">
        <v>0</v>
      </c>
      <c r="K281" s="428">
        <v>-59737.5</v>
      </c>
      <c r="L281" s="428">
        <v>-17083.330000000002</v>
      </c>
      <c r="M281" s="428">
        <v>-53.17</v>
      </c>
      <c r="N281" s="428">
        <v>0</v>
      </c>
      <c r="O281" s="429">
        <v>-4559.6000000000004</v>
      </c>
      <c r="P281" s="52">
        <v>0</v>
      </c>
      <c r="Q281" s="52">
        <v>0</v>
      </c>
      <c r="R281" s="52">
        <v>-3020.5</v>
      </c>
      <c r="S281" s="52">
        <v>-31109.47</v>
      </c>
      <c r="T281" s="52">
        <v>-588.36</v>
      </c>
      <c r="U281" s="52">
        <v>-588.36</v>
      </c>
      <c r="V281" s="52">
        <v>-60502.8</v>
      </c>
      <c r="W281" s="52">
        <v>-2995.87</v>
      </c>
      <c r="X281" s="52">
        <v>-2349.62</v>
      </c>
      <c r="Y281" s="52">
        <v>-3037.83</v>
      </c>
      <c r="Z281" s="52">
        <v>-943.51</v>
      </c>
      <c r="AA281" s="52">
        <v>0</v>
      </c>
      <c r="AB281" s="52">
        <v>0</v>
      </c>
      <c r="AC281" s="52">
        <v>-46897.38</v>
      </c>
      <c r="AD281" s="52">
        <v>-615.24</v>
      </c>
      <c r="AE281" s="52">
        <v>-33506.86</v>
      </c>
      <c r="AF281" s="52">
        <v>-566363.25</v>
      </c>
      <c r="AG281" s="52">
        <v>-2923.93</v>
      </c>
      <c r="AH281" s="52">
        <v>-746.21</v>
      </c>
      <c r="AI281" s="52">
        <v>-24611.72</v>
      </c>
      <c r="AJ281" s="52">
        <v>24865.68</v>
      </c>
      <c r="AK281" s="52">
        <v>-687.49</v>
      </c>
      <c r="AL281" s="52">
        <v>-98.36</v>
      </c>
      <c r="AM281" s="52">
        <v>-27663.69</v>
      </c>
      <c r="AN281" s="52">
        <v>-1343.27</v>
      </c>
      <c r="AO281" s="52">
        <v>-42.1</v>
      </c>
      <c r="AP281" s="52">
        <v>-321.29000000000002</v>
      </c>
      <c r="AQ281" s="52">
        <v>-283.56</v>
      </c>
      <c r="AR281" s="52">
        <v>-358201.59</v>
      </c>
      <c r="AS281" s="52">
        <v>67654.94</v>
      </c>
      <c r="AT281" s="52">
        <v>-59471.29</v>
      </c>
      <c r="AU281" s="52">
        <v>-404.89</v>
      </c>
      <c r="AV281" s="52">
        <v>-228.4</v>
      </c>
      <c r="AW281" s="52">
        <v>-911.99</v>
      </c>
      <c r="AX281" s="52">
        <v>0</v>
      </c>
      <c r="AY281" s="52">
        <v>-224.01</v>
      </c>
      <c r="AZ281" s="52">
        <v>-149.69</v>
      </c>
      <c r="BA281" s="52">
        <v>59014.99</v>
      </c>
      <c r="BB281" s="52">
        <v>-7640.01</v>
      </c>
      <c r="BC281" s="52">
        <v>-5335.77</v>
      </c>
      <c r="BD281" s="52">
        <v>-387613.36</v>
      </c>
      <c r="BE281" s="52">
        <v>236979.51</v>
      </c>
      <c r="BF281" s="52">
        <v>-4579</v>
      </c>
      <c r="BG281" s="52">
        <v>-22746.98</v>
      </c>
      <c r="BH281" s="52">
        <v>97980.66</v>
      </c>
      <c r="BI281" s="52">
        <v>-624.96</v>
      </c>
      <c r="BJ281" s="52">
        <v>-1755.49</v>
      </c>
      <c r="BK281" s="52">
        <v>-2089.9299999999998</v>
      </c>
      <c r="BL281" s="52">
        <v>-3957.31</v>
      </c>
      <c r="BM281" s="52">
        <v>-815.89</v>
      </c>
      <c r="BN281" s="52">
        <v>-1218.1099999999999</v>
      </c>
      <c r="BO281" s="52">
        <v>-9572.4699999999993</v>
      </c>
      <c r="BP281" s="52">
        <v>-31408.63</v>
      </c>
      <c r="BQ281" s="52">
        <v>-1033.0899999999999</v>
      </c>
      <c r="BR281" s="52">
        <v>-35972.97</v>
      </c>
      <c r="BS281" s="52">
        <v>-1045.04</v>
      </c>
      <c r="BT281" s="52">
        <v>-988.77</v>
      </c>
      <c r="BU281" s="52">
        <v>-681.46</v>
      </c>
      <c r="BV281" s="52">
        <v>-2280.9499999999998</v>
      </c>
      <c r="BW281" s="52">
        <v>0</v>
      </c>
      <c r="BX281" s="52">
        <v>-62.19</v>
      </c>
      <c r="BY281" s="52">
        <v>0</v>
      </c>
      <c r="BZ281" s="52">
        <v>-7931.33</v>
      </c>
      <c r="CA281" s="52">
        <v>-712.3</v>
      </c>
      <c r="CB281" s="52">
        <v>-19212.36</v>
      </c>
      <c r="CC281" s="52">
        <v>-73882.7</v>
      </c>
      <c r="CD281" s="52">
        <v>-2844.76</v>
      </c>
      <c r="CE281" s="52">
        <v>-19714.36</v>
      </c>
      <c r="CF281" s="52">
        <v>-38169.47</v>
      </c>
      <c r="CG281" s="52">
        <v>-10657.67</v>
      </c>
      <c r="CH281" s="52">
        <v>-746732.71</v>
      </c>
      <c r="CI281" s="52">
        <v>15821.74</v>
      </c>
      <c r="CJ281" s="52">
        <v>-1504.65</v>
      </c>
      <c r="CK281" s="52">
        <v>-1260.1099999999999</v>
      </c>
      <c r="CL281" s="52">
        <v>-573.03</v>
      </c>
      <c r="CM281" s="52">
        <v>-57097.83</v>
      </c>
      <c r="CN281" s="52">
        <v>-343.91</v>
      </c>
      <c r="CO281" s="52">
        <v>-913.94</v>
      </c>
      <c r="CP281" s="52">
        <v>-686.18</v>
      </c>
      <c r="CQ281" s="52">
        <v>-3438.63</v>
      </c>
      <c r="CR281" s="52">
        <v>-633.44000000000005</v>
      </c>
      <c r="CS281" s="52">
        <v>-777.69</v>
      </c>
      <c r="CT281" s="52">
        <v>45000.42</v>
      </c>
      <c r="CU281" s="52">
        <v>-671.61</v>
      </c>
      <c r="CV281" s="430">
        <f t="shared" si="8"/>
        <v>-22900.60000000002</v>
      </c>
    </row>
    <row r="282" spans="1:100">
      <c r="A282" s="540" t="str">
        <f t="shared" si="7"/>
        <v>6789000</v>
      </c>
      <c r="B282" s="541" t="s">
        <v>2096</v>
      </c>
      <c r="C282" s="463" t="s">
        <v>1179</v>
      </c>
      <c r="D282" s="426">
        <v>19918.57</v>
      </c>
      <c r="E282" s="426">
        <v>23155.26</v>
      </c>
      <c r="F282" s="426">
        <v>18041.55</v>
      </c>
      <c r="G282" s="426">
        <v>1248.47</v>
      </c>
      <c r="H282" s="426">
        <v>25829</v>
      </c>
      <c r="I282" s="426">
        <v>67783.259999999995</v>
      </c>
      <c r="J282" s="426">
        <v>30366.15</v>
      </c>
      <c r="K282" s="426">
        <v>0</v>
      </c>
      <c r="L282" s="426">
        <v>13574.4</v>
      </c>
      <c r="M282" s="426">
        <v>14021.25</v>
      </c>
      <c r="N282" s="426">
        <v>14421.05</v>
      </c>
      <c r="O282" s="427">
        <v>11276.9</v>
      </c>
      <c r="P282" s="52">
        <v>96</v>
      </c>
      <c r="Q282" s="52">
        <v>0</v>
      </c>
      <c r="R282" s="52">
        <v>62233.55</v>
      </c>
      <c r="S282" s="52">
        <v>24404.89</v>
      </c>
      <c r="T282" s="52">
        <v>31357.65</v>
      </c>
      <c r="U282" s="52">
        <v>24593.01</v>
      </c>
      <c r="V282" s="52">
        <v>64208.04</v>
      </c>
      <c r="W282" s="52">
        <v>10551.7</v>
      </c>
      <c r="X282" s="52">
        <v>3344.1</v>
      </c>
      <c r="Y282" s="52">
        <v>34312.75</v>
      </c>
      <c r="Z282" s="52">
        <v>29056.75</v>
      </c>
      <c r="AA282" s="52">
        <v>40426.480000000003</v>
      </c>
      <c r="AB282" s="52">
        <v>8394.65</v>
      </c>
      <c r="AC282" s="52">
        <v>49791.78</v>
      </c>
      <c r="AD282" s="52">
        <v>64921.15</v>
      </c>
      <c r="AE282" s="52">
        <v>29511.31</v>
      </c>
      <c r="AF282" s="52">
        <v>77657.95</v>
      </c>
      <c r="AG282" s="52">
        <v>10459.15</v>
      </c>
      <c r="AH282" s="52">
        <v>3006</v>
      </c>
      <c r="AI282" s="52">
        <v>37784.51</v>
      </c>
      <c r="AJ282" s="52">
        <v>13792.79</v>
      </c>
      <c r="AK282" s="52">
        <v>26559.65</v>
      </c>
      <c r="AL282" s="52">
        <v>4806.5</v>
      </c>
      <c r="AM282" s="52">
        <v>-15531.7</v>
      </c>
      <c r="AN282" s="52">
        <v>5086</v>
      </c>
      <c r="AO282" s="52">
        <v>28667.15</v>
      </c>
      <c r="AP282" s="52">
        <v>72382.8</v>
      </c>
      <c r="AQ282" s="52">
        <v>43566.5</v>
      </c>
      <c r="AR282" s="52">
        <v>386538.41</v>
      </c>
      <c r="AS282" s="52">
        <v>-63642.19</v>
      </c>
      <c r="AT282" s="52">
        <v>80021.759999999995</v>
      </c>
      <c r="AU282" s="52">
        <v>15809.55</v>
      </c>
      <c r="AV282" s="52">
        <v>0</v>
      </c>
      <c r="AW282" s="52">
        <v>1363.8</v>
      </c>
      <c r="AX282" s="52">
        <v>34450</v>
      </c>
      <c r="AY282" s="52">
        <v>1470.25</v>
      </c>
      <c r="AZ282" s="52">
        <v>326</v>
      </c>
      <c r="BA282" s="52">
        <v>-59076.76</v>
      </c>
      <c r="BB282" s="52">
        <v>1268.45</v>
      </c>
      <c r="BC282" s="52">
        <v>33161.5</v>
      </c>
      <c r="BD282" s="52">
        <v>433929.75</v>
      </c>
      <c r="BE282" s="52">
        <v>-243123.01</v>
      </c>
      <c r="BF282" s="52">
        <v>1731.9</v>
      </c>
      <c r="BG282" s="52">
        <v>67487.81</v>
      </c>
      <c r="BH282" s="52">
        <v>-31354.43</v>
      </c>
      <c r="BI282" s="52">
        <v>500.9</v>
      </c>
      <c r="BJ282" s="52">
        <v>0</v>
      </c>
      <c r="BK282" s="52">
        <v>0</v>
      </c>
      <c r="BL282" s="52">
        <v>1042.5999999999999</v>
      </c>
      <c r="BM282" s="52">
        <v>1351.1</v>
      </c>
      <c r="BN282" s="52">
        <v>0</v>
      </c>
      <c r="BO282" s="52">
        <v>53581.1</v>
      </c>
      <c r="BP282" s="52">
        <v>24180.68</v>
      </c>
      <c r="BQ282" s="52">
        <v>108136</v>
      </c>
      <c r="BR282" s="52">
        <v>75588.679999999993</v>
      </c>
      <c r="BS282" s="52">
        <v>12960</v>
      </c>
      <c r="BT282" s="52">
        <v>42921.01</v>
      </c>
      <c r="BU282" s="52">
        <v>17596.87</v>
      </c>
      <c r="BV282" s="52">
        <v>3840</v>
      </c>
      <c r="BW282" s="52">
        <v>47940</v>
      </c>
      <c r="BX282" s="52">
        <v>29753.34</v>
      </c>
      <c r="BY282" s="52">
        <v>5918.3</v>
      </c>
      <c r="BZ282" s="52">
        <v>79035</v>
      </c>
      <c r="CA282" s="52">
        <v>1264.55</v>
      </c>
      <c r="CB282" s="52">
        <v>-735.3</v>
      </c>
      <c r="CC282" s="52">
        <v>12532.23</v>
      </c>
      <c r="CD282" s="52">
        <v>47047.8</v>
      </c>
      <c r="CE282" s="52">
        <v>16273.92</v>
      </c>
      <c r="CF282" s="52">
        <v>73721.539999999994</v>
      </c>
      <c r="CG282" s="52">
        <v>10522</v>
      </c>
      <c r="CH282" s="52">
        <v>786710</v>
      </c>
      <c r="CI282" s="52">
        <v>-16273.92</v>
      </c>
      <c r="CJ282" s="52">
        <v>0</v>
      </c>
      <c r="CK282" s="52">
        <v>0</v>
      </c>
      <c r="CL282" s="52">
        <v>32490</v>
      </c>
      <c r="CM282" s="52">
        <v>33399.33</v>
      </c>
      <c r="CN282" s="52">
        <v>67925</v>
      </c>
      <c r="CO282" s="52">
        <v>12587</v>
      </c>
      <c r="CP282" s="52">
        <v>0</v>
      </c>
      <c r="CQ282" s="52">
        <v>0</v>
      </c>
      <c r="CR282" s="52">
        <v>144750.03</v>
      </c>
      <c r="CS282" s="52">
        <v>25256.5</v>
      </c>
      <c r="CT282" s="52">
        <v>-25221.7</v>
      </c>
      <c r="CU282" s="52">
        <v>112385</v>
      </c>
      <c r="CV282" s="430">
        <f t="shared" si="8"/>
        <v>403571.16</v>
      </c>
    </row>
    <row r="283" spans="1:100">
      <c r="A283" s="540" t="str">
        <f t="shared" si="7"/>
        <v>6790010</v>
      </c>
      <c r="B283" s="541" t="s">
        <v>2097</v>
      </c>
      <c r="C283" s="463" t="s">
        <v>1180</v>
      </c>
      <c r="D283" s="426">
        <v>97804.19</v>
      </c>
      <c r="E283" s="426">
        <v>82692.84</v>
      </c>
      <c r="F283" s="426">
        <v>70189.19</v>
      </c>
      <c r="G283" s="426">
        <v>59875.16</v>
      </c>
      <c r="H283" s="426">
        <v>53558.16</v>
      </c>
      <c r="I283" s="426">
        <v>58082.75</v>
      </c>
      <c r="J283" s="426">
        <v>54404.7</v>
      </c>
      <c r="K283" s="426">
        <v>51660.88</v>
      </c>
      <c r="L283" s="426">
        <v>70514.58</v>
      </c>
      <c r="M283" s="426">
        <v>59189.55</v>
      </c>
      <c r="N283" s="426">
        <v>65188.66</v>
      </c>
      <c r="O283" s="427">
        <v>85258.13</v>
      </c>
      <c r="P283" s="52">
        <v>93028.45</v>
      </c>
      <c r="Q283" s="52">
        <v>107974.73</v>
      </c>
      <c r="R283" s="52">
        <v>83578.3</v>
      </c>
      <c r="S283" s="52">
        <v>68383.14</v>
      </c>
      <c r="T283" s="52">
        <v>60045.99</v>
      </c>
      <c r="U283" s="52">
        <v>62134.94</v>
      </c>
      <c r="V283" s="52">
        <v>58948.7</v>
      </c>
      <c r="W283" s="52">
        <v>55054.61</v>
      </c>
      <c r="X283" s="52">
        <v>51768.56</v>
      </c>
      <c r="Y283" s="52">
        <v>51341.64</v>
      </c>
      <c r="Z283" s="52">
        <v>53788.18</v>
      </c>
      <c r="AA283" s="52">
        <v>59504.91</v>
      </c>
      <c r="AB283" s="52">
        <v>74274.12</v>
      </c>
      <c r="AC283" s="52">
        <v>78933.679999999993</v>
      </c>
      <c r="AD283" s="52">
        <v>62765.72</v>
      </c>
      <c r="AE283" s="52">
        <v>54382.35</v>
      </c>
      <c r="AF283" s="52">
        <v>46770.37</v>
      </c>
      <c r="AG283" s="52">
        <v>45252.35</v>
      </c>
      <c r="AH283" s="52">
        <v>44995.9</v>
      </c>
      <c r="AI283" s="52">
        <v>45495.18</v>
      </c>
      <c r="AJ283" s="52">
        <v>49920.85</v>
      </c>
      <c r="AK283" s="52">
        <v>50283.05</v>
      </c>
      <c r="AL283" s="52">
        <v>57802.77</v>
      </c>
      <c r="AM283" s="52">
        <v>-682282.52</v>
      </c>
      <c r="AN283" s="52">
        <v>76995.02</v>
      </c>
      <c r="AO283" s="52">
        <v>54207.81</v>
      </c>
      <c r="AP283" s="52">
        <v>145179.68</v>
      </c>
      <c r="AQ283" s="52">
        <v>165397.71</v>
      </c>
      <c r="AR283" s="52">
        <v>46453.84</v>
      </c>
      <c r="AS283" s="52">
        <v>68074.42</v>
      </c>
      <c r="AT283" s="52">
        <v>154655.26</v>
      </c>
      <c r="AU283" s="52">
        <v>195006.49</v>
      </c>
      <c r="AV283" s="52">
        <v>289967.14</v>
      </c>
      <c r="AW283" s="52">
        <v>240698.39</v>
      </c>
      <c r="AX283" s="52">
        <v>112863.83</v>
      </c>
      <c r="AY283" s="52">
        <v>58467.89</v>
      </c>
      <c r="AZ283" s="52">
        <v>168961.33</v>
      </c>
      <c r="BA283" s="52">
        <v>-38525.449999999997</v>
      </c>
      <c r="BB283" s="52">
        <v>43301.16</v>
      </c>
      <c r="BC283" s="52">
        <v>143130.59</v>
      </c>
      <c r="BD283" s="52">
        <v>143320.99</v>
      </c>
      <c r="BE283" s="52">
        <v>90887.9</v>
      </c>
      <c r="BF283" s="52">
        <v>145585.75</v>
      </c>
      <c r="BG283" s="52">
        <v>126038.48</v>
      </c>
      <c r="BH283" s="52">
        <v>107666.72</v>
      </c>
      <c r="BI283" s="52">
        <v>116781.94</v>
      </c>
      <c r="BJ283" s="52">
        <v>134630.57</v>
      </c>
      <c r="BK283" s="52">
        <v>247068.93</v>
      </c>
      <c r="BL283" s="52">
        <v>138773.31</v>
      </c>
      <c r="BM283" s="52">
        <v>81454.31</v>
      </c>
      <c r="BN283" s="52">
        <v>159889.56</v>
      </c>
      <c r="BO283" s="52">
        <v>233621</v>
      </c>
      <c r="BP283" s="52">
        <v>86929.16</v>
      </c>
      <c r="BQ283" s="52">
        <v>63624.33</v>
      </c>
      <c r="BR283" s="52">
        <v>75912.66</v>
      </c>
      <c r="BS283" s="52">
        <v>75049.919999999998</v>
      </c>
      <c r="BT283" s="52">
        <v>110212.54</v>
      </c>
      <c r="BU283" s="52">
        <v>69666.13</v>
      </c>
      <c r="BV283" s="52">
        <v>82098.64</v>
      </c>
      <c r="BW283" s="52">
        <v>86964.55</v>
      </c>
      <c r="BX283" s="52">
        <v>123636.72</v>
      </c>
      <c r="BY283" s="52">
        <v>7329.83</v>
      </c>
      <c r="BZ283" s="52">
        <v>176173.92</v>
      </c>
      <c r="CA283" s="52">
        <v>224333.44</v>
      </c>
      <c r="CB283" s="52">
        <v>232939.77</v>
      </c>
      <c r="CC283" s="52">
        <v>265926.84999999998</v>
      </c>
      <c r="CD283" s="52">
        <v>203420.81</v>
      </c>
      <c r="CE283" s="52">
        <v>-322058.40000000002</v>
      </c>
      <c r="CF283" s="52">
        <v>169282.07</v>
      </c>
      <c r="CG283" s="52">
        <v>893944.83</v>
      </c>
      <c r="CH283" s="52">
        <v>204824.7</v>
      </c>
      <c r="CI283" s="52">
        <v>-313308.84000000003</v>
      </c>
      <c r="CJ283" s="52">
        <v>282197.19</v>
      </c>
      <c r="CK283" s="52">
        <v>218948.86</v>
      </c>
      <c r="CL283" s="52">
        <v>-291477.07</v>
      </c>
      <c r="CM283" s="52">
        <v>211401.44</v>
      </c>
      <c r="CN283" s="52">
        <v>178845.64</v>
      </c>
      <c r="CO283" s="52">
        <v>128740.2</v>
      </c>
      <c r="CP283" s="52">
        <v>172822.22</v>
      </c>
      <c r="CQ283" s="52">
        <v>163962.43</v>
      </c>
      <c r="CR283" s="52">
        <v>148518.26</v>
      </c>
      <c r="CS283" s="52">
        <v>191030.26</v>
      </c>
      <c r="CT283" s="52">
        <v>45370.22</v>
      </c>
      <c r="CU283" s="52">
        <v>122363.13</v>
      </c>
      <c r="CV283" s="430">
        <f t="shared" si="8"/>
        <v>1572722.7799999998</v>
      </c>
    </row>
    <row r="284" spans="1:100">
      <c r="A284" s="540" t="str">
        <f t="shared" si="7"/>
        <v>6790020</v>
      </c>
      <c r="B284" s="541" t="s">
        <v>2099</v>
      </c>
      <c r="C284" s="463" t="s">
        <v>1181</v>
      </c>
      <c r="D284" s="428">
        <v>0</v>
      </c>
      <c r="E284" s="428">
        <v>0</v>
      </c>
      <c r="F284" s="428">
        <v>0</v>
      </c>
      <c r="G284" s="428">
        <v>5850</v>
      </c>
      <c r="H284" s="428">
        <v>600</v>
      </c>
      <c r="I284" s="428">
        <v>-4387.5</v>
      </c>
      <c r="J284" s="428">
        <v>-2062.5</v>
      </c>
      <c r="K284" s="428">
        <v>0</v>
      </c>
      <c r="L284" s="428">
        <v>0</v>
      </c>
      <c r="M284" s="428">
        <v>0</v>
      </c>
      <c r="N284" s="428">
        <v>0</v>
      </c>
      <c r="O284" s="429">
        <v>0</v>
      </c>
      <c r="P284" s="52">
        <v>0</v>
      </c>
      <c r="Q284" s="52">
        <v>0</v>
      </c>
      <c r="R284" s="52">
        <v>0</v>
      </c>
      <c r="S284" s="52">
        <v>0</v>
      </c>
      <c r="T284" s="52">
        <v>0</v>
      </c>
      <c r="U284" s="52">
        <v>0</v>
      </c>
      <c r="V284" s="52">
        <v>0</v>
      </c>
      <c r="W284" s="52">
        <v>1060.7</v>
      </c>
      <c r="X284" s="52">
        <v>0</v>
      </c>
      <c r="Y284" s="52">
        <v>0</v>
      </c>
      <c r="Z284" s="52">
        <v>0</v>
      </c>
      <c r="AA284" s="52">
        <v>0</v>
      </c>
      <c r="AB284" s="52">
        <v>0</v>
      </c>
      <c r="AC284" s="52">
        <v>0</v>
      </c>
      <c r="AD284" s="52">
        <v>0</v>
      </c>
      <c r="AE284" s="52">
        <v>0</v>
      </c>
      <c r="AF284" s="52">
        <v>0</v>
      </c>
      <c r="AG284" s="52">
        <v>0</v>
      </c>
      <c r="AH284" s="52">
        <v>0</v>
      </c>
      <c r="AI284" s="52">
        <v>0</v>
      </c>
      <c r="AJ284" s="52">
        <v>0</v>
      </c>
      <c r="AK284" s="52">
        <v>0</v>
      </c>
      <c r="AL284" s="52">
        <v>0</v>
      </c>
      <c r="AM284" s="52">
        <v>50000</v>
      </c>
      <c r="AN284" s="52">
        <v>0</v>
      </c>
      <c r="AO284" s="52">
        <v>0</v>
      </c>
      <c r="AP284" s="52">
        <v>0</v>
      </c>
      <c r="AQ284" s="52">
        <v>0</v>
      </c>
      <c r="AR284" s="52">
        <v>0</v>
      </c>
      <c r="AS284" s="52">
        <v>0</v>
      </c>
      <c r="AT284" s="52">
        <v>0</v>
      </c>
      <c r="AU284" s="52">
        <v>0</v>
      </c>
      <c r="AV284" s="52">
        <v>0</v>
      </c>
      <c r="AW284" s="52"/>
      <c r="AX284" s="52"/>
      <c r="AY284" s="52"/>
      <c r="AZ284" s="52">
        <v>0</v>
      </c>
      <c r="BA284" s="52">
        <v>0</v>
      </c>
      <c r="BB284" s="52">
        <v>0</v>
      </c>
      <c r="BC284" s="52">
        <v>0</v>
      </c>
      <c r="BD284" s="52">
        <v>0</v>
      </c>
      <c r="BE284" s="52">
        <v>0</v>
      </c>
      <c r="BF284" s="52">
        <v>0</v>
      </c>
      <c r="BG284" s="52">
        <v>0</v>
      </c>
      <c r="BH284" s="52">
        <v>0</v>
      </c>
      <c r="BI284" s="52">
        <v>0</v>
      </c>
      <c r="BJ284" s="52">
        <v>0</v>
      </c>
      <c r="BK284" s="52">
        <v>0</v>
      </c>
      <c r="BL284" s="52">
        <v>0</v>
      </c>
      <c r="BM284" s="52">
        <v>0</v>
      </c>
      <c r="BN284" s="52">
        <v>0</v>
      </c>
      <c r="BO284" s="52">
        <v>0</v>
      </c>
      <c r="BP284" s="52">
        <v>0</v>
      </c>
      <c r="BQ284" s="52">
        <v>0</v>
      </c>
      <c r="BR284" s="52">
        <v>0</v>
      </c>
      <c r="BS284" s="52">
        <v>0</v>
      </c>
      <c r="BT284" s="52">
        <v>0</v>
      </c>
      <c r="BU284" s="52">
        <v>0</v>
      </c>
      <c r="BV284" s="52">
        <v>0</v>
      </c>
      <c r="BW284" s="52">
        <v>0</v>
      </c>
      <c r="BX284" s="52">
        <v>0</v>
      </c>
      <c r="BY284" s="52">
        <v>0</v>
      </c>
      <c r="BZ284" s="52">
        <v>0</v>
      </c>
      <c r="CA284" s="52">
        <v>0</v>
      </c>
      <c r="CB284" s="52">
        <v>0</v>
      </c>
      <c r="CC284" s="52">
        <v>0</v>
      </c>
      <c r="CD284" s="52">
        <v>0</v>
      </c>
      <c r="CE284" s="52">
        <v>0</v>
      </c>
      <c r="CF284" s="52">
        <v>0</v>
      </c>
      <c r="CG284" s="52">
        <v>0</v>
      </c>
      <c r="CH284" s="52">
        <v>0</v>
      </c>
      <c r="CI284" s="52">
        <v>0</v>
      </c>
      <c r="CJ284" s="52">
        <v>0</v>
      </c>
      <c r="CK284" s="52">
        <v>0</v>
      </c>
      <c r="CL284" s="52">
        <v>0</v>
      </c>
      <c r="CM284" s="52">
        <v>0</v>
      </c>
      <c r="CN284" s="52">
        <v>0</v>
      </c>
      <c r="CO284" s="52">
        <v>0</v>
      </c>
      <c r="CP284" s="52">
        <v>0</v>
      </c>
      <c r="CQ284" s="52">
        <v>0</v>
      </c>
      <c r="CR284" s="52">
        <v>0</v>
      </c>
      <c r="CS284" s="52">
        <v>0</v>
      </c>
      <c r="CT284" s="52">
        <v>0</v>
      </c>
      <c r="CU284" s="52">
        <v>0</v>
      </c>
      <c r="CV284" s="430">
        <f t="shared" si="8"/>
        <v>0</v>
      </c>
    </row>
    <row r="285" spans="1:100">
      <c r="A285" s="540" t="str">
        <f>+B285</f>
        <v>6790030</v>
      </c>
      <c r="B285" s="541" t="s">
        <v>2300</v>
      </c>
      <c r="C285" s="463" t="s">
        <v>2297</v>
      </c>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v>0</v>
      </c>
      <c r="BM285" s="52">
        <v>0</v>
      </c>
      <c r="BN285" s="52">
        <v>0</v>
      </c>
      <c r="BO285" s="52">
        <v>0</v>
      </c>
      <c r="BP285" s="52">
        <v>0</v>
      </c>
      <c r="BQ285" s="52">
        <v>0</v>
      </c>
      <c r="BR285" s="52">
        <v>0</v>
      </c>
      <c r="BS285" s="52">
        <v>38.86</v>
      </c>
      <c r="BT285" s="52">
        <v>15.73</v>
      </c>
      <c r="BU285" s="52">
        <v>0</v>
      </c>
      <c r="BV285" s="52">
        <v>0</v>
      </c>
      <c r="BW285" s="52">
        <v>0</v>
      </c>
      <c r="BX285" s="52">
        <v>0</v>
      </c>
      <c r="BY285" s="52">
        <v>0</v>
      </c>
      <c r="BZ285" s="52">
        <v>0</v>
      </c>
      <c r="CA285" s="52">
        <v>0</v>
      </c>
      <c r="CB285" s="52">
        <v>0</v>
      </c>
      <c r="CC285" s="52">
        <v>57347.55</v>
      </c>
      <c r="CD285" s="52">
        <v>0</v>
      </c>
      <c r="CE285" s="52">
        <v>0</v>
      </c>
      <c r="CF285" s="52">
        <v>0</v>
      </c>
      <c r="CG285" s="52">
        <v>20645.12</v>
      </c>
      <c r="CH285" s="52">
        <v>0</v>
      </c>
      <c r="CI285" s="52">
        <v>28502.76</v>
      </c>
      <c r="CJ285" s="52">
        <v>274.06</v>
      </c>
      <c r="CK285" s="52">
        <v>0</v>
      </c>
      <c r="CL285" s="52">
        <v>0</v>
      </c>
      <c r="CM285" s="52">
        <v>28664.74</v>
      </c>
      <c r="CN285" s="52">
        <v>9587.81</v>
      </c>
      <c r="CO285" s="52">
        <v>28531.64</v>
      </c>
      <c r="CP285" s="52">
        <v>0</v>
      </c>
      <c r="CQ285" s="52">
        <v>0</v>
      </c>
      <c r="CR285" s="52">
        <v>28535.07</v>
      </c>
      <c r="CS285" s="52">
        <v>0</v>
      </c>
      <c r="CT285" s="52">
        <v>0</v>
      </c>
      <c r="CU285" s="52">
        <v>28535.07</v>
      </c>
      <c r="CV285" s="430">
        <f t="shared" si="8"/>
        <v>124128.39000000001</v>
      </c>
    </row>
    <row r="286" spans="1:100">
      <c r="A286" s="540" t="str">
        <f t="shared" si="7"/>
        <v>6790040</v>
      </c>
      <c r="B286" s="541" t="s">
        <v>2098</v>
      </c>
      <c r="C286" s="463" t="s">
        <v>1182</v>
      </c>
      <c r="D286" s="428">
        <v>16.440000000000001</v>
      </c>
      <c r="E286" s="428">
        <v>0</v>
      </c>
      <c r="F286" s="428">
        <v>0</v>
      </c>
      <c r="G286" s="428">
        <v>0</v>
      </c>
      <c r="H286" s="428">
        <v>0</v>
      </c>
      <c r="I286" s="428">
        <v>0</v>
      </c>
      <c r="J286" s="428">
        <v>0</v>
      </c>
      <c r="K286" s="428">
        <v>0</v>
      </c>
      <c r="L286" s="428">
        <v>0</v>
      </c>
      <c r="M286" s="428">
        <v>0</v>
      </c>
      <c r="N286" s="428">
        <v>0</v>
      </c>
      <c r="O286" s="429">
        <v>0</v>
      </c>
      <c r="P286" s="52">
        <v>0</v>
      </c>
      <c r="Q286" s="52">
        <v>0</v>
      </c>
      <c r="R286" s="52">
        <v>0</v>
      </c>
      <c r="S286" s="52">
        <v>0</v>
      </c>
      <c r="T286" s="52">
        <v>0</v>
      </c>
      <c r="U286" s="52">
        <v>-1780.93</v>
      </c>
      <c r="V286" s="52">
        <v>0</v>
      </c>
      <c r="W286" s="52">
        <v>0</v>
      </c>
      <c r="X286" s="52">
        <v>0</v>
      </c>
      <c r="Y286" s="52">
        <v>0</v>
      </c>
      <c r="Z286" s="52">
        <v>0</v>
      </c>
      <c r="AA286" s="52">
        <v>0</v>
      </c>
      <c r="AB286" s="52">
        <v>0</v>
      </c>
      <c r="AC286" s="52">
        <v>0</v>
      </c>
      <c r="AD286" s="52">
        <v>0</v>
      </c>
      <c r="AE286" s="52">
        <v>0</v>
      </c>
      <c r="AF286" s="52">
        <v>0</v>
      </c>
      <c r="AG286" s="52">
        <v>0</v>
      </c>
      <c r="AH286" s="52">
        <v>0</v>
      </c>
      <c r="AI286" s="52">
        <v>0</v>
      </c>
      <c r="AJ286" s="52">
        <v>0</v>
      </c>
      <c r="AK286" s="52">
        <v>0</v>
      </c>
      <c r="AL286" s="52">
        <v>0</v>
      </c>
      <c r="AM286" s="52">
        <v>0</v>
      </c>
      <c r="AN286" s="52">
        <v>0</v>
      </c>
      <c r="AO286" s="52">
        <v>0</v>
      </c>
      <c r="AP286" s="52">
        <v>0</v>
      </c>
      <c r="AQ286" s="52">
        <v>0</v>
      </c>
      <c r="AR286" s="52">
        <v>0</v>
      </c>
      <c r="AS286" s="52">
        <v>0</v>
      </c>
      <c r="AT286" s="52">
        <v>0</v>
      </c>
      <c r="AU286" s="52">
        <v>0</v>
      </c>
      <c r="AV286" s="52">
        <v>0</v>
      </c>
      <c r="AW286" s="52">
        <v>0</v>
      </c>
      <c r="AX286" s="52">
        <v>0</v>
      </c>
      <c r="AY286" s="52">
        <v>0</v>
      </c>
      <c r="AZ286" s="52">
        <v>0</v>
      </c>
      <c r="BA286" s="52">
        <v>0</v>
      </c>
      <c r="BB286" s="52">
        <v>0</v>
      </c>
      <c r="BC286" s="52">
        <v>0</v>
      </c>
      <c r="BD286" s="52">
        <v>0</v>
      </c>
      <c r="BE286" s="52">
        <v>0</v>
      </c>
      <c r="BF286" s="52">
        <v>0</v>
      </c>
      <c r="BG286" s="52">
        <v>0</v>
      </c>
      <c r="BH286" s="52">
        <v>0</v>
      </c>
      <c r="BI286" s="52">
        <v>0</v>
      </c>
      <c r="BJ286" s="52">
        <v>0</v>
      </c>
      <c r="BK286" s="52">
        <v>0</v>
      </c>
      <c r="BL286" s="52">
        <v>0</v>
      </c>
      <c r="BM286" s="52">
        <v>0</v>
      </c>
      <c r="BN286" s="52">
        <v>0</v>
      </c>
      <c r="BO286" s="52">
        <v>0</v>
      </c>
      <c r="BP286" s="52">
        <v>0</v>
      </c>
      <c r="BQ286" s="52">
        <v>0</v>
      </c>
      <c r="BR286" s="52">
        <v>0</v>
      </c>
      <c r="BS286" s="52">
        <v>0</v>
      </c>
      <c r="BT286" s="52">
        <v>0</v>
      </c>
      <c r="BU286" s="52">
        <v>0</v>
      </c>
      <c r="BV286" s="52">
        <v>0</v>
      </c>
      <c r="BW286" s="52">
        <v>0</v>
      </c>
      <c r="BX286" s="52">
        <v>0</v>
      </c>
      <c r="BY286" s="52">
        <v>0</v>
      </c>
      <c r="BZ286" s="52">
        <v>0</v>
      </c>
      <c r="CA286" s="52">
        <v>0</v>
      </c>
      <c r="CB286" s="52">
        <v>0</v>
      </c>
      <c r="CC286" s="52">
        <v>0</v>
      </c>
      <c r="CD286" s="52">
        <v>0</v>
      </c>
      <c r="CE286" s="52">
        <v>0</v>
      </c>
      <c r="CF286" s="52">
        <v>0</v>
      </c>
      <c r="CG286" s="52">
        <v>0</v>
      </c>
      <c r="CH286" s="52">
        <v>0</v>
      </c>
      <c r="CI286" s="52">
        <v>0</v>
      </c>
      <c r="CJ286" s="52">
        <v>0</v>
      </c>
      <c r="CK286" s="52">
        <v>0</v>
      </c>
      <c r="CL286" s="52">
        <v>0</v>
      </c>
      <c r="CM286" s="52">
        <v>0</v>
      </c>
      <c r="CN286" s="52">
        <v>0</v>
      </c>
      <c r="CO286" s="52">
        <v>0</v>
      </c>
      <c r="CP286" s="52">
        <v>0</v>
      </c>
      <c r="CQ286" s="52">
        <v>0</v>
      </c>
      <c r="CR286" s="52">
        <v>0</v>
      </c>
      <c r="CS286" s="52">
        <v>0</v>
      </c>
      <c r="CT286" s="52">
        <v>0</v>
      </c>
      <c r="CU286" s="52">
        <v>0</v>
      </c>
      <c r="CV286" s="430">
        <f t="shared" si="8"/>
        <v>0</v>
      </c>
    </row>
    <row r="287" spans="1:100">
      <c r="A287" s="540" t="str">
        <f t="shared" si="7"/>
        <v>6790055</v>
      </c>
      <c r="B287" s="541" t="s">
        <v>1369</v>
      </c>
      <c r="C287" s="463" t="s">
        <v>1183</v>
      </c>
      <c r="D287" s="426">
        <v>20000</v>
      </c>
      <c r="E287" s="426">
        <v>40850</v>
      </c>
      <c r="F287" s="426">
        <v>63684</v>
      </c>
      <c r="G287" s="426">
        <v>35925</v>
      </c>
      <c r="H287" s="426">
        <v>51032</v>
      </c>
      <c r="I287" s="426">
        <v>1675</v>
      </c>
      <c r="J287" s="426">
        <v>1710</v>
      </c>
      <c r="K287" s="426">
        <v>11600</v>
      </c>
      <c r="L287" s="426">
        <v>23320</v>
      </c>
      <c r="M287" s="426">
        <v>1079.8800000000001</v>
      </c>
      <c r="N287" s="426">
        <v>995.12</v>
      </c>
      <c r="O287" s="427">
        <v>3875</v>
      </c>
      <c r="P287" s="52">
        <v>25000</v>
      </c>
      <c r="Q287" s="52">
        <v>74625</v>
      </c>
      <c r="R287" s="52">
        <v>2001.88</v>
      </c>
      <c r="S287" s="52">
        <v>74620</v>
      </c>
      <c r="T287" s="52">
        <v>14185</v>
      </c>
      <c r="U287" s="52">
        <v>7475</v>
      </c>
      <c r="V287" s="52">
        <v>16175</v>
      </c>
      <c r="W287" s="52">
        <v>12276.88</v>
      </c>
      <c r="X287" s="52">
        <v>15000</v>
      </c>
      <c r="Y287" s="52">
        <v>4859.88</v>
      </c>
      <c r="Z287" s="52">
        <v>1595.12</v>
      </c>
      <c r="AA287" s="52">
        <v>18045</v>
      </c>
      <c r="AB287" s="52">
        <v>135000</v>
      </c>
      <c r="AC287" s="52">
        <v>14000</v>
      </c>
      <c r="AD287" s="52">
        <v>57067</v>
      </c>
      <c r="AE287" s="52">
        <v>2910</v>
      </c>
      <c r="AF287" s="52">
        <v>4675</v>
      </c>
      <c r="AG287" s="52">
        <v>9135</v>
      </c>
      <c r="AH287" s="52">
        <v>4850</v>
      </c>
      <c r="AI287" s="52">
        <v>5612.59</v>
      </c>
      <c r="AJ287" s="52">
        <v>8372.59</v>
      </c>
      <c r="AK287" s="52">
        <v>21940.080000000002</v>
      </c>
      <c r="AL287" s="52">
        <v>26575.119999999999</v>
      </c>
      <c r="AM287" s="52">
        <v>150831</v>
      </c>
      <c r="AN287" s="52">
        <v>20436.32</v>
      </c>
      <c r="AO287" s="52">
        <v>5436.5</v>
      </c>
      <c r="AP287" s="52">
        <v>12500</v>
      </c>
      <c r="AQ287" s="52">
        <v>750</v>
      </c>
      <c r="AR287" s="52">
        <v>3722.11</v>
      </c>
      <c r="AS287" s="52">
        <v>256.89999999999998</v>
      </c>
      <c r="AT287" s="52">
        <v>17073.8</v>
      </c>
      <c r="AU287" s="52">
        <v>5600</v>
      </c>
      <c r="AV287" s="52">
        <v>5977.33</v>
      </c>
      <c r="AW287" s="52">
        <v>16739.98</v>
      </c>
      <c r="AX287" s="52">
        <v>6000</v>
      </c>
      <c r="AY287" s="52">
        <v>84295</v>
      </c>
      <c r="AZ287" s="52">
        <v>47998</v>
      </c>
      <c r="BA287" s="52">
        <v>15045</v>
      </c>
      <c r="BB287" s="52">
        <v>39596.61</v>
      </c>
      <c r="BC287" s="52">
        <v>2853</v>
      </c>
      <c r="BD287" s="52">
        <v>25705</v>
      </c>
      <c r="BE287" s="52">
        <v>68320</v>
      </c>
      <c r="BF287" s="52">
        <v>39133.199999999997</v>
      </c>
      <c r="BG287" s="52">
        <v>2100</v>
      </c>
      <c r="BH287" s="52">
        <v>5925</v>
      </c>
      <c r="BI287" s="52">
        <v>18600</v>
      </c>
      <c r="BJ287" s="52">
        <v>12745</v>
      </c>
      <c r="BK287" s="52">
        <v>35405</v>
      </c>
      <c r="BL287" s="52">
        <v>54941</v>
      </c>
      <c r="BM287" s="52">
        <v>50736.07</v>
      </c>
      <c r="BN287" s="52">
        <v>7845</v>
      </c>
      <c r="BO287" s="52">
        <v>52038.16</v>
      </c>
      <c r="BP287" s="52">
        <v>26405</v>
      </c>
      <c r="BQ287" s="52">
        <v>64332.46</v>
      </c>
      <c r="BR287" s="52">
        <v>2014.94</v>
      </c>
      <c r="BS287" s="52">
        <v>-23445</v>
      </c>
      <c r="BT287" s="52">
        <v>5750</v>
      </c>
      <c r="BU287" s="52">
        <v>14545</v>
      </c>
      <c r="BV287" s="52">
        <v>8120</v>
      </c>
      <c r="BW287" s="52">
        <v>33923.32</v>
      </c>
      <c r="BX287" s="52">
        <v>65982.100000000006</v>
      </c>
      <c r="BY287" s="52">
        <v>64297.68</v>
      </c>
      <c r="BZ287" s="52">
        <v>1057.3</v>
      </c>
      <c r="CA287" s="52">
        <v>6570.68</v>
      </c>
      <c r="CB287" s="52">
        <v>39700</v>
      </c>
      <c r="CC287" s="52">
        <v>4205</v>
      </c>
      <c r="CD287" s="52">
        <v>16900</v>
      </c>
      <c r="CE287" s="52">
        <v>25000</v>
      </c>
      <c r="CF287" s="52">
        <v>5955</v>
      </c>
      <c r="CG287" s="52">
        <v>6125</v>
      </c>
      <c r="CH287" s="52">
        <v>14500</v>
      </c>
      <c r="CI287" s="52">
        <v>98044.32</v>
      </c>
      <c r="CJ287" s="52">
        <v>0</v>
      </c>
      <c r="CK287" s="52">
        <v>109190.5</v>
      </c>
      <c r="CL287" s="52">
        <v>43795</v>
      </c>
      <c r="CM287" s="52">
        <v>28675</v>
      </c>
      <c r="CN287" s="52">
        <v>2320.5300000000002</v>
      </c>
      <c r="CO287" s="52">
        <v>15057.28</v>
      </c>
      <c r="CP287" s="52">
        <v>2600</v>
      </c>
      <c r="CQ287" s="52">
        <v>24545.33</v>
      </c>
      <c r="CR287" s="52">
        <v>12388.44</v>
      </c>
      <c r="CS287" s="52">
        <v>38080.9</v>
      </c>
      <c r="CT287" s="52">
        <v>8239.1</v>
      </c>
      <c r="CU287" s="52">
        <v>87525</v>
      </c>
      <c r="CV287" s="430">
        <f t="shared" si="8"/>
        <v>372417.08</v>
      </c>
    </row>
    <row r="288" spans="1:100">
      <c r="A288" s="540" t="str">
        <f t="shared" si="7"/>
        <v>6790060</v>
      </c>
      <c r="B288" s="541" t="s">
        <v>2100</v>
      </c>
      <c r="C288" s="463" t="s">
        <v>1184</v>
      </c>
      <c r="D288" s="426">
        <v>59121.67</v>
      </c>
      <c r="E288" s="426">
        <v>87660.39</v>
      </c>
      <c r="F288" s="426">
        <v>191237.17</v>
      </c>
      <c r="G288" s="426">
        <v>41216.67</v>
      </c>
      <c r="H288" s="426">
        <v>52661.67</v>
      </c>
      <c r="I288" s="426">
        <v>41666.67</v>
      </c>
      <c r="J288" s="426">
        <v>297384.42</v>
      </c>
      <c r="K288" s="426">
        <v>41666.67</v>
      </c>
      <c r="L288" s="426">
        <v>41766.67</v>
      </c>
      <c r="M288" s="426">
        <v>42866.67</v>
      </c>
      <c r="N288" s="426">
        <v>148386.67000000001</v>
      </c>
      <c r="O288" s="427">
        <v>56666.67</v>
      </c>
      <c r="P288" s="52">
        <v>10000</v>
      </c>
      <c r="Q288" s="52">
        <v>130291.32</v>
      </c>
      <c r="R288" s="52">
        <v>4333</v>
      </c>
      <c r="S288" s="52">
        <v>60204</v>
      </c>
      <c r="T288" s="52">
        <v>2400</v>
      </c>
      <c r="U288" s="52">
        <v>7000</v>
      </c>
      <c r="V288" s="52">
        <v>61204</v>
      </c>
      <c r="W288" s="52">
        <v>27300</v>
      </c>
      <c r="X288" s="52">
        <v>189359</v>
      </c>
      <c r="Y288" s="52">
        <v>0</v>
      </c>
      <c r="Z288" s="52">
        <v>78204</v>
      </c>
      <c r="AA288" s="52">
        <v>15193</v>
      </c>
      <c r="AB288" s="52">
        <v>12583.33</v>
      </c>
      <c r="AC288" s="52">
        <v>56818.5</v>
      </c>
      <c r="AD288" s="52">
        <v>0</v>
      </c>
      <c r="AE288" s="52">
        <v>56818.5</v>
      </c>
      <c r="AF288" s="52">
        <v>500</v>
      </c>
      <c r="AG288" s="52">
        <v>216559</v>
      </c>
      <c r="AH288" s="52">
        <v>61818.5</v>
      </c>
      <c r="AI288" s="52">
        <v>11333</v>
      </c>
      <c r="AJ288" s="52">
        <v>600</v>
      </c>
      <c r="AK288" s="52">
        <v>80951.5</v>
      </c>
      <c r="AL288" s="52">
        <v>6050</v>
      </c>
      <c r="AM288" s="52">
        <v>62316.04</v>
      </c>
      <c r="AN288" s="52">
        <v>44166.67</v>
      </c>
      <c r="AO288" s="52">
        <v>72221.33</v>
      </c>
      <c r="AP288" s="52">
        <v>29166.66</v>
      </c>
      <c r="AQ288" s="52">
        <v>90668.34</v>
      </c>
      <c r="AR288" s="52">
        <v>48499.99</v>
      </c>
      <c r="AS288" s="52">
        <v>29166.66</v>
      </c>
      <c r="AT288" s="52">
        <v>172121.34</v>
      </c>
      <c r="AU288" s="52">
        <v>56366.66</v>
      </c>
      <c r="AV288" s="52">
        <v>29536.66</v>
      </c>
      <c r="AW288" s="52">
        <v>84721.34</v>
      </c>
      <c r="AX288" s="52">
        <v>31666.66</v>
      </c>
      <c r="AY288" s="52">
        <v>105435.18</v>
      </c>
      <c r="AZ288" s="52">
        <v>33333.33</v>
      </c>
      <c r="BA288" s="52">
        <v>291133.05</v>
      </c>
      <c r="BB288" s="52">
        <v>36833.33</v>
      </c>
      <c r="BC288" s="52">
        <v>58333.33</v>
      </c>
      <c r="BD288" s="52">
        <v>84274.05</v>
      </c>
      <c r="BE288" s="52">
        <v>62533.33</v>
      </c>
      <c r="BF288" s="52">
        <v>84494.06</v>
      </c>
      <c r="BG288" s="52">
        <v>39083.33</v>
      </c>
      <c r="BH288" s="52">
        <v>33333.33</v>
      </c>
      <c r="BI288" s="52">
        <v>84274.05</v>
      </c>
      <c r="BJ288" s="52">
        <v>33333.33</v>
      </c>
      <c r="BK288" s="52">
        <v>37083.33</v>
      </c>
      <c r="BL288" s="52">
        <v>44166.67</v>
      </c>
      <c r="BM288" s="52">
        <v>120950.81</v>
      </c>
      <c r="BN288" s="52">
        <v>261025.67</v>
      </c>
      <c r="BO288" s="52">
        <v>124170.81</v>
      </c>
      <c r="BP288" s="52">
        <v>41685.629999999997</v>
      </c>
      <c r="BQ288" s="52">
        <v>41666.67</v>
      </c>
      <c r="BR288" s="52">
        <v>117570.81</v>
      </c>
      <c r="BS288" s="52">
        <v>52416.67</v>
      </c>
      <c r="BT288" s="52">
        <v>79166.67</v>
      </c>
      <c r="BU288" s="52">
        <v>101670.81</v>
      </c>
      <c r="BV288" s="52">
        <v>41666.67</v>
      </c>
      <c r="BW288" s="52">
        <v>41666.67</v>
      </c>
      <c r="BX288" s="52">
        <v>82016.67</v>
      </c>
      <c r="BY288" s="52">
        <v>274150.67</v>
      </c>
      <c r="BZ288" s="52">
        <v>63886.67</v>
      </c>
      <c r="CA288" s="52">
        <v>100231.67</v>
      </c>
      <c r="CB288" s="52">
        <v>41666.67</v>
      </c>
      <c r="CC288" s="52">
        <v>41666.67</v>
      </c>
      <c r="CD288" s="52">
        <v>100231.67</v>
      </c>
      <c r="CE288" s="52">
        <v>25000</v>
      </c>
      <c r="CF288" s="52">
        <v>0</v>
      </c>
      <c r="CG288" s="52">
        <v>66565</v>
      </c>
      <c r="CH288" s="52">
        <v>0</v>
      </c>
      <c r="CI288" s="52">
        <v>200000</v>
      </c>
      <c r="CJ288" s="52">
        <v>177669</v>
      </c>
      <c r="CK288" s="52">
        <v>95445.75</v>
      </c>
      <c r="CL288" s="52">
        <v>21780</v>
      </c>
      <c r="CM288" s="52">
        <v>56345.75</v>
      </c>
      <c r="CN288" s="52">
        <v>0</v>
      </c>
      <c r="CO288" s="52">
        <v>62711.13</v>
      </c>
      <c r="CP288" s="52">
        <v>86345.75</v>
      </c>
      <c r="CQ288" s="52">
        <v>0</v>
      </c>
      <c r="CR288" s="52">
        <v>0</v>
      </c>
      <c r="CS288" s="52">
        <v>56345.75</v>
      </c>
      <c r="CT288" s="52">
        <v>4993.8599999999997</v>
      </c>
      <c r="CU288" s="52">
        <v>39530</v>
      </c>
      <c r="CV288" s="430">
        <f t="shared" si="8"/>
        <v>601166.99</v>
      </c>
    </row>
    <row r="289" spans="1:100">
      <c r="A289" s="540" t="str">
        <f t="shared" ref="A289:A360" si="9">+B289</f>
        <v>6790090</v>
      </c>
      <c r="B289" s="541" t="s">
        <v>2101</v>
      </c>
      <c r="C289" s="463" t="s">
        <v>1185</v>
      </c>
      <c r="D289" s="428">
        <v>6731</v>
      </c>
      <c r="E289" s="428">
        <v>2817.55</v>
      </c>
      <c r="F289" s="428">
        <v>3519.22</v>
      </c>
      <c r="G289" s="428">
        <v>1595.49</v>
      </c>
      <c r="H289" s="428">
        <v>5464</v>
      </c>
      <c r="I289" s="428">
        <v>1097.3800000000001</v>
      </c>
      <c r="J289" s="428">
        <v>527.75</v>
      </c>
      <c r="K289" s="428">
        <v>312.14</v>
      </c>
      <c r="L289" s="428">
        <v>3215.22</v>
      </c>
      <c r="M289" s="428">
        <v>2171.48</v>
      </c>
      <c r="N289" s="428">
        <v>4744.5</v>
      </c>
      <c r="O289" s="429">
        <v>14512.1</v>
      </c>
      <c r="P289" s="52">
        <v>4684.55</v>
      </c>
      <c r="Q289" s="52">
        <v>5011.38</v>
      </c>
      <c r="R289" s="52">
        <v>4431.88</v>
      </c>
      <c r="S289" s="52">
        <v>34482.68</v>
      </c>
      <c r="T289" s="52">
        <v>506</v>
      </c>
      <c r="U289" s="52">
        <v>6894.15</v>
      </c>
      <c r="V289" s="52">
        <v>3714</v>
      </c>
      <c r="W289" s="52">
        <v>3758</v>
      </c>
      <c r="X289" s="52">
        <v>7005.05</v>
      </c>
      <c r="Y289" s="52">
        <v>6618.5</v>
      </c>
      <c r="Z289" s="52">
        <v>1469.72</v>
      </c>
      <c r="AA289" s="52">
        <v>18310.5</v>
      </c>
      <c r="AB289" s="52">
        <v>1025.3499999999999</v>
      </c>
      <c r="AC289" s="52">
        <v>6781.3</v>
      </c>
      <c r="AD289" s="52">
        <v>3728.58</v>
      </c>
      <c r="AE289" s="52">
        <v>12765.73</v>
      </c>
      <c r="AF289" s="52">
        <v>8009.55</v>
      </c>
      <c r="AG289" s="52">
        <v>38552.730000000003</v>
      </c>
      <c r="AH289" s="52">
        <v>623.29</v>
      </c>
      <c r="AI289" s="52">
        <v>1082.18</v>
      </c>
      <c r="AJ289" s="52">
        <v>10765.58</v>
      </c>
      <c r="AK289" s="52">
        <v>13197.61</v>
      </c>
      <c r="AL289" s="52">
        <v>6612.4</v>
      </c>
      <c r="AM289" s="52">
        <v>20749.46</v>
      </c>
      <c r="AN289" s="52">
        <v>957.32</v>
      </c>
      <c r="AO289" s="52">
        <v>6072.54</v>
      </c>
      <c r="AP289" s="52">
        <v>1057.5</v>
      </c>
      <c r="AQ289" s="52">
        <v>1182.5</v>
      </c>
      <c r="AR289" s="52">
        <v>3177.29</v>
      </c>
      <c r="AS289" s="52">
        <v>2883.27</v>
      </c>
      <c r="AT289" s="52">
        <v>17541.47</v>
      </c>
      <c r="AU289" s="52">
        <v>6174.47</v>
      </c>
      <c r="AV289" s="52">
        <v>6407.5</v>
      </c>
      <c r="AW289" s="52">
        <v>5605.76</v>
      </c>
      <c r="AX289" s="52">
        <v>3608.18</v>
      </c>
      <c r="AY289" s="52">
        <v>7134.77</v>
      </c>
      <c r="AZ289" s="52">
        <v>799.02</v>
      </c>
      <c r="BA289" s="52">
        <v>1943.08</v>
      </c>
      <c r="BB289" s="52">
        <v>6092.5</v>
      </c>
      <c r="BC289" s="52">
        <v>5261.5</v>
      </c>
      <c r="BD289" s="52">
        <v>384.5</v>
      </c>
      <c r="BE289" s="52">
        <v>4429.9399999999996</v>
      </c>
      <c r="BF289" s="52">
        <v>3897.37</v>
      </c>
      <c r="BG289" s="52">
        <v>8607.6200000000008</v>
      </c>
      <c r="BH289" s="52">
        <v>1637.46</v>
      </c>
      <c r="BI289" s="52">
        <v>30323.53</v>
      </c>
      <c r="BJ289" s="52">
        <v>1709.3</v>
      </c>
      <c r="BK289" s="52">
        <v>19639.71</v>
      </c>
      <c r="BL289" s="52">
        <v>10101.6</v>
      </c>
      <c r="BM289" s="52">
        <v>4000</v>
      </c>
      <c r="BN289" s="52">
        <v>3850</v>
      </c>
      <c r="BO289" s="52">
        <v>1275</v>
      </c>
      <c r="BP289" s="52">
        <v>15196.52</v>
      </c>
      <c r="BQ289" s="52">
        <v>3818.5</v>
      </c>
      <c r="BR289" s="52">
        <v>700</v>
      </c>
      <c r="BS289" s="52">
        <v>7550</v>
      </c>
      <c r="BT289" s="52">
        <v>20738.52</v>
      </c>
      <c r="BU289" s="52">
        <v>1539</v>
      </c>
      <c r="BV289" s="52">
        <v>4220.96</v>
      </c>
      <c r="BW289" s="52">
        <v>10552.35</v>
      </c>
      <c r="BX289" s="52">
        <v>3700</v>
      </c>
      <c r="BY289" s="52">
        <v>5698.44</v>
      </c>
      <c r="BZ289" s="52">
        <v>10350</v>
      </c>
      <c r="CA289" s="52">
        <v>105026.33</v>
      </c>
      <c r="CB289" s="52">
        <v>20264.29</v>
      </c>
      <c r="CC289" s="52">
        <v>50910</v>
      </c>
      <c r="CD289" s="52">
        <v>0</v>
      </c>
      <c r="CE289" s="52">
        <v>4564.78</v>
      </c>
      <c r="CF289" s="52">
        <v>2238.0700000000002</v>
      </c>
      <c r="CG289" s="52">
        <v>4816.9799999999996</v>
      </c>
      <c r="CH289" s="52">
        <v>3160.74</v>
      </c>
      <c r="CI289" s="52">
        <v>34509.040000000001</v>
      </c>
      <c r="CJ289" s="52">
        <v>703.58</v>
      </c>
      <c r="CK289" s="52">
        <v>6057.47</v>
      </c>
      <c r="CL289" s="52">
        <v>16557.38</v>
      </c>
      <c r="CM289" s="52">
        <v>16215.92</v>
      </c>
      <c r="CN289" s="52">
        <v>312.93</v>
      </c>
      <c r="CO289" s="52">
        <v>82.06</v>
      </c>
      <c r="CP289" s="52">
        <v>250</v>
      </c>
      <c r="CQ289" s="52">
        <v>20256.32</v>
      </c>
      <c r="CR289" s="52">
        <v>4205.74</v>
      </c>
      <c r="CS289" s="52">
        <v>9743.86</v>
      </c>
      <c r="CT289" s="52">
        <v>15009.98</v>
      </c>
      <c r="CU289" s="52">
        <v>69067.69</v>
      </c>
      <c r="CV289" s="430">
        <f t="shared" si="8"/>
        <v>158462.93</v>
      </c>
    </row>
    <row r="290" spans="1:100">
      <c r="A290" s="540" t="str">
        <f t="shared" si="9"/>
        <v>6790091</v>
      </c>
      <c r="B290" s="541" t="s">
        <v>2102</v>
      </c>
      <c r="C290" s="463" t="s">
        <v>1186</v>
      </c>
      <c r="D290" s="426">
        <v>840</v>
      </c>
      <c r="E290" s="426">
        <v>50</v>
      </c>
      <c r="F290" s="426">
        <v>3160</v>
      </c>
      <c r="G290" s="426">
        <v>550</v>
      </c>
      <c r="H290" s="426">
        <v>2075</v>
      </c>
      <c r="I290" s="426">
        <v>205.47</v>
      </c>
      <c r="J290" s="426">
        <v>2032.21</v>
      </c>
      <c r="K290" s="426">
        <v>1150</v>
      </c>
      <c r="L290" s="426">
        <v>0</v>
      </c>
      <c r="M290" s="426">
        <v>780</v>
      </c>
      <c r="N290" s="426">
        <v>1500</v>
      </c>
      <c r="O290" s="427">
        <v>7604.06</v>
      </c>
      <c r="P290" s="52">
        <v>4230</v>
      </c>
      <c r="Q290" s="52">
        <v>1965.42</v>
      </c>
      <c r="R290" s="52">
        <v>12935.55</v>
      </c>
      <c r="S290" s="52">
        <v>310</v>
      </c>
      <c r="T290" s="52">
        <v>3033.49</v>
      </c>
      <c r="U290" s="52">
        <v>3368.77</v>
      </c>
      <c r="V290" s="52">
        <v>8545.0400000000009</v>
      </c>
      <c r="W290" s="52">
        <v>1220</v>
      </c>
      <c r="X290" s="52">
        <v>3121.27</v>
      </c>
      <c r="Y290" s="52">
        <v>2508</v>
      </c>
      <c r="Z290" s="52">
        <v>330.18</v>
      </c>
      <c r="AA290" s="52">
        <v>3198.57</v>
      </c>
      <c r="AB290" s="52">
        <v>1850</v>
      </c>
      <c r="AC290" s="52">
        <v>1831.15</v>
      </c>
      <c r="AD290" s="52">
        <v>16841.95</v>
      </c>
      <c r="AE290" s="52">
        <v>1535</v>
      </c>
      <c r="AF290" s="52">
        <v>0</v>
      </c>
      <c r="AG290" s="52">
        <v>5315</v>
      </c>
      <c r="AH290" s="52">
        <v>1495</v>
      </c>
      <c r="AI290" s="52">
        <v>5220</v>
      </c>
      <c r="AJ290" s="52">
        <v>2301.65</v>
      </c>
      <c r="AK290" s="52">
        <v>5792.59</v>
      </c>
      <c r="AL290" s="52">
        <v>1250</v>
      </c>
      <c r="AM290" s="52">
        <v>1384.31</v>
      </c>
      <c r="AN290" s="52">
        <v>6606.15</v>
      </c>
      <c r="AO290" s="52">
        <v>1886.32</v>
      </c>
      <c r="AP290" s="52">
        <v>3302</v>
      </c>
      <c r="AQ290" s="52">
        <v>14411.56</v>
      </c>
      <c r="AR290" s="52">
        <v>2825</v>
      </c>
      <c r="AS290" s="52">
        <v>2500</v>
      </c>
      <c r="AT290" s="52">
        <v>5925</v>
      </c>
      <c r="AU290" s="52">
        <v>2000</v>
      </c>
      <c r="AV290" s="52">
        <v>16504</v>
      </c>
      <c r="AW290" s="52">
        <v>7436.78</v>
      </c>
      <c r="AX290" s="52">
        <v>1565</v>
      </c>
      <c r="AY290" s="52">
        <v>5893.92</v>
      </c>
      <c r="AZ290" s="52">
        <v>4252.0600000000004</v>
      </c>
      <c r="BA290" s="52">
        <v>4295</v>
      </c>
      <c r="BB290" s="52">
        <v>9829.6</v>
      </c>
      <c r="BC290" s="52">
        <v>15201.13</v>
      </c>
      <c r="BD290" s="52">
        <v>5975</v>
      </c>
      <c r="BE290" s="52">
        <v>4605.34</v>
      </c>
      <c r="BF290" s="52">
        <v>1200</v>
      </c>
      <c r="BG290" s="52">
        <v>1725</v>
      </c>
      <c r="BH290" s="52">
        <v>4205</v>
      </c>
      <c r="BI290" s="52">
        <v>1304.98</v>
      </c>
      <c r="BJ290" s="52">
        <v>9200</v>
      </c>
      <c r="BK290" s="52">
        <v>2188.52</v>
      </c>
      <c r="BL290" s="52">
        <v>15350</v>
      </c>
      <c r="BM290" s="52">
        <v>5150</v>
      </c>
      <c r="BN290" s="52">
        <v>5200</v>
      </c>
      <c r="BO290" s="52">
        <v>6630</v>
      </c>
      <c r="BP290" s="52">
        <v>5625</v>
      </c>
      <c r="BQ290" s="52">
        <v>0</v>
      </c>
      <c r="BR290" s="52">
        <v>4884</v>
      </c>
      <c r="BS290" s="52">
        <v>4950</v>
      </c>
      <c r="BT290" s="52">
        <v>42455</v>
      </c>
      <c r="BU290" s="52">
        <v>8368.33</v>
      </c>
      <c r="BV290" s="52">
        <v>4299</v>
      </c>
      <c r="BW290" s="52">
        <v>20114.88</v>
      </c>
      <c r="BX290" s="52">
        <v>1350</v>
      </c>
      <c r="BY290" s="52">
        <v>61961.96</v>
      </c>
      <c r="BZ290" s="52">
        <v>26250</v>
      </c>
      <c r="CA290" s="52">
        <v>125.19</v>
      </c>
      <c r="CB290" s="52">
        <v>8500</v>
      </c>
      <c r="CC290" s="52">
        <v>1700</v>
      </c>
      <c r="CD290" s="52">
        <v>0</v>
      </c>
      <c r="CE290" s="52">
        <v>0</v>
      </c>
      <c r="CF290" s="52">
        <v>0</v>
      </c>
      <c r="CG290" s="52">
        <v>13000</v>
      </c>
      <c r="CH290" s="52">
        <v>9500</v>
      </c>
      <c r="CI290" s="52">
        <v>5535</v>
      </c>
      <c r="CJ290" s="52">
        <v>0</v>
      </c>
      <c r="CK290" s="52">
        <v>34617.69</v>
      </c>
      <c r="CL290" s="52">
        <v>0</v>
      </c>
      <c r="CM290" s="52">
        <v>1500</v>
      </c>
      <c r="CN290" s="52">
        <v>7000</v>
      </c>
      <c r="CO290" s="52">
        <v>2500</v>
      </c>
      <c r="CP290" s="52">
        <v>3020</v>
      </c>
      <c r="CQ290" s="52">
        <v>5000</v>
      </c>
      <c r="CR290" s="52">
        <v>16642.009999999998</v>
      </c>
      <c r="CS290" s="52">
        <v>0</v>
      </c>
      <c r="CT290" s="52">
        <v>1550</v>
      </c>
      <c r="CU290" s="52">
        <v>5284</v>
      </c>
      <c r="CV290" s="430">
        <f t="shared" si="8"/>
        <v>77113.7</v>
      </c>
    </row>
    <row r="291" spans="1:100">
      <c r="A291" s="540" t="str">
        <f t="shared" si="9"/>
        <v>6790092</v>
      </c>
      <c r="B291" s="541" t="s">
        <v>2103</v>
      </c>
      <c r="C291" s="463" t="s">
        <v>1187</v>
      </c>
      <c r="D291" s="428">
        <v>2005</v>
      </c>
      <c r="E291" s="428">
        <v>4630.7</v>
      </c>
      <c r="F291" s="428">
        <v>13633</v>
      </c>
      <c r="G291" s="428">
        <v>2884</v>
      </c>
      <c r="H291" s="428">
        <v>23658.18</v>
      </c>
      <c r="I291" s="428">
        <v>7833</v>
      </c>
      <c r="J291" s="428">
        <v>15773</v>
      </c>
      <c r="K291" s="428">
        <v>9924</v>
      </c>
      <c r="L291" s="428">
        <v>1232</v>
      </c>
      <c r="M291" s="428">
        <v>1866</v>
      </c>
      <c r="N291" s="428">
        <v>4793</v>
      </c>
      <c r="O291" s="429">
        <v>22166</v>
      </c>
      <c r="P291" s="52">
        <v>6592</v>
      </c>
      <c r="Q291" s="52">
        <v>6917</v>
      </c>
      <c r="R291" s="52">
        <v>32297</v>
      </c>
      <c r="S291" s="52">
        <v>12206.48</v>
      </c>
      <c r="T291" s="52">
        <v>10339</v>
      </c>
      <c r="U291" s="52">
        <v>5853</v>
      </c>
      <c r="V291" s="52">
        <v>15706.98</v>
      </c>
      <c r="W291" s="52">
        <v>7653.5</v>
      </c>
      <c r="X291" s="52">
        <v>6553.05</v>
      </c>
      <c r="Y291" s="52">
        <v>9413</v>
      </c>
      <c r="Z291" s="52">
        <v>3185.46</v>
      </c>
      <c r="AA291" s="52">
        <v>16157.2</v>
      </c>
      <c r="AB291" s="52">
        <v>19338</v>
      </c>
      <c r="AC291" s="52">
        <v>3577</v>
      </c>
      <c r="AD291" s="52">
        <v>14047</v>
      </c>
      <c r="AE291" s="52">
        <v>5961</v>
      </c>
      <c r="AF291" s="52">
        <v>11965</v>
      </c>
      <c r="AG291" s="52">
        <v>29735</v>
      </c>
      <c r="AH291" s="52">
        <v>11063</v>
      </c>
      <c r="AI291" s="52">
        <v>11049.98</v>
      </c>
      <c r="AJ291" s="52">
        <v>14206.5</v>
      </c>
      <c r="AK291" s="52">
        <v>8993</v>
      </c>
      <c r="AL291" s="52">
        <v>6630</v>
      </c>
      <c r="AM291" s="52">
        <v>36478</v>
      </c>
      <c r="AN291" s="52">
        <v>-25068.26</v>
      </c>
      <c r="AO291" s="52">
        <v>12078.08</v>
      </c>
      <c r="AP291" s="52">
        <v>3134.5</v>
      </c>
      <c r="AQ291" s="52">
        <v>9248</v>
      </c>
      <c r="AR291" s="52">
        <v>9219</v>
      </c>
      <c r="AS291" s="52">
        <v>8412</v>
      </c>
      <c r="AT291" s="52">
        <v>7696.25</v>
      </c>
      <c r="AU291" s="52">
        <v>16766.73</v>
      </c>
      <c r="AV291" s="52">
        <v>12560</v>
      </c>
      <c r="AW291" s="52">
        <v>5603</v>
      </c>
      <c r="AX291" s="52">
        <v>14257</v>
      </c>
      <c r="AY291" s="52">
        <v>18529</v>
      </c>
      <c r="AZ291" s="52">
        <v>8415</v>
      </c>
      <c r="BA291" s="52">
        <v>8833</v>
      </c>
      <c r="BB291" s="52">
        <v>4786</v>
      </c>
      <c r="BC291" s="52">
        <v>25532</v>
      </c>
      <c r="BD291" s="52">
        <v>24092</v>
      </c>
      <c r="BE291" s="52">
        <v>4331</v>
      </c>
      <c r="BF291" s="52">
        <v>2291.5</v>
      </c>
      <c r="BG291" s="52">
        <v>16854</v>
      </c>
      <c r="BH291" s="52">
        <v>9125</v>
      </c>
      <c r="BI291" s="52">
        <v>32828.480000000003</v>
      </c>
      <c r="BJ291" s="52">
        <v>27992</v>
      </c>
      <c r="BK291" s="52">
        <v>9367</v>
      </c>
      <c r="BL291" s="52">
        <v>8918</v>
      </c>
      <c r="BM291" s="52">
        <v>10410</v>
      </c>
      <c r="BN291" s="52">
        <v>15438</v>
      </c>
      <c r="BO291" s="52">
        <v>10298.969999999999</v>
      </c>
      <c r="BP291" s="52">
        <v>11217</v>
      </c>
      <c r="BQ291" s="52">
        <v>13650</v>
      </c>
      <c r="BR291" s="52">
        <v>4460.66</v>
      </c>
      <c r="BS291" s="52">
        <v>13238</v>
      </c>
      <c r="BT291" s="52">
        <v>8317</v>
      </c>
      <c r="BU291" s="52">
        <v>2810</v>
      </c>
      <c r="BV291" s="52">
        <v>31376</v>
      </c>
      <c r="BW291" s="52">
        <v>31810.25</v>
      </c>
      <c r="BX291" s="52">
        <v>3789</v>
      </c>
      <c r="BY291" s="52">
        <v>7058</v>
      </c>
      <c r="BZ291" s="52">
        <v>3870</v>
      </c>
      <c r="CA291" s="52">
        <v>1346</v>
      </c>
      <c r="CB291" s="52">
        <v>1581</v>
      </c>
      <c r="CC291" s="52">
        <v>4119</v>
      </c>
      <c r="CD291" s="52">
        <v>1499</v>
      </c>
      <c r="CE291" s="52">
        <v>4575</v>
      </c>
      <c r="CF291" s="52">
        <v>1909</v>
      </c>
      <c r="CG291" s="52">
        <v>12215</v>
      </c>
      <c r="CH291" s="52">
        <v>4352.96</v>
      </c>
      <c r="CI291" s="52">
        <v>30593.94</v>
      </c>
      <c r="CJ291" s="52">
        <v>1658</v>
      </c>
      <c r="CK291" s="52">
        <v>3438.21</v>
      </c>
      <c r="CL291" s="52">
        <v>4461</v>
      </c>
      <c r="CM291" s="52">
        <v>1917</v>
      </c>
      <c r="CN291" s="52">
        <v>2112</v>
      </c>
      <c r="CO291" s="52">
        <v>4794</v>
      </c>
      <c r="CP291" s="52">
        <v>2505.25</v>
      </c>
      <c r="CQ291" s="52">
        <v>2632.47</v>
      </c>
      <c r="CR291" s="52">
        <v>15140</v>
      </c>
      <c r="CS291" s="52">
        <v>2375</v>
      </c>
      <c r="CT291" s="52">
        <v>633.01</v>
      </c>
      <c r="CU291" s="52">
        <v>6592.5</v>
      </c>
      <c r="CV291" s="430">
        <f t="shared" si="8"/>
        <v>48258.44</v>
      </c>
    </row>
    <row r="292" spans="1:100">
      <c r="A292" s="540" t="str">
        <f t="shared" si="9"/>
        <v>6790101</v>
      </c>
      <c r="B292" s="541" t="s">
        <v>2104</v>
      </c>
      <c r="C292" s="463" t="s">
        <v>1188</v>
      </c>
      <c r="D292" s="428">
        <v>31766.41</v>
      </c>
      <c r="E292" s="428">
        <v>65137.41</v>
      </c>
      <c r="F292" s="428">
        <v>29000.16</v>
      </c>
      <c r="G292" s="428">
        <v>55022.36</v>
      </c>
      <c r="H292" s="428">
        <v>29812.7</v>
      </c>
      <c r="I292" s="428">
        <v>28383.54</v>
      </c>
      <c r="J292" s="428">
        <v>55510.53</v>
      </c>
      <c r="K292" s="428">
        <v>30436.29</v>
      </c>
      <c r="L292" s="428">
        <v>55639.72</v>
      </c>
      <c r="M292" s="428">
        <v>27996.28</v>
      </c>
      <c r="N292" s="428">
        <v>28348.22</v>
      </c>
      <c r="O292" s="429">
        <v>33877.279999999999</v>
      </c>
      <c r="P292" s="52">
        <v>55113.120000000003</v>
      </c>
      <c r="Q292" s="52">
        <v>27379.119999999999</v>
      </c>
      <c r="R292" s="52">
        <v>26987.17</v>
      </c>
      <c r="S292" s="52">
        <v>53035.63</v>
      </c>
      <c r="T292" s="52">
        <v>28096.11</v>
      </c>
      <c r="U292" s="52">
        <v>29544.74</v>
      </c>
      <c r="V292" s="52">
        <v>57556.02</v>
      </c>
      <c r="W292" s="52">
        <v>31122.69</v>
      </c>
      <c r="X292" s="52">
        <v>30489.08</v>
      </c>
      <c r="Y292" s="52">
        <v>56857.3</v>
      </c>
      <c r="Z292" s="52">
        <v>30624.75</v>
      </c>
      <c r="AA292" s="52">
        <v>36334.69</v>
      </c>
      <c r="AB292" s="52">
        <v>55206.36</v>
      </c>
      <c r="AC292" s="52">
        <v>28228.6</v>
      </c>
      <c r="AD292" s="52">
        <v>31163.34</v>
      </c>
      <c r="AE292" s="52">
        <v>58385.66</v>
      </c>
      <c r="AF292" s="52">
        <v>31309.43</v>
      </c>
      <c r="AG292" s="52">
        <v>28824</v>
      </c>
      <c r="AH292" s="52">
        <v>55405.43</v>
      </c>
      <c r="AI292" s="52">
        <v>18348.96</v>
      </c>
      <c r="AJ292" s="52">
        <v>29388.77</v>
      </c>
      <c r="AK292" s="52">
        <v>54966.79</v>
      </c>
      <c r="AL292" s="52">
        <v>27933.94</v>
      </c>
      <c r="AM292" s="52">
        <v>33551.89</v>
      </c>
      <c r="AN292" s="52">
        <v>52960.84</v>
      </c>
      <c r="AO292" s="52">
        <v>33715.120000000003</v>
      </c>
      <c r="AP292" s="52">
        <v>42416.05</v>
      </c>
      <c r="AQ292" s="52">
        <v>77360.13</v>
      </c>
      <c r="AR292" s="52">
        <v>28355.3</v>
      </c>
      <c r="AS292" s="52">
        <v>28880.89</v>
      </c>
      <c r="AT292" s="52">
        <v>55028.25</v>
      </c>
      <c r="AU292" s="52">
        <v>28499.68</v>
      </c>
      <c r="AV292" s="52">
        <v>29543.73</v>
      </c>
      <c r="AW292" s="52">
        <v>52791.06</v>
      </c>
      <c r="AX292" s="52">
        <v>28407.45</v>
      </c>
      <c r="AY292" s="52">
        <v>24187.06</v>
      </c>
      <c r="AZ292" s="52">
        <v>43080.68</v>
      </c>
      <c r="BA292" s="52">
        <v>18744.259999999998</v>
      </c>
      <c r="BB292" s="52">
        <v>25885.02</v>
      </c>
      <c r="BC292" s="52">
        <v>45499.67</v>
      </c>
      <c r="BD292" s="52">
        <v>18119.740000000002</v>
      </c>
      <c r="BE292" s="52">
        <v>22184.85</v>
      </c>
      <c r="BF292" s="52">
        <v>47383.360000000001</v>
      </c>
      <c r="BG292" s="52">
        <v>22720.66</v>
      </c>
      <c r="BH292" s="52">
        <v>21910.51</v>
      </c>
      <c r="BI292" s="52">
        <v>47238.38</v>
      </c>
      <c r="BJ292" s="52">
        <v>18796.560000000001</v>
      </c>
      <c r="BK292" s="52">
        <v>19024.990000000002</v>
      </c>
      <c r="BL292" s="52">
        <v>45426.78</v>
      </c>
      <c r="BM292" s="52">
        <v>19521.71</v>
      </c>
      <c r="BN292" s="52">
        <v>25493.59</v>
      </c>
      <c r="BO292" s="52">
        <v>45738.44</v>
      </c>
      <c r="BP292" s="52">
        <v>20879.91</v>
      </c>
      <c r="BQ292" s="52">
        <v>23443.87</v>
      </c>
      <c r="BR292" s="52">
        <v>48867.199999999997</v>
      </c>
      <c r="BS292" s="52">
        <v>24627.01</v>
      </c>
      <c r="BT292" s="52">
        <v>24889.200000000001</v>
      </c>
      <c r="BU292" s="52">
        <v>42216.95</v>
      </c>
      <c r="BV292" s="52">
        <v>34522.04</v>
      </c>
      <c r="BW292" s="52">
        <v>23951.01</v>
      </c>
      <c r="BX292" s="52">
        <v>51677.05</v>
      </c>
      <c r="BY292" s="52">
        <v>24618.07</v>
      </c>
      <c r="BZ292" s="52">
        <v>30713.02</v>
      </c>
      <c r="CA292" s="52">
        <v>57830.65</v>
      </c>
      <c r="CB292" s="52">
        <v>23926.93</v>
      </c>
      <c r="CC292" s="52">
        <v>23758.41</v>
      </c>
      <c r="CD292" s="52">
        <v>56754.239999999998</v>
      </c>
      <c r="CE292" s="52">
        <v>25320.39</v>
      </c>
      <c r="CF292" s="52">
        <v>25845.15</v>
      </c>
      <c r="CG292" s="52">
        <v>55900.79</v>
      </c>
      <c r="CH292" s="52">
        <v>24518.99</v>
      </c>
      <c r="CI292" s="52">
        <v>54813.760000000002</v>
      </c>
      <c r="CJ292" s="52">
        <v>34939.599999999999</v>
      </c>
      <c r="CK292" s="52">
        <v>23158.65</v>
      </c>
      <c r="CL292" s="52">
        <v>20642.259999999998</v>
      </c>
      <c r="CM292" s="52">
        <v>82158.55</v>
      </c>
      <c r="CN292" s="52">
        <v>13902.21</v>
      </c>
      <c r="CO292" s="52">
        <v>13585.18</v>
      </c>
      <c r="CP292" s="52">
        <v>79773.81</v>
      </c>
      <c r="CQ292" s="52">
        <v>15047.02</v>
      </c>
      <c r="CR292" s="52">
        <v>16523.27</v>
      </c>
      <c r="CS292" s="52">
        <v>81516.37</v>
      </c>
      <c r="CT292" s="52">
        <v>17315.25</v>
      </c>
      <c r="CU292" s="52">
        <v>76204.25</v>
      </c>
      <c r="CV292" s="430">
        <f t="shared" si="8"/>
        <v>474766.42000000004</v>
      </c>
    </row>
    <row r="293" spans="1:100">
      <c r="A293" s="540" t="str">
        <f t="shared" si="9"/>
        <v>6790102</v>
      </c>
      <c r="B293" s="541" t="s">
        <v>2105</v>
      </c>
      <c r="C293" s="463" t="s">
        <v>1189</v>
      </c>
      <c r="D293" s="426">
        <v>0</v>
      </c>
      <c r="E293" s="426">
        <v>0</v>
      </c>
      <c r="F293" s="426">
        <v>150</v>
      </c>
      <c r="G293" s="426">
        <v>0</v>
      </c>
      <c r="H293" s="426">
        <v>0</v>
      </c>
      <c r="I293" s="426">
        <v>0</v>
      </c>
      <c r="J293" s="426">
        <v>0</v>
      </c>
      <c r="K293" s="426">
        <v>0</v>
      </c>
      <c r="L293" s="426">
        <v>0</v>
      </c>
      <c r="M293" s="426">
        <v>0</v>
      </c>
      <c r="N293" s="426">
        <v>0</v>
      </c>
      <c r="O293" s="427">
        <v>0</v>
      </c>
      <c r="P293" s="52">
        <v>150</v>
      </c>
      <c r="Q293" s="52">
        <v>0</v>
      </c>
      <c r="R293" s="52">
        <v>0</v>
      </c>
      <c r="S293" s="52">
        <v>0</v>
      </c>
      <c r="T293" s="52">
        <v>0</v>
      </c>
      <c r="U293" s="52">
        <v>0</v>
      </c>
      <c r="V293" s="52">
        <v>0</v>
      </c>
      <c r="W293" s="52">
        <v>0</v>
      </c>
      <c r="X293" s="52">
        <v>0</v>
      </c>
      <c r="Y293" s="52">
        <v>0</v>
      </c>
      <c r="Z293" s="52">
        <v>0</v>
      </c>
      <c r="AA293" s="52">
        <v>0</v>
      </c>
      <c r="AB293" s="52">
        <v>0</v>
      </c>
      <c r="AC293" s="52">
        <v>0</v>
      </c>
      <c r="AD293" s="52">
        <v>0</v>
      </c>
      <c r="AE293" s="52">
        <v>0</v>
      </c>
      <c r="AF293" s="52">
        <v>0</v>
      </c>
      <c r="AG293" s="52">
        <v>0</v>
      </c>
      <c r="AH293" s="52">
        <v>0</v>
      </c>
      <c r="AI293" s="52">
        <v>0</v>
      </c>
      <c r="AJ293" s="52">
        <v>0</v>
      </c>
      <c r="AK293" s="52">
        <v>0</v>
      </c>
      <c r="AL293" s="52">
        <v>0</v>
      </c>
      <c r="AM293" s="52">
        <v>0</v>
      </c>
      <c r="AN293" s="52">
        <v>138.75</v>
      </c>
      <c r="AO293" s="52">
        <v>0</v>
      </c>
      <c r="AP293" s="52">
        <v>0</v>
      </c>
      <c r="AQ293" s="52">
        <v>0</v>
      </c>
      <c r="AR293" s="52">
        <v>0</v>
      </c>
      <c r="AS293" s="52">
        <v>0</v>
      </c>
      <c r="AT293" s="52">
        <v>0</v>
      </c>
      <c r="AU293" s="52">
        <v>0</v>
      </c>
      <c r="AV293" s="52">
        <v>0</v>
      </c>
      <c r="AW293" s="52">
        <v>0</v>
      </c>
      <c r="AX293" s="52">
        <v>0</v>
      </c>
      <c r="AY293" s="52">
        <v>0</v>
      </c>
      <c r="AZ293" s="52">
        <v>150</v>
      </c>
      <c r="BA293" s="52">
        <v>0</v>
      </c>
      <c r="BB293" s="52">
        <v>0</v>
      </c>
      <c r="BC293" s="52">
        <v>0</v>
      </c>
      <c r="BD293" s="52">
        <v>0</v>
      </c>
      <c r="BE293" s="52">
        <v>0</v>
      </c>
      <c r="BF293" s="52">
        <v>0</v>
      </c>
      <c r="BG293" s="52">
        <v>0</v>
      </c>
      <c r="BH293" s="52">
        <v>0</v>
      </c>
      <c r="BI293" s="52">
        <v>0</v>
      </c>
      <c r="BJ293" s="52">
        <v>0</v>
      </c>
      <c r="BK293" s="52">
        <v>0</v>
      </c>
      <c r="BL293" s="52">
        <v>150</v>
      </c>
      <c r="BM293" s="52">
        <v>15000</v>
      </c>
      <c r="BN293" s="52">
        <v>700</v>
      </c>
      <c r="BO293" s="52">
        <v>-15000</v>
      </c>
      <c r="BP293" s="52">
        <v>0</v>
      </c>
      <c r="BQ293" s="52">
        <v>0</v>
      </c>
      <c r="BR293" s="52">
        <v>0</v>
      </c>
      <c r="BS293" s="52">
        <v>0</v>
      </c>
      <c r="BT293" s="52">
        <v>0</v>
      </c>
      <c r="BU293" s="52">
        <v>0</v>
      </c>
      <c r="BV293" s="52">
        <v>0</v>
      </c>
      <c r="BW293" s="52">
        <v>0</v>
      </c>
      <c r="BX293" s="52">
        <v>150</v>
      </c>
      <c r="BY293" s="52">
        <v>0</v>
      </c>
      <c r="BZ293" s="52">
        <v>1915</v>
      </c>
      <c r="CA293" s="52">
        <v>0</v>
      </c>
      <c r="CB293" s="52">
        <v>0</v>
      </c>
      <c r="CC293" s="52">
        <v>0</v>
      </c>
      <c r="CD293" s="52">
        <v>0</v>
      </c>
      <c r="CE293" s="52">
        <v>0</v>
      </c>
      <c r="CF293" s="52">
        <v>15000</v>
      </c>
      <c r="CG293" s="52">
        <v>0</v>
      </c>
      <c r="CH293" s="52">
        <v>0</v>
      </c>
      <c r="CI293" s="52">
        <v>3000</v>
      </c>
      <c r="CJ293" s="52">
        <v>0</v>
      </c>
      <c r="CK293" s="52">
        <v>150</v>
      </c>
      <c r="CL293" s="52">
        <v>0</v>
      </c>
      <c r="CM293" s="52">
        <v>0</v>
      </c>
      <c r="CN293" s="52">
        <v>0</v>
      </c>
      <c r="CO293" s="52">
        <v>0</v>
      </c>
      <c r="CP293" s="52">
        <v>0</v>
      </c>
      <c r="CQ293" s="52">
        <v>0</v>
      </c>
      <c r="CR293" s="52">
        <v>0</v>
      </c>
      <c r="CS293" s="52">
        <v>0</v>
      </c>
      <c r="CT293" s="52">
        <v>0</v>
      </c>
      <c r="CU293" s="52">
        <v>0</v>
      </c>
      <c r="CV293" s="430">
        <f t="shared" si="8"/>
        <v>150</v>
      </c>
    </row>
    <row r="294" spans="1:100">
      <c r="A294" s="540" t="str">
        <f t="shared" si="9"/>
        <v>6790103</v>
      </c>
      <c r="B294" s="541" t="s">
        <v>2106</v>
      </c>
      <c r="C294" s="463" t="s">
        <v>1190</v>
      </c>
      <c r="D294" s="428">
        <v>0</v>
      </c>
      <c r="E294" s="428">
        <v>1220</v>
      </c>
      <c r="F294" s="428">
        <v>1149</v>
      </c>
      <c r="G294" s="428">
        <v>845</v>
      </c>
      <c r="H294" s="428">
        <v>1167</v>
      </c>
      <c r="I294" s="428">
        <v>0</v>
      </c>
      <c r="J294" s="428">
        <v>1500</v>
      </c>
      <c r="K294" s="428">
        <v>0</v>
      </c>
      <c r="L294" s="428">
        <v>0</v>
      </c>
      <c r="M294" s="428">
        <v>795</v>
      </c>
      <c r="N294" s="428">
        <v>0</v>
      </c>
      <c r="O294" s="429">
        <v>805</v>
      </c>
      <c r="P294" s="52">
        <v>0</v>
      </c>
      <c r="Q294" s="52">
        <v>0</v>
      </c>
      <c r="R294" s="52">
        <v>650</v>
      </c>
      <c r="S294" s="52">
        <v>50</v>
      </c>
      <c r="T294" s="52">
        <v>1075</v>
      </c>
      <c r="U294" s="52">
        <v>0</v>
      </c>
      <c r="V294" s="52">
        <v>0</v>
      </c>
      <c r="W294" s="52">
        <v>2618.77</v>
      </c>
      <c r="X294" s="52">
        <v>0</v>
      </c>
      <c r="Y294" s="52">
        <v>0</v>
      </c>
      <c r="Z294" s="52">
        <v>0</v>
      </c>
      <c r="AA294" s="52">
        <v>0</v>
      </c>
      <c r="AB294" s="52">
        <v>0</v>
      </c>
      <c r="AC294" s="52">
        <v>1219.5</v>
      </c>
      <c r="AD294" s="52">
        <v>13950</v>
      </c>
      <c r="AE294" s="52">
        <v>0</v>
      </c>
      <c r="AF294" s="52">
        <v>675</v>
      </c>
      <c r="AG294" s="52">
        <v>300</v>
      </c>
      <c r="AH294" s="52">
        <v>0</v>
      </c>
      <c r="AI294" s="52">
        <v>195</v>
      </c>
      <c r="AJ294" s="52">
        <v>4804.3</v>
      </c>
      <c r="AK294" s="52">
        <v>875</v>
      </c>
      <c r="AL294" s="52">
        <v>8</v>
      </c>
      <c r="AM294" s="52">
        <v>625</v>
      </c>
      <c r="AN294" s="52">
        <v>2400</v>
      </c>
      <c r="AO294" s="52">
        <v>0</v>
      </c>
      <c r="AP294" s="52">
        <v>0</v>
      </c>
      <c r="AQ294" s="52">
        <v>820</v>
      </c>
      <c r="AR294" s="52">
        <v>20</v>
      </c>
      <c r="AS294" s="52">
        <v>0</v>
      </c>
      <c r="AT294" s="52">
        <v>925</v>
      </c>
      <c r="AU294" s="52">
        <v>0</v>
      </c>
      <c r="AV294" s="52">
        <v>2269</v>
      </c>
      <c r="AW294" s="52">
        <v>597</v>
      </c>
      <c r="AX294" s="52">
        <v>0</v>
      </c>
      <c r="AY294" s="52">
        <v>1650</v>
      </c>
      <c r="AZ294" s="52">
        <v>0</v>
      </c>
      <c r="BA294" s="52">
        <v>-1000</v>
      </c>
      <c r="BB294" s="52">
        <v>0</v>
      </c>
      <c r="BC294" s="52">
        <v>0</v>
      </c>
      <c r="BD294" s="52">
        <v>500</v>
      </c>
      <c r="BE294" s="52">
        <v>0</v>
      </c>
      <c r="BF294" s="52">
        <v>0</v>
      </c>
      <c r="BG294" s="52">
        <v>0</v>
      </c>
      <c r="BH294" s="52">
        <v>0</v>
      </c>
      <c r="BI294" s="52">
        <v>100</v>
      </c>
      <c r="BJ294" s="52">
        <v>0</v>
      </c>
      <c r="BK294" s="52">
        <v>639</v>
      </c>
      <c r="BL294" s="52">
        <v>0</v>
      </c>
      <c r="BM294" s="52">
        <v>0</v>
      </c>
      <c r="BN294" s="52">
        <v>0</v>
      </c>
      <c r="BO294" s="52">
        <v>550</v>
      </c>
      <c r="BP294" s="52">
        <v>0</v>
      </c>
      <c r="BQ294" s="52">
        <v>0</v>
      </c>
      <c r="BR294" s="52">
        <v>-450</v>
      </c>
      <c r="BS294" s="52">
        <v>0</v>
      </c>
      <c r="BT294" s="52">
        <v>1065.74</v>
      </c>
      <c r="BU294" s="52">
        <v>0</v>
      </c>
      <c r="BV294" s="52">
        <v>67</v>
      </c>
      <c r="BW294" s="52">
        <v>724</v>
      </c>
      <c r="BX294" s="52">
        <v>0</v>
      </c>
      <c r="BY294" s="52">
        <v>500</v>
      </c>
      <c r="BZ294" s="52">
        <v>545</v>
      </c>
      <c r="CA294" s="52">
        <v>225</v>
      </c>
      <c r="CB294" s="52">
        <v>0</v>
      </c>
      <c r="CC294" s="52">
        <v>150</v>
      </c>
      <c r="CD294" s="52">
        <v>0</v>
      </c>
      <c r="CE294" s="52">
        <v>0</v>
      </c>
      <c r="CF294" s="52">
        <v>0</v>
      </c>
      <c r="CG294" s="52">
        <v>0</v>
      </c>
      <c r="CH294" s="52">
        <v>0</v>
      </c>
      <c r="CI294" s="52">
        <v>0</v>
      </c>
      <c r="CJ294" s="52">
        <v>0</v>
      </c>
      <c r="CK294" s="52">
        <v>0</v>
      </c>
      <c r="CL294" s="52">
        <v>0</v>
      </c>
      <c r="CM294" s="52">
        <v>0</v>
      </c>
      <c r="CN294" s="52">
        <v>0</v>
      </c>
      <c r="CO294" s="52">
        <v>0</v>
      </c>
      <c r="CP294" s="52">
        <v>0</v>
      </c>
      <c r="CQ294" s="52">
        <v>0</v>
      </c>
      <c r="CR294" s="52">
        <v>0</v>
      </c>
      <c r="CS294" s="52">
        <v>0</v>
      </c>
      <c r="CT294" s="52">
        <v>0</v>
      </c>
      <c r="CU294" s="52">
        <v>0</v>
      </c>
      <c r="CV294" s="430">
        <f t="shared" si="8"/>
        <v>0</v>
      </c>
    </row>
    <row r="295" spans="1:100">
      <c r="A295" s="540" t="str">
        <f t="shared" si="9"/>
        <v>6790105</v>
      </c>
      <c r="B295" s="541" t="s">
        <v>2107</v>
      </c>
      <c r="C295" s="463" t="s">
        <v>1446</v>
      </c>
      <c r="D295" s="428"/>
      <c r="E295" s="428"/>
      <c r="F295" s="428"/>
      <c r="G295" s="428"/>
      <c r="H295" s="428"/>
      <c r="I295" s="428"/>
      <c r="J295" s="428"/>
      <c r="K295" s="428"/>
      <c r="L295" s="428"/>
      <c r="M295" s="428"/>
      <c r="N295" s="428"/>
      <c r="O295" s="429"/>
      <c r="P295" s="52"/>
      <c r="Q295" s="52"/>
      <c r="R295" s="52"/>
      <c r="S295" s="52"/>
      <c r="T295" s="52"/>
      <c r="U295" s="52"/>
      <c r="V295" s="52"/>
      <c r="W295" s="52"/>
      <c r="X295" s="52"/>
      <c r="Y295" s="52"/>
      <c r="Z295" s="52"/>
      <c r="AA295" s="52"/>
      <c r="AB295" s="52"/>
      <c r="AC295" s="52"/>
      <c r="AD295" s="52"/>
      <c r="AE295" s="52">
        <v>0</v>
      </c>
      <c r="AF295" s="52">
        <v>47979.360000000001</v>
      </c>
      <c r="AG295" s="52">
        <v>0</v>
      </c>
      <c r="AH295" s="52">
        <v>0</v>
      </c>
      <c r="AI295" s="52">
        <v>0</v>
      </c>
      <c r="AJ295" s="52">
        <v>0</v>
      </c>
      <c r="AK295" s="52">
        <v>0</v>
      </c>
      <c r="AL295" s="52">
        <v>0</v>
      </c>
      <c r="AM295" s="52">
        <v>0</v>
      </c>
      <c r="AN295" s="52">
        <v>0</v>
      </c>
      <c r="AO295" s="52">
        <v>0</v>
      </c>
      <c r="AP295" s="52">
        <v>0</v>
      </c>
      <c r="AQ295" s="52">
        <v>0</v>
      </c>
      <c r="AR295" s="52">
        <v>0</v>
      </c>
      <c r="AS295" s="52">
        <v>25858.44</v>
      </c>
      <c r="AT295" s="52">
        <v>0</v>
      </c>
      <c r="AU295" s="52">
        <v>12.72</v>
      </c>
      <c r="AV295" s="52">
        <v>0</v>
      </c>
      <c r="AW295" s="52">
        <v>0</v>
      </c>
      <c r="AX295" s="52">
        <v>0</v>
      </c>
      <c r="AY295" s="52">
        <v>0</v>
      </c>
      <c r="AZ295" s="52">
        <v>0</v>
      </c>
      <c r="BA295" s="52">
        <v>0</v>
      </c>
      <c r="BB295" s="52">
        <v>0</v>
      </c>
      <c r="BC295" s="52">
        <v>25070.68</v>
      </c>
      <c r="BD295" s="52">
        <v>0</v>
      </c>
      <c r="BE295" s="52">
        <v>30054.639999999999</v>
      </c>
      <c r="BF295" s="52">
        <v>0</v>
      </c>
      <c r="BG295" s="52">
        <v>0</v>
      </c>
      <c r="BH295" s="52">
        <v>0</v>
      </c>
      <c r="BI295" s="52">
        <v>0</v>
      </c>
      <c r="BJ295" s="52">
        <v>0</v>
      </c>
      <c r="BK295" s="52">
        <v>0</v>
      </c>
      <c r="BL295" s="52">
        <v>0</v>
      </c>
      <c r="BM295" s="52">
        <v>0</v>
      </c>
      <c r="BN295" s="52">
        <v>0</v>
      </c>
      <c r="BO295" s="52">
        <v>56148.68</v>
      </c>
      <c r="BP295" s="52">
        <v>0</v>
      </c>
      <c r="BQ295" s="52">
        <v>0</v>
      </c>
      <c r="BR295" s="52">
        <v>0</v>
      </c>
      <c r="BS295" s="52">
        <v>0</v>
      </c>
      <c r="BT295" s="52">
        <v>0</v>
      </c>
      <c r="BU295" s="52">
        <v>0</v>
      </c>
      <c r="BV295" s="52">
        <v>0</v>
      </c>
      <c r="BW295" s="52">
        <v>0</v>
      </c>
      <c r="BX295" s="52">
        <v>0</v>
      </c>
      <c r="BY295" s="52">
        <v>0</v>
      </c>
      <c r="BZ295" s="52">
        <v>0</v>
      </c>
      <c r="CA295" s="52">
        <v>0</v>
      </c>
      <c r="CB295" s="52">
        <v>57941.61</v>
      </c>
      <c r="CC295" s="52">
        <v>0</v>
      </c>
      <c r="CD295" s="52">
        <v>0</v>
      </c>
      <c r="CE295" s="52">
        <v>0</v>
      </c>
      <c r="CF295" s="52">
        <v>0</v>
      </c>
      <c r="CG295" s="52">
        <v>0</v>
      </c>
      <c r="CH295" s="52">
        <v>0</v>
      </c>
      <c r="CI295" s="52">
        <v>0</v>
      </c>
      <c r="CJ295" s="52">
        <v>0</v>
      </c>
      <c r="CK295" s="52">
        <v>0</v>
      </c>
      <c r="CL295" s="52">
        <v>0</v>
      </c>
      <c r="CM295" s="52">
        <v>57873.96</v>
      </c>
      <c r="CN295" s="52">
        <v>0</v>
      </c>
      <c r="CO295" s="52">
        <v>0</v>
      </c>
      <c r="CP295" s="52">
        <v>0</v>
      </c>
      <c r="CQ295" s="52">
        <v>0</v>
      </c>
      <c r="CR295" s="52">
        <v>0</v>
      </c>
      <c r="CS295" s="52">
        <v>0</v>
      </c>
      <c r="CT295" s="52">
        <v>0</v>
      </c>
      <c r="CU295" s="52">
        <v>0</v>
      </c>
      <c r="CV295" s="430">
        <f t="shared" si="8"/>
        <v>57873.96</v>
      </c>
    </row>
    <row r="296" spans="1:100">
      <c r="A296" s="540" t="str">
        <f>+B296</f>
        <v>6790198</v>
      </c>
      <c r="B296" s="541" t="s">
        <v>2460</v>
      </c>
      <c r="C296" s="463" t="s">
        <v>2461</v>
      </c>
      <c r="D296" s="428"/>
      <c r="E296" s="428"/>
      <c r="F296" s="428"/>
      <c r="G296" s="428"/>
      <c r="H296" s="428"/>
      <c r="I296" s="428"/>
      <c r="J296" s="428"/>
      <c r="K296" s="428"/>
      <c r="L296" s="428"/>
      <c r="M296" s="428"/>
      <c r="N296" s="428"/>
      <c r="O296" s="429"/>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v>0</v>
      </c>
      <c r="BY296" s="52">
        <v>0</v>
      </c>
      <c r="BZ296" s="52">
        <v>0</v>
      </c>
      <c r="CA296" s="52">
        <v>0</v>
      </c>
      <c r="CB296" s="52">
        <v>0</v>
      </c>
      <c r="CC296" s="52">
        <v>0</v>
      </c>
      <c r="CD296" s="52">
        <v>0</v>
      </c>
      <c r="CE296" s="52">
        <v>0</v>
      </c>
      <c r="CF296" s="52">
        <v>0</v>
      </c>
      <c r="CG296" s="52">
        <v>0</v>
      </c>
      <c r="CH296" s="52">
        <v>0</v>
      </c>
      <c r="CI296" s="52">
        <v>0</v>
      </c>
      <c r="CJ296" s="52">
        <v>0</v>
      </c>
      <c r="CK296" s="52">
        <v>0</v>
      </c>
      <c r="CL296" s="52">
        <v>0</v>
      </c>
      <c r="CM296" s="52">
        <v>0</v>
      </c>
      <c r="CN296" s="52">
        <v>0</v>
      </c>
      <c r="CO296" s="52">
        <v>0</v>
      </c>
      <c r="CP296" s="52">
        <v>0</v>
      </c>
      <c r="CQ296" s="52">
        <v>0</v>
      </c>
      <c r="CR296" s="52">
        <v>0</v>
      </c>
      <c r="CS296" s="52">
        <v>0</v>
      </c>
      <c r="CT296" s="52">
        <v>0</v>
      </c>
      <c r="CU296" s="52">
        <v>0</v>
      </c>
      <c r="CV296" s="430">
        <f t="shared" si="8"/>
        <v>0</v>
      </c>
    </row>
    <row r="297" spans="1:100">
      <c r="A297" s="540" t="str">
        <f t="shared" si="9"/>
        <v>6790199</v>
      </c>
      <c r="B297" s="541" t="s">
        <v>2108</v>
      </c>
      <c r="C297" s="463" t="s">
        <v>1191</v>
      </c>
      <c r="D297" s="426">
        <v>986.62</v>
      </c>
      <c r="E297" s="426">
        <v>16250.06</v>
      </c>
      <c r="F297" s="426">
        <v>1699.24</v>
      </c>
      <c r="G297" s="426">
        <v>42465.59</v>
      </c>
      <c r="H297" s="426">
        <v>26444.04</v>
      </c>
      <c r="I297" s="426">
        <v>2343.1</v>
      </c>
      <c r="J297" s="426">
        <v>3741.61</v>
      </c>
      <c r="K297" s="426">
        <v>1712.5</v>
      </c>
      <c r="L297" s="426">
        <v>3806.87</v>
      </c>
      <c r="M297" s="426">
        <v>679.12</v>
      </c>
      <c r="N297" s="426">
        <v>316.61</v>
      </c>
      <c r="O297" s="427">
        <v>183.99</v>
      </c>
      <c r="P297" s="52">
        <v>17.489999999999998</v>
      </c>
      <c r="Q297" s="52">
        <v>5640.53</v>
      </c>
      <c r="R297" s="52">
        <v>280.14</v>
      </c>
      <c r="S297" s="52">
        <v>50304.85</v>
      </c>
      <c r="T297" s="52">
        <v>45</v>
      </c>
      <c r="U297" s="52">
        <v>4187.45</v>
      </c>
      <c r="V297" s="52">
        <v>772.44</v>
      </c>
      <c r="W297" s="52">
        <v>83.9</v>
      </c>
      <c r="X297" s="52">
        <v>1086.79</v>
      </c>
      <c r="Y297" s="52">
        <v>24</v>
      </c>
      <c r="Z297" s="52">
        <v>63.1</v>
      </c>
      <c r="AA297" s="52">
        <v>112.71</v>
      </c>
      <c r="AB297" s="52">
        <v>0</v>
      </c>
      <c r="AC297" s="52">
        <v>5894.23</v>
      </c>
      <c r="AD297" s="52">
        <v>5</v>
      </c>
      <c r="AE297" s="52">
        <v>295</v>
      </c>
      <c r="AF297" s="52">
        <v>195.51</v>
      </c>
      <c r="AG297" s="52">
        <v>25</v>
      </c>
      <c r="AH297" s="52">
        <v>285.94</v>
      </c>
      <c r="AI297" s="52">
        <v>145.88999999999999</v>
      </c>
      <c r="AJ297" s="52">
        <v>4450</v>
      </c>
      <c r="AK297" s="52">
        <v>0</v>
      </c>
      <c r="AL297" s="52">
        <v>11</v>
      </c>
      <c r="AM297" s="52">
        <v>512.51</v>
      </c>
      <c r="AN297" s="52">
        <v>44.9</v>
      </c>
      <c r="AO297" s="52">
        <v>8419.2999999999993</v>
      </c>
      <c r="AP297" s="52">
        <v>709.08</v>
      </c>
      <c r="AQ297" s="52">
        <v>282.5</v>
      </c>
      <c r="AR297" s="52">
        <v>108.07</v>
      </c>
      <c r="AS297" s="52">
        <v>30022.240000000002</v>
      </c>
      <c r="AT297" s="52">
        <v>3273.87</v>
      </c>
      <c r="AU297" s="52">
        <v>373.72</v>
      </c>
      <c r="AV297" s="52">
        <v>1118</v>
      </c>
      <c r="AW297" s="52">
        <v>15327.98</v>
      </c>
      <c r="AX297" s="52">
        <v>238.5</v>
      </c>
      <c r="AY297" s="52">
        <v>752.13</v>
      </c>
      <c r="AZ297" s="52">
        <v>0</v>
      </c>
      <c r="BA297" s="52">
        <v>6265.73</v>
      </c>
      <c r="BB297" s="52">
        <v>459.36</v>
      </c>
      <c r="BC297" s="52">
        <v>345.76</v>
      </c>
      <c r="BD297" s="52">
        <v>1014.01</v>
      </c>
      <c r="BE297" s="52">
        <v>1072.0999999999999</v>
      </c>
      <c r="BF297" s="52">
        <v>2394.9899999999998</v>
      </c>
      <c r="BG297" s="52">
        <v>3474.39</v>
      </c>
      <c r="BH297" s="52">
        <v>183</v>
      </c>
      <c r="BI297" s="52">
        <v>266.38</v>
      </c>
      <c r="BJ297" s="52">
        <v>0</v>
      </c>
      <c r="BK297" s="52">
        <v>801.64</v>
      </c>
      <c r="BL297" s="52">
        <v>275</v>
      </c>
      <c r="BM297" s="52">
        <v>6240.79</v>
      </c>
      <c r="BN297" s="52">
        <v>-5739.43</v>
      </c>
      <c r="BO297" s="52">
        <v>2</v>
      </c>
      <c r="BP297" s="52">
        <v>51</v>
      </c>
      <c r="BQ297" s="52">
        <v>210</v>
      </c>
      <c r="BR297" s="52">
        <v>1904.19</v>
      </c>
      <c r="BS297" s="52">
        <v>195.54</v>
      </c>
      <c r="BT297" s="52">
        <v>565.85</v>
      </c>
      <c r="BU297" s="52">
        <v>5451.5</v>
      </c>
      <c r="BV297" s="52">
        <v>3013.15</v>
      </c>
      <c r="BW297" s="52">
        <v>669</v>
      </c>
      <c r="BX297" s="52">
        <v>24284.71</v>
      </c>
      <c r="BY297" s="52">
        <v>175</v>
      </c>
      <c r="BZ297" s="52">
        <v>608.23</v>
      </c>
      <c r="CA297" s="52">
        <v>11.24</v>
      </c>
      <c r="CB297" s="52">
        <v>45</v>
      </c>
      <c r="CC297" s="52">
        <v>5989.4</v>
      </c>
      <c r="CD297" s="52">
        <v>0</v>
      </c>
      <c r="CE297" s="52">
        <v>1227.5</v>
      </c>
      <c r="CF297" s="52">
        <v>205.57</v>
      </c>
      <c r="CG297" s="52">
        <v>775.37</v>
      </c>
      <c r="CH297" s="52">
        <v>559.16</v>
      </c>
      <c r="CI297" s="52">
        <v>590.17999999999995</v>
      </c>
      <c r="CJ297" s="52">
        <v>2752.42</v>
      </c>
      <c r="CK297" s="52">
        <v>165.58</v>
      </c>
      <c r="CL297" s="52">
        <v>1661.11</v>
      </c>
      <c r="CM297" s="52">
        <v>309.33</v>
      </c>
      <c r="CN297" s="52">
        <v>544.64</v>
      </c>
      <c r="CO297" s="52">
        <v>1655.98</v>
      </c>
      <c r="CP297" s="52">
        <v>2414.29</v>
      </c>
      <c r="CQ297" s="52">
        <v>1600.42</v>
      </c>
      <c r="CR297" s="52">
        <v>186.73</v>
      </c>
      <c r="CS297" s="52">
        <v>2784.75</v>
      </c>
      <c r="CT297" s="52">
        <v>12490.15</v>
      </c>
      <c r="CU297" s="52">
        <v>5794.52</v>
      </c>
      <c r="CV297" s="430">
        <f t="shared" si="8"/>
        <v>32359.919999999998</v>
      </c>
    </row>
    <row r="298" spans="1:100">
      <c r="A298" s="540" t="str">
        <f t="shared" si="9"/>
        <v>6790200</v>
      </c>
      <c r="B298" s="541" t="s">
        <v>2109</v>
      </c>
      <c r="C298" s="542" t="s">
        <v>1423</v>
      </c>
      <c r="D298" s="426"/>
      <c r="E298" s="426"/>
      <c r="F298" s="426"/>
      <c r="G298" s="426"/>
      <c r="H298" s="426"/>
      <c r="I298" s="426"/>
      <c r="J298" s="426"/>
      <c r="K298" s="426"/>
      <c r="L298" s="426"/>
      <c r="M298" s="426"/>
      <c r="N298" s="426"/>
      <c r="O298" s="427"/>
      <c r="P298" s="52"/>
      <c r="Q298" s="52"/>
      <c r="R298" s="52"/>
      <c r="S298" s="52"/>
      <c r="T298" s="52"/>
      <c r="U298" s="52"/>
      <c r="V298" s="52"/>
      <c r="W298" s="52"/>
      <c r="X298" s="52"/>
      <c r="Y298" s="52"/>
      <c r="Z298" s="52"/>
      <c r="AA298" s="52"/>
      <c r="AB298" s="52"/>
      <c r="AC298" s="52"/>
      <c r="AD298" s="485">
        <v>1000000</v>
      </c>
      <c r="AE298" s="52">
        <v>0</v>
      </c>
      <c r="AF298" s="52">
        <v>0</v>
      </c>
      <c r="AG298" s="52">
        <v>0</v>
      </c>
      <c r="AH298" s="52">
        <v>0</v>
      </c>
      <c r="AI298" s="52">
        <v>0</v>
      </c>
      <c r="AJ298" s="52">
        <v>0</v>
      </c>
      <c r="AK298" s="52">
        <v>0</v>
      </c>
      <c r="AL298" s="52">
        <v>0</v>
      </c>
      <c r="AM298" s="52">
        <v>0</v>
      </c>
      <c r="AN298" s="52">
        <v>0</v>
      </c>
      <c r="AO298" s="52">
        <v>0</v>
      </c>
      <c r="AP298" s="52">
        <v>0</v>
      </c>
      <c r="AQ298" s="52">
        <v>973.26</v>
      </c>
      <c r="AR298" s="52">
        <v>0</v>
      </c>
      <c r="AS298" s="52">
        <v>49.71</v>
      </c>
      <c r="AT298" s="52">
        <v>0</v>
      </c>
      <c r="AU298" s="52">
        <v>0</v>
      </c>
      <c r="AV298" s="52">
        <v>0</v>
      </c>
      <c r="AW298" s="52">
        <v>0</v>
      </c>
      <c r="AX298" s="52">
        <v>0</v>
      </c>
      <c r="AY298" s="52">
        <v>0</v>
      </c>
      <c r="AZ298" s="52">
        <v>0</v>
      </c>
      <c r="BA298" s="52">
        <v>692.94</v>
      </c>
      <c r="BB298" s="52">
        <v>0</v>
      </c>
      <c r="BC298" s="52">
        <v>0</v>
      </c>
      <c r="BD298" s="52">
        <v>0</v>
      </c>
      <c r="BE298" s="52">
        <v>0</v>
      </c>
      <c r="BF298" s="52">
        <v>0</v>
      </c>
      <c r="BG298" s="52">
        <v>0</v>
      </c>
      <c r="BH298" s="52">
        <v>0</v>
      </c>
      <c r="BI298" s="52">
        <v>500</v>
      </c>
      <c r="BJ298" s="52">
        <v>-500</v>
      </c>
      <c r="BK298" s="52">
        <v>0</v>
      </c>
      <c r="BL298" s="52">
        <v>0</v>
      </c>
      <c r="BM298" s="52">
        <v>0</v>
      </c>
      <c r="BN298" s="52">
        <v>0</v>
      </c>
      <c r="BO298" s="52">
        <v>0</v>
      </c>
      <c r="BP298" s="52">
        <v>0</v>
      </c>
      <c r="BQ298" s="52">
        <v>0</v>
      </c>
      <c r="BR298" s="52">
        <v>0</v>
      </c>
      <c r="BS298" s="52">
        <v>0</v>
      </c>
      <c r="BT298" s="52">
        <v>0</v>
      </c>
      <c r="BU298" s="52">
        <v>555.34</v>
      </c>
      <c r="BV298" s="52">
        <v>-441.91</v>
      </c>
      <c r="BW298" s="52">
        <v>0</v>
      </c>
      <c r="BX298" s="52">
        <v>0</v>
      </c>
      <c r="BY298" s="52">
        <v>0</v>
      </c>
      <c r="BZ298" s="52">
        <v>0</v>
      </c>
      <c r="CA298" s="52">
        <v>0</v>
      </c>
      <c r="CB298" s="52">
        <v>0</v>
      </c>
      <c r="CC298" s="52">
        <v>0</v>
      </c>
      <c r="CD298" s="52">
        <v>0</v>
      </c>
      <c r="CE298" s="52">
        <v>0</v>
      </c>
      <c r="CF298" s="52">
        <v>0</v>
      </c>
      <c r="CG298" s="52">
        <v>0</v>
      </c>
      <c r="CH298" s="52">
        <v>0</v>
      </c>
      <c r="CI298" s="52">
        <v>0</v>
      </c>
      <c r="CJ298" s="52">
        <v>0</v>
      </c>
      <c r="CK298" s="52">
        <v>0</v>
      </c>
      <c r="CL298" s="52">
        <v>0</v>
      </c>
      <c r="CM298" s="52">
        <v>0</v>
      </c>
      <c r="CN298" s="52">
        <v>0</v>
      </c>
      <c r="CO298" s="52">
        <v>0</v>
      </c>
      <c r="CP298" s="52">
        <v>0</v>
      </c>
      <c r="CQ298" s="52">
        <v>0</v>
      </c>
      <c r="CR298" s="52">
        <v>0</v>
      </c>
      <c r="CS298" s="52">
        <v>0</v>
      </c>
      <c r="CT298" s="52">
        <v>0</v>
      </c>
      <c r="CU298" s="52">
        <v>0</v>
      </c>
      <c r="CV298" s="430">
        <f t="shared" si="8"/>
        <v>0</v>
      </c>
    </row>
    <row r="299" spans="1:100">
      <c r="A299" s="540" t="str">
        <f t="shared" si="9"/>
        <v>6790210</v>
      </c>
      <c r="B299" s="541" t="s">
        <v>2199</v>
      </c>
      <c r="C299" s="463" t="s">
        <v>1192</v>
      </c>
      <c r="D299" s="428">
        <v>39226.199999999997</v>
      </c>
      <c r="E299" s="428">
        <v>14855.65</v>
      </c>
      <c r="F299" s="428">
        <v>107533.11</v>
      </c>
      <c r="G299" s="428">
        <v>13090.81</v>
      </c>
      <c r="H299" s="428">
        <v>122453.35</v>
      </c>
      <c r="I299" s="428">
        <v>153337.46</v>
      </c>
      <c r="J299" s="428">
        <v>60052.38</v>
      </c>
      <c r="K299" s="428">
        <v>207486.02</v>
      </c>
      <c r="L299" s="428">
        <v>50941.49</v>
      </c>
      <c r="M299" s="428">
        <v>48479.74</v>
      </c>
      <c r="N299" s="428">
        <v>145606.32</v>
      </c>
      <c r="O299" s="429">
        <v>80809.119999999995</v>
      </c>
      <c r="P299" s="52">
        <v>24830.23</v>
      </c>
      <c r="Q299" s="52">
        <v>20490.98</v>
      </c>
      <c r="R299" s="52">
        <v>12946.83</v>
      </c>
      <c r="S299" s="52">
        <v>21581.02</v>
      </c>
      <c r="T299" s="52">
        <v>14849.35</v>
      </c>
      <c r="U299" s="52">
        <v>15496.63</v>
      </c>
      <c r="V299" s="52">
        <v>28912.639999999999</v>
      </c>
      <c r="W299" s="52">
        <v>3037.56</v>
      </c>
      <c r="X299" s="52">
        <v>29992.51</v>
      </c>
      <c r="Y299" s="52">
        <v>15271.14</v>
      </c>
      <c r="Z299" s="52">
        <v>15436.62</v>
      </c>
      <c r="AA299" s="52">
        <v>111665.67</v>
      </c>
      <c r="AB299" s="52">
        <v>20794.810000000001</v>
      </c>
      <c r="AC299" s="52">
        <v>50657.57</v>
      </c>
      <c r="AD299" s="52">
        <v>29481.27</v>
      </c>
      <c r="AE299" s="52">
        <v>31431.79</v>
      </c>
      <c r="AF299" s="52">
        <v>32128.49</v>
      </c>
      <c r="AG299" s="52">
        <v>39555.29</v>
      </c>
      <c r="AH299" s="52">
        <v>20452.12</v>
      </c>
      <c r="AI299" s="52">
        <v>30229.43</v>
      </c>
      <c r="AJ299" s="52">
        <v>43830.55</v>
      </c>
      <c r="AK299" s="52">
        <v>38730.949999999997</v>
      </c>
      <c r="AL299" s="52">
        <v>46247.92</v>
      </c>
      <c r="AM299" s="52">
        <v>111226.14</v>
      </c>
      <c r="AN299" s="52">
        <v>24218.99</v>
      </c>
      <c r="AO299" s="52">
        <v>24300.31</v>
      </c>
      <c r="AP299" s="52">
        <v>68457.539999999994</v>
      </c>
      <c r="AQ299" s="52">
        <v>60747.07</v>
      </c>
      <c r="AR299" s="52">
        <v>74640.259999999995</v>
      </c>
      <c r="AS299" s="52">
        <v>43608.63</v>
      </c>
      <c r="AT299" s="52">
        <v>8140.68</v>
      </c>
      <c r="AU299" s="52">
        <v>43456.65</v>
      </c>
      <c r="AV299" s="52">
        <v>28305.58</v>
      </c>
      <c r="AW299" s="52">
        <v>42185.56</v>
      </c>
      <c r="AX299" s="52">
        <v>26219.8</v>
      </c>
      <c r="AY299" s="52">
        <v>142280.75</v>
      </c>
      <c r="AZ299" s="52">
        <v>21682.14</v>
      </c>
      <c r="BA299" s="52">
        <v>86044.68</v>
      </c>
      <c r="BB299" s="52">
        <v>47767.93</v>
      </c>
      <c r="BC299" s="52">
        <v>49656.35</v>
      </c>
      <c r="BD299" s="52">
        <v>49777.13</v>
      </c>
      <c r="BE299" s="52">
        <v>79125.31</v>
      </c>
      <c r="BF299" s="52">
        <v>29759.16</v>
      </c>
      <c r="BG299" s="52">
        <v>68503.27</v>
      </c>
      <c r="BH299" s="52">
        <v>50575.17</v>
      </c>
      <c r="BI299" s="52">
        <v>83724.02</v>
      </c>
      <c r="BJ299" s="52">
        <v>272268.06</v>
      </c>
      <c r="BK299" s="52">
        <v>154080.73000000001</v>
      </c>
      <c r="BL299" s="52">
        <v>17941</v>
      </c>
      <c r="BM299" s="52">
        <v>52092.06</v>
      </c>
      <c r="BN299" s="52">
        <v>98490.43</v>
      </c>
      <c r="BO299" s="52">
        <v>42526.59</v>
      </c>
      <c r="BP299" s="52">
        <v>138693.95000000001</v>
      </c>
      <c r="BQ299" s="52">
        <v>75306.240000000005</v>
      </c>
      <c r="BR299" s="52">
        <v>84128.76</v>
      </c>
      <c r="BS299" s="52">
        <v>89245.93</v>
      </c>
      <c r="BT299" s="52">
        <v>82221.16</v>
      </c>
      <c r="BU299" s="52">
        <v>89528.6</v>
      </c>
      <c r="BV299" s="52">
        <v>38170.519999999997</v>
      </c>
      <c r="BW299" s="52">
        <v>162217.56</v>
      </c>
      <c r="BX299" s="52">
        <v>32360.3</v>
      </c>
      <c r="BY299" s="52">
        <v>-79225.100000000006</v>
      </c>
      <c r="BZ299" s="52">
        <v>104939.77</v>
      </c>
      <c r="CA299" s="52">
        <v>55645.06</v>
      </c>
      <c r="CB299" s="52">
        <v>125919.76</v>
      </c>
      <c r="CC299" s="52">
        <v>31322.16</v>
      </c>
      <c r="CD299" s="52">
        <v>340800.99</v>
      </c>
      <c r="CE299" s="52">
        <v>132754.22</v>
      </c>
      <c r="CF299" s="52">
        <v>170407.94</v>
      </c>
      <c r="CG299" s="52">
        <v>254662.53</v>
      </c>
      <c r="CH299" s="52">
        <v>187215.88</v>
      </c>
      <c r="CI299" s="52">
        <v>122199.54</v>
      </c>
      <c r="CJ299" s="52">
        <v>38054.629999999997</v>
      </c>
      <c r="CK299" s="52">
        <v>375979.1</v>
      </c>
      <c r="CL299" s="52">
        <v>75021.460000000006</v>
      </c>
      <c r="CM299" s="52">
        <v>88944.54</v>
      </c>
      <c r="CN299" s="52">
        <v>76776.83</v>
      </c>
      <c r="CO299" s="52">
        <v>57837.63</v>
      </c>
      <c r="CP299" s="52">
        <v>67498.740000000005</v>
      </c>
      <c r="CQ299" s="52">
        <v>77636.88</v>
      </c>
      <c r="CR299" s="52">
        <v>151340.49</v>
      </c>
      <c r="CS299" s="52">
        <v>66066.289999999994</v>
      </c>
      <c r="CT299" s="52">
        <v>124086.46</v>
      </c>
      <c r="CU299" s="52">
        <v>180439.46</v>
      </c>
      <c r="CV299" s="430">
        <f t="shared" si="8"/>
        <v>1379682.5099999998</v>
      </c>
    </row>
    <row r="300" spans="1:100">
      <c r="A300" s="540" t="str">
        <f t="shared" si="9"/>
        <v>6790220</v>
      </c>
      <c r="B300" s="541" t="s">
        <v>2110</v>
      </c>
      <c r="C300" s="463" t="s">
        <v>1193</v>
      </c>
      <c r="D300" s="426">
        <v>4166.66</v>
      </c>
      <c r="E300" s="426">
        <v>8333.32</v>
      </c>
      <c r="F300" s="426">
        <v>4166.66</v>
      </c>
      <c r="G300" s="426">
        <v>4166.66</v>
      </c>
      <c r="H300" s="426">
        <v>4166.66</v>
      </c>
      <c r="I300" s="426">
        <v>4166.66</v>
      </c>
      <c r="J300" s="426">
        <v>4166.66</v>
      </c>
      <c r="K300" s="426">
        <v>4166.66</v>
      </c>
      <c r="L300" s="426">
        <v>4166.66</v>
      </c>
      <c r="M300" s="426">
        <v>4166.66</v>
      </c>
      <c r="N300" s="426">
        <v>4166.66</v>
      </c>
      <c r="O300" s="427">
        <v>8333.32</v>
      </c>
      <c r="P300" s="52">
        <v>4166.66</v>
      </c>
      <c r="Q300" s="52">
        <v>4166.66</v>
      </c>
      <c r="R300" s="52">
        <v>4166.66</v>
      </c>
      <c r="S300" s="52">
        <v>21333.3</v>
      </c>
      <c r="T300" s="52">
        <v>8333.32</v>
      </c>
      <c r="U300" s="52">
        <v>8333.32</v>
      </c>
      <c r="V300" s="52">
        <v>8333.32</v>
      </c>
      <c r="W300" s="52">
        <v>8333.32</v>
      </c>
      <c r="X300" s="52">
        <v>8398.85</v>
      </c>
      <c r="Y300" s="52">
        <v>8333.32</v>
      </c>
      <c r="Z300" s="52">
        <v>8358.5499999999993</v>
      </c>
      <c r="AA300" s="52">
        <v>38333.32</v>
      </c>
      <c r="AB300" s="52">
        <v>8333.32</v>
      </c>
      <c r="AC300" s="52">
        <v>8333.32</v>
      </c>
      <c r="AD300" s="52">
        <v>8333.32</v>
      </c>
      <c r="AE300" s="52">
        <v>8333.32</v>
      </c>
      <c r="AF300" s="52">
        <v>8333.32</v>
      </c>
      <c r="AG300" s="52">
        <v>18468.66</v>
      </c>
      <c r="AH300" s="52">
        <v>8333.32</v>
      </c>
      <c r="AI300" s="52">
        <v>8333.32</v>
      </c>
      <c r="AJ300" s="52">
        <v>8333.32</v>
      </c>
      <c r="AK300" s="52">
        <v>8333.32</v>
      </c>
      <c r="AL300" s="52">
        <v>8333.32</v>
      </c>
      <c r="AM300" s="52">
        <v>8333.32</v>
      </c>
      <c r="AN300" s="52">
        <v>4166.66</v>
      </c>
      <c r="AO300" s="52">
        <v>-4166.66</v>
      </c>
      <c r="AP300" s="52">
        <v>0</v>
      </c>
      <c r="AQ300" s="52">
        <v>0</v>
      </c>
      <c r="AR300" s="52">
        <v>0</v>
      </c>
      <c r="AS300" s="52">
        <v>0</v>
      </c>
      <c r="AT300" s="52">
        <v>0</v>
      </c>
      <c r="AU300" s="52">
        <v>0</v>
      </c>
      <c r="AV300" s="52">
        <v>4166.66</v>
      </c>
      <c r="AW300" s="52">
        <v>0</v>
      </c>
      <c r="AX300" s="52">
        <v>0</v>
      </c>
      <c r="AY300" s="52">
        <v>0</v>
      </c>
      <c r="AZ300" s="52">
        <v>0</v>
      </c>
      <c r="BA300" s="52">
        <v>0</v>
      </c>
      <c r="BB300" s="52">
        <v>0</v>
      </c>
      <c r="BC300" s="52">
        <v>0</v>
      </c>
      <c r="BD300" s="52">
        <v>0</v>
      </c>
      <c r="BE300" s="52">
        <v>0</v>
      </c>
      <c r="BF300" s="52">
        <v>0</v>
      </c>
      <c r="BG300" s="52">
        <v>0</v>
      </c>
      <c r="BH300" s="52">
        <v>0</v>
      </c>
      <c r="BI300" s="52">
        <v>0</v>
      </c>
      <c r="BJ300" s="52">
        <v>25000</v>
      </c>
      <c r="BK300" s="52">
        <v>0</v>
      </c>
      <c r="BL300" s="52">
        <v>0</v>
      </c>
      <c r="BM300" s="52">
        <v>0</v>
      </c>
      <c r="BN300" s="52">
        <v>0</v>
      </c>
      <c r="BO300" s="52">
        <v>0</v>
      </c>
      <c r="BP300" s="52">
        <v>0</v>
      </c>
      <c r="BQ300" s="52">
        <v>0</v>
      </c>
      <c r="BR300" s="52">
        <v>0</v>
      </c>
      <c r="BS300" s="52">
        <v>0</v>
      </c>
      <c r="BT300" s="52">
        <v>0</v>
      </c>
      <c r="BU300" s="52">
        <v>0</v>
      </c>
      <c r="BV300" s="52">
        <v>0</v>
      </c>
      <c r="BW300" s="52">
        <v>0</v>
      </c>
      <c r="BX300" s="52">
        <v>0</v>
      </c>
      <c r="BY300" s="52">
        <v>0</v>
      </c>
      <c r="BZ300" s="52">
        <v>0</v>
      </c>
      <c r="CA300" s="52">
        <v>0</v>
      </c>
      <c r="CB300" s="52">
        <v>1100</v>
      </c>
      <c r="CC300" s="52">
        <v>0</v>
      </c>
      <c r="CD300" s="52">
        <v>0</v>
      </c>
      <c r="CE300" s="52">
        <v>0</v>
      </c>
      <c r="CF300" s="52">
        <v>0</v>
      </c>
      <c r="CG300" s="52">
        <v>5000</v>
      </c>
      <c r="CH300" s="52">
        <v>0</v>
      </c>
      <c r="CI300" s="52">
        <v>0</v>
      </c>
      <c r="CJ300" s="52">
        <v>0</v>
      </c>
      <c r="CK300" s="52">
        <v>0</v>
      </c>
      <c r="CL300" s="52">
        <v>10000</v>
      </c>
      <c r="CM300" s="52">
        <v>0</v>
      </c>
      <c r="CN300" s="52">
        <v>0</v>
      </c>
      <c r="CO300" s="52">
        <v>0</v>
      </c>
      <c r="CP300" s="52">
        <v>0</v>
      </c>
      <c r="CQ300" s="52">
        <v>0</v>
      </c>
      <c r="CR300" s="52">
        <v>0</v>
      </c>
      <c r="CS300" s="52">
        <v>0</v>
      </c>
      <c r="CT300" s="52">
        <v>0</v>
      </c>
      <c r="CU300" s="52">
        <v>0</v>
      </c>
      <c r="CV300" s="430">
        <f t="shared" si="8"/>
        <v>10000</v>
      </c>
    </row>
    <row r="301" spans="1:100">
      <c r="A301" s="540" t="str">
        <f t="shared" si="9"/>
        <v>6790230</v>
      </c>
      <c r="B301" s="541" t="s">
        <v>2111</v>
      </c>
      <c r="C301" s="463" t="s">
        <v>1194</v>
      </c>
      <c r="D301" s="428">
        <v>145413.54999999999</v>
      </c>
      <c r="E301" s="428">
        <v>135669.16</v>
      </c>
      <c r="F301" s="428">
        <v>133858.75</v>
      </c>
      <c r="G301" s="428">
        <v>151658.54999999999</v>
      </c>
      <c r="H301" s="428">
        <v>150052.21</v>
      </c>
      <c r="I301" s="428">
        <v>155413.43</v>
      </c>
      <c r="J301" s="428">
        <v>159178.19</v>
      </c>
      <c r="K301" s="428">
        <v>147205.38</v>
      </c>
      <c r="L301" s="428">
        <v>144543.92000000001</v>
      </c>
      <c r="M301" s="428">
        <v>150886.87</v>
      </c>
      <c r="N301" s="428">
        <v>151993.01</v>
      </c>
      <c r="O301" s="429">
        <v>157502.82</v>
      </c>
      <c r="P301" s="52">
        <v>143089.89000000001</v>
      </c>
      <c r="Q301" s="52">
        <v>147180.29</v>
      </c>
      <c r="R301" s="52">
        <v>148729.37</v>
      </c>
      <c r="S301" s="52">
        <v>143070.43</v>
      </c>
      <c r="T301" s="52">
        <v>143701.64000000001</v>
      </c>
      <c r="U301" s="52">
        <v>149630.41</v>
      </c>
      <c r="V301" s="52">
        <v>150873.92000000001</v>
      </c>
      <c r="W301" s="52">
        <v>147302.22</v>
      </c>
      <c r="X301" s="52">
        <v>143215.91</v>
      </c>
      <c r="Y301" s="52">
        <v>152678.73000000001</v>
      </c>
      <c r="Z301" s="52">
        <v>158251.37</v>
      </c>
      <c r="AA301" s="52">
        <v>158575.66</v>
      </c>
      <c r="AB301" s="52">
        <v>146595.26999999999</v>
      </c>
      <c r="AC301" s="52">
        <v>163017.34</v>
      </c>
      <c r="AD301" s="52">
        <v>173083.65</v>
      </c>
      <c r="AE301" s="52">
        <v>148781.15</v>
      </c>
      <c r="AF301" s="52">
        <v>151967.37</v>
      </c>
      <c r="AG301" s="52">
        <v>144907.82</v>
      </c>
      <c r="AH301" s="52">
        <v>135384.76</v>
      </c>
      <c r="AI301" s="52">
        <v>162138.42000000001</v>
      </c>
      <c r="AJ301" s="52">
        <v>162237.43</v>
      </c>
      <c r="AK301" s="52">
        <v>150717.14000000001</v>
      </c>
      <c r="AL301" s="52">
        <v>153572.39000000001</v>
      </c>
      <c r="AM301" s="52">
        <v>199239.69</v>
      </c>
      <c r="AN301" s="52">
        <v>145115.25</v>
      </c>
      <c r="AO301" s="52">
        <v>147259.76</v>
      </c>
      <c r="AP301" s="52">
        <v>-73423.31</v>
      </c>
      <c r="AQ301" s="52">
        <v>61544.54</v>
      </c>
      <c r="AR301" s="52">
        <v>13888.28</v>
      </c>
      <c r="AS301" s="52">
        <v>18252.91</v>
      </c>
      <c r="AT301" s="52">
        <v>12396.55</v>
      </c>
      <c r="AU301" s="52">
        <v>13532.87</v>
      </c>
      <c r="AV301" s="52">
        <v>-30614</v>
      </c>
      <c r="AW301" s="52">
        <v>18667.740000000002</v>
      </c>
      <c r="AX301" s="52">
        <v>10407.77</v>
      </c>
      <c r="AY301" s="52">
        <v>17283.21</v>
      </c>
      <c r="AZ301" s="52">
        <v>10769.5</v>
      </c>
      <c r="BA301" s="52">
        <v>9598.91</v>
      </c>
      <c r="BB301" s="52">
        <v>21602.58</v>
      </c>
      <c r="BC301" s="52">
        <v>9353.3700000000008</v>
      </c>
      <c r="BD301" s="52">
        <v>12504.37</v>
      </c>
      <c r="BE301" s="52">
        <v>13438.85</v>
      </c>
      <c r="BF301" s="52">
        <v>17439.88</v>
      </c>
      <c r="BG301" s="52">
        <v>11611.17</v>
      </c>
      <c r="BH301" s="52">
        <v>15275.87</v>
      </c>
      <c r="BI301" s="52">
        <v>9945.52</v>
      </c>
      <c r="BJ301" s="52">
        <v>9155.49</v>
      </c>
      <c r="BK301" s="52">
        <v>18168.900000000001</v>
      </c>
      <c r="BL301" s="52">
        <v>11991.49</v>
      </c>
      <c r="BM301" s="52">
        <v>21530.69</v>
      </c>
      <c r="BN301" s="52">
        <v>19344.349999999999</v>
      </c>
      <c r="BO301" s="52">
        <v>14216.77</v>
      </c>
      <c r="BP301" s="52">
        <v>25131.83</v>
      </c>
      <c r="BQ301" s="52">
        <v>9113.32</v>
      </c>
      <c r="BR301" s="52">
        <v>19460.55</v>
      </c>
      <c r="BS301" s="52">
        <v>11889.6</v>
      </c>
      <c r="BT301" s="52">
        <v>8726.77</v>
      </c>
      <c r="BU301" s="52">
        <v>6406.66</v>
      </c>
      <c r="BV301" s="52">
        <v>8836.9500000000007</v>
      </c>
      <c r="BW301" s="52">
        <v>11968.47</v>
      </c>
      <c r="BX301" s="52">
        <v>7026.03</v>
      </c>
      <c r="BY301" s="52">
        <v>15062.63</v>
      </c>
      <c r="BZ301" s="52">
        <v>6728.49</v>
      </c>
      <c r="CA301" s="52">
        <v>9333.2800000000007</v>
      </c>
      <c r="CB301" s="52">
        <v>19065.28</v>
      </c>
      <c r="CC301" s="52">
        <v>15926.84</v>
      </c>
      <c r="CD301" s="52">
        <v>6141.16</v>
      </c>
      <c r="CE301" s="52">
        <v>21197.14</v>
      </c>
      <c r="CF301" s="52">
        <v>50999.54</v>
      </c>
      <c r="CG301" s="52">
        <v>24061.14</v>
      </c>
      <c r="CH301" s="52">
        <v>6641.23</v>
      </c>
      <c r="CI301" s="52">
        <v>20447.07</v>
      </c>
      <c r="CJ301" s="52">
        <v>26767.95</v>
      </c>
      <c r="CK301" s="52">
        <v>17703.32</v>
      </c>
      <c r="CL301" s="52">
        <v>10914.08</v>
      </c>
      <c r="CM301" s="52">
        <v>16006.87</v>
      </c>
      <c r="CN301" s="52">
        <v>13922.13</v>
      </c>
      <c r="CO301" s="52">
        <v>39721.5</v>
      </c>
      <c r="CP301" s="52">
        <v>21239.64</v>
      </c>
      <c r="CQ301" s="52">
        <v>6015.55</v>
      </c>
      <c r="CR301" s="52">
        <v>5763.73</v>
      </c>
      <c r="CS301" s="52">
        <v>14639.23</v>
      </c>
      <c r="CT301" s="52">
        <v>18296.73</v>
      </c>
      <c r="CU301" s="52">
        <v>18764.669999999998</v>
      </c>
      <c r="CV301" s="430">
        <f t="shared" si="8"/>
        <v>209755.40000000002</v>
      </c>
    </row>
    <row r="302" spans="1:100">
      <c r="A302" s="540" t="str">
        <f t="shared" si="9"/>
        <v>6790250</v>
      </c>
      <c r="B302" s="541" t="s">
        <v>2112</v>
      </c>
      <c r="C302" s="463" t="s">
        <v>1195</v>
      </c>
      <c r="D302" s="426">
        <v>949747.72</v>
      </c>
      <c r="E302" s="426">
        <v>664070.30000000005</v>
      </c>
      <c r="F302" s="426">
        <v>661395.06000000006</v>
      </c>
      <c r="G302" s="426">
        <v>725438.33</v>
      </c>
      <c r="H302" s="426">
        <v>691790.3</v>
      </c>
      <c r="I302" s="426">
        <v>749104.7</v>
      </c>
      <c r="J302" s="426">
        <v>1066480.49</v>
      </c>
      <c r="K302" s="426">
        <v>722618.03</v>
      </c>
      <c r="L302" s="426">
        <v>916547.67</v>
      </c>
      <c r="M302" s="426">
        <v>871316.52</v>
      </c>
      <c r="N302" s="426">
        <v>789809</v>
      </c>
      <c r="O302" s="427">
        <v>659061.64</v>
      </c>
      <c r="P302" s="52">
        <v>1238673.71</v>
      </c>
      <c r="Q302" s="52">
        <v>798909.74</v>
      </c>
      <c r="R302" s="52">
        <v>982440.77</v>
      </c>
      <c r="S302" s="52">
        <v>750071.64</v>
      </c>
      <c r="T302" s="52">
        <v>972817.13</v>
      </c>
      <c r="U302" s="52">
        <v>860955.2</v>
      </c>
      <c r="V302" s="52">
        <v>835690.83</v>
      </c>
      <c r="W302" s="52">
        <v>884452.64</v>
      </c>
      <c r="X302" s="52">
        <v>801866.48</v>
      </c>
      <c r="Y302" s="52">
        <v>1094078.82</v>
      </c>
      <c r="Z302" s="52">
        <v>799705.5</v>
      </c>
      <c r="AA302" s="52">
        <v>744157</v>
      </c>
      <c r="AB302" s="52">
        <v>973248.13</v>
      </c>
      <c r="AC302" s="52">
        <v>893701.61</v>
      </c>
      <c r="AD302" s="52">
        <v>903086.13</v>
      </c>
      <c r="AE302" s="52">
        <v>803985.28</v>
      </c>
      <c r="AF302" s="52">
        <v>1092920.43</v>
      </c>
      <c r="AG302" s="52">
        <v>999892.63</v>
      </c>
      <c r="AH302" s="52">
        <v>943172.28</v>
      </c>
      <c r="AI302" s="52">
        <v>1082283.04</v>
      </c>
      <c r="AJ302" s="52">
        <v>789706</v>
      </c>
      <c r="AK302" s="52">
        <v>1108295</v>
      </c>
      <c r="AL302" s="52">
        <v>794355</v>
      </c>
      <c r="AM302" s="52">
        <v>1407418.43</v>
      </c>
      <c r="AN302" s="52">
        <v>310156.13</v>
      </c>
      <c r="AO302" s="52">
        <v>606636.23</v>
      </c>
      <c r="AP302" s="52">
        <v>838760</v>
      </c>
      <c r="AQ302" s="52">
        <v>815111.9</v>
      </c>
      <c r="AR302" s="52">
        <v>1318245.74</v>
      </c>
      <c r="AS302" s="52">
        <v>1393443.36</v>
      </c>
      <c r="AT302" s="52">
        <v>1338417.76</v>
      </c>
      <c r="AU302" s="52">
        <v>1558462.55</v>
      </c>
      <c r="AV302" s="52">
        <v>1236449.33</v>
      </c>
      <c r="AW302" s="52">
        <v>1536339.34</v>
      </c>
      <c r="AX302" s="52">
        <v>1053332.5</v>
      </c>
      <c r="AY302" s="52">
        <v>929645.42</v>
      </c>
      <c r="AZ302" s="52">
        <v>1200823.93</v>
      </c>
      <c r="BA302" s="52">
        <v>1460370.95</v>
      </c>
      <c r="BB302" s="52">
        <v>1683817.51</v>
      </c>
      <c r="BC302" s="52">
        <v>2493383.5499999998</v>
      </c>
      <c r="BD302" s="52">
        <v>897165.18</v>
      </c>
      <c r="BE302" s="52">
        <v>968573.87</v>
      </c>
      <c r="BF302" s="52">
        <v>1917275.91</v>
      </c>
      <c r="BG302" s="52">
        <v>1282213.32</v>
      </c>
      <c r="BH302" s="52">
        <v>840282.22</v>
      </c>
      <c r="BI302" s="52">
        <v>1629079.68</v>
      </c>
      <c r="BJ302" s="52">
        <v>940347.54</v>
      </c>
      <c r="BK302" s="52">
        <v>1251110.43</v>
      </c>
      <c r="BL302" s="52">
        <v>1596912.9</v>
      </c>
      <c r="BM302" s="52">
        <v>735501.5</v>
      </c>
      <c r="BN302" s="52">
        <v>947344.03</v>
      </c>
      <c r="BO302" s="52">
        <v>1151279.18</v>
      </c>
      <c r="BP302" s="52">
        <v>925124.02</v>
      </c>
      <c r="BQ302" s="52">
        <v>1723184.5</v>
      </c>
      <c r="BR302" s="52">
        <v>1992930.82</v>
      </c>
      <c r="BS302" s="52">
        <v>1308875</v>
      </c>
      <c r="BT302" s="52">
        <v>901355.78</v>
      </c>
      <c r="BU302" s="52">
        <v>1214722.19</v>
      </c>
      <c r="BV302" s="52">
        <v>1237925</v>
      </c>
      <c r="BW302" s="52">
        <v>1323290.27</v>
      </c>
      <c r="BX302" s="52">
        <v>1431402.19</v>
      </c>
      <c r="BY302" s="52">
        <v>1001450</v>
      </c>
      <c r="BZ302" s="52">
        <v>983821.67</v>
      </c>
      <c r="CA302" s="52">
        <v>1322282.1599999999</v>
      </c>
      <c r="CB302" s="52">
        <v>1188625</v>
      </c>
      <c r="CC302" s="52">
        <v>1323574.3400000001</v>
      </c>
      <c r="CD302" s="52">
        <v>1155282.55</v>
      </c>
      <c r="CE302" s="52">
        <v>1204895</v>
      </c>
      <c r="CF302" s="52">
        <v>1574379.68</v>
      </c>
      <c r="CG302" s="52">
        <v>1436685.15</v>
      </c>
      <c r="CH302" s="52">
        <v>1170515.52</v>
      </c>
      <c r="CI302" s="52">
        <v>1300004.18</v>
      </c>
      <c r="CJ302" s="52">
        <v>1165084.99</v>
      </c>
      <c r="CK302" s="52">
        <v>1474994.81</v>
      </c>
      <c r="CL302" s="52">
        <v>1512938.21</v>
      </c>
      <c r="CM302" s="52">
        <v>1312487.97</v>
      </c>
      <c r="CN302" s="52">
        <v>1151022.1100000001</v>
      </c>
      <c r="CO302" s="52">
        <v>1138248.71</v>
      </c>
      <c r="CP302" s="52">
        <v>1285814.52</v>
      </c>
      <c r="CQ302" s="52">
        <v>912122.83</v>
      </c>
      <c r="CR302" s="52">
        <v>1422266.67</v>
      </c>
      <c r="CS302" s="52">
        <v>1374323.46</v>
      </c>
      <c r="CT302" s="52">
        <v>1332031.74</v>
      </c>
      <c r="CU302" s="52">
        <v>1042586.03</v>
      </c>
      <c r="CV302" s="430">
        <f t="shared" si="8"/>
        <v>15123922.050000001</v>
      </c>
    </row>
    <row r="303" spans="1:100">
      <c r="A303" s="540" t="str">
        <f t="shared" si="9"/>
        <v>6790255</v>
      </c>
      <c r="B303" s="541" t="s">
        <v>2113</v>
      </c>
      <c r="C303" s="463" t="s">
        <v>1196</v>
      </c>
      <c r="D303" s="426">
        <v>28703.45</v>
      </c>
      <c r="E303" s="426">
        <v>8415.6200000000008</v>
      </c>
      <c r="F303" s="426">
        <v>12240</v>
      </c>
      <c r="G303" s="426">
        <v>10673.48</v>
      </c>
      <c r="H303" s="426">
        <v>35110.870000000003</v>
      </c>
      <c r="I303" s="426">
        <v>1072.56</v>
      </c>
      <c r="J303" s="426">
        <v>35119.71</v>
      </c>
      <c r="K303" s="426">
        <v>44010.32</v>
      </c>
      <c r="L303" s="426">
        <v>41096.82</v>
      </c>
      <c r="M303" s="426">
        <v>4537.0600000000004</v>
      </c>
      <c r="N303" s="426">
        <v>39148</v>
      </c>
      <c r="O303" s="427">
        <v>217946.21</v>
      </c>
      <c r="P303" s="52">
        <v>27202.799999999999</v>
      </c>
      <c r="Q303" s="52">
        <v>23459.63</v>
      </c>
      <c r="R303" s="52">
        <v>48424.6</v>
      </c>
      <c r="S303" s="52">
        <v>18817.36</v>
      </c>
      <c r="T303" s="52">
        <v>20928.060000000001</v>
      </c>
      <c r="U303" s="52">
        <v>34030.54</v>
      </c>
      <c r="V303" s="52">
        <v>69579.47</v>
      </c>
      <c r="W303" s="52">
        <v>85925.83</v>
      </c>
      <c r="X303" s="52">
        <v>24464.52</v>
      </c>
      <c r="Y303" s="52">
        <v>2940.42</v>
      </c>
      <c r="Z303" s="52">
        <v>169102.86</v>
      </c>
      <c r="AA303" s="52">
        <v>9925.5</v>
      </c>
      <c r="AB303" s="52">
        <v>16184.06</v>
      </c>
      <c r="AC303" s="52">
        <v>43901.45</v>
      </c>
      <c r="AD303" s="52">
        <v>18749.68</v>
      </c>
      <c r="AE303" s="52">
        <v>3346.5</v>
      </c>
      <c r="AF303" s="52">
        <v>209465.51</v>
      </c>
      <c r="AG303" s="52">
        <v>19640.189999999999</v>
      </c>
      <c r="AH303" s="52">
        <v>18012.490000000002</v>
      </c>
      <c r="AI303" s="52">
        <v>7416.01</v>
      </c>
      <c r="AJ303" s="52">
        <v>4854.8999999999996</v>
      </c>
      <c r="AK303" s="52">
        <v>26182.45</v>
      </c>
      <c r="AL303" s="52">
        <v>1833.19</v>
      </c>
      <c r="AM303" s="52">
        <v>49753.19</v>
      </c>
      <c r="AN303" s="52">
        <v>6170</v>
      </c>
      <c r="AO303" s="52">
        <v>15675</v>
      </c>
      <c r="AP303" s="52">
        <v>13190.68</v>
      </c>
      <c r="AQ303" s="52">
        <v>7045.14</v>
      </c>
      <c r="AR303" s="52">
        <v>5727</v>
      </c>
      <c r="AS303" s="52">
        <v>5000</v>
      </c>
      <c r="AT303" s="52">
        <v>158000</v>
      </c>
      <c r="AU303" s="52">
        <v>16575</v>
      </c>
      <c r="AV303" s="52">
        <v>10888.76</v>
      </c>
      <c r="AW303" s="52">
        <v>39988.629999999997</v>
      </c>
      <c r="AX303" s="52">
        <v>48248.58</v>
      </c>
      <c r="AY303" s="52">
        <v>-78016.05</v>
      </c>
      <c r="AZ303" s="52">
        <v>25475</v>
      </c>
      <c r="BA303" s="52">
        <v>16750</v>
      </c>
      <c r="BB303" s="52">
        <v>16399.3</v>
      </c>
      <c r="BC303" s="52">
        <v>-10934.5</v>
      </c>
      <c r="BD303" s="52">
        <v>7784</v>
      </c>
      <c r="BE303" s="52">
        <v>227.65</v>
      </c>
      <c r="BF303" s="52">
        <v>19875</v>
      </c>
      <c r="BG303" s="52">
        <v>4955.71</v>
      </c>
      <c r="BH303" s="52">
        <v>475.17</v>
      </c>
      <c r="BI303" s="52">
        <v>16951.55</v>
      </c>
      <c r="BJ303" s="52">
        <v>16103.77</v>
      </c>
      <c r="BK303" s="52">
        <v>40314.32</v>
      </c>
      <c r="BL303" s="52">
        <v>13835.11</v>
      </c>
      <c r="BM303" s="52">
        <v>17503.63</v>
      </c>
      <c r="BN303" s="52">
        <v>0</v>
      </c>
      <c r="BO303" s="52">
        <v>0</v>
      </c>
      <c r="BP303" s="52">
        <v>165194.6</v>
      </c>
      <c r="BQ303" s="52">
        <v>0</v>
      </c>
      <c r="BR303" s="52">
        <v>1684.78</v>
      </c>
      <c r="BS303" s="52">
        <v>0</v>
      </c>
      <c r="BT303" s="52">
        <v>7247.77</v>
      </c>
      <c r="BU303" s="52">
        <v>1554.98</v>
      </c>
      <c r="BV303" s="52">
        <v>39218.730000000003</v>
      </c>
      <c r="BW303" s="52">
        <v>47906.34</v>
      </c>
      <c r="BX303" s="52">
        <v>0</v>
      </c>
      <c r="BY303" s="52">
        <v>13000</v>
      </c>
      <c r="BZ303" s="52">
        <v>25028.02</v>
      </c>
      <c r="CA303" s="52">
        <v>4549</v>
      </c>
      <c r="CB303" s="52">
        <v>16322.34</v>
      </c>
      <c r="CC303" s="52">
        <v>0</v>
      </c>
      <c r="CD303" s="52">
        <v>3410</v>
      </c>
      <c r="CE303" s="52">
        <v>658.5</v>
      </c>
      <c r="CF303" s="52">
        <v>153000</v>
      </c>
      <c r="CG303" s="52">
        <v>11100</v>
      </c>
      <c r="CH303" s="52">
        <v>-153000</v>
      </c>
      <c r="CI303" s="52">
        <v>10300</v>
      </c>
      <c r="CJ303" s="52">
        <v>0</v>
      </c>
      <c r="CK303" s="52">
        <v>0</v>
      </c>
      <c r="CL303" s="52">
        <v>0</v>
      </c>
      <c r="CM303" s="52">
        <v>20600</v>
      </c>
      <c r="CN303" s="52">
        <v>-20600</v>
      </c>
      <c r="CO303" s="52">
        <v>22500</v>
      </c>
      <c r="CP303" s="52">
        <v>0</v>
      </c>
      <c r="CQ303" s="52">
        <v>0</v>
      </c>
      <c r="CR303" s="52">
        <v>0</v>
      </c>
      <c r="CS303" s="52">
        <v>0</v>
      </c>
      <c r="CT303" s="52">
        <v>28675</v>
      </c>
      <c r="CU303" s="52">
        <v>0</v>
      </c>
      <c r="CV303" s="430">
        <f t="shared" si="8"/>
        <v>51175</v>
      </c>
    </row>
    <row r="304" spans="1:100">
      <c r="A304" s="540" t="str">
        <f t="shared" si="9"/>
        <v>6790260</v>
      </c>
      <c r="B304" s="541" t="s">
        <v>2114</v>
      </c>
      <c r="C304" s="463" t="s">
        <v>1197</v>
      </c>
      <c r="D304" s="426">
        <v>130</v>
      </c>
      <c r="E304" s="426">
        <v>4574.88</v>
      </c>
      <c r="F304" s="426">
        <v>-2381923.23</v>
      </c>
      <c r="G304" s="426">
        <v>17163.490000000002</v>
      </c>
      <c r="H304" s="426">
        <v>7590.5</v>
      </c>
      <c r="I304" s="426">
        <v>8731.99</v>
      </c>
      <c r="J304" s="426">
        <v>2208.17</v>
      </c>
      <c r="K304" s="426">
        <v>4256.41</v>
      </c>
      <c r="L304" s="426">
        <v>-3741.31</v>
      </c>
      <c r="M304" s="426">
        <v>15465.71</v>
      </c>
      <c r="N304" s="426">
        <v>1822.79</v>
      </c>
      <c r="O304" s="427">
        <v>23353.81</v>
      </c>
      <c r="P304" s="52">
        <v>9219</v>
      </c>
      <c r="Q304" s="52">
        <v>15289.17</v>
      </c>
      <c r="R304" s="52">
        <v>29327.94</v>
      </c>
      <c r="S304" s="52">
        <v>3964.51</v>
      </c>
      <c r="T304" s="52">
        <v>7939.17</v>
      </c>
      <c r="U304" s="52">
        <v>19888.34</v>
      </c>
      <c r="V304" s="52">
        <v>16141.24</v>
      </c>
      <c r="W304" s="52">
        <v>7503.14</v>
      </c>
      <c r="X304" s="52">
        <v>30656.95</v>
      </c>
      <c r="Y304" s="52">
        <v>37016.050000000003</v>
      </c>
      <c r="Z304" s="52">
        <v>22454.97</v>
      </c>
      <c r="AA304" s="52">
        <v>512697.81</v>
      </c>
      <c r="AB304" s="52">
        <v>3209.97</v>
      </c>
      <c r="AC304" s="52">
        <v>15083.18</v>
      </c>
      <c r="AD304" s="52">
        <v>10193.9</v>
      </c>
      <c r="AE304" s="52">
        <v>11299.75</v>
      </c>
      <c r="AF304" s="52">
        <v>6813.87</v>
      </c>
      <c r="AG304" s="52">
        <v>17117.759999999998</v>
      </c>
      <c r="AH304" s="52">
        <v>5422.69</v>
      </c>
      <c r="AI304" s="52">
        <v>10518.5</v>
      </c>
      <c r="AJ304" s="52">
        <v>56575.57</v>
      </c>
      <c r="AK304" s="52">
        <v>135027.73000000001</v>
      </c>
      <c r="AL304" s="52">
        <v>33857.199999999997</v>
      </c>
      <c r="AM304" s="52">
        <v>24529.32</v>
      </c>
      <c r="AN304" s="52">
        <v>5559.74</v>
      </c>
      <c r="AO304" s="52">
        <v>20812.61</v>
      </c>
      <c r="AP304" s="52">
        <v>16065.63</v>
      </c>
      <c r="AQ304" s="52">
        <v>1421.87</v>
      </c>
      <c r="AR304" s="52">
        <v>31144.7</v>
      </c>
      <c r="AS304" s="52">
        <v>14777.55</v>
      </c>
      <c r="AT304" s="52">
        <v>12025.19</v>
      </c>
      <c r="AU304" s="52">
        <v>4548.22</v>
      </c>
      <c r="AV304" s="52">
        <v>95</v>
      </c>
      <c r="AW304" s="52">
        <v>20571.36</v>
      </c>
      <c r="AX304" s="52">
        <v>3497.21</v>
      </c>
      <c r="AY304" s="52">
        <v>87015.34</v>
      </c>
      <c r="AZ304" s="52">
        <v>5225.87</v>
      </c>
      <c r="BA304" s="52">
        <v>19910.75</v>
      </c>
      <c r="BB304" s="52">
        <v>16277.8</v>
      </c>
      <c r="BC304" s="52">
        <v>62405.2</v>
      </c>
      <c r="BD304" s="52">
        <v>71464.160000000003</v>
      </c>
      <c r="BE304" s="52">
        <v>7467.79</v>
      </c>
      <c r="BF304" s="52">
        <v>17331.349999999999</v>
      </c>
      <c r="BG304" s="52">
        <v>38339.53</v>
      </c>
      <c r="BH304" s="52">
        <v>92890.81</v>
      </c>
      <c r="BI304" s="52">
        <v>-2386.89</v>
      </c>
      <c r="BJ304" s="52">
        <v>24274.18</v>
      </c>
      <c r="BK304" s="52">
        <v>57897.2</v>
      </c>
      <c r="BL304" s="52">
        <v>125</v>
      </c>
      <c r="BM304" s="52">
        <v>23957.439999999999</v>
      </c>
      <c r="BN304" s="52">
        <v>17266.88</v>
      </c>
      <c r="BO304" s="52">
        <v>37290.269999999997</v>
      </c>
      <c r="BP304" s="52">
        <v>17905.71</v>
      </c>
      <c r="BQ304" s="52">
        <v>92656.79</v>
      </c>
      <c r="BR304" s="52">
        <v>22133.06</v>
      </c>
      <c r="BS304" s="52">
        <v>13986.86</v>
      </c>
      <c r="BT304" s="52">
        <v>40124.089999999997</v>
      </c>
      <c r="BU304" s="52">
        <v>55205.91</v>
      </c>
      <c r="BV304" s="52">
        <v>17540.57</v>
      </c>
      <c r="BW304" s="52">
        <v>31006.85</v>
      </c>
      <c r="BX304" s="52">
        <v>16483.310000000001</v>
      </c>
      <c r="BY304" s="52">
        <v>49381.59</v>
      </c>
      <c r="BZ304" s="52">
        <v>7071.39</v>
      </c>
      <c r="CA304" s="52">
        <v>10559.94</v>
      </c>
      <c r="CB304" s="52">
        <v>33044.199999999997</v>
      </c>
      <c r="CC304" s="52">
        <v>56188.5</v>
      </c>
      <c r="CD304" s="52">
        <v>19666.650000000001</v>
      </c>
      <c r="CE304" s="52">
        <v>3494.96</v>
      </c>
      <c r="CF304" s="52">
        <v>44677.1</v>
      </c>
      <c r="CG304" s="52">
        <v>62120.21</v>
      </c>
      <c r="CH304" s="52">
        <v>17508.14</v>
      </c>
      <c r="CI304" s="52">
        <v>11563.91</v>
      </c>
      <c r="CJ304" s="52">
        <v>54993.14</v>
      </c>
      <c r="CK304" s="52">
        <v>30741.5</v>
      </c>
      <c r="CL304" s="52">
        <v>27095.35</v>
      </c>
      <c r="CM304" s="52">
        <v>28619.38</v>
      </c>
      <c r="CN304" s="52">
        <v>387547.08</v>
      </c>
      <c r="CO304" s="52">
        <v>60845.81</v>
      </c>
      <c r="CP304" s="52">
        <v>28755.91</v>
      </c>
      <c r="CQ304" s="52">
        <v>96575.85</v>
      </c>
      <c r="CR304" s="52">
        <v>19722.66</v>
      </c>
      <c r="CS304" s="52">
        <v>30653.759999999998</v>
      </c>
      <c r="CT304" s="52">
        <v>75220.94</v>
      </c>
      <c r="CU304" s="52">
        <v>20485.38</v>
      </c>
      <c r="CV304" s="430">
        <f t="shared" si="8"/>
        <v>861256.76000000013</v>
      </c>
    </row>
    <row r="305" spans="1:100">
      <c r="A305" s="540" t="str">
        <f t="shared" si="9"/>
        <v>6790280</v>
      </c>
      <c r="B305" s="541" t="s">
        <v>2115</v>
      </c>
      <c r="C305" s="463" t="s">
        <v>1841</v>
      </c>
      <c r="D305" s="52">
        <v>0</v>
      </c>
      <c r="E305" s="52">
        <v>0</v>
      </c>
      <c r="F305" s="52">
        <v>0</v>
      </c>
      <c r="G305" s="52">
        <v>0</v>
      </c>
      <c r="H305" s="52">
        <v>0</v>
      </c>
      <c r="I305" s="52">
        <v>0</v>
      </c>
      <c r="J305" s="52">
        <v>0</v>
      </c>
      <c r="K305" s="52">
        <v>0</v>
      </c>
      <c r="L305" s="52">
        <v>0</v>
      </c>
      <c r="M305" s="52">
        <v>0</v>
      </c>
      <c r="N305" s="52">
        <v>0</v>
      </c>
      <c r="O305" s="52">
        <v>0</v>
      </c>
      <c r="P305" s="52">
        <v>0</v>
      </c>
      <c r="Q305" s="52">
        <v>0</v>
      </c>
      <c r="R305" s="52">
        <v>0</v>
      </c>
      <c r="S305" s="52">
        <v>0</v>
      </c>
      <c r="T305" s="52">
        <v>0</v>
      </c>
      <c r="U305" s="52">
        <v>0</v>
      </c>
      <c r="V305" s="52">
        <v>0</v>
      </c>
      <c r="W305" s="52">
        <v>0</v>
      </c>
      <c r="X305" s="52">
        <v>0</v>
      </c>
      <c r="Y305" s="52">
        <v>0</v>
      </c>
      <c r="Z305" s="52">
        <v>0</v>
      </c>
      <c r="AA305" s="52">
        <v>0</v>
      </c>
      <c r="AB305" s="52">
        <v>0</v>
      </c>
      <c r="AC305" s="52">
        <v>0</v>
      </c>
      <c r="AD305" s="52">
        <v>0</v>
      </c>
      <c r="AE305" s="52">
        <v>0</v>
      </c>
      <c r="AF305" s="52">
        <v>0</v>
      </c>
      <c r="AG305" s="52">
        <v>0</v>
      </c>
      <c r="AH305" s="52">
        <v>0</v>
      </c>
      <c r="AI305" s="52">
        <v>0</v>
      </c>
      <c r="AJ305" s="52">
        <v>0</v>
      </c>
      <c r="AK305" s="52">
        <v>0</v>
      </c>
      <c r="AL305" s="52">
        <v>0</v>
      </c>
      <c r="AM305" s="52">
        <v>0</v>
      </c>
      <c r="AN305" s="52">
        <v>0</v>
      </c>
      <c r="AO305" s="52">
        <v>0</v>
      </c>
      <c r="AP305" s="52">
        <v>0</v>
      </c>
      <c r="AQ305" s="52">
        <v>0</v>
      </c>
      <c r="AR305" s="52">
        <v>0</v>
      </c>
      <c r="AS305" s="52">
        <v>0</v>
      </c>
      <c r="AT305" s="52">
        <v>0</v>
      </c>
      <c r="AU305" s="52">
        <v>0</v>
      </c>
      <c r="AV305" s="52">
        <v>0</v>
      </c>
      <c r="AW305" s="52">
        <v>89.14</v>
      </c>
      <c r="AX305" s="52">
        <v>2044.17</v>
      </c>
      <c r="AY305" s="52">
        <v>0</v>
      </c>
      <c r="AZ305" s="52">
        <v>0</v>
      </c>
      <c r="BA305" s="52">
        <v>0</v>
      </c>
      <c r="BB305" s="52">
        <v>0</v>
      </c>
      <c r="BC305" s="52">
        <v>458.23</v>
      </c>
      <c r="BD305" s="52">
        <v>650.45000000000005</v>
      </c>
      <c r="BE305" s="52">
        <v>0</v>
      </c>
      <c r="BF305" s="52">
        <v>0</v>
      </c>
      <c r="BG305" s="52">
        <v>0</v>
      </c>
      <c r="BH305" s="52">
        <v>0</v>
      </c>
      <c r="BI305" s="52">
        <v>0</v>
      </c>
      <c r="BJ305" s="52">
        <v>0</v>
      </c>
      <c r="BK305" s="52">
        <v>0</v>
      </c>
      <c r="BL305" s="52">
        <v>0</v>
      </c>
      <c r="BM305" s="52">
        <v>0</v>
      </c>
      <c r="BN305" s="52">
        <v>0</v>
      </c>
      <c r="BO305" s="52">
        <v>0</v>
      </c>
      <c r="BP305" s="52">
        <v>0</v>
      </c>
      <c r="BQ305" s="52">
        <v>0</v>
      </c>
      <c r="BR305" s="52">
        <v>0</v>
      </c>
      <c r="BS305" s="52">
        <v>0</v>
      </c>
      <c r="BT305" s="52">
        <v>0</v>
      </c>
      <c r="BU305" s="52">
        <v>0</v>
      </c>
      <c r="BV305" s="52">
        <v>0</v>
      </c>
      <c r="BW305" s="52">
        <v>0</v>
      </c>
      <c r="BX305" s="52">
        <v>0</v>
      </c>
      <c r="BY305" s="52">
        <v>0</v>
      </c>
      <c r="BZ305" s="52">
        <v>0</v>
      </c>
      <c r="CA305" s="52">
        <v>0</v>
      </c>
      <c r="CB305" s="52">
        <v>0</v>
      </c>
      <c r="CC305" s="52">
        <v>0</v>
      </c>
      <c r="CD305" s="52">
        <v>0</v>
      </c>
      <c r="CE305" s="52">
        <v>0</v>
      </c>
      <c r="CF305" s="52">
        <v>0</v>
      </c>
      <c r="CG305" s="52">
        <v>0</v>
      </c>
      <c r="CH305" s="52">
        <v>0</v>
      </c>
      <c r="CI305" s="52">
        <v>0</v>
      </c>
      <c r="CJ305" s="52">
        <v>0</v>
      </c>
      <c r="CK305" s="52">
        <v>0</v>
      </c>
      <c r="CL305" s="52">
        <v>0</v>
      </c>
      <c r="CM305" s="52">
        <v>0</v>
      </c>
      <c r="CN305" s="52">
        <v>0</v>
      </c>
      <c r="CO305" s="52">
        <v>0</v>
      </c>
      <c r="CP305" s="52">
        <v>0</v>
      </c>
      <c r="CQ305" s="52">
        <v>0</v>
      </c>
      <c r="CR305" s="52">
        <v>0</v>
      </c>
      <c r="CS305" s="52">
        <v>0</v>
      </c>
      <c r="CT305" s="52">
        <v>0</v>
      </c>
      <c r="CU305" s="52">
        <v>0</v>
      </c>
      <c r="CV305" s="430">
        <f t="shared" si="8"/>
        <v>0</v>
      </c>
    </row>
    <row r="306" spans="1:100">
      <c r="A306" s="540" t="str">
        <f t="shared" si="9"/>
        <v>6790281</v>
      </c>
      <c r="B306" s="541" t="s">
        <v>2116</v>
      </c>
      <c r="C306" s="463" t="s">
        <v>1198</v>
      </c>
      <c r="D306" s="426">
        <v>0</v>
      </c>
      <c r="E306" s="426">
        <v>8541.2999999999993</v>
      </c>
      <c r="F306" s="426">
        <v>18661</v>
      </c>
      <c r="G306" s="426">
        <v>0</v>
      </c>
      <c r="H306" s="426">
        <v>2415</v>
      </c>
      <c r="I306" s="426">
        <v>0</v>
      </c>
      <c r="J306" s="426">
        <v>0</v>
      </c>
      <c r="K306" s="426">
        <v>3050.12</v>
      </c>
      <c r="L306" s="426">
        <v>0</v>
      </c>
      <c r="M306" s="426">
        <v>0</v>
      </c>
      <c r="N306" s="426">
        <v>0</v>
      </c>
      <c r="O306" s="427">
        <v>0</v>
      </c>
      <c r="P306" s="52">
        <v>0</v>
      </c>
      <c r="Q306" s="52">
        <v>0</v>
      </c>
      <c r="R306" s="52">
        <v>0</v>
      </c>
      <c r="S306" s="52">
        <v>0</v>
      </c>
      <c r="T306" s="52">
        <v>0</v>
      </c>
      <c r="U306" s="52">
        <v>0</v>
      </c>
      <c r="V306" s="52">
        <v>0</v>
      </c>
      <c r="W306" s="52">
        <v>3328.88</v>
      </c>
      <c r="X306" s="52">
        <v>0</v>
      </c>
      <c r="Y306" s="52">
        <v>0</v>
      </c>
      <c r="Z306" s="52">
        <v>0</v>
      </c>
      <c r="AA306" s="52">
        <v>0</v>
      </c>
      <c r="AB306" s="52">
        <v>0</v>
      </c>
      <c r="AC306" s="52">
        <v>0</v>
      </c>
      <c r="AD306" s="52">
        <v>0</v>
      </c>
      <c r="AE306" s="52">
        <v>0</v>
      </c>
      <c r="AF306" s="52">
        <v>0</v>
      </c>
      <c r="AG306" s="52">
        <v>0</v>
      </c>
      <c r="AH306" s="52">
        <v>0</v>
      </c>
      <c r="AI306" s="52">
        <v>4428.75</v>
      </c>
      <c r="AJ306" s="52">
        <v>0</v>
      </c>
      <c r="AK306" s="52">
        <v>0</v>
      </c>
      <c r="AL306" s="52">
        <v>0</v>
      </c>
      <c r="AM306" s="52">
        <v>0</v>
      </c>
      <c r="AN306" s="52">
        <v>0</v>
      </c>
      <c r="AO306" s="52">
        <v>0</v>
      </c>
      <c r="AP306" s="52">
        <v>0</v>
      </c>
      <c r="AQ306" s="52">
        <v>0</v>
      </c>
      <c r="AR306" s="52">
        <v>0</v>
      </c>
      <c r="AS306" s="52">
        <v>0</v>
      </c>
      <c r="AT306" s="52">
        <v>0</v>
      </c>
      <c r="AU306" s="52">
        <v>0</v>
      </c>
      <c r="AV306" s="52">
        <v>0</v>
      </c>
      <c r="AW306" s="52"/>
      <c r="AX306" s="52"/>
      <c r="AY306" s="52"/>
      <c r="AZ306" s="52">
        <v>0</v>
      </c>
      <c r="BA306" s="52">
        <v>0</v>
      </c>
      <c r="BB306" s="52">
        <v>0</v>
      </c>
      <c r="BC306" s="52">
        <v>0</v>
      </c>
      <c r="BD306" s="52">
        <v>0</v>
      </c>
      <c r="BE306" s="52">
        <v>0</v>
      </c>
      <c r="BF306" s="52">
        <v>0</v>
      </c>
      <c r="BG306" s="52">
        <v>0</v>
      </c>
      <c r="BH306" s="52">
        <v>0</v>
      </c>
      <c r="BI306" s="52">
        <v>0</v>
      </c>
      <c r="BJ306" s="52">
        <v>0</v>
      </c>
      <c r="BK306" s="52">
        <v>0</v>
      </c>
      <c r="BL306" s="52">
        <v>0</v>
      </c>
      <c r="BM306" s="52">
        <v>0</v>
      </c>
      <c r="BN306" s="52">
        <v>0</v>
      </c>
      <c r="BO306" s="52">
        <v>0</v>
      </c>
      <c r="BP306" s="52">
        <v>0</v>
      </c>
      <c r="BQ306" s="52">
        <v>0</v>
      </c>
      <c r="BR306" s="52">
        <v>0</v>
      </c>
      <c r="BS306" s="52">
        <v>0</v>
      </c>
      <c r="BT306" s="52">
        <v>0</v>
      </c>
      <c r="BU306" s="52">
        <v>0</v>
      </c>
      <c r="BV306" s="52">
        <v>0</v>
      </c>
      <c r="BW306" s="52">
        <v>0</v>
      </c>
      <c r="BX306" s="52">
        <v>0</v>
      </c>
      <c r="BY306" s="52">
        <v>0</v>
      </c>
      <c r="BZ306" s="52">
        <v>0</v>
      </c>
      <c r="CA306" s="52">
        <v>0</v>
      </c>
      <c r="CB306" s="52">
        <v>0</v>
      </c>
      <c r="CC306" s="52">
        <v>0</v>
      </c>
      <c r="CD306" s="52">
        <v>0</v>
      </c>
      <c r="CE306" s="52">
        <v>0</v>
      </c>
      <c r="CF306" s="52">
        <v>0</v>
      </c>
      <c r="CG306" s="52">
        <v>0</v>
      </c>
      <c r="CH306" s="52">
        <v>0</v>
      </c>
      <c r="CI306" s="52">
        <v>0</v>
      </c>
      <c r="CJ306" s="52">
        <v>0</v>
      </c>
      <c r="CK306" s="52">
        <v>0</v>
      </c>
      <c r="CL306" s="52">
        <v>0</v>
      </c>
      <c r="CM306" s="52">
        <v>0</v>
      </c>
      <c r="CN306" s="52">
        <v>0</v>
      </c>
      <c r="CO306" s="52">
        <v>0</v>
      </c>
      <c r="CP306" s="52">
        <v>0</v>
      </c>
      <c r="CQ306" s="52">
        <v>0</v>
      </c>
      <c r="CR306" s="52">
        <v>0</v>
      </c>
      <c r="CS306" s="52">
        <v>0</v>
      </c>
      <c r="CT306" s="52">
        <v>0</v>
      </c>
      <c r="CU306" s="52">
        <v>0</v>
      </c>
      <c r="CV306" s="430">
        <f t="shared" si="8"/>
        <v>0</v>
      </c>
    </row>
    <row r="307" spans="1:100">
      <c r="A307" s="540" t="str">
        <f t="shared" si="9"/>
        <v>6790300</v>
      </c>
      <c r="B307" s="541" t="s">
        <v>2117</v>
      </c>
      <c r="C307" s="463" t="s">
        <v>1199</v>
      </c>
      <c r="D307" s="428">
        <v>-747.72</v>
      </c>
      <c r="E307" s="428">
        <v>-265.95999999999998</v>
      </c>
      <c r="F307" s="428">
        <v>-380.17</v>
      </c>
      <c r="G307" s="428">
        <v>-846.95</v>
      </c>
      <c r="H307" s="428">
        <v>-1283.01</v>
      </c>
      <c r="I307" s="428">
        <v>-591.19000000000005</v>
      </c>
      <c r="J307" s="428">
        <v>-1138.6400000000001</v>
      </c>
      <c r="K307" s="428">
        <v>-1212.3900000000001</v>
      </c>
      <c r="L307" s="428">
        <v>-541.38</v>
      </c>
      <c r="M307" s="428">
        <v>-431.8</v>
      </c>
      <c r="N307" s="428">
        <v>-623.79999999999995</v>
      </c>
      <c r="O307" s="429">
        <v>-477.64</v>
      </c>
      <c r="P307" s="52">
        <v>-555.28</v>
      </c>
      <c r="Q307" s="52">
        <v>-383.34</v>
      </c>
      <c r="R307" s="52">
        <v>-489.41</v>
      </c>
      <c r="S307" s="52">
        <v>-541.15</v>
      </c>
      <c r="T307" s="52">
        <v>-647.24</v>
      </c>
      <c r="U307" s="52">
        <v>-529.04999999999995</v>
      </c>
      <c r="V307" s="52">
        <v>-783.71</v>
      </c>
      <c r="W307" s="52">
        <v>-513.67999999999995</v>
      </c>
      <c r="X307" s="52">
        <v>-145.80000000000001</v>
      </c>
      <c r="Y307" s="52">
        <v>-270.38</v>
      </c>
      <c r="Z307" s="52">
        <v>-298.97000000000003</v>
      </c>
      <c r="AA307" s="52">
        <v>-87.76</v>
      </c>
      <c r="AB307" s="52">
        <v>-75.38</v>
      </c>
      <c r="AC307" s="52">
        <v>-49.15</v>
      </c>
      <c r="AD307" s="52">
        <v>-47.13</v>
      </c>
      <c r="AE307" s="52">
        <v>-22.91</v>
      </c>
      <c r="AF307" s="52">
        <v>-93.15</v>
      </c>
      <c r="AG307" s="52">
        <v>-82.03</v>
      </c>
      <c r="AH307" s="52">
        <v>-17.86</v>
      </c>
      <c r="AI307" s="52">
        <v>-34.85</v>
      </c>
      <c r="AJ307" s="52">
        <v>-13.74</v>
      </c>
      <c r="AK307" s="52">
        <v>-4.8600000000000003</v>
      </c>
      <c r="AL307" s="52">
        <v>-54.04</v>
      </c>
      <c r="AM307" s="52">
        <v>-17.23</v>
      </c>
      <c r="AN307" s="52">
        <v>-17.2</v>
      </c>
      <c r="AO307" s="52">
        <v>-30.28</v>
      </c>
      <c r="AP307" s="52">
        <v>-105.43</v>
      </c>
      <c r="AQ307" s="52">
        <v>-189.58</v>
      </c>
      <c r="AR307" s="52">
        <v>0</v>
      </c>
      <c r="AS307" s="52">
        <v>-4035.22</v>
      </c>
      <c r="AT307" s="52">
        <v>-36.33</v>
      </c>
      <c r="AU307" s="52">
        <v>-33.72</v>
      </c>
      <c r="AV307" s="52">
        <v>-16.600000000000001</v>
      </c>
      <c r="AW307" s="52">
        <v>-11.5</v>
      </c>
      <c r="AX307" s="52">
        <v>-62.66</v>
      </c>
      <c r="AY307" s="52">
        <v>-8.14</v>
      </c>
      <c r="AZ307" s="52">
        <v>-86.46</v>
      </c>
      <c r="BA307" s="52">
        <v>-0.84</v>
      </c>
      <c r="BB307" s="52">
        <v>-13.6</v>
      </c>
      <c r="BC307" s="52">
        <v>0</v>
      </c>
      <c r="BD307" s="52">
        <v>-23.42</v>
      </c>
      <c r="BE307" s="52">
        <v>-6.6</v>
      </c>
      <c r="BF307" s="52">
        <v>0</v>
      </c>
      <c r="BG307" s="52">
        <v>-32.880000000000003</v>
      </c>
      <c r="BH307" s="52">
        <v>-175.01</v>
      </c>
      <c r="BI307" s="52">
        <v>-4.91</v>
      </c>
      <c r="BJ307" s="52">
        <v>-32.869999999999997</v>
      </c>
      <c r="BK307" s="52">
        <v>-3.91</v>
      </c>
      <c r="BL307" s="52">
        <v>-48.02</v>
      </c>
      <c r="BM307" s="52">
        <v>-9.4700000000000006</v>
      </c>
      <c r="BN307" s="52">
        <v>-28.77</v>
      </c>
      <c r="BO307" s="52">
        <v>-24.35</v>
      </c>
      <c r="BP307" s="52">
        <v>-9.86</v>
      </c>
      <c r="BQ307" s="52">
        <v>-28.2</v>
      </c>
      <c r="BR307" s="52">
        <v>-2.4500000000000002</v>
      </c>
      <c r="BS307" s="52">
        <v>-9.66</v>
      </c>
      <c r="BT307" s="52">
        <v>-29.07</v>
      </c>
      <c r="BU307" s="52">
        <v>-18.91</v>
      </c>
      <c r="BV307" s="52">
        <v>-9.9</v>
      </c>
      <c r="BW307" s="52">
        <v>0</v>
      </c>
      <c r="BX307" s="52">
        <v>-1.99</v>
      </c>
      <c r="BY307" s="52">
        <v>-9.36</v>
      </c>
      <c r="BZ307" s="52">
        <v>0</v>
      </c>
      <c r="CA307" s="52">
        <v>0</v>
      </c>
      <c r="CB307" s="52">
        <v>-42.3</v>
      </c>
      <c r="CC307" s="52">
        <v>-15.35</v>
      </c>
      <c r="CD307" s="52">
        <v>0</v>
      </c>
      <c r="CE307" s="52">
        <v>0</v>
      </c>
      <c r="CF307" s="52">
        <v>-6.36</v>
      </c>
      <c r="CG307" s="52">
        <v>0</v>
      </c>
      <c r="CH307" s="52">
        <v>0</v>
      </c>
      <c r="CI307" s="52">
        <v>0</v>
      </c>
      <c r="CJ307" s="52">
        <v>0</v>
      </c>
      <c r="CK307" s="52">
        <v>-362.42</v>
      </c>
      <c r="CL307" s="52">
        <v>0</v>
      </c>
      <c r="CM307" s="52">
        <v>-8.4499999999999993</v>
      </c>
      <c r="CN307" s="52">
        <v>-1.28</v>
      </c>
      <c r="CO307" s="52">
        <v>0</v>
      </c>
      <c r="CP307" s="52">
        <v>-1.62</v>
      </c>
      <c r="CQ307" s="52">
        <v>0</v>
      </c>
      <c r="CR307" s="52">
        <v>-31.01</v>
      </c>
      <c r="CS307" s="52">
        <v>-3.05</v>
      </c>
      <c r="CT307" s="52">
        <v>-12.91</v>
      </c>
      <c r="CU307" s="52">
        <v>-1.88</v>
      </c>
      <c r="CV307" s="430">
        <f t="shared" si="8"/>
        <v>-422.62</v>
      </c>
    </row>
    <row r="308" spans="1:100">
      <c r="A308" s="540" t="str">
        <f t="shared" si="9"/>
        <v>6790305</v>
      </c>
      <c r="B308" s="541" t="s">
        <v>2118</v>
      </c>
      <c r="C308" s="463" t="s">
        <v>1200</v>
      </c>
      <c r="D308" s="426">
        <v>333333</v>
      </c>
      <c r="E308" s="426">
        <v>333333</v>
      </c>
      <c r="F308" s="426">
        <v>333333</v>
      </c>
      <c r="G308" s="426">
        <v>333333</v>
      </c>
      <c r="H308" s="426">
        <v>333333</v>
      </c>
      <c r="I308" s="426">
        <v>333333</v>
      </c>
      <c r="J308" s="426">
        <v>333333</v>
      </c>
      <c r="K308" s="426">
        <v>333333</v>
      </c>
      <c r="L308" s="426">
        <v>333333</v>
      </c>
      <c r="M308" s="426">
        <v>333333</v>
      </c>
      <c r="N308" s="426">
        <v>333333</v>
      </c>
      <c r="O308" s="427">
        <v>333333</v>
      </c>
      <c r="P308" s="52">
        <v>333333</v>
      </c>
      <c r="Q308" s="52">
        <v>333333</v>
      </c>
      <c r="R308" s="52">
        <v>333333</v>
      </c>
      <c r="S308" s="52">
        <v>333333</v>
      </c>
      <c r="T308" s="52">
        <v>333333</v>
      </c>
      <c r="U308" s="52">
        <v>333333</v>
      </c>
      <c r="V308" s="52">
        <v>333333</v>
      </c>
      <c r="W308" s="52">
        <v>333333</v>
      </c>
      <c r="X308" s="52">
        <v>333333</v>
      </c>
      <c r="Y308" s="52">
        <v>333333</v>
      </c>
      <c r="Z308" s="52">
        <v>333333</v>
      </c>
      <c r="AA308" s="52">
        <v>333333</v>
      </c>
      <c r="AB308" s="52">
        <v>333333</v>
      </c>
      <c r="AC308" s="52">
        <v>333333</v>
      </c>
      <c r="AD308" s="52">
        <v>333333</v>
      </c>
      <c r="AE308" s="52">
        <v>381312.36</v>
      </c>
      <c r="AF308" s="52">
        <v>285353.64</v>
      </c>
      <c r="AG308" s="52">
        <v>333333</v>
      </c>
      <c r="AH308" s="52">
        <v>333333</v>
      </c>
      <c r="AI308" s="52">
        <v>333342.65999999997</v>
      </c>
      <c r="AJ308" s="52">
        <v>333333</v>
      </c>
      <c r="AK308" s="52">
        <v>333333</v>
      </c>
      <c r="AL308" s="52">
        <v>333333</v>
      </c>
      <c r="AM308" s="52">
        <v>333333</v>
      </c>
      <c r="AN308" s="52">
        <v>333333</v>
      </c>
      <c r="AO308" s="52">
        <v>333333</v>
      </c>
      <c r="AP308" s="52">
        <v>333333</v>
      </c>
      <c r="AQ308" s="52">
        <v>333333</v>
      </c>
      <c r="AR308" s="52">
        <v>333333</v>
      </c>
      <c r="AS308" s="52">
        <v>333333</v>
      </c>
      <c r="AT308" s="52">
        <v>500000</v>
      </c>
      <c r="AU308" s="52">
        <v>500401.2</v>
      </c>
      <c r="AV308" s="52">
        <v>500000</v>
      </c>
      <c r="AW308" s="52">
        <v>500000</v>
      </c>
      <c r="AX308" s="52">
        <v>500000</v>
      </c>
      <c r="AY308" s="52">
        <v>500000</v>
      </c>
      <c r="AZ308" s="52">
        <v>500000</v>
      </c>
      <c r="BA308" s="52">
        <v>500000</v>
      </c>
      <c r="BB308" s="52">
        <v>500000</v>
      </c>
      <c r="BC308" s="52">
        <v>500000</v>
      </c>
      <c r="BD308" s="52">
        <v>500000</v>
      </c>
      <c r="BE308" s="52">
        <v>500000</v>
      </c>
      <c r="BF308" s="52">
        <v>500000</v>
      </c>
      <c r="BG308" s="52">
        <v>500000</v>
      </c>
      <c r="BH308" s="52">
        <v>500000</v>
      </c>
      <c r="BI308" s="52">
        <v>500000</v>
      </c>
      <c r="BJ308" s="52">
        <v>500000</v>
      </c>
      <c r="BK308" s="52">
        <v>500000</v>
      </c>
      <c r="BL308" s="52">
        <v>500000</v>
      </c>
      <c r="BM308" s="52">
        <v>500000</v>
      </c>
      <c r="BN308" s="52">
        <v>1000000</v>
      </c>
      <c r="BO308" s="52">
        <v>666666.67000000004</v>
      </c>
      <c r="BP308" s="52">
        <v>666666.67000000004</v>
      </c>
      <c r="BQ308" s="52">
        <v>666666.67000000004</v>
      </c>
      <c r="BR308" s="52">
        <v>666666.67000000004</v>
      </c>
      <c r="BS308" s="52">
        <v>666666.67000000004</v>
      </c>
      <c r="BT308" s="52">
        <v>666666.67000000004</v>
      </c>
      <c r="BU308" s="52">
        <v>666666.67000000004</v>
      </c>
      <c r="BV308" s="52">
        <v>666666.67000000004</v>
      </c>
      <c r="BW308" s="52">
        <v>666666.67000000004</v>
      </c>
      <c r="BX308" s="52">
        <v>666666.67000000004</v>
      </c>
      <c r="BY308" s="52">
        <v>666666.67000000004</v>
      </c>
      <c r="BZ308" s="52">
        <v>666666.67000000004</v>
      </c>
      <c r="CA308" s="52">
        <v>666666.67000000004</v>
      </c>
      <c r="CB308" s="52">
        <v>666666.67000000004</v>
      </c>
      <c r="CC308" s="52">
        <v>666666.67000000004</v>
      </c>
      <c r="CD308" s="52">
        <v>666666.67000000004</v>
      </c>
      <c r="CE308" s="52">
        <v>666666.67000000004</v>
      </c>
      <c r="CF308" s="52">
        <v>680419.7</v>
      </c>
      <c r="CG308" s="52">
        <v>666880.01</v>
      </c>
      <c r="CH308" s="52">
        <v>666666.67000000004</v>
      </c>
      <c r="CI308" s="52">
        <v>666666.63</v>
      </c>
      <c r="CJ308" s="52">
        <v>630430.63</v>
      </c>
      <c r="CK308" s="52">
        <v>666666.63</v>
      </c>
      <c r="CL308" s="52">
        <v>666666.63</v>
      </c>
      <c r="CM308" s="52">
        <v>666666.67000000004</v>
      </c>
      <c r="CN308" s="52">
        <v>666666.67000000004</v>
      </c>
      <c r="CO308" s="52">
        <v>666666.67000000004</v>
      </c>
      <c r="CP308" s="52">
        <v>666666.67000000004</v>
      </c>
      <c r="CQ308" s="52">
        <v>666666.67000000004</v>
      </c>
      <c r="CR308" s="52">
        <v>839854.36</v>
      </c>
      <c r="CS308" s="52">
        <v>684827.82</v>
      </c>
      <c r="CT308" s="52">
        <v>1602371.46</v>
      </c>
      <c r="CU308" s="52">
        <v>771269.92</v>
      </c>
      <c r="CV308" s="430">
        <f t="shared" si="8"/>
        <v>9195420.8000000007</v>
      </c>
    </row>
    <row r="309" spans="1:100">
      <c r="A309" s="540" t="str">
        <f t="shared" si="9"/>
        <v>6790310</v>
      </c>
      <c r="B309" s="541" t="s">
        <v>2119</v>
      </c>
      <c r="C309" s="463" t="s">
        <v>1201</v>
      </c>
      <c r="D309" s="428">
        <v>-283333</v>
      </c>
      <c r="E309" s="428">
        <v>-283333</v>
      </c>
      <c r="F309" s="428">
        <v>-283333</v>
      </c>
      <c r="G309" s="428">
        <v>-283333</v>
      </c>
      <c r="H309" s="428">
        <v>-283333</v>
      </c>
      <c r="I309" s="428">
        <v>-283333</v>
      </c>
      <c r="J309" s="428">
        <v>-283333</v>
      </c>
      <c r="K309" s="428">
        <v>-283333</v>
      </c>
      <c r="L309" s="428">
        <v>-283333</v>
      </c>
      <c r="M309" s="428">
        <v>-283333</v>
      </c>
      <c r="N309" s="428">
        <v>-283333</v>
      </c>
      <c r="O309" s="429">
        <v>-283333</v>
      </c>
      <c r="P309" s="52">
        <v>-283333</v>
      </c>
      <c r="Q309" s="52">
        <v>-283333</v>
      </c>
      <c r="R309" s="52">
        <v>-283333</v>
      </c>
      <c r="S309" s="52">
        <v>-283333</v>
      </c>
      <c r="T309" s="52">
        <v>-283333</v>
      </c>
      <c r="U309" s="52">
        <v>-283333</v>
      </c>
      <c r="V309" s="52">
        <v>-283333</v>
      </c>
      <c r="W309" s="52">
        <v>-283333</v>
      </c>
      <c r="X309" s="52">
        <v>-283333</v>
      </c>
      <c r="Y309" s="52">
        <v>-283333</v>
      </c>
      <c r="Z309" s="52">
        <v>-283333</v>
      </c>
      <c r="AA309" s="52">
        <v>-283333</v>
      </c>
      <c r="AB309" s="52">
        <v>-283333</v>
      </c>
      <c r="AC309" s="52">
        <v>-283333</v>
      </c>
      <c r="AD309" s="52">
        <v>-283333</v>
      </c>
      <c r="AE309" s="52">
        <v>-283333</v>
      </c>
      <c r="AF309" s="52">
        <v>-283333</v>
      </c>
      <c r="AG309" s="52">
        <v>-283333</v>
      </c>
      <c r="AH309" s="52">
        <v>-283333</v>
      </c>
      <c r="AI309" s="52">
        <v>-283333</v>
      </c>
      <c r="AJ309" s="52">
        <v>-283333</v>
      </c>
      <c r="AK309" s="52">
        <v>-283333</v>
      </c>
      <c r="AL309" s="52">
        <v>-283333</v>
      </c>
      <c r="AM309" s="52">
        <v>-283333</v>
      </c>
      <c r="AN309" s="52">
        <v>-283333</v>
      </c>
      <c r="AO309" s="52">
        <v>-283333</v>
      </c>
      <c r="AP309" s="52">
        <v>-283333</v>
      </c>
      <c r="AQ309" s="52">
        <v>-283333</v>
      </c>
      <c r="AR309" s="52">
        <v>-283333</v>
      </c>
      <c r="AS309" s="52">
        <v>-283333</v>
      </c>
      <c r="AT309" s="52">
        <v>-500000</v>
      </c>
      <c r="AU309" s="52">
        <v>-500000</v>
      </c>
      <c r="AV309" s="52">
        <v>-500000</v>
      </c>
      <c r="AW309" s="52">
        <v>-500000</v>
      </c>
      <c r="AX309" s="52">
        <v>-500000</v>
      </c>
      <c r="AY309" s="52">
        <v>-500000</v>
      </c>
      <c r="AZ309" s="52">
        <v>-500000</v>
      </c>
      <c r="BA309" s="52">
        <v>-500000</v>
      </c>
      <c r="BB309" s="52">
        <v>-500000</v>
      </c>
      <c r="BC309" s="52">
        <v>-500000</v>
      </c>
      <c r="BD309" s="52">
        <v>-500000</v>
      </c>
      <c r="BE309" s="52">
        <v>-500000</v>
      </c>
      <c r="BF309" s="52">
        <v>-500000</v>
      </c>
      <c r="BG309" s="52">
        <v>-500000</v>
      </c>
      <c r="BH309" s="52">
        <v>-500000</v>
      </c>
      <c r="BI309" s="52">
        <v>-500000</v>
      </c>
      <c r="BJ309" s="52">
        <v>-500000</v>
      </c>
      <c r="BK309" s="52">
        <v>-500000</v>
      </c>
      <c r="BL309" s="52">
        <v>-500000</v>
      </c>
      <c r="BM309" s="52">
        <v>-500000</v>
      </c>
      <c r="BN309" s="52">
        <v>-1000000</v>
      </c>
      <c r="BO309" s="52">
        <v>-666666.67000000004</v>
      </c>
      <c r="BP309" s="52">
        <v>-666666.67000000004</v>
      </c>
      <c r="BQ309" s="52">
        <v>-666666.67000000004</v>
      </c>
      <c r="BR309" s="52">
        <v>-666666.67000000004</v>
      </c>
      <c r="BS309" s="52">
        <v>-666666.67000000004</v>
      </c>
      <c r="BT309" s="52">
        <v>-666666.67000000004</v>
      </c>
      <c r="BU309" s="52">
        <v>-666666.67000000004</v>
      </c>
      <c r="BV309" s="52">
        <v>-666666.67000000004</v>
      </c>
      <c r="BW309" s="52">
        <v>-666666.67000000004</v>
      </c>
      <c r="BX309" s="52">
        <v>-666666.67000000004</v>
      </c>
      <c r="BY309" s="52">
        <v>-666666.67000000004</v>
      </c>
      <c r="BZ309" s="52">
        <v>-666666.67000000004</v>
      </c>
      <c r="CA309" s="52">
        <v>-666666.67000000004</v>
      </c>
      <c r="CB309" s="52">
        <v>-666666.67000000004</v>
      </c>
      <c r="CC309" s="52">
        <v>-666666.67000000004</v>
      </c>
      <c r="CD309" s="52">
        <v>-666666.67000000004</v>
      </c>
      <c r="CE309" s="52">
        <v>-666666.67000000004</v>
      </c>
      <c r="CF309" s="52">
        <v>-666666.67000000004</v>
      </c>
      <c r="CG309" s="52">
        <v>-666666.67000000004</v>
      </c>
      <c r="CH309" s="52">
        <v>-666666.67000000004</v>
      </c>
      <c r="CI309" s="52">
        <v>-666666.63</v>
      </c>
      <c r="CJ309" s="52">
        <v>-666666.63</v>
      </c>
      <c r="CK309" s="52">
        <v>-666666.63</v>
      </c>
      <c r="CL309" s="52">
        <v>-666666.63</v>
      </c>
      <c r="CM309" s="52">
        <v>-666666.67000000004</v>
      </c>
      <c r="CN309" s="52">
        <v>-666666.67000000004</v>
      </c>
      <c r="CO309" s="52">
        <v>-666666.67000000004</v>
      </c>
      <c r="CP309" s="52">
        <v>-666666.67000000004</v>
      </c>
      <c r="CQ309" s="52">
        <v>-666666.67000000004</v>
      </c>
      <c r="CR309" s="52">
        <v>-666666.67000000004</v>
      </c>
      <c r="CS309" s="52">
        <v>-666666.67000000004</v>
      </c>
      <c r="CT309" s="52">
        <v>-1583333.37</v>
      </c>
      <c r="CU309" s="52">
        <v>-750000</v>
      </c>
      <c r="CV309" s="430">
        <f t="shared" si="8"/>
        <v>-8999999.9499999993</v>
      </c>
    </row>
    <row r="310" spans="1:100">
      <c r="A310" s="540" t="str">
        <f t="shared" si="9"/>
        <v>6790315</v>
      </c>
      <c r="B310" s="541" t="s">
        <v>2120</v>
      </c>
      <c r="C310" s="463" t="s">
        <v>1202</v>
      </c>
      <c r="D310" s="426">
        <v>-50000</v>
      </c>
      <c r="E310" s="426">
        <v>-50000</v>
      </c>
      <c r="F310" s="426">
        <v>-50000</v>
      </c>
      <c r="G310" s="426">
        <v>-50000</v>
      </c>
      <c r="H310" s="426">
        <v>-50000</v>
      </c>
      <c r="I310" s="426">
        <v>-50000</v>
      </c>
      <c r="J310" s="426">
        <v>-50000</v>
      </c>
      <c r="K310" s="426">
        <v>-50000</v>
      </c>
      <c r="L310" s="426">
        <v>-50000</v>
      </c>
      <c r="M310" s="426">
        <v>-50000</v>
      </c>
      <c r="N310" s="426">
        <v>-50000</v>
      </c>
      <c r="O310" s="427">
        <v>-50000</v>
      </c>
      <c r="P310" s="52">
        <v>-50000</v>
      </c>
      <c r="Q310" s="52">
        <v>-50000</v>
      </c>
      <c r="R310" s="52">
        <v>-50000</v>
      </c>
      <c r="S310" s="52">
        <v>-50000</v>
      </c>
      <c r="T310" s="52">
        <v>-50000</v>
      </c>
      <c r="U310" s="52">
        <v>-50000</v>
      </c>
      <c r="V310" s="52">
        <v>-50000</v>
      </c>
      <c r="W310" s="52">
        <v>-50000</v>
      </c>
      <c r="X310" s="52">
        <v>-50000</v>
      </c>
      <c r="Y310" s="52">
        <v>-50000</v>
      </c>
      <c r="Z310" s="52">
        <v>-50000</v>
      </c>
      <c r="AA310" s="52">
        <v>-50000</v>
      </c>
      <c r="AB310" s="52">
        <v>-50000</v>
      </c>
      <c r="AC310" s="52">
        <v>-50000</v>
      </c>
      <c r="AD310" s="52">
        <v>-50000</v>
      </c>
      <c r="AE310" s="52">
        <v>-50000</v>
      </c>
      <c r="AF310" s="52">
        <v>-50000</v>
      </c>
      <c r="AG310" s="52">
        <v>-50000</v>
      </c>
      <c r="AH310" s="52">
        <v>-50000</v>
      </c>
      <c r="AI310" s="52">
        <v>-50000</v>
      </c>
      <c r="AJ310" s="52">
        <v>-50000</v>
      </c>
      <c r="AK310" s="52">
        <v>-50000</v>
      </c>
      <c r="AL310" s="52">
        <v>-50000</v>
      </c>
      <c r="AM310" s="52">
        <v>-50000</v>
      </c>
      <c r="AN310" s="52">
        <v>-50000</v>
      </c>
      <c r="AO310" s="52">
        <v>-50000</v>
      </c>
      <c r="AP310" s="52">
        <v>-50000</v>
      </c>
      <c r="AQ310" s="52">
        <v>-50000</v>
      </c>
      <c r="AR310" s="52">
        <v>-50000</v>
      </c>
      <c r="AS310" s="52">
        <v>-50000</v>
      </c>
      <c r="AT310" s="52">
        <v>0</v>
      </c>
      <c r="AU310" s="52">
        <v>0</v>
      </c>
      <c r="AV310" s="52">
        <v>0</v>
      </c>
      <c r="AW310" s="52">
        <v>0</v>
      </c>
      <c r="AX310" s="52">
        <v>0</v>
      </c>
      <c r="AY310" s="52">
        <v>0</v>
      </c>
      <c r="AZ310" s="52">
        <v>0</v>
      </c>
      <c r="BA310" s="52">
        <v>0</v>
      </c>
      <c r="BB310" s="52">
        <v>0</v>
      </c>
      <c r="BC310" s="52">
        <v>0</v>
      </c>
      <c r="BD310" s="52">
        <v>0</v>
      </c>
      <c r="BE310" s="52">
        <v>0</v>
      </c>
      <c r="BF310" s="52">
        <v>0</v>
      </c>
      <c r="BG310" s="52">
        <v>0</v>
      </c>
      <c r="BH310" s="52">
        <v>0</v>
      </c>
      <c r="BI310" s="52">
        <v>0</v>
      </c>
      <c r="BJ310" s="52">
        <v>0</v>
      </c>
      <c r="BK310" s="52">
        <v>0</v>
      </c>
      <c r="BL310" s="52">
        <v>0</v>
      </c>
      <c r="BM310" s="52">
        <v>0</v>
      </c>
      <c r="BN310" s="52">
        <v>0</v>
      </c>
      <c r="BO310" s="52">
        <v>0</v>
      </c>
      <c r="BP310" s="52">
        <v>0</v>
      </c>
      <c r="BQ310" s="52">
        <v>0</v>
      </c>
      <c r="BR310" s="52">
        <v>0</v>
      </c>
      <c r="BS310" s="52">
        <v>0</v>
      </c>
      <c r="BT310" s="52">
        <v>0</v>
      </c>
      <c r="BU310" s="52">
        <v>0</v>
      </c>
      <c r="BV310" s="52">
        <v>0</v>
      </c>
      <c r="BW310" s="52">
        <v>0</v>
      </c>
      <c r="BX310" s="52">
        <v>0</v>
      </c>
      <c r="BY310" s="52">
        <v>0</v>
      </c>
      <c r="BZ310" s="52">
        <v>0</v>
      </c>
      <c r="CA310" s="52">
        <v>0</v>
      </c>
      <c r="CB310" s="52">
        <v>0</v>
      </c>
      <c r="CC310" s="52">
        <v>0</v>
      </c>
      <c r="CD310" s="52">
        <v>0</v>
      </c>
      <c r="CE310" s="52">
        <v>0</v>
      </c>
      <c r="CF310" s="52">
        <v>0</v>
      </c>
      <c r="CG310" s="52">
        <v>0</v>
      </c>
      <c r="CH310" s="52">
        <v>0</v>
      </c>
      <c r="CI310" s="52">
        <v>0</v>
      </c>
      <c r="CJ310" s="52">
        <v>0</v>
      </c>
      <c r="CK310" s="52">
        <v>0</v>
      </c>
      <c r="CL310" s="52">
        <v>0</v>
      </c>
      <c r="CM310" s="52">
        <v>0</v>
      </c>
      <c r="CN310" s="52">
        <v>0</v>
      </c>
      <c r="CO310" s="52">
        <v>0</v>
      </c>
      <c r="CP310" s="52">
        <v>0</v>
      </c>
      <c r="CQ310" s="52">
        <v>0</v>
      </c>
      <c r="CR310" s="52">
        <v>0</v>
      </c>
      <c r="CS310" s="52">
        <v>0</v>
      </c>
      <c r="CT310" s="52">
        <v>0</v>
      </c>
      <c r="CU310" s="52">
        <v>0</v>
      </c>
      <c r="CV310" s="430">
        <f t="shared" si="8"/>
        <v>0</v>
      </c>
    </row>
    <row r="311" spans="1:100">
      <c r="A311" s="540" t="str">
        <f t="shared" si="9"/>
        <v>6790320</v>
      </c>
      <c r="B311" s="541" t="s">
        <v>1783</v>
      </c>
      <c r="C311" s="463" t="s">
        <v>1770</v>
      </c>
      <c r="D311" s="426"/>
      <c r="E311" s="426"/>
      <c r="F311" s="426"/>
      <c r="G311" s="426"/>
      <c r="H311" s="426"/>
      <c r="I311" s="426"/>
      <c r="J311" s="426"/>
      <c r="K311" s="426"/>
      <c r="L311" s="426"/>
      <c r="M311" s="426"/>
      <c r="N311" s="426"/>
      <c r="O311" s="427"/>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v>0</v>
      </c>
      <c r="AO311" s="52">
        <v>0</v>
      </c>
      <c r="AP311" s="52">
        <v>0</v>
      </c>
      <c r="AQ311" s="52">
        <v>0</v>
      </c>
      <c r="AR311" s="52">
        <v>0</v>
      </c>
      <c r="AS311" s="52">
        <v>0</v>
      </c>
      <c r="AT311" s="52">
        <v>0</v>
      </c>
      <c r="AU311" s="52">
        <v>0</v>
      </c>
      <c r="AV311" s="52">
        <v>0</v>
      </c>
      <c r="AW311" s="52">
        <v>0</v>
      </c>
      <c r="AX311" s="52">
        <v>0</v>
      </c>
      <c r="AY311" s="52">
        <v>0</v>
      </c>
      <c r="AZ311" s="52">
        <v>0</v>
      </c>
      <c r="BA311" s="52">
        <v>0</v>
      </c>
      <c r="BB311" s="52">
        <v>0</v>
      </c>
      <c r="BC311" s="52">
        <v>0</v>
      </c>
      <c r="BD311" s="52">
        <v>0</v>
      </c>
      <c r="BE311" s="52">
        <v>0</v>
      </c>
      <c r="BF311" s="52">
        <v>0</v>
      </c>
      <c r="BG311" s="52">
        <v>0</v>
      </c>
      <c r="BH311" s="52">
        <v>0</v>
      </c>
      <c r="BI311" s="52">
        <v>0</v>
      </c>
      <c r="BJ311" s="52">
        <v>3188.55</v>
      </c>
      <c r="BK311" s="52">
        <v>-3188.55</v>
      </c>
      <c r="BL311" s="52">
        <v>0</v>
      </c>
      <c r="BM311" s="52">
        <v>0</v>
      </c>
      <c r="BN311" s="52">
        <v>-487.74</v>
      </c>
      <c r="BO311" s="52">
        <v>0</v>
      </c>
      <c r="BP311" s="52">
        <v>0</v>
      </c>
      <c r="BQ311" s="52">
        <v>0</v>
      </c>
      <c r="BR311" s="52">
        <v>0</v>
      </c>
      <c r="BS311" s="52">
        <v>0</v>
      </c>
      <c r="BT311" s="52">
        <v>0</v>
      </c>
      <c r="BU311" s="52">
        <v>0</v>
      </c>
      <c r="BV311" s="52">
        <v>0</v>
      </c>
      <c r="BW311" s="52">
        <v>0</v>
      </c>
      <c r="BX311" s="52">
        <v>0</v>
      </c>
      <c r="BY311" s="52">
        <v>0</v>
      </c>
      <c r="BZ311" s="52">
        <v>0</v>
      </c>
      <c r="CA311" s="52">
        <v>0</v>
      </c>
      <c r="CB311" s="52">
        <v>0</v>
      </c>
      <c r="CC311" s="52">
        <v>0</v>
      </c>
      <c r="CD311" s="52">
        <v>0</v>
      </c>
      <c r="CE311" s="52">
        <v>0</v>
      </c>
      <c r="CF311" s="52">
        <v>0</v>
      </c>
      <c r="CG311" s="52">
        <v>0</v>
      </c>
      <c r="CH311" s="52">
        <v>0</v>
      </c>
      <c r="CI311" s="52">
        <v>0</v>
      </c>
      <c r="CJ311" s="52">
        <v>0</v>
      </c>
      <c r="CK311" s="52">
        <v>0</v>
      </c>
      <c r="CL311" s="52">
        <v>0</v>
      </c>
      <c r="CM311" s="52">
        <v>0</v>
      </c>
      <c r="CN311" s="52">
        <v>0</v>
      </c>
      <c r="CO311" s="52">
        <v>0</v>
      </c>
      <c r="CP311" s="52">
        <v>0</v>
      </c>
      <c r="CQ311" s="52">
        <v>0</v>
      </c>
      <c r="CR311" s="52">
        <v>0</v>
      </c>
      <c r="CS311" s="52">
        <v>0</v>
      </c>
      <c r="CT311" s="52">
        <v>0</v>
      </c>
      <c r="CU311" s="52">
        <v>0</v>
      </c>
      <c r="CV311" s="430">
        <f t="shared" si="8"/>
        <v>0</v>
      </c>
    </row>
    <row r="312" spans="1:100">
      <c r="A312" s="540" t="str">
        <f t="shared" si="9"/>
        <v>6790321</v>
      </c>
      <c r="B312" s="541" t="s">
        <v>1784</v>
      </c>
      <c r="C312" s="463" t="s">
        <v>1771</v>
      </c>
      <c r="D312" s="426"/>
      <c r="E312" s="426"/>
      <c r="F312" s="426"/>
      <c r="G312" s="426"/>
      <c r="H312" s="426"/>
      <c r="I312" s="426"/>
      <c r="J312" s="426"/>
      <c r="K312" s="426"/>
      <c r="L312" s="426"/>
      <c r="M312" s="426"/>
      <c r="N312" s="426"/>
      <c r="O312" s="427"/>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v>0</v>
      </c>
      <c r="AO312" s="52">
        <v>0</v>
      </c>
      <c r="AP312" s="52">
        <v>0</v>
      </c>
      <c r="AQ312" s="52">
        <v>0</v>
      </c>
      <c r="AR312" s="52">
        <v>0</v>
      </c>
      <c r="AS312" s="52">
        <v>0</v>
      </c>
      <c r="AT312" s="52">
        <v>0</v>
      </c>
      <c r="AU312" s="52">
        <v>0</v>
      </c>
      <c r="AV312" s="52">
        <v>0</v>
      </c>
      <c r="AW312" s="52">
        <v>0</v>
      </c>
      <c r="AX312" s="52">
        <v>0</v>
      </c>
      <c r="AY312" s="52">
        <v>0</v>
      </c>
      <c r="AZ312" s="52">
        <v>0</v>
      </c>
      <c r="BA312" s="52">
        <v>0</v>
      </c>
      <c r="BB312" s="52">
        <v>0</v>
      </c>
      <c r="BC312" s="52">
        <v>0</v>
      </c>
      <c r="BD312" s="52">
        <v>0</v>
      </c>
      <c r="BE312" s="52">
        <v>0</v>
      </c>
      <c r="BF312" s="52">
        <v>0</v>
      </c>
      <c r="BG312" s="52">
        <v>0</v>
      </c>
      <c r="BH312" s="52">
        <v>0</v>
      </c>
      <c r="BI312" s="52">
        <v>0</v>
      </c>
      <c r="BJ312" s="52">
        <v>0</v>
      </c>
      <c r="BK312" s="52">
        <v>0</v>
      </c>
      <c r="BL312" s="52">
        <v>0</v>
      </c>
      <c r="BM312" s="52">
        <v>0</v>
      </c>
      <c r="BN312" s="52">
        <v>0</v>
      </c>
      <c r="BO312" s="52">
        <v>0</v>
      </c>
      <c r="BP312" s="52">
        <v>0</v>
      </c>
      <c r="BQ312" s="52">
        <v>0</v>
      </c>
      <c r="BR312" s="52">
        <v>0</v>
      </c>
      <c r="BS312" s="52">
        <v>0</v>
      </c>
      <c r="BT312" s="52">
        <v>0</v>
      </c>
      <c r="BU312" s="52">
        <v>0</v>
      </c>
      <c r="BV312" s="52">
        <v>0</v>
      </c>
      <c r="BW312" s="52">
        <v>0</v>
      </c>
      <c r="BX312" s="52">
        <v>0</v>
      </c>
      <c r="BY312" s="52">
        <v>0</v>
      </c>
      <c r="BZ312" s="52">
        <v>0</v>
      </c>
      <c r="CA312" s="52">
        <v>0</v>
      </c>
      <c r="CB312" s="52">
        <v>0</v>
      </c>
      <c r="CC312" s="52">
        <v>0</v>
      </c>
      <c r="CD312" s="52">
        <v>0</v>
      </c>
      <c r="CE312" s="52">
        <v>0</v>
      </c>
      <c r="CF312" s="52">
        <v>0</v>
      </c>
      <c r="CG312" s="52">
        <v>0</v>
      </c>
      <c r="CH312" s="52">
        <v>0</v>
      </c>
      <c r="CI312" s="52">
        <v>0</v>
      </c>
      <c r="CJ312" s="52">
        <v>0</v>
      </c>
      <c r="CK312" s="52">
        <v>0</v>
      </c>
      <c r="CL312" s="52">
        <v>0</v>
      </c>
      <c r="CM312" s="52">
        <v>0</v>
      </c>
      <c r="CN312" s="52">
        <v>0</v>
      </c>
      <c r="CO312" s="52">
        <v>0</v>
      </c>
      <c r="CP312" s="52">
        <v>0</v>
      </c>
      <c r="CQ312" s="52">
        <v>0</v>
      </c>
      <c r="CR312" s="52">
        <v>0</v>
      </c>
      <c r="CS312" s="52">
        <v>0</v>
      </c>
      <c r="CT312" s="52">
        <v>0</v>
      </c>
      <c r="CU312" s="52">
        <v>0</v>
      </c>
      <c r="CV312" s="430">
        <f t="shared" si="8"/>
        <v>0</v>
      </c>
    </row>
    <row r="313" spans="1:100">
      <c r="A313" s="540" t="str">
        <f t="shared" si="9"/>
        <v>6790324</v>
      </c>
      <c r="B313" s="541" t="s">
        <v>1785</v>
      </c>
      <c r="C313" s="463" t="s">
        <v>1772</v>
      </c>
      <c r="D313" s="426"/>
      <c r="E313" s="426"/>
      <c r="F313" s="426"/>
      <c r="G313" s="426"/>
      <c r="H313" s="426"/>
      <c r="I313" s="426"/>
      <c r="J313" s="426"/>
      <c r="K313" s="426"/>
      <c r="L313" s="426"/>
      <c r="M313" s="426"/>
      <c r="N313" s="426"/>
      <c r="O313" s="427"/>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v>0</v>
      </c>
      <c r="AO313" s="52">
        <v>0</v>
      </c>
      <c r="AP313" s="52">
        <v>0</v>
      </c>
      <c r="AQ313" s="52">
        <v>0</v>
      </c>
      <c r="AR313" s="52">
        <v>0</v>
      </c>
      <c r="AS313" s="52">
        <v>0</v>
      </c>
      <c r="AT313" s="52">
        <v>0</v>
      </c>
      <c r="AU313" s="52">
        <v>0</v>
      </c>
      <c r="AV313" s="52">
        <v>0</v>
      </c>
      <c r="AW313" s="52">
        <v>0</v>
      </c>
      <c r="AX313" s="52">
        <v>0</v>
      </c>
      <c r="AY313" s="52">
        <v>0</v>
      </c>
      <c r="AZ313" s="52">
        <v>0</v>
      </c>
      <c r="BA313" s="52">
        <v>0</v>
      </c>
      <c r="BB313" s="52">
        <v>0</v>
      </c>
      <c r="BC313" s="52">
        <v>0</v>
      </c>
      <c r="BD313" s="52">
        <v>0</v>
      </c>
      <c r="BE313" s="52">
        <v>0</v>
      </c>
      <c r="BF313" s="52">
        <v>0</v>
      </c>
      <c r="BG313" s="52">
        <v>0</v>
      </c>
      <c r="BH313" s="52">
        <v>0</v>
      </c>
      <c r="BI313" s="52">
        <v>0</v>
      </c>
      <c r="BJ313" s="52">
        <v>0</v>
      </c>
      <c r="BK313" s="52">
        <v>0</v>
      </c>
      <c r="BL313" s="52">
        <v>0</v>
      </c>
      <c r="BM313" s="52">
        <v>0</v>
      </c>
      <c r="BN313" s="52">
        <v>0</v>
      </c>
      <c r="BO313" s="52">
        <v>0</v>
      </c>
      <c r="BP313" s="52">
        <v>0</v>
      </c>
      <c r="BQ313" s="52">
        <v>0</v>
      </c>
      <c r="BR313" s="52">
        <v>0</v>
      </c>
      <c r="BS313" s="52">
        <v>0</v>
      </c>
      <c r="BT313" s="52">
        <v>0</v>
      </c>
      <c r="BU313" s="52">
        <v>0</v>
      </c>
      <c r="BV313" s="52">
        <v>0</v>
      </c>
      <c r="BW313" s="52">
        <v>0</v>
      </c>
      <c r="BX313" s="52">
        <v>0</v>
      </c>
      <c r="BY313" s="52">
        <v>0</v>
      </c>
      <c r="BZ313" s="52">
        <v>0</v>
      </c>
      <c r="CA313" s="52">
        <v>0</v>
      </c>
      <c r="CB313" s="52">
        <v>0</v>
      </c>
      <c r="CC313" s="52">
        <v>0</v>
      </c>
      <c r="CD313" s="52">
        <v>0</v>
      </c>
      <c r="CE313" s="52">
        <v>0</v>
      </c>
      <c r="CF313" s="52">
        <v>96.28</v>
      </c>
      <c r="CG313" s="52">
        <v>2</v>
      </c>
      <c r="CH313" s="52">
        <v>0</v>
      </c>
      <c r="CI313" s="52">
        <v>0</v>
      </c>
      <c r="CJ313" s="52">
        <v>0</v>
      </c>
      <c r="CK313" s="52">
        <v>0</v>
      </c>
      <c r="CL313" s="52">
        <v>0</v>
      </c>
      <c r="CM313" s="52">
        <v>0</v>
      </c>
      <c r="CN313" s="52">
        <v>0</v>
      </c>
      <c r="CO313" s="52">
        <v>0</v>
      </c>
      <c r="CP313" s="52">
        <v>0</v>
      </c>
      <c r="CQ313" s="52">
        <v>0</v>
      </c>
      <c r="CR313" s="52">
        <v>1594.45</v>
      </c>
      <c r="CS313" s="52">
        <v>162.91</v>
      </c>
      <c r="CT313" s="52">
        <v>202.02</v>
      </c>
      <c r="CU313" s="52">
        <v>245.83</v>
      </c>
      <c r="CV313" s="430">
        <f t="shared" si="8"/>
        <v>2205.21</v>
      </c>
    </row>
    <row r="314" spans="1:100">
      <c r="A314" s="540" t="str">
        <f t="shared" si="9"/>
        <v>6790700</v>
      </c>
      <c r="B314" s="541" t="s">
        <v>2121</v>
      </c>
      <c r="C314" s="463" t="s">
        <v>1203</v>
      </c>
      <c r="D314" s="428">
        <v>45570.879999999997</v>
      </c>
      <c r="E314" s="428">
        <v>29205.11</v>
      </c>
      <c r="F314" s="428">
        <v>51595.42</v>
      </c>
      <c r="G314" s="428">
        <v>16420.43</v>
      </c>
      <c r="H314" s="428">
        <v>100339.08</v>
      </c>
      <c r="I314" s="428">
        <v>262931.67</v>
      </c>
      <c r="J314" s="428">
        <v>121219.41</v>
      </c>
      <c r="K314" s="428">
        <v>128825.24</v>
      </c>
      <c r="L314" s="428">
        <v>11134.4</v>
      </c>
      <c r="M314" s="428">
        <v>-195994.03</v>
      </c>
      <c r="N314" s="428">
        <v>45785.63</v>
      </c>
      <c r="O314" s="429">
        <v>-462677.38</v>
      </c>
      <c r="P314" s="52">
        <v>67756.289999999994</v>
      </c>
      <c r="Q314" s="52">
        <v>70271.75</v>
      </c>
      <c r="R314" s="52">
        <v>15574.25</v>
      </c>
      <c r="S314" s="52">
        <v>50140.04</v>
      </c>
      <c r="T314" s="52">
        <v>24947.35</v>
      </c>
      <c r="U314" s="52">
        <v>78089.22</v>
      </c>
      <c r="V314" s="52">
        <v>45827.31</v>
      </c>
      <c r="W314" s="52">
        <v>51103.25</v>
      </c>
      <c r="X314" s="52">
        <v>47596.55</v>
      </c>
      <c r="Y314" s="52">
        <v>16520.240000000002</v>
      </c>
      <c r="Z314" s="52">
        <v>45601.18</v>
      </c>
      <c r="AA314" s="52">
        <v>85393.41</v>
      </c>
      <c r="AB314" s="52">
        <v>211053.51</v>
      </c>
      <c r="AC314" s="52">
        <v>52439.94</v>
      </c>
      <c r="AD314" s="52">
        <v>73337.13</v>
      </c>
      <c r="AE314" s="52">
        <v>86312.09</v>
      </c>
      <c r="AF314" s="52">
        <v>38971.75</v>
      </c>
      <c r="AG314" s="52">
        <v>81442.09</v>
      </c>
      <c r="AH314" s="52">
        <v>46605.89</v>
      </c>
      <c r="AI314" s="52">
        <v>44394.6</v>
      </c>
      <c r="AJ314" s="52">
        <v>250463.67</v>
      </c>
      <c r="AK314" s="52">
        <v>50325.67</v>
      </c>
      <c r="AL314" s="52">
        <v>39847.440000000002</v>
      </c>
      <c r="AM314" s="52">
        <v>293171.24</v>
      </c>
      <c r="AN314" s="52">
        <v>33604.68</v>
      </c>
      <c r="AO314" s="52">
        <v>42753.279999999999</v>
      </c>
      <c r="AP314" s="52">
        <v>97396.96</v>
      </c>
      <c r="AQ314" s="52">
        <v>79770.89</v>
      </c>
      <c r="AR314" s="52">
        <v>53800.01</v>
      </c>
      <c r="AS314" s="52">
        <v>73992.86</v>
      </c>
      <c r="AT314" s="52">
        <v>61935.89</v>
      </c>
      <c r="AU314" s="52">
        <v>49129.95</v>
      </c>
      <c r="AV314" s="52">
        <v>84339.92</v>
      </c>
      <c r="AW314" s="52">
        <v>42954.13</v>
      </c>
      <c r="AX314" s="52">
        <v>44008.82</v>
      </c>
      <c r="AY314" s="52">
        <v>85942.6</v>
      </c>
      <c r="AZ314" s="52">
        <v>57438.84</v>
      </c>
      <c r="BA314" s="52">
        <v>118081.98</v>
      </c>
      <c r="BB314" s="52">
        <v>107666.53</v>
      </c>
      <c r="BC314" s="52">
        <v>60877.54</v>
      </c>
      <c r="BD314" s="52">
        <v>49059.6</v>
      </c>
      <c r="BE314" s="52">
        <v>59675.99</v>
      </c>
      <c r="BF314" s="52">
        <v>28497.34</v>
      </c>
      <c r="BG314" s="52">
        <v>45953.14</v>
      </c>
      <c r="BH314" s="52">
        <v>47222.63</v>
      </c>
      <c r="BI314" s="52">
        <v>75473.22</v>
      </c>
      <c r="BJ314" s="52">
        <v>48965.93</v>
      </c>
      <c r="BK314" s="52">
        <v>65135.18</v>
      </c>
      <c r="BL314" s="52">
        <v>8252.4</v>
      </c>
      <c r="BM314" s="52">
        <v>47195.91</v>
      </c>
      <c r="BN314" s="52">
        <v>65130.42</v>
      </c>
      <c r="BO314" s="52">
        <v>48110.5</v>
      </c>
      <c r="BP314" s="52">
        <v>39356.1</v>
      </c>
      <c r="BQ314" s="52">
        <v>43787.57</v>
      </c>
      <c r="BR314" s="52">
        <v>38986.92</v>
      </c>
      <c r="BS314" s="52">
        <v>119572.41</v>
      </c>
      <c r="BT314" s="52">
        <v>162653.17000000001</v>
      </c>
      <c r="BU314" s="52">
        <v>50891.09</v>
      </c>
      <c r="BV314" s="52">
        <v>7851.7</v>
      </c>
      <c r="BW314" s="52">
        <v>107913.54</v>
      </c>
      <c r="BX314" s="52">
        <v>-19752.13</v>
      </c>
      <c r="BY314" s="52">
        <v>-151.51</v>
      </c>
      <c r="BZ314" s="52">
        <v>-16089.69</v>
      </c>
      <c r="CA314" s="52">
        <v>-13038.22</v>
      </c>
      <c r="CB314" s="52">
        <v>-19551.5</v>
      </c>
      <c r="CC314" s="52">
        <v>-19648.98</v>
      </c>
      <c r="CD314" s="52">
        <v>-16175.28</v>
      </c>
      <c r="CE314" s="52">
        <v>-4655.26</v>
      </c>
      <c r="CF314" s="52">
        <v>-12572.37</v>
      </c>
      <c r="CG314" s="52">
        <v>-11070.97</v>
      </c>
      <c r="CH314" s="52">
        <v>-6970.09</v>
      </c>
      <c r="CI314" s="52">
        <v>-9294.2900000000009</v>
      </c>
      <c r="CJ314" s="52">
        <v>-42105.02</v>
      </c>
      <c r="CK314" s="52">
        <v>-6860.25</v>
      </c>
      <c r="CL314" s="52">
        <v>-17775.330000000002</v>
      </c>
      <c r="CM314" s="52">
        <v>-13928.46</v>
      </c>
      <c r="CN314" s="52">
        <v>15978.08</v>
      </c>
      <c r="CO314" s="52">
        <v>-282401.55</v>
      </c>
      <c r="CP314" s="52">
        <v>-59314.5</v>
      </c>
      <c r="CQ314" s="52">
        <v>-53723.24</v>
      </c>
      <c r="CR314" s="52">
        <v>-51702.29</v>
      </c>
      <c r="CS314" s="52">
        <v>-59832.14</v>
      </c>
      <c r="CT314" s="52">
        <v>-52627.8</v>
      </c>
      <c r="CU314" s="52">
        <v>-46887.61</v>
      </c>
      <c r="CV314" s="430">
        <f t="shared" si="8"/>
        <v>-671180.11</v>
      </c>
    </row>
    <row r="315" spans="1:100">
      <c r="A315" s="540" t="str">
        <f t="shared" si="9"/>
        <v>6790702</v>
      </c>
      <c r="B315" s="541" t="s">
        <v>2123</v>
      </c>
      <c r="C315" s="463" t="s">
        <v>1204</v>
      </c>
      <c r="D315" s="426">
        <v>615970</v>
      </c>
      <c r="E315" s="426">
        <v>739607</v>
      </c>
      <c r="F315" s="426">
        <v>615970</v>
      </c>
      <c r="G315" s="426">
        <v>615970</v>
      </c>
      <c r="H315" s="426">
        <v>615970</v>
      </c>
      <c r="I315" s="426">
        <v>615970</v>
      </c>
      <c r="J315" s="426">
        <v>615970</v>
      </c>
      <c r="K315" s="426">
        <v>615970</v>
      </c>
      <c r="L315" s="426">
        <v>615970</v>
      </c>
      <c r="M315" s="426">
        <v>615970</v>
      </c>
      <c r="N315" s="426">
        <v>615970</v>
      </c>
      <c r="O315" s="427">
        <v>865970</v>
      </c>
      <c r="P315" s="52">
        <v>625209</v>
      </c>
      <c r="Q315" s="52">
        <v>625209</v>
      </c>
      <c r="R315" s="52">
        <v>625209</v>
      </c>
      <c r="S315" s="52">
        <v>625209</v>
      </c>
      <c r="T315" s="52">
        <v>625209</v>
      </c>
      <c r="U315" s="52">
        <v>625209</v>
      </c>
      <c r="V315" s="52">
        <v>625209</v>
      </c>
      <c r="W315" s="52">
        <v>625209</v>
      </c>
      <c r="X315" s="52">
        <v>625209</v>
      </c>
      <c r="Y315" s="52">
        <v>625209</v>
      </c>
      <c r="Z315" s="52">
        <v>625209</v>
      </c>
      <c r="AA315" s="52">
        <v>889996</v>
      </c>
      <c r="AB315" s="52">
        <v>635213</v>
      </c>
      <c r="AC315" s="52">
        <v>635213</v>
      </c>
      <c r="AD315" s="52">
        <v>635213</v>
      </c>
      <c r="AE315" s="52">
        <v>635213</v>
      </c>
      <c r="AF315" s="52">
        <v>635213</v>
      </c>
      <c r="AG315" s="52">
        <v>635213</v>
      </c>
      <c r="AH315" s="52">
        <v>635213</v>
      </c>
      <c r="AI315" s="52">
        <v>635213</v>
      </c>
      <c r="AJ315" s="52">
        <v>635213</v>
      </c>
      <c r="AK315" s="52">
        <v>635213</v>
      </c>
      <c r="AL315" s="52">
        <v>635213</v>
      </c>
      <c r="AM315" s="52">
        <v>899026</v>
      </c>
      <c r="AN315" s="52">
        <v>635847</v>
      </c>
      <c r="AO315" s="52">
        <v>635847</v>
      </c>
      <c r="AP315" s="52">
        <v>635847</v>
      </c>
      <c r="AQ315" s="52">
        <v>635847</v>
      </c>
      <c r="AR315" s="52">
        <v>635847</v>
      </c>
      <c r="AS315" s="52">
        <v>635847</v>
      </c>
      <c r="AT315" s="52">
        <v>635847</v>
      </c>
      <c r="AU315" s="52">
        <v>635847</v>
      </c>
      <c r="AV315" s="52">
        <v>635847</v>
      </c>
      <c r="AW315" s="52">
        <v>635847</v>
      </c>
      <c r="AX315" s="52">
        <v>635847</v>
      </c>
      <c r="AY315" s="52">
        <v>885847</v>
      </c>
      <c r="AZ315" s="52">
        <v>644113</v>
      </c>
      <c r="BA315" s="52">
        <v>644113</v>
      </c>
      <c r="BB315" s="52">
        <v>644113</v>
      </c>
      <c r="BC315" s="52">
        <v>644113</v>
      </c>
      <c r="BD315" s="52">
        <v>644113</v>
      </c>
      <c r="BE315" s="52">
        <v>644113</v>
      </c>
      <c r="BF315" s="52">
        <v>644113</v>
      </c>
      <c r="BG315" s="52">
        <v>644113</v>
      </c>
      <c r="BH315" s="52">
        <v>644113</v>
      </c>
      <c r="BI315" s="52">
        <v>644113</v>
      </c>
      <c r="BJ315" s="52">
        <v>644113</v>
      </c>
      <c r="BK315" s="52">
        <v>838251</v>
      </c>
      <c r="BL315" s="52">
        <v>657640</v>
      </c>
      <c r="BM315" s="52">
        <v>657640</v>
      </c>
      <c r="BN315" s="52">
        <v>657640</v>
      </c>
      <c r="BO315" s="52">
        <v>657640</v>
      </c>
      <c r="BP315" s="52">
        <v>657640</v>
      </c>
      <c r="BQ315" s="52">
        <v>657640</v>
      </c>
      <c r="BR315" s="52">
        <v>657640</v>
      </c>
      <c r="BS315" s="52">
        <v>657640</v>
      </c>
      <c r="BT315" s="52">
        <v>657640</v>
      </c>
      <c r="BU315" s="52">
        <v>657640</v>
      </c>
      <c r="BV315" s="52">
        <v>657640</v>
      </c>
      <c r="BW315" s="52">
        <v>916066.78</v>
      </c>
      <c r="BX315" s="52">
        <v>670135</v>
      </c>
      <c r="BY315" s="52">
        <v>670135</v>
      </c>
      <c r="BZ315" s="52">
        <v>670135</v>
      </c>
      <c r="CA315" s="52">
        <v>670135</v>
      </c>
      <c r="CB315" s="52">
        <v>670135</v>
      </c>
      <c r="CC315" s="52">
        <v>670135</v>
      </c>
      <c r="CD315" s="52">
        <v>670135</v>
      </c>
      <c r="CE315" s="52">
        <v>670135</v>
      </c>
      <c r="CF315" s="52">
        <v>670135</v>
      </c>
      <c r="CG315" s="52">
        <v>670135</v>
      </c>
      <c r="CH315" s="52">
        <v>670135</v>
      </c>
      <c r="CI315" s="52">
        <v>858234</v>
      </c>
      <c r="CJ315" s="52">
        <v>685545</v>
      </c>
      <c r="CK315" s="52">
        <v>685545</v>
      </c>
      <c r="CL315" s="52">
        <v>685545</v>
      </c>
      <c r="CM315" s="52">
        <v>685545</v>
      </c>
      <c r="CN315" s="52">
        <v>685545</v>
      </c>
      <c r="CO315" s="52">
        <v>685545</v>
      </c>
      <c r="CP315" s="52">
        <v>685545</v>
      </c>
      <c r="CQ315" s="52">
        <v>685545</v>
      </c>
      <c r="CR315" s="52">
        <v>685545</v>
      </c>
      <c r="CS315" s="52">
        <v>685545</v>
      </c>
      <c r="CT315" s="52">
        <v>685545</v>
      </c>
      <c r="CU315" s="52">
        <v>822331</v>
      </c>
      <c r="CV315" s="430">
        <f t="shared" si="8"/>
        <v>8363326</v>
      </c>
    </row>
    <row r="316" spans="1:100">
      <c r="A316" s="540" t="str">
        <f>+B316</f>
        <v>6790704</v>
      </c>
      <c r="B316" s="541" t="s">
        <v>2220</v>
      </c>
      <c r="C316" s="463" t="s">
        <v>2212</v>
      </c>
      <c r="D316" s="426"/>
      <c r="E316" s="426"/>
      <c r="F316" s="426"/>
      <c r="G316" s="426"/>
      <c r="H316" s="426"/>
      <c r="I316" s="426"/>
      <c r="J316" s="426"/>
      <c r="K316" s="426"/>
      <c r="L316" s="426"/>
      <c r="M316" s="426"/>
      <c r="N316" s="426"/>
      <c r="O316" s="427"/>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v>0</v>
      </c>
      <c r="BA316" s="52">
        <v>9232.48</v>
      </c>
      <c r="BB316" s="52">
        <v>4492.7299999999996</v>
      </c>
      <c r="BC316" s="52">
        <v>30277.9</v>
      </c>
      <c r="BD316" s="52">
        <v>4513.32</v>
      </c>
      <c r="BE316" s="52">
        <v>4425.3100000000004</v>
      </c>
      <c r="BF316" s="52">
        <v>48982.05</v>
      </c>
      <c r="BG316" s="52">
        <v>11767.71</v>
      </c>
      <c r="BH316" s="52">
        <v>14747.31</v>
      </c>
      <c r="BI316" s="52">
        <v>6658.71</v>
      </c>
      <c r="BJ316" s="52">
        <v>15519.77</v>
      </c>
      <c r="BK316" s="52">
        <v>9831.8799999999992</v>
      </c>
      <c r="BL316" s="52">
        <v>18955.95</v>
      </c>
      <c r="BM316" s="52">
        <v>33349.83</v>
      </c>
      <c r="BN316" s="52">
        <v>33034.04</v>
      </c>
      <c r="BO316" s="52">
        <v>28498.42</v>
      </c>
      <c r="BP316" s="52">
        <v>24243.91</v>
      </c>
      <c r="BQ316" s="52">
        <v>56319.93</v>
      </c>
      <c r="BR316" s="52">
        <v>29780.17</v>
      </c>
      <c r="BS316" s="52">
        <v>15956.92</v>
      </c>
      <c r="BT316" s="52">
        <v>31080.59</v>
      </c>
      <c r="BU316" s="52">
        <v>23654.28</v>
      </c>
      <c r="BV316" s="52">
        <v>23566.73</v>
      </c>
      <c r="BW316" s="52">
        <v>42032.11</v>
      </c>
      <c r="BX316" s="52">
        <v>45494.89</v>
      </c>
      <c r="BY316" s="52">
        <v>29800.25</v>
      </c>
      <c r="BZ316" s="52">
        <v>38039.39</v>
      </c>
      <c r="CA316" s="52">
        <v>29906.21</v>
      </c>
      <c r="CB316" s="52">
        <v>38997.56</v>
      </c>
      <c r="CC316" s="52">
        <v>25350.19</v>
      </c>
      <c r="CD316" s="52">
        <v>35291.06</v>
      </c>
      <c r="CE316" s="52">
        <v>190963.01</v>
      </c>
      <c r="CF316" s="52">
        <v>42138.02</v>
      </c>
      <c r="CG316" s="52">
        <v>38733.89</v>
      </c>
      <c r="CH316" s="52">
        <v>53434.21</v>
      </c>
      <c r="CI316" s="52">
        <v>102700.83</v>
      </c>
      <c r="CJ316" s="52">
        <v>43924.68</v>
      </c>
      <c r="CK316" s="52">
        <v>26728.720000000001</v>
      </c>
      <c r="CL316" s="52">
        <v>44676.27</v>
      </c>
      <c r="CM316" s="52">
        <v>65809.06</v>
      </c>
      <c r="CN316" s="52">
        <v>46892.69</v>
      </c>
      <c r="CO316" s="52">
        <v>22028.59</v>
      </c>
      <c r="CP316" s="52">
        <v>38059.410000000003</v>
      </c>
      <c r="CQ316" s="52">
        <v>32507.82</v>
      </c>
      <c r="CR316" s="52">
        <v>46641.52</v>
      </c>
      <c r="CS316" s="52">
        <v>39404.78</v>
      </c>
      <c r="CT316" s="52">
        <v>30890.58</v>
      </c>
      <c r="CU316" s="52">
        <v>36830.410000000003</v>
      </c>
      <c r="CV316" s="430">
        <f t="shared" si="8"/>
        <v>474394.53</v>
      </c>
    </row>
    <row r="317" spans="1:100">
      <c r="A317" s="540" t="str">
        <f t="shared" si="9"/>
        <v>6790705</v>
      </c>
      <c r="B317" s="541" t="s">
        <v>2122</v>
      </c>
      <c r="C317" s="463" t="s">
        <v>1205</v>
      </c>
      <c r="D317" s="426">
        <v>4270.6499999999996</v>
      </c>
      <c r="E317" s="426">
        <v>1978.59</v>
      </c>
      <c r="F317" s="426">
        <v>3955.7</v>
      </c>
      <c r="G317" s="426">
        <v>9073.9599999999991</v>
      </c>
      <c r="H317" s="426">
        <v>7692.96</v>
      </c>
      <c r="I317" s="426">
        <v>6911.98</v>
      </c>
      <c r="J317" s="426">
        <v>0</v>
      </c>
      <c r="K317" s="426">
        <v>0</v>
      </c>
      <c r="L317" s="426">
        <v>0</v>
      </c>
      <c r="M317" s="426">
        <v>0</v>
      </c>
      <c r="N317" s="426">
        <v>0</v>
      </c>
      <c r="O317" s="427">
        <v>0</v>
      </c>
      <c r="P317" s="52">
        <v>0</v>
      </c>
      <c r="Q317" s="52">
        <v>0</v>
      </c>
      <c r="R317" s="52">
        <v>0</v>
      </c>
      <c r="S317" s="52">
        <v>0</v>
      </c>
      <c r="T317" s="52">
        <v>0</v>
      </c>
      <c r="U317" s="52">
        <v>0</v>
      </c>
      <c r="V317" s="52">
        <v>0</v>
      </c>
      <c r="W317" s="52">
        <v>0</v>
      </c>
      <c r="X317" s="52">
        <v>0</v>
      </c>
      <c r="Y317" s="52">
        <v>0</v>
      </c>
      <c r="Z317" s="52">
        <v>0</v>
      </c>
      <c r="AA317" s="52">
        <v>0</v>
      </c>
      <c r="AB317" s="52">
        <v>0</v>
      </c>
      <c r="AC317" s="52">
        <v>0</v>
      </c>
      <c r="AD317" s="52">
        <v>0</v>
      </c>
      <c r="AE317" s="52">
        <v>0</v>
      </c>
      <c r="AF317" s="52">
        <v>0</v>
      </c>
      <c r="AG317" s="52">
        <v>0</v>
      </c>
      <c r="AH317" s="52">
        <v>0</v>
      </c>
      <c r="AI317" s="52">
        <v>0</v>
      </c>
      <c r="AJ317" s="52">
        <v>0</v>
      </c>
      <c r="AK317" s="52">
        <v>0</v>
      </c>
      <c r="AL317" s="52">
        <v>0</v>
      </c>
      <c r="AM317" s="52">
        <v>0</v>
      </c>
      <c r="AN317" s="52">
        <v>0</v>
      </c>
      <c r="AO317" s="52">
        <v>0</v>
      </c>
      <c r="AP317" s="52">
        <v>0</v>
      </c>
      <c r="AQ317" s="52">
        <v>0</v>
      </c>
      <c r="AR317" s="52">
        <v>0</v>
      </c>
      <c r="AS317" s="52">
        <v>0</v>
      </c>
      <c r="AT317" s="52">
        <v>0</v>
      </c>
      <c r="AU317" s="52">
        <v>0</v>
      </c>
      <c r="AV317" s="52">
        <v>0</v>
      </c>
      <c r="AW317" s="52">
        <v>0</v>
      </c>
      <c r="AX317" s="52">
        <v>0</v>
      </c>
      <c r="AY317" s="52">
        <v>0</v>
      </c>
      <c r="AZ317" s="52">
        <v>0</v>
      </c>
      <c r="BA317" s="52">
        <v>0</v>
      </c>
      <c r="BB317" s="52">
        <v>0</v>
      </c>
      <c r="BC317" s="52">
        <v>0</v>
      </c>
      <c r="BD317" s="52">
        <v>0</v>
      </c>
      <c r="BE317" s="52">
        <v>0</v>
      </c>
      <c r="BF317" s="52">
        <v>0</v>
      </c>
      <c r="BG317" s="52">
        <v>0</v>
      </c>
      <c r="BH317" s="52">
        <v>0</v>
      </c>
      <c r="BI317" s="52">
        <v>0</v>
      </c>
      <c r="BJ317" s="52">
        <v>0</v>
      </c>
      <c r="BK317" s="52">
        <v>0</v>
      </c>
      <c r="BL317" s="52">
        <v>0</v>
      </c>
      <c r="BM317" s="52">
        <v>0</v>
      </c>
      <c r="BN317" s="52">
        <v>0</v>
      </c>
      <c r="BO317" s="52">
        <v>0</v>
      </c>
      <c r="BP317" s="52">
        <v>0</v>
      </c>
      <c r="BQ317" s="52">
        <v>0</v>
      </c>
      <c r="BR317" s="52">
        <v>0</v>
      </c>
      <c r="BS317" s="52">
        <v>0</v>
      </c>
      <c r="BT317" s="52">
        <v>0</v>
      </c>
      <c r="BU317" s="52">
        <v>0</v>
      </c>
      <c r="BV317" s="52">
        <v>0</v>
      </c>
      <c r="BW317" s="52">
        <v>0</v>
      </c>
      <c r="BX317" s="52">
        <v>0</v>
      </c>
      <c r="BY317" s="52">
        <v>0</v>
      </c>
      <c r="BZ317" s="52">
        <v>0</v>
      </c>
      <c r="CA317" s="52">
        <v>0</v>
      </c>
      <c r="CB317" s="52">
        <v>0</v>
      </c>
      <c r="CC317" s="52">
        <v>0</v>
      </c>
      <c r="CD317" s="52">
        <v>0</v>
      </c>
      <c r="CE317" s="52">
        <v>0</v>
      </c>
      <c r="CF317" s="52">
        <v>0</v>
      </c>
      <c r="CG317" s="52">
        <v>0</v>
      </c>
      <c r="CH317" s="52">
        <v>0</v>
      </c>
      <c r="CI317" s="52">
        <v>0</v>
      </c>
      <c r="CJ317" s="52">
        <v>0</v>
      </c>
      <c r="CK317" s="52">
        <v>0</v>
      </c>
      <c r="CL317" s="52">
        <v>0</v>
      </c>
      <c r="CM317" s="52">
        <v>0</v>
      </c>
      <c r="CN317" s="52">
        <v>0</v>
      </c>
      <c r="CO317" s="52">
        <v>0</v>
      </c>
      <c r="CP317" s="52">
        <v>0</v>
      </c>
      <c r="CQ317" s="52">
        <v>0</v>
      </c>
      <c r="CR317" s="52">
        <v>0</v>
      </c>
      <c r="CS317" s="52">
        <v>0</v>
      </c>
      <c r="CT317" s="52">
        <v>0</v>
      </c>
      <c r="CU317" s="52">
        <v>0</v>
      </c>
      <c r="CV317" s="430">
        <f t="shared" si="8"/>
        <v>0</v>
      </c>
    </row>
    <row r="318" spans="1:100">
      <c r="A318" s="540" t="str">
        <f t="shared" si="9"/>
        <v>6790706</v>
      </c>
      <c r="B318" s="541" t="s">
        <v>2124</v>
      </c>
      <c r="C318" s="463" t="s">
        <v>1206</v>
      </c>
      <c r="D318" s="426">
        <v>300.7</v>
      </c>
      <c r="E318" s="426">
        <v>315.97000000000003</v>
      </c>
      <c r="F318" s="426">
        <v>426.95</v>
      </c>
      <c r="G318" s="426">
        <v>508.09</v>
      </c>
      <c r="H318" s="426">
        <v>398.42</v>
      </c>
      <c r="I318" s="426">
        <v>344.68</v>
      </c>
      <c r="J318" s="426">
        <v>245.08</v>
      </c>
      <c r="K318" s="426">
        <v>384.46</v>
      </c>
      <c r="L318" s="426">
        <v>267.04000000000002</v>
      </c>
      <c r="M318" s="426">
        <v>349.72</v>
      </c>
      <c r="N318" s="426">
        <v>364.42</v>
      </c>
      <c r="O318" s="427">
        <v>361.59</v>
      </c>
      <c r="P318" s="52">
        <v>0</v>
      </c>
      <c r="Q318" s="52">
        <v>0</v>
      </c>
      <c r="R318" s="52">
        <v>0</v>
      </c>
      <c r="S318" s="52">
        <v>0</v>
      </c>
      <c r="T318" s="52">
        <v>0</v>
      </c>
      <c r="U318" s="52">
        <v>0</v>
      </c>
      <c r="V318" s="52">
        <v>0</v>
      </c>
      <c r="W318" s="52">
        <v>0</v>
      </c>
      <c r="X318" s="52">
        <v>0</v>
      </c>
      <c r="Y318" s="52">
        <v>0</v>
      </c>
      <c r="Z318" s="52">
        <v>0</v>
      </c>
      <c r="AA318" s="52">
        <v>0</v>
      </c>
      <c r="AB318" s="52">
        <v>0</v>
      </c>
      <c r="AC318" s="52">
        <v>0</v>
      </c>
      <c r="AD318" s="52">
        <v>0</v>
      </c>
      <c r="AE318" s="52">
        <v>0</v>
      </c>
      <c r="AF318" s="52">
        <v>0</v>
      </c>
      <c r="AG318" s="52">
        <v>0</v>
      </c>
      <c r="AH318" s="52">
        <v>0</v>
      </c>
      <c r="AI318" s="52">
        <v>0</v>
      </c>
      <c r="AJ318" s="52">
        <v>0</v>
      </c>
      <c r="AK318" s="52">
        <v>0</v>
      </c>
      <c r="AL318" s="52">
        <v>0</v>
      </c>
      <c r="AM318" s="52">
        <v>0</v>
      </c>
      <c r="AN318" s="52">
        <v>0</v>
      </c>
      <c r="AO318" s="52">
        <v>0</v>
      </c>
      <c r="AP318" s="52">
        <v>0</v>
      </c>
      <c r="AQ318" s="52">
        <v>0</v>
      </c>
      <c r="AR318" s="52">
        <v>0</v>
      </c>
      <c r="AS318" s="52">
        <v>0</v>
      </c>
      <c r="AT318" s="52">
        <v>0</v>
      </c>
      <c r="AU318" s="52">
        <v>0</v>
      </c>
      <c r="AV318" s="52">
        <v>0</v>
      </c>
      <c r="AW318" s="52">
        <v>0</v>
      </c>
      <c r="AX318" s="52">
        <v>0</v>
      </c>
      <c r="AY318" s="52">
        <v>0</v>
      </c>
      <c r="AZ318" s="52">
        <v>0</v>
      </c>
      <c r="BA318" s="52">
        <v>0</v>
      </c>
      <c r="BB318" s="52">
        <v>0</v>
      </c>
      <c r="BC318" s="52">
        <v>0</v>
      </c>
      <c r="BD318" s="52">
        <v>0</v>
      </c>
      <c r="BE318" s="52">
        <v>0</v>
      </c>
      <c r="BF318" s="52">
        <v>0</v>
      </c>
      <c r="BG318" s="52">
        <v>0</v>
      </c>
      <c r="BH318" s="52">
        <v>0</v>
      </c>
      <c r="BI318" s="52">
        <v>0</v>
      </c>
      <c r="BJ318" s="52">
        <v>0</v>
      </c>
      <c r="BK318" s="52">
        <v>0</v>
      </c>
      <c r="BL318" s="52">
        <v>0</v>
      </c>
      <c r="BM318" s="52">
        <v>0</v>
      </c>
      <c r="BN318" s="52">
        <v>0</v>
      </c>
      <c r="BO318" s="52">
        <v>0</v>
      </c>
      <c r="BP318" s="52">
        <v>0</v>
      </c>
      <c r="BQ318" s="52">
        <v>0</v>
      </c>
      <c r="BR318" s="52">
        <v>0</v>
      </c>
      <c r="BS318" s="52">
        <v>0</v>
      </c>
      <c r="BT318" s="52">
        <v>0</v>
      </c>
      <c r="BU318" s="52">
        <v>0</v>
      </c>
      <c r="BV318" s="52">
        <v>0</v>
      </c>
      <c r="BW318" s="52">
        <v>0</v>
      </c>
      <c r="BX318" s="52">
        <v>0</v>
      </c>
      <c r="BY318" s="52">
        <v>0</v>
      </c>
      <c r="BZ318" s="52">
        <v>0</v>
      </c>
      <c r="CA318" s="52">
        <v>0</v>
      </c>
      <c r="CB318" s="52">
        <v>0</v>
      </c>
      <c r="CC318" s="52">
        <v>0</v>
      </c>
      <c r="CD318" s="52">
        <v>0</v>
      </c>
      <c r="CE318" s="52">
        <v>0</v>
      </c>
      <c r="CF318" s="52">
        <v>0</v>
      </c>
      <c r="CG318" s="52">
        <v>0</v>
      </c>
      <c r="CH318" s="52">
        <v>0</v>
      </c>
      <c r="CI318" s="52">
        <v>0</v>
      </c>
      <c r="CJ318" s="52">
        <v>0</v>
      </c>
      <c r="CK318" s="52">
        <v>0</v>
      </c>
      <c r="CL318" s="52">
        <v>0</v>
      </c>
      <c r="CM318" s="52">
        <v>0</v>
      </c>
      <c r="CN318" s="52">
        <v>0</v>
      </c>
      <c r="CO318" s="52">
        <v>0</v>
      </c>
      <c r="CP318" s="52">
        <v>0</v>
      </c>
      <c r="CQ318" s="52">
        <v>0</v>
      </c>
      <c r="CR318" s="52">
        <v>0</v>
      </c>
      <c r="CS318" s="52">
        <v>0</v>
      </c>
      <c r="CT318" s="52">
        <v>0</v>
      </c>
      <c r="CU318" s="52">
        <v>0</v>
      </c>
      <c r="CV318" s="430">
        <f t="shared" si="8"/>
        <v>0</v>
      </c>
    </row>
    <row r="319" spans="1:100">
      <c r="A319" s="540" t="str">
        <f t="shared" si="9"/>
        <v>6790707</v>
      </c>
      <c r="B319" s="541" t="s">
        <v>2125</v>
      </c>
      <c r="C319" s="463" t="s">
        <v>1207</v>
      </c>
      <c r="D319" s="428">
        <v>46911.48</v>
      </c>
      <c r="E319" s="428">
        <v>42131.61</v>
      </c>
      <c r="F319" s="428">
        <v>42369.05</v>
      </c>
      <c r="G319" s="428">
        <v>42340.29</v>
      </c>
      <c r="H319" s="428">
        <v>47866.87</v>
      </c>
      <c r="I319" s="428">
        <v>48024.85</v>
      </c>
      <c r="J319" s="428">
        <v>49219.97</v>
      </c>
      <c r="K319" s="428">
        <v>45012.99</v>
      </c>
      <c r="L319" s="428">
        <v>44769.41</v>
      </c>
      <c r="M319" s="428">
        <v>48967.06</v>
      </c>
      <c r="N319" s="428">
        <v>54440.79</v>
      </c>
      <c r="O319" s="429">
        <v>45207.91</v>
      </c>
      <c r="P319" s="52">
        <v>0</v>
      </c>
      <c r="Q319" s="52">
        <v>-6607.42</v>
      </c>
      <c r="R319" s="52">
        <v>0</v>
      </c>
      <c r="S319" s="52">
        <v>0</v>
      </c>
      <c r="T319" s="52">
        <v>0</v>
      </c>
      <c r="U319" s="52">
        <v>0</v>
      </c>
      <c r="V319" s="52">
        <v>0</v>
      </c>
      <c r="W319" s="52">
        <v>0</v>
      </c>
      <c r="X319" s="52">
        <v>0</v>
      </c>
      <c r="Y319" s="52">
        <v>0</v>
      </c>
      <c r="Z319" s="52">
        <v>0</v>
      </c>
      <c r="AA319" s="52">
        <v>0</v>
      </c>
      <c r="AB319" s="52">
        <v>0</v>
      </c>
      <c r="AC319" s="52">
        <v>0</v>
      </c>
      <c r="AD319" s="52">
        <v>0</v>
      </c>
      <c r="AE319" s="52">
        <v>0</v>
      </c>
      <c r="AF319" s="52">
        <v>0</v>
      </c>
      <c r="AG319" s="52">
        <v>0</v>
      </c>
      <c r="AH319" s="52">
        <v>0</v>
      </c>
      <c r="AI319" s="52">
        <v>0</v>
      </c>
      <c r="AJ319" s="52">
        <v>0</v>
      </c>
      <c r="AK319" s="52">
        <v>0</v>
      </c>
      <c r="AL319" s="52">
        <v>0</v>
      </c>
      <c r="AM319" s="52">
        <v>0</v>
      </c>
      <c r="AN319" s="52">
        <v>0</v>
      </c>
      <c r="AO319" s="52">
        <v>0</v>
      </c>
      <c r="AP319" s="52">
        <v>0</v>
      </c>
      <c r="AQ319" s="52">
        <v>0</v>
      </c>
      <c r="AR319" s="52">
        <v>0</v>
      </c>
      <c r="AS319" s="52">
        <v>0</v>
      </c>
      <c r="AT319" s="52">
        <v>0</v>
      </c>
      <c r="AU319" s="52">
        <v>0</v>
      </c>
      <c r="AV319" s="52">
        <v>0</v>
      </c>
      <c r="AW319" s="52">
        <v>0</v>
      </c>
      <c r="AX319" s="52">
        <v>0</v>
      </c>
      <c r="AY319" s="52">
        <v>0</v>
      </c>
      <c r="AZ319" s="52">
        <v>0</v>
      </c>
      <c r="BA319" s="52">
        <v>0</v>
      </c>
      <c r="BB319" s="52">
        <v>0</v>
      </c>
      <c r="BC319" s="52">
        <v>0</v>
      </c>
      <c r="BD319" s="52">
        <v>0</v>
      </c>
      <c r="BE319" s="52">
        <v>0</v>
      </c>
      <c r="BF319" s="52">
        <v>0</v>
      </c>
      <c r="BG319" s="52">
        <v>0</v>
      </c>
      <c r="BH319" s="52">
        <v>0</v>
      </c>
      <c r="BI319" s="52">
        <v>0</v>
      </c>
      <c r="BJ319" s="52">
        <v>0</v>
      </c>
      <c r="BK319" s="52">
        <v>0</v>
      </c>
      <c r="BL319" s="52">
        <v>0</v>
      </c>
      <c r="BM319" s="52">
        <v>0</v>
      </c>
      <c r="BN319" s="52">
        <v>0</v>
      </c>
      <c r="BO319" s="52">
        <v>0</v>
      </c>
      <c r="BP319" s="52">
        <v>0</v>
      </c>
      <c r="BQ319" s="52">
        <v>0</v>
      </c>
      <c r="BR319" s="52">
        <v>0</v>
      </c>
      <c r="BS319" s="52">
        <v>0</v>
      </c>
      <c r="BT319" s="52">
        <v>0</v>
      </c>
      <c r="BU319" s="52">
        <v>0</v>
      </c>
      <c r="BV319" s="52">
        <v>0</v>
      </c>
      <c r="BW319" s="52">
        <v>0</v>
      </c>
      <c r="BX319" s="52">
        <v>0</v>
      </c>
      <c r="BY319" s="52">
        <v>0</v>
      </c>
      <c r="BZ319" s="52">
        <v>0</v>
      </c>
      <c r="CA319" s="52">
        <v>0</v>
      </c>
      <c r="CB319" s="52">
        <v>0</v>
      </c>
      <c r="CC319" s="52">
        <v>0</v>
      </c>
      <c r="CD319" s="52">
        <v>0</v>
      </c>
      <c r="CE319" s="52">
        <v>0</v>
      </c>
      <c r="CF319" s="52">
        <v>0</v>
      </c>
      <c r="CG319" s="52">
        <v>0</v>
      </c>
      <c r="CH319" s="52">
        <v>0</v>
      </c>
      <c r="CI319" s="52">
        <v>0</v>
      </c>
      <c r="CJ319" s="52">
        <v>0</v>
      </c>
      <c r="CK319" s="52">
        <v>0</v>
      </c>
      <c r="CL319" s="52">
        <v>0</v>
      </c>
      <c r="CM319" s="52">
        <v>0</v>
      </c>
      <c r="CN319" s="52">
        <v>0</v>
      </c>
      <c r="CO319" s="52">
        <v>0</v>
      </c>
      <c r="CP319" s="52">
        <v>0</v>
      </c>
      <c r="CQ319" s="52">
        <v>0</v>
      </c>
      <c r="CR319" s="52">
        <v>0</v>
      </c>
      <c r="CS319" s="52">
        <v>0</v>
      </c>
      <c r="CT319" s="52">
        <v>0</v>
      </c>
      <c r="CU319" s="52">
        <v>0</v>
      </c>
      <c r="CV319" s="430">
        <f t="shared" si="8"/>
        <v>0</v>
      </c>
    </row>
    <row r="320" spans="1:100">
      <c r="A320" s="540" t="str">
        <f t="shared" si="9"/>
        <v>6790708</v>
      </c>
      <c r="B320" s="541" t="s">
        <v>2126</v>
      </c>
      <c r="C320" s="463" t="s">
        <v>1208</v>
      </c>
      <c r="D320" s="428">
        <v>345963.48</v>
      </c>
      <c r="E320" s="428">
        <v>369148.83</v>
      </c>
      <c r="F320" s="428">
        <v>430049.67</v>
      </c>
      <c r="G320" s="428">
        <v>378627.15</v>
      </c>
      <c r="H320" s="428">
        <v>378205.63</v>
      </c>
      <c r="I320" s="428">
        <v>389216.03</v>
      </c>
      <c r="J320" s="428">
        <v>344275.23</v>
      </c>
      <c r="K320" s="428">
        <v>323798.90000000002</v>
      </c>
      <c r="L320" s="428">
        <v>323257.27</v>
      </c>
      <c r="M320" s="428">
        <v>329364.77</v>
      </c>
      <c r="N320" s="428">
        <v>302912.05</v>
      </c>
      <c r="O320" s="429">
        <v>393352.48</v>
      </c>
      <c r="P320" s="52">
        <v>0</v>
      </c>
      <c r="Q320" s="52">
        <v>0</v>
      </c>
      <c r="R320" s="52">
        <v>0</v>
      </c>
      <c r="S320" s="52">
        <v>0</v>
      </c>
      <c r="T320" s="52">
        <v>0</v>
      </c>
      <c r="U320" s="52">
        <v>0</v>
      </c>
      <c r="V320" s="52">
        <v>0</v>
      </c>
      <c r="W320" s="52">
        <v>0</v>
      </c>
      <c r="X320" s="52">
        <v>0</v>
      </c>
      <c r="Y320" s="52">
        <v>0</v>
      </c>
      <c r="Z320" s="52">
        <v>0</v>
      </c>
      <c r="AA320" s="52">
        <v>0</v>
      </c>
      <c r="AB320" s="52">
        <v>0</v>
      </c>
      <c r="AC320" s="52">
        <v>0</v>
      </c>
      <c r="AD320" s="52">
        <v>0</v>
      </c>
      <c r="AE320" s="52">
        <v>0</v>
      </c>
      <c r="AF320" s="52">
        <v>0</v>
      </c>
      <c r="AG320" s="52">
        <v>0</v>
      </c>
      <c r="AH320" s="52">
        <v>0</v>
      </c>
      <c r="AI320" s="52">
        <v>0</v>
      </c>
      <c r="AJ320" s="52">
        <v>0</v>
      </c>
      <c r="AK320" s="52">
        <v>0</v>
      </c>
      <c r="AL320" s="52">
        <v>0</v>
      </c>
      <c r="AM320" s="52">
        <v>0</v>
      </c>
      <c r="AN320" s="52">
        <v>0</v>
      </c>
      <c r="AO320" s="52">
        <v>0</v>
      </c>
      <c r="AP320" s="52">
        <v>0</v>
      </c>
      <c r="AQ320" s="52">
        <v>0</v>
      </c>
      <c r="AR320" s="52">
        <v>0</v>
      </c>
      <c r="AS320" s="52">
        <v>0</v>
      </c>
      <c r="AT320" s="52">
        <v>0</v>
      </c>
      <c r="AU320" s="52">
        <v>0</v>
      </c>
      <c r="AV320" s="52">
        <v>0</v>
      </c>
      <c r="AW320" s="52">
        <v>0</v>
      </c>
      <c r="AX320" s="52">
        <v>0</v>
      </c>
      <c r="AY320" s="52">
        <v>0</v>
      </c>
      <c r="AZ320" s="52">
        <v>0</v>
      </c>
      <c r="BA320" s="52">
        <v>0</v>
      </c>
      <c r="BB320" s="52">
        <v>0</v>
      </c>
      <c r="BC320" s="52">
        <v>0</v>
      </c>
      <c r="BD320" s="52">
        <v>0</v>
      </c>
      <c r="BE320" s="52">
        <v>0</v>
      </c>
      <c r="BF320" s="52">
        <v>0</v>
      </c>
      <c r="BG320" s="52">
        <v>0</v>
      </c>
      <c r="BH320" s="52">
        <v>0</v>
      </c>
      <c r="BI320" s="52">
        <v>0</v>
      </c>
      <c r="BJ320" s="52">
        <v>0</v>
      </c>
      <c r="BK320" s="52">
        <v>0</v>
      </c>
      <c r="BL320" s="52">
        <v>0</v>
      </c>
      <c r="BM320" s="52">
        <v>0</v>
      </c>
      <c r="BN320" s="52">
        <v>0</v>
      </c>
      <c r="BO320" s="52">
        <v>0</v>
      </c>
      <c r="BP320" s="52">
        <v>0</v>
      </c>
      <c r="BQ320" s="52">
        <v>0</v>
      </c>
      <c r="BR320" s="52">
        <v>0</v>
      </c>
      <c r="BS320" s="52">
        <v>0</v>
      </c>
      <c r="BT320" s="52">
        <v>0</v>
      </c>
      <c r="BU320" s="52">
        <v>0</v>
      </c>
      <c r="BV320" s="52">
        <v>0</v>
      </c>
      <c r="BW320" s="52">
        <v>0</v>
      </c>
      <c r="BX320" s="52">
        <v>0</v>
      </c>
      <c r="BY320" s="52">
        <v>0</v>
      </c>
      <c r="BZ320" s="52">
        <v>0</v>
      </c>
      <c r="CA320" s="52">
        <v>0</v>
      </c>
      <c r="CB320" s="52">
        <v>0</v>
      </c>
      <c r="CC320" s="52">
        <v>0</v>
      </c>
      <c r="CD320" s="52">
        <v>0</v>
      </c>
      <c r="CE320" s="52">
        <v>0</v>
      </c>
      <c r="CF320" s="52">
        <v>0</v>
      </c>
      <c r="CG320" s="52">
        <v>0</v>
      </c>
      <c r="CH320" s="52">
        <v>0</v>
      </c>
      <c r="CI320" s="52">
        <v>0</v>
      </c>
      <c r="CJ320" s="52">
        <v>0</v>
      </c>
      <c r="CK320" s="52">
        <v>0</v>
      </c>
      <c r="CL320" s="52">
        <v>0</v>
      </c>
      <c r="CM320" s="52">
        <v>0</v>
      </c>
      <c r="CN320" s="52">
        <v>0</v>
      </c>
      <c r="CO320" s="52">
        <v>0</v>
      </c>
      <c r="CP320" s="52">
        <v>0</v>
      </c>
      <c r="CQ320" s="52">
        <v>0</v>
      </c>
      <c r="CR320" s="52">
        <v>0</v>
      </c>
      <c r="CS320" s="52">
        <v>0</v>
      </c>
      <c r="CT320" s="52">
        <v>0</v>
      </c>
      <c r="CU320" s="52">
        <v>0</v>
      </c>
      <c r="CV320" s="430">
        <f t="shared" si="8"/>
        <v>0</v>
      </c>
    </row>
    <row r="321" spans="1:100">
      <c r="A321" s="540" t="str">
        <f t="shared" si="9"/>
        <v>6790709</v>
      </c>
      <c r="B321" s="541" t="s">
        <v>2127</v>
      </c>
      <c r="C321" s="463" t="s">
        <v>1447</v>
      </c>
      <c r="D321" s="428"/>
      <c r="E321" s="428"/>
      <c r="F321" s="428"/>
      <c r="G321" s="428"/>
      <c r="H321" s="428"/>
      <c r="I321" s="428"/>
      <c r="J321" s="428"/>
      <c r="K321" s="428"/>
      <c r="L321" s="428"/>
      <c r="M321" s="428"/>
      <c r="N321" s="428"/>
      <c r="O321" s="429"/>
      <c r="P321" s="52"/>
      <c r="Q321" s="52"/>
      <c r="R321" s="52"/>
      <c r="S321" s="52"/>
      <c r="T321" s="52"/>
      <c r="U321" s="52"/>
      <c r="V321" s="52"/>
      <c r="W321" s="52"/>
      <c r="X321" s="52"/>
      <c r="Y321" s="52"/>
      <c r="Z321" s="52"/>
      <c r="AA321" s="52"/>
      <c r="AB321" s="52"/>
      <c r="AC321" s="52"/>
      <c r="AD321" s="52"/>
      <c r="AE321" s="52">
        <v>79010.740000000005</v>
      </c>
      <c r="AF321" s="52">
        <v>78145.039999999994</v>
      </c>
      <c r="AG321" s="52">
        <v>76402.16</v>
      </c>
      <c r="AH321" s="52">
        <v>76187.44</v>
      </c>
      <c r="AI321" s="52">
        <v>75925.789999999994</v>
      </c>
      <c r="AJ321" s="52">
        <v>-275458.92</v>
      </c>
      <c r="AK321" s="52">
        <v>38726.269999999997</v>
      </c>
      <c r="AL321" s="52">
        <v>38726.269999999997</v>
      </c>
      <c r="AM321" s="52">
        <v>40135.21</v>
      </c>
      <c r="AN321" s="52">
        <v>40751.74</v>
      </c>
      <c r="AO321" s="52">
        <v>41361.269999999997</v>
      </c>
      <c r="AP321" s="52">
        <v>199995.26</v>
      </c>
      <c r="AQ321" s="52">
        <v>215136.01</v>
      </c>
      <c r="AR321" s="52">
        <v>202716.59</v>
      </c>
      <c r="AS321" s="52">
        <v>207815.81</v>
      </c>
      <c r="AT321" s="52">
        <v>206609.86</v>
      </c>
      <c r="AU321" s="52">
        <v>206126.61</v>
      </c>
      <c r="AV321" s="52">
        <v>212787.74</v>
      </c>
      <c r="AW321" s="52">
        <v>207851.5</v>
      </c>
      <c r="AX321" s="52">
        <v>212826.64</v>
      </c>
      <c r="AY321" s="52">
        <v>212352.13</v>
      </c>
      <c r="AZ321" s="52">
        <v>214449.29</v>
      </c>
      <c r="BA321" s="52">
        <v>215883.06</v>
      </c>
      <c r="BB321" s="52">
        <v>219641.78</v>
      </c>
      <c r="BC321" s="52">
        <v>220316.19</v>
      </c>
      <c r="BD321" s="52">
        <v>220310.18</v>
      </c>
      <c r="BE321" s="52">
        <v>225391.99</v>
      </c>
      <c r="BF321" s="52">
        <v>225418.59</v>
      </c>
      <c r="BG321" s="52">
        <v>238526.09</v>
      </c>
      <c r="BH321" s="52">
        <v>259754.21</v>
      </c>
      <c r="BI321" s="52">
        <v>242074.23999999999</v>
      </c>
      <c r="BJ321" s="52">
        <v>244119</v>
      </c>
      <c r="BK321" s="52">
        <v>251684.56</v>
      </c>
      <c r="BL321" s="52">
        <v>257927.73</v>
      </c>
      <c r="BM321" s="52">
        <v>259419.22</v>
      </c>
      <c r="BN321" s="52">
        <v>260805.17</v>
      </c>
      <c r="BO321" s="52">
        <v>263581.13</v>
      </c>
      <c r="BP321" s="52">
        <v>261356.72</v>
      </c>
      <c r="BQ321" s="52">
        <v>263766.28000000003</v>
      </c>
      <c r="BR321" s="52">
        <v>278173</v>
      </c>
      <c r="BS321" s="52">
        <v>279215</v>
      </c>
      <c r="BT321" s="52">
        <v>280361</v>
      </c>
      <c r="BU321" s="52">
        <v>229185.23</v>
      </c>
      <c r="BV321" s="52">
        <v>267560.98</v>
      </c>
      <c r="BW321" s="52">
        <v>269325.39</v>
      </c>
      <c r="BX321" s="52">
        <v>278390.28999999998</v>
      </c>
      <c r="BY321" s="52">
        <v>286658.63</v>
      </c>
      <c r="BZ321" s="52">
        <v>286692.84999999998</v>
      </c>
      <c r="CA321" s="52">
        <v>286285.55</v>
      </c>
      <c r="CB321" s="52">
        <v>286266.92</v>
      </c>
      <c r="CC321" s="52">
        <v>286446.34000000003</v>
      </c>
      <c r="CD321" s="52">
        <v>286525.03000000003</v>
      </c>
      <c r="CE321" s="52">
        <v>248614.88</v>
      </c>
      <c r="CF321" s="52">
        <v>281305.59999999998</v>
      </c>
      <c r="CG321" s="52">
        <v>280145.01</v>
      </c>
      <c r="CH321" s="52">
        <v>281623.61</v>
      </c>
      <c r="CI321" s="52">
        <v>273275.63</v>
      </c>
      <c r="CJ321" s="52">
        <v>274027.87</v>
      </c>
      <c r="CK321" s="52">
        <v>292745.88</v>
      </c>
      <c r="CL321" s="52">
        <v>293699.89</v>
      </c>
      <c r="CM321" s="52">
        <v>292591.86</v>
      </c>
      <c r="CN321" s="52">
        <v>293940.82</v>
      </c>
      <c r="CO321" s="52">
        <v>293833.38</v>
      </c>
      <c r="CP321" s="52">
        <v>291163.21000000002</v>
      </c>
      <c r="CQ321" s="52">
        <v>292145.12</v>
      </c>
      <c r="CR321" s="52">
        <v>294204.26</v>
      </c>
      <c r="CS321" s="52">
        <v>-410757.68</v>
      </c>
      <c r="CT321" s="52">
        <v>268638.81</v>
      </c>
      <c r="CU321" s="52">
        <v>269878.27</v>
      </c>
      <c r="CV321" s="430">
        <f t="shared" si="8"/>
        <v>2746111.69</v>
      </c>
    </row>
    <row r="322" spans="1:100">
      <c r="A322" s="540" t="str">
        <f t="shared" si="9"/>
        <v>6790800</v>
      </c>
      <c r="B322" s="541" t="s">
        <v>2128</v>
      </c>
      <c r="C322" s="463" t="s">
        <v>1209</v>
      </c>
      <c r="D322" s="426">
        <v>20034.669999999998</v>
      </c>
      <c r="E322" s="426">
        <v>23400.5</v>
      </c>
      <c r="F322" s="426">
        <v>16972.689999999999</v>
      </c>
      <c r="G322" s="426">
        <v>37600.839999999997</v>
      </c>
      <c r="H322" s="426">
        <v>12689.84</v>
      </c>
      <c r="I322" s="426">
        <v>58387.91</v>
      </c>
      <c r="J322" s="426">
        <v>28277.85</v>
      </c>
      <c r="K322" s="426">
        <v>245616.5</v>
      </c>
      <c r="L322" s="426">
        <v>163305.16</v>
      </c>
      <c r="M322" s="426">
        <v>20955.02</v>
      </c>
      <c r="N322" s="426">
        <v>18296.63</v>
      </c>
      <c r="O322" s="427">
        <v>6016547.8600000003</v>
      </c>
      <c r="P322" s="52">
        <v>-5099.18</v>
      </c>
      <c r="Q322" s="52">
        <v>-50907.040000000001</v>
      </c>
      <c r="R322" s="52">
        <v>850636.39</v>
      </c>
      <c r="S322" s="52">
        <v>-1732623.13</v>
      </c>
      <c r="T322" s="52">
        <v>12321.94</v>
      </c>
      <c r="U322" s="52">
        <v>8509.7099999999991</v>
      </c>
      <c r="V322" s="52">
        <v>60807.61</v>
      </c>
      <c r="W322" s="52">
        <v>-473742.69</v>
      </c>
      <c r="X322" s="52">
        <v>61389.36</v>
      </c>
      <c r="Y322" s="52">
        <v>41658.83</v>
      </c>
      <c r="Z322" s="52">
        <v>-19305.330000000002</v>
      </c>
      <c r="AA322" s="52">
        <v>-28433.96</v>
      </c>
      <c r="AB322" s="52">
        <v>17983.61</v>
      </c>
      <c r="AC322" s="52">
        <v>24371.93</v>
      </c>
      <c r="AD322" s="52">
        <v>19081.54</v>
      </c>
      <c r="AE322" s="52">
        <v>14050.4</v>
      </c>
      <c r="AF322" s="52">
        <v>28387.29</v>
      </c>
      <c r="AG322" s="52">
        <v>136857.01999999999</v>
      </c>
      <c r="AH322" s="52">
        <v>-101066.99</v>
      </c>
      <c r="AI322" s="52">
        <v>17060.419999999998</v>
      </c>
      <c r="AJ322" s="52">
        <v>278009.21000000002</v>
      </c>
      <c r="AK322" s="52">
        <v>7776.83</v>
      </c>
      <c r="AL322" s="52">
        <v>-393691.19</v>
      </c>
      <c r="AM322" s="52">
        <v>583224.04</v>
      </c>
      <c r="AN322" s="52">
        <v>-345962.28</v>
      </c>
      <c r="AO322" s="52">
        <v>35448.26</v>
      </c>
      <c r="AP322" s="52">
        <v>-1438.77</v>
      </c>
      <c r="AQ322" s="52">
        <v>28349.84</v>
      </c>
      <c r="AR322" s="52">
        <v>50440.99</v>
      </c>
      <c r="AS322" s="52">
        <v>-1305418.83</v>
      </c>
      <c r="AT322" s="52">
        <v>-1535445.11</v>
      </c>
      <c r="AU322" s="52">
        <v>-253165.54</v>
      </c>
      <c r="AV322" s="52">
        <v>-385668.07</v>
      </c>
      <c r="AW322" s="52">
        <v>57600.11</v>
      </c>
      <c r="AX322" s="52">
        <v>-11448.41</v>
      </c>
      <c r="AY322" s="52">
        <v>-556531.87</v>
      </c>
      <c r="AZ322" s="52">
        <v>-151880.15</v>
      </c>
      <c r="BA322" s="52">
        <v>12749.1</v>
      </c>
      <c r="BB322" s="52">
        <v>17501.77</v>
      </c>
      <c r="BC322" s="52">
        <v>105674.5</v>
      </c>
      <c r="BD322" s="52">
        <v>228516.39</v>
      </c>
      <c r="BE322" s="52">
        <v>24391.34</v>
      </c>
      <c r="BF322" s="52">
        <v>-502024.23</v>
      </c>
      <c r="BG322" s="52">
        <v>160816.5</v>
      </c>
      <c r="BH322" s="52">
        <v>-231410.74</v>
      </c>
      <c r="BI322" s="52">
        <v>-54689.4</v>
      </c>
      <c r="BJ322" s="52">
        <v>1129599.29</v>
      </c>
      <c r="BK322" s="52">
        <v>-571469.12</v>
      </c>
      <c r="BL322" s="52">
        <v>69347.59</v>
      </c>
      <c r="BM322" s="52">
        <v>-36181.1</v>
      </c>
      <c r="BN322" s="52">
        <v>16991.09</v>
      </c>
      <c r="BO322" s="52">
        <v>30936.18</v>
      </c>
      <c r="BP322" s="52">
        <v>3371052.29</v>
      </c>
      <c r="BQ322" s="52">
        <v>59711.49</v>
      </c>
      <c r="BR322" s="52">
        <v>1947214.49</v>
      </c>
      <c r="BS322" s="52">
        <v>-188001.06</v>
      </c>
      <c r="BT322" s="52">
        <v>6282124.1699999999</v>
      </c>
      <c r="BU322" s="52">
        <v>468487.81</v>
      </c>
      <c r="BV322" s="52">
        <v>838344.13</v>
      </c>
      <c r="BW322" s="52">
        <v>443032.21</v>
      </c>
      <c r="BX322" s="52">
        <v>-3625549.5</v>
      </c>
      <c r="BY322" s="52">
        <v>8161156.46</v>
      </c>
      <c r="BZ322" s="52">
        <v>-134025.31</v>
      </c>
      <c r="CA322" s="52">
        <v>829247.68</v>
      </c>
      <c r="CB322" s="52">
        <v>337833.71</v>
      </c>
      <c r="CC322" s="52">
        <v>5110198.04</v>
      </c>
      <c r="CD322" s="52">
        <v>3242869.27</v>
      </c>
      <c r="CE322" s="52">
        <v>9339663.3300000001</v>
      </c>
      <c r="CF322" s="52">
        <v>143793.91</v>
      </c>
      <c r="CG322" s="52">
        <v>564652.39</v>
      </c>
      <c r="CH322" s="52">
        <v>81693.55</v>
      </c>
      <c r="CI322" s="52">
        <v>814710.33</v>
      </c>
      <c r="CJ322" s="52">
        <v>161947.85999999999</v>
      </c>
      <c r="CK322" s="52">
        <v>215831.13</v>
      </c>
      <c r="CL322" s="52">
        <v>177107.3</v>
      </c>
      <c r="CM322" s="52">
        <v>175607.03</v>
      </c>
      <c r="CN322" s="52">
        <v>686502.75</v>
      </c>
      <c r="CO322" s="52">
        <v>370375.36</v>
      </c>
      <c r="CP322" s="52">
        <v>181436.45</v>
      </c>
      <c r="CQ322" s="52">
        <v>169785.14</v>
      </c>
      <c r="CR322" s="52">
        <v>-1450568.34</v>
      </c>
      <c r="CS322" s="52">
        <v>165964.97</v>
      </c>
      <c r="CT322" s="52">
        <v>181189.52</v>
      </c>
      <c r="CU322" s="52">
        <v>-729807.26</v>
      </c>
      <c r="CV322" s="430">
        <f t="shared" si="8"/>
        <v>305371.90999999992</v>
      </c>
    </row>
    <row r="323" spans="1:100">
      <c r="A323" s="540" t="str">
        <f t="shared" si="9"/>
        <v>6790801</v>
      </c>
      <c r="B323" s="541" t="s">
        <v>2129</v>
      </c>
      <c r="C323" s="463" t="s">
        <v>1448</v>
      </c>
      <c r="D323" s="426"/>
      <c r="E323" s="426"/>
      <c r="F323" s="426"/>
      <c r="G323" s="426"/>
      <c r="H323" s="426"/>
      <c r="I323" s="426"/>
      <c r="J323" s="426"/>
      <c r="K323" s="426"/>
      <c r="L323" s="426"/>
      <c r="M323" s="426"/>
      <c r="N323" s="426"/>
      <c r="O323" s="427"/>
      <c r="P323" s="52"/>
      <c r="Q323" s="52"/>
      <c r="R323" s="52"/>
      <c r="S323" s="52"/>
      <c r="T323" s="52"/>
      <c r="U323" s="52"/>
      <c r="V323" s="52"/>
      <c r="W323" s="52"/>
      <c r="X323" s="52"/>
      <c r="Y323" s="52"/>
      <c r="Z323" s="52"/>
      <c r="AA323" s="52"/>
      <c r="AB323" s="52"/>
      <c r="AC323" s="52"/>
      <c r="AD323" s="52"/>
      <c r="AE323" s="52">
        <v>0</v>
      </c>
      <c r="AF323" s="52">
        <v>0</v>
      </c>
      <c r="AG323" s="525">
        <v>-65059</v>
      </c>
      <c r="AH323" s="525">
        <v>-21686</v>
      </c>
      <c r="AI323" s="525">
        <v>-21686</v>
      </c>
      <c r="AJ323" s="525">
        <v>-21686</v>
      </c>
      <c r="AK323" s="525">
        <v>-21687</v>
      </c>
      <c r="AL323" s="525">
        <v>-36838</v>
      </c>
      <c r="AM323" s="525">
        <v>-29262</v>
      </c>
      <c r="AN323" s="525">
        <v>-29262</v>
      </c>
      <c r="AO323" s="525">
        <v>-29262</v>
      </c>
      <c r="AP323" s="525">
        <v>-29262</v>
      </c>
      <c r="AQ323" s="525">
        <v>-59215</v>
      </c>
      <c r="AR323" s="525">
        <v>-59215</v>
      </c>
      <c r="AS323" s="525">
        <v>-59215</v>
      </c>
      <c r="AT323" s="525">
        <v>-59215</v>
      </c>
      <c r="AU323" s="525">
        <v>-59215</v>
      </c>
      <c r="AV323" s="525">
        <v>-59215</v>
      </c>
      <c r="AW323" s="525">
        <v>-69679</v>
      </c>
      <c r="AX323" s="525">
        <v>-69679</v>
      </c>
      <c r="AY323" s="525">
        <v>-69679</v>
      </c>
      <c r="AZ323" s="525">
        <v>-69679</v>
      </c>
      <c r="BA323" s="525">
        <v>-69679</v>
      </c>
      <c r="BB323" s="525">
        <v>-69679</v>
      </c>
      <c r="BC323" s="525">
        <v>-69679</v>
      </c>
      <c r="BD323" s="525">
        <v>-69679</v>
      </c>
      <c r="BE323" s="525">
        <v>-69679</v>
      </c>
      <c r="BF323" s="525">
        <v>-69679</v>
      </c>
      <c r="BG323" s="525">
        <v>-69679</v>
      </c>
      <c r="BH323" s="525">
        <v>-69679</v>
      </c>
      <c r="BI323" s="525">
        <v>-69679</v>
      </c>
      <c r="BJ323" s="525">
        <v>-69679</v>
      </c>
      <c r="BK323" s="525">
        <v>-69679</v>
      </c>
      <c r="BL323" s="525">
        <v>-69679</v>
      </c>
      <c r="BM323" s="525">
        <v>-69679</v>
      </c>
      <c r="BN323" s="525">
        <v>-69679</v>
      </c>
      <c r="BO323" s="525">
        <v>-69679</v>
      </c>
      <c r="BP323" s="525">
        <v>-69679</v>
      </c>
      <c r="BQ323" s="525">
        <v>-69679</v>
      </c>
      <c r="BR323" s="525">
        <v>-69679</v>
      </c>
      <c r="BS323" s="525">
        <v>-69679</v>
      </c>
      <c r="BT323" s="525">
        <v>-69679</v>
      </c>
      <c r="BU323" s="525">
        <v>-69678</v>
      </c>
      <c r="BV323" s="525">
        <v>-69678</v>
      </c>
      <c r="BW323" s="525">
        <v>-69678</v>
      </c>
      <c r="BX323" s="525">
        <v>-69678</v>
      </c>
      <c r="BY323" s="525">
        <v>-69679</v>
      </c>
      <c r="BZ323" s="525">
        <v>-69679</v>
      </c>
      <c r="CA323" s="525">
        <v>-61412</v>
      </c>
      <c r="CB323" s="525">
        <v>-61412</v>
      </c>
      <c r="CC323" s="525">
        <v>-61412</v>
      </c>
      <c r="CD323" s="525">
        <v>-61412</v>
      </c>
      <c r="CE323" s="525">
        <v>-61412</v>
      </c>
      <c r="CF323" s="525">
        <v>-61412</v>
      </c>
      <c r="CG323" s="525">
        <v>-58524</v>
      </c>
      <c r="CH323" s="525">
        <v>-58524</v>
      </c>
      <c r="CI323" s="525">
        <v>-58524</v>
      </c>
      <c r="CJ323" s="525">
        <v>-58524</v>
      </c>
      <c r="CK323" s="525">
        <v>-58524</v>
      </c>
      <c r="CL323" s="525">
        <v>-58525</v>
      </c>
      <c r="CM323" s="525">
        <v>-58525</v>
      </c>
      <c r="CN323" s="525">
        <v>-58525</v>
      </c>
      <c r="CO323" s="525">
        <v>-58525</v>
      </c>
      <c r="CP323" s="525">
        <v>-58525</v>
      </c>
      <c r="CQ323" s="525">
        <v>-58525</v>
      </c>
      <c r="CR323" s="525">
        <v>-58525</v>
      </c>
      <c r="CS323" s="525">
        <v>-58525</v>
      </c>
      <c r="CT323" s="525">
        <v>-58525</v>
      </c>
      <c r="CU323" s="525">
        <v>-58525</v>
      </c>
      <c r="CV323" s="430">
        <f t="shared" si="8"/>
        <v>-702298</v>
      </c>
    </row>
    <row r="324" spans="1:100">
      <c r="A324" s="540" t="str">
        <f>+B324</f>
        <v>6791000</v>
      </c>
      <c r="B324" s="541" t="s">
        <v>2510</v>
      </c>
      <c r="C324" s="463" t="s">
        <v>2511</v>
      </c>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v>526.23</v>
      </c>
      <c r="CD324" s="52">
        <v>-567.46</v>
      </c>
      <c r="CE324" s="52">
        <v>0</v>
      </c>
      <c r="CF324" s="52">
        <v>0</v>
      </c>
      <c r="CG324" s="52">
        <v>0</v>
      </c>
      <c r="CH324" s="52">
        <v>0</v>
      </c>
      <c r="CI324" s="52">
        <v>0</v>
      </c>
      <c r="CJ324" s="52">
        <v>34179.129999999997</v>
      </c>
      <c r="CK324" s="52">
        <v>35838.28</v>
      </c>
      <c r="CL324" s="52">
        <v>35012.35</v>
      </c>
      <c r="CM324" s="52">
        <v>35009.919999999998</v>
      </c>
      <c r="CN324" s="52">
        <v>36408.83</v>
      </c>
      <c r="CO324" s="52">
        <v>35289.699999999997</v>
      </c>
      <c r="CP324" s="52">
        <v>35289.699999999997</v>
      </c>
      <c r="CQ324" s="52">
        <v>35289.699999999997</v>
      </c>
      <c r="CR324" s="52">
        <v>35289.699999999997</v>
      </c>
      <c r="CS324" s="52">
        <v>35289.699999999997</v>
      </c>
      <c r="CT324" s="52">
        <v>35289.699999999997</v>
      </c>
      <c r="CU324" s="52">
        <v>35289.699999999997</v>
      </c>
      <c r="CV324" s="430">
        <f t="shared" si="8"/>
        <v>423476.41000000009</v>
      </c>
    </row>
    <row r="325" spans="1:100">
      <c r="A325" s="540" t="str">
        <f t="shared" si="9"/>
        <v>6798999</v>
      </c>
      <c r="B325" s="541" t="s">
        <v>2130</v>
      </c>
      <c r="C325" s="463" t="s">
        <v>1210</v>
      </c>
      <c r="D325" s="426">
        <v>15.4</v>
      </c>
      <c r="E325" s="426">
        <v>0</v>
      </c>
      <c r="F325" s="426">
        <v>-91090.559999999998</v>
      </c>
      <c r="G325" s="426">
        <v>-344699.84</v>
      </c>
      <c r="H325" s="426">
        <v>-38511.11</v>
      </c>
      <c r="I325" s="426">
        <v>-275235.74</v>
      </c>
      <c r="J325" s="426">
        <v>-703003.47</v>
      </c>
      <c r="K325" s="426">
        <v>-457434.98</v>
      </c>
      <c r="L325" s="426">
        <v>-139822.26</v>
      </c>
      <c r="M325" s="426">
        <v>-73593.8</v>
      </c>
      <c r="N325" s="426">
        <v>14713.87</v>
      </c>
      <c r="O325" s="427">
        <v>-130772.29</v>
      </c>
      <c r="P325" s="52">
        <v>-164659.79999999999</v>
      </c>
      <c r="Q325" s="52">
        <v>-116252.61</v>
      </c>
      <c r="R325" s="52">
        <v>-298091.69</v>
      </c>
      <c r="S325" s="52">
        <v>-91059.8</v>
      </c>
      <c r="T325" s="52">
        <v>-100075.5</v>
      </c>
      <c r="U325" s="52">
        <v>-40929.519999999997</v>
      </c>
      <c r="V325" s="52">
        <v>-37018.07</v>
      </c>
      <c r="W325" s="52">
        <v>-14455.56</v>
      </c>
      <c r="X325" s="52">
        <v>-11968.17</v>
      </c>
      <c r="Y325" s="52">
        <v>-20134.13</v>
      </c>
      <c r="Z325" s="52">
        <v>-368.92</v>
      </c>
      <c r="AA325" s="52">
        <v>912091.47</v>
      </c>
      <c r="AB325" s="52">
        <v>-13228.33</v>
      </c>
      <c r="AC325" s="52">
        <v>0</v>
      </c>
      <c r="AD325" s="485">
        <v>1000000</v>
      </c>
      <c r="AE325" s="52">
        <v>0</v>
      </c>
      <c r="AF325" s="52">
        <v>0</v>
      </c>
      <c r="AG325" s="52">
        <v>60892.23</v>
      </c>
      <c r="AH325" s="52">
        <v>0</v>
      </c>
      <c r="AI325" s="52">
        <v>5211.57</v>
      </c>
      <c r="AJ325" s="52">
        <v>0</v>
      </c>
      <c r="AK325" s="52">
        <v>0</v>
      </c>
      <c r="AL325" s="52">
        <v>0</v>
      </c>
      <c r="AM325" s="52">
        <v>-106937.09</v>
      </c>
      <c r="AN325" s="52">
        <v>0</v>
      </c>
      <c r="AO325" s="52">
        <v>-553692.48</v>
      </c>
      <c r="AP325" s="52">
        <v>0</v>
      </c>
      <c r="AQ325" s="52">
        <v>0</v>
      </c>
      <c r="AR325" s="52">
        <v>0</v>
      </c>
      <c r="AS325" s="52">
        <v>0</v>
      </c>
      <c r="AT325" s="52">
        <v>0</v>
      </c>
      <c r="AU325" s="52">
        <v>1055.48</v>
      </c>
      <c r="AV325" s="52">
        <v>0</v>
      </c>
      <c r="AW325" s="52">
        <v>0</v>
      </c>
      <c r="AX325" s="52">
        <v>0</v>
      </c>
      <c r="AY325" s="52">
        <v>12500</v>
      </c>
      <c r="AZ325" s="52">
        <v>0</v>
      </c>
      <c r="BA325" s="52">
        <v>-2005.14</v>
      </c>
      <c r="BB325" s="52">
        <v>0</v>
      </c>
      <c r="BC325" s="52">
        <v>114.61</v>
      </c>
      <c r="BD325" s="52">
        <v>0</v>
      </c>
      <c r="BE325" s="52">
        <v>0</v>
      </c>
      <c r="BF325" s="52">
        <v>0</v>
      </c>
      <c r="BG325" s="52">
        <v>0</v>
      </c>
      <c r="BH325" s="52">
        <v>0</v>
      </c>
      <c r="BI325" s="52">
        <v>31829.45</v>
      </c>
      <c r="BJ325" s="52">
        <v>145000</v>
      </c>
      <c r="BK325" s="52">
        <v>-467536.86</v>
      </c>
      <c r="BL325" s="52">
        <v>0</v>
      </c>
      <c r="BM325" s="52">
        <v>-481.09</v>
      </c>
      <c r="BN325" s="52">
        <v>905.83</v>
      </c>
      <c r="BO325" s="52">
        <v>487.61</v>
      </c>
      <c r="BP325" s="52">
        <v>1653.6</v>
      </c>
      <c r="BQ325" s="52">
        <v>1606.72</v>
      </c>
      <c r="BR325" s="52">
        <v>1252.3699999999999</v>
      </c>
      <c r="BS325" s="52">
        <v>1252.32</v>
      </c>
      <c r="BT325" s="52">
        <v>2837.46</v>
      </c>
      <c r="BU325" s="52">
        <v>622.79</v>
      </c>
      <c r="BV325" s="52">
        <v>47.92</v>
      </c>
      <c r="BW325" s="52">
        <v>-28545.26</v>
      </c>
      <c r="BX325" s="52">
        <v>0</v>
      </c>
      <c r="BY325" s="52">
        <v>47.92</v>
      </c>
      <c r="BZ325" s="52">
        <v>66.31</v>
      </c>
      <c r="CA325" s="52">
        <v>0</v>
      </c>
      <c r="CB325" s="52">
        <v>-44760.2</v>
      </c>
      <c r="CC325" s="52">
        <v>500</v>
      </c>
      <c r="CD325" s="52">
        <v>0</v>
      </c>
      <c r="CE325" s="52">
        <v>0</v>
      </c>
      <c r="CF325" s="52">
        <v>-592817.74</v>
      </c>
      <c r="CG325" s="52">
        <v>594014.88</v>
      </c>
      <c r="CH325" s="52">
        <v>769.11</v>
      </c>
      <c r="CI325" s="52">
        <v>402.24</v>
      </c>
      <c r="CJ325" s="52">
        <v>-26342.77</v>
      </c>
      <c r="CK325" s="52">
        <v>0</v>
      </c>
      <c r="CL325" s="52">
        <v>-4947</v>
      </c>
      <c r="CM325" s="52">
        <v>0</v>
      </c>
      <c r="CN325" s="52">
        <v>0</v>
      </c>
      <c r="CO325" s="52">
        <v>0</v>
      </c>
      <c r="CP325" s="52">
        <v>-582</v>
      </c>
      <c r="CQ325" s="52">
        <v>0</v>
      </c>
      <c r="CR325" s="52">
        <v>0</v>
      </c>
      <c r="CS325" s="52">
        <v>0</v>
      </c>
      <c r="CT325" s="52">
        <v>0</v>
      </c>
      <c r="CU325" s="52">
        <v>49626.080000000002</v>
      </c>
      <c r="CV325" s="430">
        <f t="shared" si="8"/>
        <v>17754.310000000001</v>
      </c>
    </row>
    <row r="326" spans="1:100">
      <c r="A326" s="540" t="str">
        <f t="shared" si="9"/>
        <v>6799000</v>
      </c>
      <c r="B326" s="541" t="s">
        <v>2131</v>
      </c>
      <c r="C326" s="463" t="s">
        <v>1211</v>
      </c>
      <c r="D326" s="428">
        <v>-458487.5</v>
      </c>
      <c r="E326" s="428">
        <v>-420646.25</v>
      </c>
      <c r="F326" s="428">
        <v>-434815.81</v>
      </c>
      <c r="G326" s="428">
        <v>-83274.3</v>
      </c>
      <c r="H326" s="428">
        <v>-554344.04</v>
      </c>
      <c r="I326" s="428">
        <v>-511133.25</v>
      </c>
      <c r="J326" s="428">
        <v>157063.54</v>
      </c>
      <c r="K326" s="428">
        <v>-484746.42</v>
      </c>
      <c r="L326" s="428">
        <v>-447144.2</v>
      </c>
      <c r="M326" s="428">
        <v>-160223.04000000001</v>
      </c>
      <c r="N326" s="428">
        <v>-565955.02</v>
      </c>
      <c r="O326" s="429">
        <v>-6328072.8200000003</v>
      </c>
      <c r="P326" s="52">
        <v>-290140.96000000002</v>
      </c>
      <c r="Q326" s="52">
        <v>-278630.94</v>
      </c>
      <c r="R326" s="52">
        <v>-937427.5</v>
      </c>
      <c r="S326" s="52">
        <v>1420608.84</v>
      </c>
      <c r="T326" s="52">
        <v>-296291.63</v>
      </c>
      <c r="U326" s="52">
        <v>-397884.77</v>
      </c>
      <c r="V326" s="52">
        <v>-446677.29</v>
      </c>
      <c r="W326" s="52">
        <v>99324.88</v>
      </c>
      <c r="X326" s="52">
        <v>-439022.03</v>
      </c>
      <c r="Y326" s="52">
        <v>-374258.68</v>
      </c>
      <c r="Z326" s="52">
        <v>-393835.64</v>
      </c>
      <c r="AA326" s="52">
        <v>-443960.37</v>
      </c>
      <c r="AB326" s="52">
        <v>-565381.59</v>
      </c>
      <c r="AC326" s="52">
        <v>-435359.54</v>
      </c>
      <c r="AD326" s="52">
        <v>-453175.32</v>
      </c>
      <c r="AE326" s="52">
        <v>-438793.91</v>
      </c>
      <c r="AF326" s="52">
        <v>-432260.9</v>
      </c>
      <c r="AG326" s="52">
        <v>-434459.32</v>
      </c>
      <c r="AH326" s="52">
        <v>-403168.4</v>
      </c>
      <c r="AI326" s="52">
        <v>-419284.05</v>
      </c>
      <c r="AJ326" s="52">
        <v>-902860.1</v>
      </c>
      <c r="AK326" s="52">
        <v>-539206.78</v>
      </c>
      <c r="AL326" s="52">
        <v>-22636.11</v>
      </c>
      <c r="AM326" s="52">
        <v>-1149424.26</v>
      </c>
      <c r="AN326" s="52">
        <v>-13832.16</v>
      </c>
      <c r="AO326" s="52">
        <v>140541.43</v>
      </c>
      <c r="AP326" s="52">
        <v>-439915.72</v>
      </c>
      <c r="AQ326" s="52">
        <v>-437692.47</v>
      </c>
      <c r="AR326" s="52">
        <v>-484019.47</v>
      </c>
      <c r="AS326" s="52">
        <v>865487.95</v>
      </c>
      <c r="AT326" s="52">
        <v>987938.81</v>
      </c>
      <c r="AU326" s="52">
        <v>-318951.8</v>
      </c>
      <c r="AV326" s="52">
        <v>-172226.74</v>
      </c>
      <c r="AW326" s="52">
        <v>-657547.82999999996</v>
      </c>
      <c r="AX326" s="52">
        <v>-543119.84</v>
      </c>
      <c r="AY326" s="52">
        <v>-138212.24</v>
      </c>
      <c r="AZ326" s="52">
        <v>-397910.97</v>
      </c>
      <c r="BA326" s="52">
        <v>-630015.62</v>
      </c>
      <c r="BB326" s="52">
        <v>-587253.91</v>
      </c>
      <c r="BC326" s="52">
        <v>-661220.4</v>
      </c>
      <c r="BD326" s="52">
        <v>-651511.57999999996</v>
      </c>
      <c r="BE326" s="52">
        <v>-631772.69999999995</v>
      </c>
      <c r="BF326" s="52">
        <v>-43712.45</v>
      </c>
      <c r="BG326" s="52">
        <v>-626577.53</v>
      </c>
      <c r="BH326" s="52">
        <v>-402632.04</v>
      </c>
      <c r="BI326" s="52">
        <v>-478340.84</v>
      </c>
      <c r="BJ326" s="52">
        <v>-1798919.32</v>
      </c>
      <c r="BK326" s="52">
        <v>39200.379999999997</v>
      </c>
      <c r="BL326" s="52">
        <v>-553319.73</v>
      </c>
      <c r="BM326" s="52">
        <v>-569231.65</v>
      </c>
      <c r="BN326" s="52">
        <v>-1216936.24</v>
      </c>
      <c r="BO326" s="52">
        <v>-769947.79</v>
      </c>
      <c r="BP326" s="52">
        <v>-4217632.82</v>
      </c>
      <c r="BQ326" s="52">
        <v>-880287.08</v>
      </c>
      <c r="BR326" s="52">
        <v>-2728349.95</v>
      </c>
      <c r="BS326" s="52">
        <v>-656685.93000000005</v>
      </c>
      <c r="BT326" s="52">
        <v>-7184027.3200000003</v>
      </c>
      <c r="BU326" s="52">
        <v>-1291999.22</v>
      </c>
      <c r="BV326" s="52">
        <v>-1567651.24</v>
      </c>
      <c r="BW326" s="52">
        <v>-1430576.57</v>
      </c>
      <c r="BX326" s="52">
        <v>2867467.28</v>
      </c>
      <c r="BY326" s="52">
        <v>-8774101.5199999996</v>
      </c>
      <c r="BZ326" s="52">
        <v>-644123.81000000006</v>
      </c>
      <c r="CA326" s="52">
        <v>-1582491.19</v>
      </c>
      <c r="CB326" s="52">
        <v>-1124996.6000000001</v>
      </c>
      <c r="CC326" s="52">
        <v>-5843841.7999999998</v>
      </c>
      <c r="CD326" s="52">
        <v>-4222087.72</v>
      </c>
      <c r="CE326" s="52">
        <v>-10144570.560000001</v>
      </c>
      <c r="CF326" s="52">
        <v>-1019938.61</v>
      </c>
      <c r="CG326" s="52">
        <v>-1477051.33</v>
      </c>
      <c r="CH326" s="52">
        <v>-957784.59</v>
      </c>
      <c r="CI326" s="52">
        <v>-1164167.01</v>
      </c>
      <c r="CJ326" s="52">
        <v>-772983.06</v>
      </c>
      <c r="CK326" s="52">
        <v>-1223484.8899999999</v>
      </c>
      <c r="CL326" s="52">
        <v>-881067.56</v>
      </c>
      <c r="CM326" s="52">
        <v>-871463.29</v>
      </c>
      <c r="CN326" s="52">
        <v>-1391844.08</v>
      </c>
      <c r="CO326" s="52">
        <v>-987263.79</v>
      </c>
      <c r="CP326" s="52">
        <v>-859307.72</v>
      </c>
      <c r="CQ326" s="52">
        <v>-862984.16</v>
      </c>
      <c r="CR326" s="52">
        <v>504477.53</v>
      </c>
      <c r="CS326" s="52">
        <v>-854471.77</v>
      </c>
      <c r="CT326" s="52">
        <v>-1812683.92</v>
      </c>
      <c r="CU326" s="52">
        <v>-58329.59</v>
      </c>
      <c r="CV326" s="430">
        <f t="shared" ref="CV326:CV389" si="10">SUM(CJ326:CU326)</f>
        <v>-10071406.299999999</v>
      </c>
    </row>
    <row r="327" spans="1:100">
      <c r="A327" s="540" t="str">
        <f t="shared" si="9"/>
        <v>6799105</v>
      </c>
      <c r="B327" s="541" t="s">
        <v>2132</v>
      </c>
      <c r="C327" s="463" t="s">
        <v>1212</v>
      </c>
      <c r="D327" s="426">
        <v>-93099.48</v>
      </c>
      <c r="E327" s="426">
        <v>-86697.15</v>
      </c>
      <c r="F327" s="426">
        <v>-89549.77</v>
      </c>
      <c r="G327" s="426">
        <v>-81877.279999999999</v>
      </c>
      <c r="H327" s="426">
        <v>-95010.46</v>
      </c>
      <c r="I327" s="426">
        <v>-94123.35</v>
      </c>
      <c r="J327" s="426">
        <v>-90303.84</v>
      </c>
      <c r="K327" s="426">
        <v>-101806.5</v>
      </c>
      <c r="L327" s="426">
        <v>-99852.32</v>
      </c>
      <c r="M327" s="426">
        <v>-102109.15</v>
      </c>
      <c r="N327" s="426">
        <v>-104857.76</v>
      </c>
      <c r="O327" s="427">
        <v>-100830.53</v>
      </c>
      <c r="P327" s="52">
        <v>-73915.520000000004</v>
      </c>
      <c r="Q327" s="52">
        <v>-70886.559999999998</v>
      </c>
      <c r="R327" s="52">
        <v>-74762.539999999994</v>
      </c>
      <c r="S327" s="52">
        <v>-79305.210000000006</v>
      </c>
      <c r="T327" s="52">
        <v>-86804.7</v>
      </c>
      <c r="U327" s="52">
        <v>-86916.88</v>
      </c>
      <c r="V327" s="52">
        <v>-82359.520000000004</v>
      </c>
      <c r="W327" s="52">
        <v>-78171.78</v>
      </c>
      <c r="X327" s="52">
        <v>-75433.259999999995</v>
      </c>
      <c r="Y327" s="52">
        <v>-66544.679999999993</v>
      </c>
      <c r="Z327" s="52">
        <v>-103763.11</v>
      </c>
      <c r="AA327" s="52">
        <v>-104546.86</v>
      </c>
      <c r="AB327" s="52">
        <v>-73401.539999999994</v>
      </c>
      <c r="AC327" s="52">
        <v>-105318.08</v>
      </c>
      <c r="AD327" s="52">
        <v>-109976.79</v>
      </c>
      <c r="AE327" s="52">
        <v>-114235.31</v>
      </c>
      <c r="AF327" s="52">
        <v>-106843.64</v>
      </c>
      <c r="AG327" s="52">
        <v>-129898.87</v>
      </c>
      <c r="AH327" s="52">
        <v>-92375.32</v>
      </c>
      <c r="AI327" s="52">
        <v>-140813.76999999999</v>
      </c>
      <c r="AJ327" s="52">
        <v>-104255.26</v>
      </c>
      <c r="AK327" s="52">
        <v>-108122.77</v>
      </c>
      <c r="AL327" s="52">
        <v>-117340.27</v>
      </c>
      <c r="AM327" s="52">
        <v>-152442.82</v>
      </c>
      <c r="AN327" s="52">
        <v>-53335.29</v>
      </c>
      <c r="AO327" s="52">
        <v>-64896</v>
      </c>
      <c r="AP327" s="52">
        <v>-251247</v>
      </c>
      <c r="AQ327" s="52">
        <v>-128804.96</v>
      </c>
      <c r="AR327" s="52">
        <v>-125329.37</v>
      </c>
      <c r="AS327" s="52">
        <v>-136421.04</v>
      </c>
      <c r="AT327" s="52">
        <v>-123907.31</v>
      </c>
      <c r="AU327" s="52">
        <v>-135357.22</v>
      </c>
      <c r="AV327" s="52">
        <v>-137457.5</v>
      </c>
      <c r="AW327" s="52">
        <v>-134578.29</v>
      </c>
      <c r="AX327" s="52">
        <v>-142395.46</v>
      </c>
      <c r="AY327" s="52">
        <v>-142462.5</v>
      </c>
      <c r="AZ327" s="52">
        <v>-122680.34</v>
      </c>
      <c r="BA327" s="52">
        <v>-157136.6</v>
      </c>
      <c r="BB327" s="52">
        <v>-144678.45000000001</v>
      </c>
      <c r="BC327" s="52">
        <v>-144910.85</v>
      </c>
      <c r="BD327" s="52">
        <v>-167265.69</v>
      </c>
      <c r="BE327" s="52">
        <v>-145218.85999999999</v>
      </c>
      <c r="BF327" s="52">
        <v>-184857.88</v>
      </c>
      <c r="BG327" s="52">
        <v>-196041.13</v>
      </c>
      <c r="BH327" s="52">
        <v>-165184.51999999999</v>
      </c>
      <c r="BI327" s="52">
        <v>-205841.28</v>
      </c>
      <c r="BJ327" s="52">
        <v>-194902.24</v>
      </c>
      <c r="BK327" s="52">
        <v>-220140.94</v>
      </c>
      <c r="BL327" s="52">
        <v>-158427.03</v>
      </c>
      <c r="BM327" s="52">
        <v>-184632.07</v>
      </c>
      <c r="BN327" s="52">
        <v>-169300.81</v>
      </c>
      <c r="BO327" s="52">
        <v>-179693.58</v>
      </c>
      <c r="BP327" s="52">
        <v>-174235.49</v>
      </c>
      <c r="BQ327" s="52">
        <v>-192232.52</v>
      </c>
      <c r="BR327" s="52">
        <v>-191963.02</v>
      </c>
      <c r="BS327" s="52">
        <v>-180327.85</v>
      </c>
      <c r="BT327" s="52">
        <v>-165418.01</v>
      </c>
      <c r="BU327" s="52">
        <v>-193596.05</v>
      </c>
      <c r="BV327" s="52">
        <v>-184015.86</v>
      </c>
      <c r="BW327" s="52">
        <v>-214378.61</v>
      </c>
      <c r="BX327" s="52">
        <v>-155824.56</v>
      </c>
      <c r="BY327" s="52">
        <v>-175927.54</v>
      </c>
      <c r="BZ327" s="52">
        <v>-163386.82</v>
      </c>
      <c r="CA327" s="52">
        <v>-172717.85</v>
      </c>
      <c r="CB327" s="52">
        <v>-152643.1</v>
      </c>
      <c r="CC327" s="52">
        <v>-159767.65</v>
      </c>
      <c r="CD327" s="52">
        <v>-188637.28</v>
      </c>
      <c r="CE327" s="52">
        <v>-180992.77</v>
      </c>
      <c r="CF327" s="52">
        <v>-183345.4</v>
      </c>
      <c r="CG327" s="52">
        <v>-191204.64</v>
      </c>
      <c r="CH327" s="52">
        <v>-190762.13</v>
      </c>
      <c r="CI327" s="52">
        <v>-210948.33</v>
      </c>
      <c r="CJ327" s="52">
        <v>-120239.18</v>
      </c>
      <c r="CK327" s="52">
        <v>-152623.47</v>
      </c>
      <c r="CL327" s="52">
        <v>-137221.20000000001</v>
      </c>
      <c r="CM327" s="52">
        <v>-166256.51999999999</v>
      </c>
      <c r="CN327" s="52">
        <v>-146169.17000000001</v>
      </c>
      <c r="CO327" s="52">
        <v>-173060.12</v>
      </c>
      <c r="CP327" s="52">
        <v>-169948.54</v>
      </c>
      <c r="CQ327" s="52">
        <v>-174850.36</v>
      </c>
      <c r="CR327" s="52">
        <v>-146566.65</v>
      </c>
      <c r="CS327" s="52">
        <v>-181822.82</v>
      </c>
      <c r="CT327" s="52">
        <v>-156461.99</v>
      </c>
      <c r="CU327" s="52">
        <v>-159427.63</v>
      </c>
      <c r="CV327" s="430">
        <f t="shared" si="10"/>
        <v>-1884647.65</v>
      </c>
    </row>
    <row r="328" spans="1:100">
      <c r="A328" s="540" t="str">
        <f t="shared" si="9"/>
        <v>6799107</v>
      </c>
      <c r="B328" s="541" t="s">
        <v>2133</v>
      </c>
      <c r="C328" s="463" t="s">
        <v>1213</v>
      </c>
      <c r="D328" s="428">
        <v>-22109.05</v>
      </c>
      <c r="E328" s="428">
        <v>-19411.580000000002</v>
      </c>
      <c r="F328" s="428">
        <v>-20349.27</v>
      </c>
      <c r="G328" s="428">
        <v>-17766.98</v>
      </c>
      <c r="H328" s="428">
        <v>-19915.509999999998</v>
      </c>
      <c r="I328" s="428">
        <v>-20375.66</v>
      </c>
      <c r="J328" s="428">
        <v>-11820.04</v>
      </c>
      <c r="K328" s="428">
        <v>-8311.02</v>
      </c>
      <c r="L328" s="428">
        <v>-30187.3</v>
      </c>
      <c r="M328" s="428">
        <v>-29387.31</v>
      </c>
      <c r="N328" s="428">
        <v>-2403.0500000000002</v>
      </c>
      <c r="O328" s="429">
        <v>-20049.77</v>
      </c>
      <c r="P328" s="52">
        <v>-28443.27</v>
      </c>
      <c r="Q328" s="52">
        <v>-15099.03</v>
      </c>
      <c r="R328" s="52">
        <v>-34822.660000000003</v>
      </c>
      <c r="S328" s="52">
        <v>-32518.83</v>
      </c>
      <c r="T328" s="52">
        <v>-35081.43</v>
      </c>
      <c r="U328" s="52">
        <v>-23527.34</v>
      </c>
      <c r="V328" s="52">
        <v>-18593.88</v>
      </c>
      <c r="W328" s="52">
        <v>-24927.35</v>
      </c>
      <c r="X328" s="52">
        <v>-27309.24</v>
      </c>
      <c r="Y328" s="52">
        <v>-37046.449999999997</v>
      </c>
      <c r="Z328" s="52">
        <v>-22864.53</v>
      </c>
      <c r="AA328" s="52">
        <v>-114153.45</v>
      </c>
      <c r="AB328" s="52">
        <v>-14777.14</v>
      </c>
      <c r="AC328" s="52">
        <v>-17738.509999999998</v>
      </c>
      <c r="AD328" s="52">
        <v>-20849.060000000001</v>
      </c>
      <c r="AE328" s="52">
        <v>-21519.57</v>
      </c>
      <c r="AF328" s="52">
        <v>-23882.87</v>
      </c>
      <c r="AG328" s="52">
        <v>-20138.689999999999</v>
      </c>
      <c r="AH328" s="52">
        <v>-21970.93</v>
      </c>
      <c r="AI328" s="52">
        <v>-25698.639999999999</v>
      </c>
      <c r="AJ328" s="52">
        <v>-22827.439999999999</v>
      </c>
      <c r="AK328" s="52">
        <v>-15812.26</v>
      </c>
      <c r="AL328" s="52">
        <v>-25075.279999999999</v>
      </c>
      <c r="AM328" s="52">
        <v>-69892.72</v>
      </c>
      <c r="AN328" s="52">
        <v>-24611.279999999999</v>
      </c>
      <c r="AO328" s="52">
        <v>-19911.18</v>
      </c>
      <c r="AP328" s="52">
        <v>-21927.64</v>
      </c>
      <c r="AQ328" s="52">
        <v>-19332.439999999999</v>
      </c>
      <c r="AR328" s="52">
        <v>-26803.01</v>
      </c>
      <c r="AS328" s="52">
        <v>-21594.47</v>
      </c>
      <c r="AT328" s="52">
        <v>-22277.14</v>
      </c>
      <c r="AU328" s="52">
        <v>-37242.019999999997</v>
      </c>
      <c r="AV328" s="52">
        <v>-40103.08</v>
      </c>
      <c r="AW328" s="52">
        <v>-60949.67</v>
      </c>
      <c r="AX328" s="52">
        <v>-53656.36</v>
      </c>
      <c r="AY328" s="52">
        <v>-100675.93</v>
      </c>
      <c r="AZ328" s="52">
        <v>-107903.33</v>
      </c>
      <c r="BA328" s="52">
        <v>-36878.57</v>
      </c>
      <c r="BB328" s="52">
        <v>-78699.38</v>
      </c>
      <c r="BC328" s="52">
        <v>-36409.660000000003</v>
      </c>
      <c r="BD328" s="52">
        <v>-53988.24</v>
      </c>
      <c r="BE328" s="52">
        <v>-26640.58</v>
      </c>
      <c r="BF328" s="52">
        <v>-64779.59</v>
      </c>
      <c r="BG328" s="52">
        <v>-54345.68</v>
      </c>
      <c r="BH328" s="52">
        <v>-62764.01</v>
      </c>
      <c r="BI328" s="52">
        <v>-79079.77</v>
      </c>
      <c r="BJ328" s="52">
        <v>-76243.83</v>
      </c>
      <c r="BK328" s="52">
        <v>-68519.62</v>
      </c>
      <c r="BL328" s="52">
        <v>-55990.02</v>
      </c>
      <c r="BM328" s="52">
        <v>-51656.639999999999</v>
      </c>
      <c r="BN328" s="52">
        <v>-81576.05</v>
      </c>
      <c r="BO328" s="52">
        <v>-86201.39</v>
      </c>
      <c r="BP328" s="52">
        <v>-62361.82</v>
      </c>
      <c r="BQ328" s="52">
        <v>-71031.03</v>
      </c>
      <c r="BR328" s="52">
        <v>-45012</v>
      </c>
      <c r="BS328" s="52">
        <v>-60433.01</v>
      </c>
      <c r="BT328" s="52">
        <v>-57178.53</v>
      </c>
      <c r="BU328" s="52">
        <v>-56404.86</v>
      </c>
      <c r="BV328" s="52">
        <v>-59661.23</v>
      </c>
      <c r="BW328" s="52">
        <v>-160080.35</v>
      </c>
      <c r="BX328" s="52">
        <v>-48363.4</v>
      </c>
      <c r="BY328" s="52">
        <v>-69311.539999999994</v>
      </c>
      <c r="BZ328" s="52">
        <v>-83944.03</v>
      </c>
      <c r="CA328" s="52">
        <v>-74034.460000000006</v>
      </c>
      <c r="CB328" s="52">
        <v>-26034.04</v>
      </c>
      <c r="CC328" s="52">
        <v>-22464.35</v>
      </c>
      <c r="CD328" s="52">
        <v>-31530.53</v>
      </c>
      <c r="CE328" s="52">
        <v>-29079.3</v>
      </c>
      <c r="CF328" s="52">
        <v>-39439.64</v>
      </c>
      <c r="CG328" s="52">
        <v>-33715.47</v>
      </c>
      <c r="CH328" s="52">
        <v>-167680.49</v>
      </c>
      <c r="CI328" s="52">
        <v>-45584.46</v>
      </c>
      <c r="CJ328" s="52">
        <v>-33131.980000000003</v>
      </c>
      <c r="CK328" s="52">
        <v>-57494.32</v>
      </c>
      <c r="CL328" s="52">
        <v>-95059.68</v>
      </c>
      <c r="CM328" s="52">
        <v>-57313.51</v>
      </c>
      <c r="CN328" s="52">
        <v>-35987.83</v>
      </c>
      <c r="CO328" s="52">
        <v>-53598.27</v>
      </c>
      <c r="CP328" s="52">
        <v>-84787.78</v>
      </c>
      <c r="CQ328" s="52">
        <v>-46793.58</v>
      </c>
      <c r="CR328" s="52">
        <v>-44240.69</v>
      </c>
      <c r="CS328" s="52">
        <v>-45877.45</v>
      </c>
      <c r="CT328" s="52">
        <v>-67319.16</v>
      </c>
      <c r="CU328" s="52">
        <v>-124197.03</v>
      </c>
      <c r="CV328" s="430">
        <f t="shared" si="10"/>
        <v>-745801.28</v>
      </c>
    </row>
    <row r="329" spans="1:100">
      <c r="A329" s="540" t="str">
        <f t="shared" si="9"/>
        <v>6799109</v>
      </c>
      <c r="B329" s="541" t="s">
        <v>2135</v>
      </c>
      <c r="C329" s="463" t="s">
        <v>1214</v>
      </c>
      <c r="D329" s="428">
        <v>-189097.83</v>
      </c>
      <c r="E329" s="428">
        <v>-150164.35</v>
      </c>
      <c r="F329" s="428">
        <v>-182380.9</v>
      </c>
      <c r="G329" s="428">
        <v>-182805.08</v>
      </c>
      <c r="H329" s="428">
        <v>-188133.3</v>
      </c>
      <c r="I329" s="428">
        <v>-180890.01</v>
      </c>
      <c r="J329" s="428">
        <v>-166526.09</v>
      </c>
      <c r="K329" s="428">
        <v>-145859.63</v>
      </c>
      <c r="L329" s="428">
        <v>-146154.39000000001</v>
      </c>
      <c r="M329" s="428">
        <v>-162193.01999999999</v>
      </c>
      <c r="N329" s="428">
        <v>-145041.70000000001</v>
      </c>
      <c r="O329" s="429">
        <v>-172196.15</v>
      </c>
      <c r="P329" s="52">
        <v>-201381.9</v>
      </c>
      <c r="Q329" s="52">
        <v>-150726.82</v>
      </c>
      <c r="R329" s="52">
        <v>-239990.11</v>
      </c>
      <c r="S329" s="52">
        <v>-200344.31</v>
      </c>
      <c r="T329" s="52">
        <v>-185005.34</v>
      </c>
      <c r="U329" s="52">
        <v>-224038.61</v>
      </c>
      <c r="V329" s="52">
        <v>-232870.92</v>
      </c>
      <c r="W329" s="52">
        <v>-224199.89</v>
      </c>
      <c r="X329" s="52">
        <v>-188466.95</v>
      </c>
      <c r="Y329" s="52">
        <v>-289462.69</v>
      </c>
      <c r="Z329" s="52">
        <v>-206552.79</v>
      </c>
      <c r="AA329" s="52">
        <v>-216895.41</v>
      </c>
      <c r="AB329" s="52">
        <v>-227509.3</v>
      </c>
      <c r="AC329" s="52">
        <v>-264368.21000000002</v>
      </c>
      <c r="AD329" s="52">
        <v>-311859.99</v>
      </c>
      <c r="AE329" s="52">
        <v>-371221.26</v>
      </c>
      <c r="AF329" s="52">
        <v>-407311.98</v>
      </c>
      <c r="AG329" s="52">
        <v>-491263.27</v>
      </c>
      <c r="AH329" s="52">
        <v>-450455.11</v>
      </c>
      <c r="AI329" s="52">
        <v>-464700.49</v>
      </c>
      <c r="AJ329" s="52">
        <v>-505269.19</v>
      </c>
      <c r="AK329" s="52">
        <v>-563807.19999999995</v>
      </c>
      <c r="AL329" s="52">
        <v>-599144.25</v>
      </c>
      <c r="AM329" s="52">
        <v>-591991.98</v>
      </c>
      <c r="AN329" s="52">
        <v>-587807.35</v>
      </c>
      <c r="AO329" s="52">
        <v>-576494.93999999994</v>
      </c>
      <c r="AP329" s="52">
        <v>-628120.72</v>
      </c>
      <c r="AQ329" s="52">
        <v>-562442.42000000004</v>
      </c>
      <c r="AR329" s="52">
        <v>-626959.75</v>
      </c>
      <c r="AS329" s="52">
        <v>-599464.81000000006</v>
      </c>
      <c r="AT329" s="52">
        <v>-636941.96</v>
      </c>
      <c r="AU329" s="52">
        <v>-691048.21</v>
      </c>
      <c r="AV329" s="52">
        <v>-611567.79</v>
      </c>
      <c r="AW329" s="52">
        <v>-624217.66</v>
      </c>
      <c r="AX329" s="52">
        <v>-644764.4</v>
      </c>
      <c r="AY329" s="52">
        <v>-600223.14</v>
      </c>
      <c r="AZ329" s="52">
        <v>-654207.92000000004</v>
      </c>
      <c r="BA329" s="52">
        <v>-589355.72</v>
      </c>
      <c r="BB329" s="52">
        <v>-682261.66</v>
      </c>
      <c r="BC329" s="52">
        <v>-671939.57</v>
      </c>
      <c r="BD329" s="52">
        <v>-707296.55</v>
      </c>
      <c r="BE329" s="52">
        <v>-696847.65</v>
      </c>
      <c r="BF329" s="52">
        <v>-709588.03</v>
      </c>
      <c r="BG329" s="52">
        <v>-812876.61</v>
      </c>
      <c r="BH329" s="52">
        <v>-773893.34</v>
      </c>
      <c r="BI329" s="52">
        <v>-852288.11</v>
      </c>
      <c r="BJ329" s="52">
        <v>-748793.17</v>
      </c>
      <c r="BK329" s="52">
        <v>-771734.87</v>
      </c>
      <c r="BL329" s="52">
        <v>-911300.17</v>
      </c>
      <c r="BM329" s="52">
        <v>-772515.9</v>
      </c>
      <c r="BN329" s="52">
        <v>-845619.91</v>
      </c>
      <c r="BO329" s="52">
        <v>-855303.79</v>
      </c>
      <c r="BP329" s="52">
        <v>-912438.37</v>
      </c>
      <c r="BQ329" s="52">
        <v>-948328.3</v>
      </c>
      <c r="BR329" s="52">
        <v>-1104471.53</v>
      </c>
      <c r="BS329" s="52">
        <v>-956049</v>
      </c>
      <c r="BT329" s="52">
        <v>-916155.51</v>
      </c>
      <c r="BU329" s="52">
        <v>-1013841.58</v>
      </c>
      <c r="BV329" s="52">
        <v>-929448.75</v>
      </c>
      <c r="BW329" s="52">
        <v>-1074984.6299999999</v>
      </c>
      <c r="BX329" s="52">
        <v>-998300.33</v>
      </c>
      <c r="BY329" s="52">
        <v>-926750.44</v>
      </c>
      <c r="BZ329" s="52">
        <v>-1133508.74</v>
      </c>
      <c r="CA329" s="52">
        <v>-1016728.87</v>
      </c>
      <c r="CB329" s="52">
        <v>-1008968.35</v>
      </c>
      <c r="CC329" s="52">
        <v>-999823.06</v>
      </c>
      <c r="CD329" s="52">
        <v>-1178378.78</v>
      </c>
      <c r="CE329" s="52">
        <v>-1026901.8</v>
      </c>
      <c r="CF329" s="52">
        <v>-1038515.81</v>
      </c>
      <c r="CG329" s="52">
        <v>-1059831.6599999999</v>
      </c>
      <c r="CH329" s="52">
        <v>-961539.11</v>
      </c>
      <c r="CI329" s="52">
        <v>-1063472.6299999999</v>
      </c>
      <c r="CJ329" s="52">
        <v>-1070896.6299999999</v>
      </c>
      <c r="CK329" s="52">
        <v>-1009269.02</v>
      </c>
      <c r="CL329" s="52">
        <v>-1119582.06</v>
      </c>
      <c r="CM329" s="52">
        <v>-1132842.8899999999</v>
      </c>
      <c r="CN329" s="52">
        <v>-1046355.03</v>
      </c>
      <c r="CO329" s="52">
        <v>-983801.94</v>
      </c>
      <c r="CP329" s="52">
        <v>-1011858.99</v>
      </c>
      <c r="CQ329" s="52">
        <v>-1029450.42</v>
      </c>
      <c r="CR329" s="52">
        <v>-1010735.99</v>
      </c>
      <c r="CS329" s="52">
        <v>-1008930.28</v>
      </c>
      <c r="CT329" s="52">
        <v>-1143433.54</v>
      </c>
      <c r="CU329" s="52">
        <v>-1228958.7</v>
      </c>
      <c r="CV329" s="430">
        <f t="shared" si="10"/>
        <v>-12796115.489999998</v>
      </c>
    </row>
    <row r="330" spans="1:100">
      <c r="A330" s="540" t="str">
        <f t="shared" si="9"/>
        <v>6799200</v>
      </c>
      <c r="B330" s="541" t="s">
        <v>2134</v>
      </c>
      <c r="C330" s="463" t="s">
        <v>1394</v>
      </c>
      <c r="D330" s="428"/>
      <c r="E330" s="428"/>
      <c r="F330" s="428"/>
      <c r="G330" s="428"/>
      <c r="H330" s="428"/>
      <c r="I330" s="428"/>
      <c r="J330" s="428"/>
      <c r="K330" s="428"/>
      <c r="L330" s="428"/>
      <c r="M330" s="428"/>
      <c r="N330" s="428"/>
      <c r="O330" s="429"/>
      <c r="P330" s="52"/>
      <c r="Q330" s="52"/>
      <c r="R330" s="52"/>
      <c r="S330" s="52"/>
      <c r="T330" s="52"/>
      <c r="U330" s="52">
        <v>-2692.32</v>
      </c>
      <c r="V330" s="52">
        <v>-41029.07</v>
      </c>
      <c r="W330" s="52">
        <v>-22454.65</v>
      </c>
      <c r="X330" s="52">
        <v>0</v>
      </c>
      <c r="Y330" s="52">
        <v>-4841.5600000000004</v>
      </c>
      <c r="Z330" s="52">
        <v>-11322.94</v>
      </c>
      <c r="AA330" s="52">
        <v>-16696.18</v>
      </c>
      <c r="AB330" s="52">
        <v>-10044.06</v>
      </c>
      <c r="AC330" s="52">
        <v>-8007.07</v>
      </c>
      <c r="AD330" s="52">
        <v>-20510.61</v>
      </c>
      <c r="AE330" s="52">
        <v>-8858.57</v>
      </c>
      <c r="AF330" s="52">
        <v>-5304.18</v>
      </c>
      <c r="AG330" s="52">
        <v>-22000.57</v>
      </c>
      <c r="AH330" s="52">
        <v>-21356.69</v>
      </c>
      <c r="AI330" s="52">
        <v>-3157.7</v>
      </c>
      <c r="AJ330" s="52">
        <v>-2104.58</v>
      </c>
      <c r="AK330" s="52">
        <v>-6158.65</v>
      </c>
      <c r="AL330" s="52">
        <v>-7324.83</v>
      </c>
      <c r="AM330" s="52">
        <v>-7128.4</v>
      </c>
      <c r="AN330" s="52">
        <v>-3416.85</v>
      </c>
      <c r="AO330" s="52">
        <v>-6576.02</v>
      </c>
      <c r="AP330" s="52">
        <v>-2900.04</v>
      </c>
      <c r="AQ330" s="52">
        <v>-112.17</v>
      </c>
      <c r="AR330" s="52">
        <v>-10912.3</v>
      </c>
      <c r="AS330" s="52">
        <v>-4043.72</v>
      </c>
      <c r="AT330" s="52">
        <v>-5305.79</v>
      </c>
      <c r="AU330" s="52">
        <v>-4728.67</v>
      </c>
      <c r="AV330" s="52">
        <v>-14364.27</v>
      </c>
      <c r="AW330" s="52">
        <v>-16508.47</v>
      </c>
      <c r="AX330" s="52">
        <v>-8787.82</v>
      </c>
      <c r="AY330" s="52">
        <v>-11286.25</v>
      </c>
      <c r="AZ330" s="52">
        <v>-25831.16</v>
      </c>
      <c r="BA330" s="52">
        <v>-30008.63</v>
      </c>
      <c r="BB330" s="52">
        <v>-45293.87</v>
      </c>
      <c r="BC330" s="52">
        <v>-42111.41</v>
      </c>
      <c r="BD330" s="52">
        <v>-36318.32</v>
      </c>
      <c r="BE330" s="52">
        <v>-41362.68</v>
      </c>
      <c r="BF330" s="52">
        <v>-51961.25</v>
      </c>
      <c r="BG330" s="52">
        <v>-63976.21</v>
      </c>
      <c r="BH330" s="52">
        <v>-70044.23</v>
      </c>
      <c r="BI330" s="52">
        <v>-87887.76</v>
      </c>
      <c r="BJ330" s="52">
        <v>-90977.07</v>
      </c>
      <c r="BK330" s="52">
        <v>-148825.29999999999</v>
      </c>
      <c r="BL330" s="52">
        <v>-91991.86</v>
      </c>
      <c r="BM330" s="52">
        <v>-73523.990000000005</v>
      </c>
      <c r="BN330" s="52">
        <v>-65113.62</v>
      </c>
      <c r="BO330" s="52">
        <v>-67375.94</v>
      </c>
      <c r="BP330" s="52">
        <v>-70973.240000000005</v>
      </c>
      <c r="BQ330" s="52">
        <v>-61015.34</v>
      </c>
      <c r="BR330" s="52">
        <v>-61102.23</v>
      </c>
      <c r="BS330" s="52">
        <v>-67805.45</v>
      </c>
      <c r="BT330" s="52">
        <v>-73825.850000000006</v>
      </c>
      <c r="BU330" s="52">
        <v>-57799.55</v>
      </c>
      <c r="BV330" s="52">
        <v>-56142.5</v>
      </c>
      <c r="BW330" s="52">
        <v>-51836.24</v>
      </c>
      <c r="BX330" s="52">
        <v>0</v>
      </c>
      <c r="BY330" s="52">
        <v>0</v>
      </c>
      <c r="BZ330" s="52">
        <v>0</v>
      </c>
      <c r="CA330" s="52">
        <v>0</v>
      </c>
      <c r="CB330" s="52">
        <v>0</v>
      </c>
      <c r="CC330" s="52">
        <v>0</v>
      </c>
      <c r="CD330" s="52">
        <v>0</v>
      </c>
      <c r="CE330" s="52">
        <v>0</v>
      </c>
      <c r="CF330" s="52">
        <v>0</v>
      </c>
      <c r="CG330" s="52">
        <v>0</v>
      </c>
      <c r="CH330" s="52">
        <v>0</v>
      </c>
      <c r="CI330" s="52">
        <v>0</v>
      </c>
      <c r="CJ330" s="52">
        <v>0</v>
      </c>
      <c r="CK330" s="52">
        <v>0</v>
      </c>
      <c r="CL330" s="52">
        <v>0</v>
      </c>
      <c r="CM330" s="52">
        <v>0</v>
      </c>
      <c r="CN330" s="52">
        <v>0</v>
      </c>
      <c r="CO330" s="52">
        <v>0</v>
      </c>
      <c r="CP330" s="52">
        <v>0</v>
      </c>
      <c r="CQ330" s="52">
        <v>0</v>
      </c>
      <c r="CR330" s="52">
        <v>0</v>
      </c>
      <c r="CS330" s="52">
        <v>0</v>
      </c>
      <c r="CT330" s="52">
        <v>0</v>
      </c>
      <c r="CU330" s="52">
        <v>0</v>
      </c>
      <c r="CV330" s="430">
        <f t="shared" si="10"/>
        <v>0</v>
      </c>
    </row>
    <row r="331" spans="1:100">
      <c r="A331" s="540" t="str">
        <f t="shared" si="9"/>
        <v>6800010</v>
      </c>
      <c r="B331" s="541" t="s">
        <v>2136</v>
      </c>
      <c r="C331" s="463" t="s">
        <v>1215</v>
      </c>
      <c r="D331" s="426">
        <v>147191.46</v>
      </c>
      <c r="E331" s="426">
        <v>150189.5</v>
      </c>
      <c r="F331" s="426">
        <v>150194.57999999999</v>
      </c>
      <c r="G331" s="426">
        <v>150194.63</v>
      </c>
      <c r="H331" s="426">
        <v>150484.89000000001</v>
      </c>
      <c r="I331" s="426">
        <v>150486.68</v>
      </c>
      <c r="J331" s="426">
        <v>150488.16</v>
      </c>
      <c r="K331" s="426">
        <v>148336.57999999999</v>
      </c>
      <c r="L331" s="426">
        <v>154584.12</v>
      </c>
      <c r="M331" s="426">
        <v>154782.59</v>
      </c>
      <c r="N331" s="426">
        <v>154803.57999999999</v>
      </c>
      <c r="O331" s="427">
        <v>154804.53</v>
      </c>
      <c r="P331" s="52">
        <v>154806.53</v>
      </c>
      <c r="Q331" s="52">
        <v>154806.63</v>
      </c>
      <c r="R331" s="52">
        <v>134962.85</v>
      </c>
      <c r="S331" s="52">
        <v>135733.29</v>
      </c>
      <c r="T331" s="52">
        <v>147032.15</v>
      </c>
      <c r="U331" s="52">
        <v>146988.38</v>
      </c>
      <c r="V331" s="52">
        <v>147053.41</v>
      </c>
      <c r="W331" s="52">
        <v>148150.35999999999</v>
      </c>
      <c r="X331" s="52">
        <v>148668.26999999999</v>
      </c>
      <c r="Y331" s="52">
        <v>149307.07999999999</v>
      </c>
      <c r="Z331" s="52">
        <v>148928.76</v>
      </c>
      <c r="AA331" s="52">
        <v>149025.72</v>
      </c>
      <c r="AB331" s="52">
        <v>149157.06</v>
      </c>
      <c r="AC331" s="52">
        <v>149157.44</v>
      </c>
      <c r="AD331" s="52">
        <v>149159.98000000001</v>
      </c>
      <c r="AE331" s="52">
        <v>149093.32999999999</v>
      </c>
      <c r="AF331" s="52">
        <v>149095.4</v>
      </c>
      <c r="AG331" s="52">
        <v>149095.99</v>
      </c>
      <c r="AH331" s="52">
        <v>151055.9</v>
      </c>
      <c r="AI331" s="52">
        <v>158659.17000000001</v>
      </c>
      <c r="AJ331" s="52">
        <v>158665.84</v>
      </c>
      <c r="AK331" s="52">
        <v>158827.91</v>
      </c>
      <c r="AL331" s="52">
        <v>160395.59</v>
      </c>
      <c r="AM331" s="52">
        <v>160906.1</v>
      </c>
      <c r="AN331" s="52">
        <v>155958.22</v>
      </c>
      <c r="AO331" s="52">
        <v>155958.41</v>
      </c>
      <c r="AP331" s="52">
        <v>155959.65</v>
      </c>
      <c r="AQ331" s="52">
        <v>158368.13</v>
      </c>
      <c r="AR331" s="52">
        <v>157782.47</v>
      </c>
      <c r="AS331" s="52">
        <v>157809.01999999999</v>
      </c>
      <c r="AT331" s="52">
        <v>158117.35999999999</v>
      </c>
      <c r="AU331" s="52">
        <v>158131.23000000001</v>
      </c>
      <c r="AV331" s="52">
        <v>158476.85</v>
      </c>
      <c r="AW331" s="52">
        <v>158503.75</v>
      </c>
      <c r="AX331" s="52">
        <v>158595.5</v>
      </c>
      <c r="AY331" s="52">
        <v>158595.15</v>
      </c>
      <c r="AZ331" s="52">
        <v>160184.29999999999</v>
      </c>
      <c r="BA331" s="52">
        <v>160187.41</v>
      </c>
      <c r="BB331" s="52">
        <v>160210.32999999999</v>
      </c>
      <c r="BC331" s="52">
        <v>161347.1</v>
      </c>
      <c r="BD331" s="52">
        <v>161706.65</v>
      </c>
      <c r="BE331" s="52">
        <v>161723.91</v>
      </c>
      <c r="BF331" s="52">
        <v>161648.19</v>
      </c>
      <c r="BG331" s="52">
        <v>163599.94</v>
      </c>
      <c r="BH331" s="52">
        <v>163761.54</v>
      </c>
      <c r="BI331" s="52">
        <v>163948.59</v>
      </c>
      <c r="BJ331" s="52">
        <v>168391.29</v>
      </c>
      <c r="BK331" s="52">
        <v>168590.2</v>
      </c>
      <c r="BL331" s="52">
        <v>175750.58</v>
      </c>
      <c r="BM331" s="52">
        <v>176244.21</v>
      </c>
      <c r="BN331" s="52">
        <v>176111.99</v>
      </c>
      <c r="BO331" s="52">
        <v>176101.6</v>
      </c>
      <c r="BP331" s="52">
        <v>176152.95</v>
      </c>
      <c r="BQ331" s="52">
        <v>172556.62</v>
      </c>
      <c r="BR331" s="52">
        <v>172563.25</v>
      </c>
      <c r="BS331" s="52">
        <v>172487.48</v>
      </c>
      <c r="BT331" s="52">
        <v>172554.12</v>
      </c>
      <c r="BU331" s="52">
        <v>178817.54</v>
      </c>
      <c r="BV331" s="52">
        <v>179457.42</v>
      </c>
      <c r="BW331" s="52">
        <v>180492.46</v>
      </c>
      <c r="BX331" s="52">
        <v>186368.99</v>
      </c>
      <c r="BY331" s="52">
        <v>184231.94</v>
      </c>
      <c r="BZ331" s="52">
        <v>185353.5</v>
      </c>
      <c r="CA331" s="52">
        <v>184520.25</v>
      </c>
      <c r="CB331" s="52">
        <v>184391.25</v>
      </c>
      <c r="CC331" s="52">
        <v>184507.58</v>
      </c>
      <c r="CD331" s="52">
        <v>185260.31</v>
      </c>
      <c r="CE331" s="52">
        <v>185376.15</v>
      </c>
      <c r="CF331" s="52">
        <v>183665.84</v>
      </c>
      <c r="CG331" s="52">
        <v>183812.57</v>
      </c>
      <c r="CH331" s="52">
        <v>274286.36</v>
      </c>
      <c r="CI331" s="52">
        <v>274706.28999999998</v>
      </c>
      <c r="CJ331" s="52">
        <v>270651.27</v>
      </c>
      <c r="CK331" s="52">
        <v>270886.17</v>
      </c>
      <c r="CL331" s="52">
        <v>271218.26</v>
      </c>
      <c r="CM331" s="52">
        <v>285406.7</v>
      </c>
      <c r="CN331" s="52">
        <v>301060.37</v>
      </c>
      <c r="CO331" s="52">
        <v>302455.27</v>
      </c>
      <c r="CP331" s="52">
        <v>303895.84999999998</v>
      </c>
      <c r="CQ331" s="52">
        <v>305319.11</v>
      </c>
      <c r="CR331" s="52">
        <v>305870.89</v>
      </c>
      <c r="CS331" s="52">
        <v>306026.75</v>
      </c>
      <c r="CT331" s="52">
        <v>306171.98</v>
      </c>
      <c r="CU331" s="52">
        <v>306369.34999999998</v>
      </c>
      <c r="CV331" s="430">
        <f t="shared" si="10"/>
        <v>3535331.97</v>
      </c>
    </row>
    <row r="332" spans="1:100">
      <c r="A332" s="540" t="str">
        <f t="shared" si="9"/>
        <v>6800040</v>
      </c>
      <c r="B332" s="541" t="s">
        <v>2137</v>
      </c>
      <c r="C332" s="463" t="s">
        <v>1216</v>
      </c>
      <c r="D332" s="426">
        <v>12428.82</v>
      </c>
      <c r="E332" s="426">
        <v>12428.82</v>
      </c>
      <c r="F332" s="426">
        <v>12428.82</v>
      </c>
      <c r="G332" s="426">
        <v>12428.82</v>
      </c>
      <c r="H332" s="426">
        <v>12428.82</v>
      </c>
      <c r="I332" s="426">
        <v>12428.82</v>
      </c>
      <c r="J332" s="426">
        <v>12428.82</v>
      </c>
      <c r="K332" s="426">
        <v>12428.82</v>
      </c>
      <c r="L332" s="426">
        <v>12428.82</v>
      </c>
      <c r="M332" s="426">
        <v>12428.82</v>
      </c>
      <c r="N332" s="426">
        <v>12428.82</v>
      </c>
      <c r="O332" s="427">
        <v>12428.82</v>
      </c>
      <c r="P332" s="52">
        <v>12428.82</v>
      </c>
      <c r="Q332" s="52">
        <v>12428.82</v>
      </c>
      <c r="R332" s="52">
        <v>12428.82</v>
      </c>
      <c r="S332" s="52">
        <v>12428.82</v>
      </c>
      <c r="T332" s="52">
        <v>12428.82</v>
      </c>
      <c r="U332" s="52">
        <v>12428.82</v>
      </c>
      <c r="V332" s="52">
        <v>12428.82</v>
      </c>
      <c r="W332" s="52">
        <v>12428.82</v>
      </c>
      <c r="X332" s="52">
        <v>12428.82</v>
      </c>
      <c r="Y332" s="52">
        <v>12428.82</v>
      </c>
      <c r="Z332" s="52">
        <v>12428.82</v>
      </c>
      <c r="AA332" s="52">
        <v>12428.82</v>
      </c>
      <c r="AB332" s="52">
        <v>12428.82</v>
      </c>
      <c r="AC332" s="52">
        <v>12428.82</v>
      </c>
      <c r="AD332" s="52">
        <v>12428.82</v>
      </c>
      <c r="AE332" s="52">
        <v>12428.82</v>
      </c>
      <c r="AF332" s="52">
        <v>12428.82</v>
      </c>
      <c r="AG332" s="52">
        <v>12428.82</v>
      </c>
      <c r="AH332" s="52">
        <v>12428.82</v>
      </c>
      <c r="AI332" s="52">
        <v>12428.82</v>
      </c>
      <c r="AJ332" s="52">
        <v>12428.82</v>
      </c>
      <c r="AK332" s="52">
        <v>12428.82</v>
      </c>
      <c r="AL332" s="52">
        <v>12428.82</v>
      </c>
      <c r="AM332" s="52">
        <v>12428.82</v>
      </c>
      <c r="AN332" s="52">
        <v>12428.82</v>
      </c>
      <c r="AO332" s="52">
        <v>12428.82</v>
      </c>
      <c r="AP332" s="52">
        <v>12428.82</v>
      </c>
      <c r="AQ332" s="52">
        <v>12428.82</v>
      </c>
      <c r="AR332" s="52">
        <v>12428.82</v>
      </c>
      <c r="AS332" s="52">
        <v>12428.82</v>
      </c>
      <c r="AT332" s="52">
        <v>12428.82</v>
      </c>
      <c r="AU332" s="52">
        <v>12428.82</v>
      </c>
      <c r="AV332" s="52">
        <v>12428.82</v>
      </c>
      <c r="AW332" s="52">
        <v>12428.82</v>
      </c>
      <c r="AX332" s="52">
        <v>12428.82</v>
      </c>
      <c r="AY332" s="52">
        <v>12428.82</v>
      </c>
      <c r="AZ332" s="52">
        <v>12428.82</v>
      </c>
      <c r="BA332" s="52">
        <v>12428.82</v>
      </c>
      <c r="BB332" s="52">
        <v>12428.82</v>
      </c>
      <c r="BC332" s="52">
        <v>12428.82</v>
      </c>
      <c r="BD332" s="52">
        <v>12428.82</v>
      </c>
      <c r="BE332" s="52">
        <v>12428.82</v>
      </c>
      <c r="BF332" s="52">
        <v>12428.82</v>
      </c>
      <c r="BG332" s="52">
        <v>12428.82</v>
      </c>
      <c r="BH332" s="52">
        <v>12428.82</v>
      </c>
      <c r="BI332" s="52">
        <v>12428.82</v>
      </c>
      <c r="BJ332" s="52">
        <v>12428.82</v>
      </c>
      <c r="BK332" s="52">
        <v>12428.82</v>
      </c>
      <c r="BL332" s="52">
        <v>12428.82</v>
      </c>
      <c r="BM332" s="52">
        <v>12428.82</v>
      </c>
      <c r="BN332" s="52">
        <v>12428.82</v>
      </c>
      <c r="BO332" s="52">
        <v>12428.82</v>
      </c>
      <c r="BP332" s="52">
        <v>12428.82</v>
      </c>
      <c r="BQ332" s="52">
        <v>12428.82</v>
      </c>
      <c r="BR332" s="52">
        <v>12428.82</v>
      </c>
      <c r="BS332" s="52">
        <v>12428.82</v>
      </c>
      <c r="BT332" s="52">
        <v>12428.82</v>
      </c>
      <c r="BU332" s="52">
        <v>12428.82</v>
      </c>
      <c r="BV332" s="52">
        <v>12428.82</v>
      </c>
      <c r="BW332" s="52">
        <v>12428.82</v>
      </c>
      <c r="BX332" s="52">
        <v>12428.82</v>
      </c>
      <c r="BY332" s="52">
        <v>12428.82</v>
      </c>
      <c r="BZ332" s="52">
        <v>12428.82</v>
      </c>
      <c r="CA332" s="52">
        <v>12428.82</v>
      </c>
      <c r="CB332" s="52">
        <v>12428.82</v>
      </c>
      <c r="CC332" s="52">
        <v>12428.82</v>
      </c>
      <c r="CD332" s="52">
        <v>12428.82</v>
      </c>
      <c r="CE332" s="52">
        <v>12428.82</v>
      </c>
      <c r="CF332" s="52">
        <v>12428.82</v>
      </c>
      <c r="CG332" s="52">
        <v>5949.73</v>
      </c>
      <c r="CH332" s="52">
        <v>5949.73</v>
      </c>
      <c r="CI332" s="52">
        <v>5949.73</v>
      </c>
      <c r="CJ332" s="52">
        <v>5949.73</v>
      </c>
      <c r="CK332" s="52">
        <v>5949.73</v>
      </c>
      <c r="CL332" s="52">
        <v>5949.73</v>
      </c>
      <c r="CM332" s="52">
        <v>5949.73</v>
      </c>
      <c r="CN332" s="52">
        <v>5949.73</v>
      </c>
      <c r="CO332" s="52">
        <v>5949.73</v>
      </c>
      <c r="CP332" s="52">
        <v>5949.73</v>
      </c>
      <c r="CQ332" s="52">
        <v>-687.37</v>
      </c>
      <c r="CR332" s="52">
        <v>0</v>
      </c>
      <c r="CS332" s="52">
        <v>0</v>
      </c>
      <c r="CT332" s="52">
        <v>0</v>
      </c>
      <c r="CU332" s="52">
        <v>0</v>
      </c>
      <c r="CV332" s="430">
        <f t="shared" si="10"/>
        <v>40960.74</v>
      </c>
    </row>
    <row r="333" spans="1:100">
      <c r="A333" s="540" t="str">
        <f t="shared" si="9"/>
        <v>6800050</v>
      </c>
      <c r="B333" s="541" t="s">
        <v>1275</v>
      </c>
      <c r="C333" s="463" t="s">
        <v>1217</v>
      </c>
      <c r="D333" s="428">
        <v>53333</v>
      </c>
      <c r="E333" s="428">
        <v>53333</v>
      </c>
      <c r="F333" s="428">
        <v>53333</v>
      </c>
      <c r="G333" s="428">
        <v>53333</v>
      </c>
      <c r="H333" s="428">
        <v>53333</v>
      </c>
      <c r="I333" s="428">
        <v>53333</v>
      </c>
      <c r="J333" s="428">
        <v>53333</v>
      </c>
      <c r="K333" s="428">
        <v>53333</v>
      </c>
      <c r="L333" s="428">
        <v>53333</v>
      </c>
      <c r="M333" s="428">
        <v>53333</v>
      </c>
      <c r="N333" s="428">
        <v>53333</v>
      </c>
      <c r="O333" s="429">
        <v>53333</v>
      </c>
      <c r="P333" s="52">
        <v>53333</v>
      </c>
      <c r="Q333" s="52">
        <v>53333</v>
      </c>
      <c r="R333" s="52">
        <v>53333</v>
      </c>
      <c r="S333" s="52">
        <v>53333</v>
      </c>
      <c r="T333" s="52">
        <v>53333</v>
      </c>
      <c r="U333" s="52">
        <v>53333</v>
      </c>
      <c r="V333" s="52">
        <v>53333</v>
      </c>
      <c r="W333" s="52">
        <v>53333</v>
      </c>
      <c r="X333" s="52">
        <v>53333</v>
      </c>
      <c r="Y333" s="52">
        <v>53333</v>
      </c>
      <c r="Z333" s="52">
        <v>53333</v>
      </c>
      <c r="AA333" s="52">
        <v>53333</v>
      </c>
      <c r="AB333" s="52">
        <v>53333</v>
      </c>
      <c r="AC333" s="52">
        <v>53333</v>
      </c>
      <c r="AD333" s="52">
        <v>53333</v>
      </c>
      <c r="AE333" s="52">
        <v>53333</v>
      </c>
      <c r="AF333" s="52">
        <v>53333</v>
      </c>
      <c r="AG333" s="52">
        <v>53333</v>
      </c>
      <c r="AH333" s="52">
        <v>53333</v>
      </c>
      <c r="AI333" s="52">
        <v>53333</v>
      </c>
      <c r="AJ333" s="52">
        <v>53333</v>
      </c>
      <c r="AK333" s="52">
        <v>53333</v>
      </c>
      <c r="AL333" s="52">
        <v>53333</v>
      </c>
      <c r="AM333" s="52">
        <v>16053333</v>
      </c>
      <c r="AN333" s="52">
        <v>470000</v>
      </c>
      <c r="AO333" s="52">
        <v>470000</v>
      </c>
      <c r="AP333" s="52">
        <v>470000</v>
      </c>
      <c r="AQ333" s="52">
        <v>470000</v>
      </c>
      <c r="AR333" s="52">
        <v>470000</v>
      </c>
      <c r="AS333" s="52">
        <v>470000</v>
      </c>
      <c r="AT333" s="52">
        <v>470000</v>
      </c>
      <c r="AU333" s="52">
        <v>470000</v>
      </c>
      <c r="AV333" s="52">
        <v>470000</v>
      </c>
      <c r="AW333" s="52">
        <v>470000</v>
      </c>
      <c r="AX333" s="52">
        <v>470000</v>
      </c>
      <c r="AY333" s="52">
        <v>-755743</v>
      </c>
      <c r="AZ333" s="52">
        <v>0</v>
      </c>
      <c r="BA333" s="52">
        <v>583333.34</v>
      </c>
      <c r="BB333" s="52">
        <v>2916666.68</v>
      </c>
      <c r="BC333" s="52">
        <v>0</v>
      </c>
      <c r="BD333" s="52">
        <v>0</v>
      </c>
      <c r="BE333" s="52">
        <v>0</v>
      </c>
      <c r="BF333" s="52">
        <v>0</v>
      </c>
      <c r="BG333" s="52">
        <v>0</v>
      </c>
      <c r="BH333" s="52">
        <v>6517958</v>
      </c>
      <c r="BI333" s="52">
        <v>463895</v>
      </c>
      <c r="BJ333" s="52">
        <v>463895</v>
      </c>
      <c r="BK333" s="52">
        <v>0</v>
      </c>
      <c r="BL333" s="52">
        <v>0</v>
      </c>
      <c r="BM333" s="52">
        <v>0</v>
      </c>
      <c r="BN333" s="52">
        <v>0</v>
      </c>
      <c r="BO333" s="52">
        <v>0</v>
      </c>
      <c r="BP333" s="52">
        <v>0</v>
      </c>
      <c r="BQ333" s="52">
        <v>0</v>
      </c>
      <c r="BR333" s="52">
        <v>0</v>
      </c>
      <c r="BS333" s="52">
        <v>0</v>
      </c>
      <c r="BT333" s="52">
        <v>0</v>
      </c>
      <c r="BU333" s="52">
        <v>0</v>
      </c>
      <c r="BV333" s="52">
        <v>0</v>
      </c>
      <c r="BW333" s="52">
        <v>0</v>
      </c>
      <c r="BX333" s="52">
        <v>0</v>
      </c>
      <c r="BY333" s="52">
        <v>0</v>
      </c>
      <c r="BZ333" s="52">
        <v>0</v>
      </c>
      <c r="CA333" s="52">
        <v>0</v>
      </c>
      <c r="CB333" s="52">
        <v>0</v>
      </c>
      <c r="CC333" s="52">
        <v>0</v>
      </c>
      <c r="CD333" s="52">
        <v>0</v>
      </c>
      <c r="CE333" s="52">
        <v>0</v>
      </c>
      <c r="CF333" s="52">
        <v>0</v>
      </c>
      <c r="CG333" s="52">
        <v>0</v>
      </c>
      <c r="CH333" s="52">
        <v>0</v>
      </c>
      <c r="CI333" s="52">
        <v>0</v>
      </c>
      <c r="CJ333" s="52">
        <v>83333.33</v>
      </c>
      <c r="CK333" s="52">
        <v>83333.33</v>
      </c>
      <c r="CL333" s="52">
        <v>83333.33</v>
      </c>
      <c r="CM333" s="52">
        <v>83333.33</v>
      </c>
      <c r="CN333" s="52">
        <v>83333.33</v>
      </c>
      <c r="CO333" s="52">
        <v>83333.33</v>
      </c>
      <c r="CP333" s="52">
        <v>83333.33</v>
      </c>
      <c r="CQ333" s="52">
        <v>83333.33</v>
      </c>
      <c r="CR333" s="52">
        <v>83333.33</v>
      </c>
      <c r="CS333" s="52">
        <v>83333.33</v>
      </c>
      <c r="CT333" s="52">
        <v>83333.33</v>
      </c>
      <c r="CU333" s="52">
        <v>83333.33</v>
      </c>
      <c r="CV333" s="430">
        <f t="shared" si="10"/>
        <v>999999.95999999985</v>
      </c>
    </row>
    <row r="334" spans="1:100">
      <c r="A334" s="540" t="str">
        <f>+B334</f>
        <v>6800100</v>
      </c>
      <c r="B334" s="541" t="s">
        <v>2391</v>
      </c>
      <c r="C334" s="463" t="s">
        <v>2392</v>
      </c>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v>35086.79</v>
      </c>
      <c r="BV334" s="52">
        <v>-35086.79</v>
      </c>
      <c r="BW334" s="52">
        <v>0</v>
      </c>
      <c r="BX334" s="52">
        <v>0</v>
      </c>
      <c r="BY334" s="52">
        <v>0</v>
      </c>
      <c r="BZ334" s="52">
        <v>0</v>
      </c>
      <c r="CA334" s="52">
        <v>0</v>
      </c>
      <c r="CB334" s="52">
        <v>0</v>
      </c>
      <c r="CC334" s="52">
        <v>0</v>
      </c>
      <c r="CD334" s="52">
        <v>0</v>
      </c>
      <c r="CE334" s="52">
        <v>0</v>
      </c>
      <c r="CF334" s="52">
        <v>0</v>
      </c>
      <c r="CG334" s="52">
        <v>0</v>
      </c>
      <c r="CH334" s="52">
        <v>0</v>
      </c>
      <c r="CI334" s="52">
        <v>0</v>
      </c>
      <c r="CJ334" s="52">
        <v>0</v>
      </c>
      <c r="CK334" s="52">
        <v>0</v>
      </c>
      <c r="CL334" s="52">
        <v>0</v>
      </c>
      <c r="CM334" s="52">
        <v>0</v>
      </c>
      <c r="CN334" s="52">
        <v>0</v>
      </c>
      <c r="CO334" s="52">
        <v>0</v>
      </c>
      <c r="CP334" s="52">
        <v>0</v>
      </c>
      <c r="CQ334" s="52">
        <v>0</v>
      </c>
      <c r="CR334" s="52">
        <v>0</v>
      </c>
      <c r="CS334" s="52">
        <v>0</v>
      </c>
      <c r="CT334" s="52">
        <v>0</v>
      </c>
      <c r="CU334" s="52">
        <v>0</v>
      </c>
      <c r="CV334" s="430">
        <f t="shared" si="10"/>
        <v>0</v>
      </c>
    </row>
    <row r="335" spans="1:100">
      <c r="A335" s="540" t="str">
        <f>+B335</f>
        <v>6809000</v>
      </c>
      <c r="B335" s="541" t="s">
        <v>2393</v>
      </c>
      <c r="C335" s="463" t="s">
        <v>2394</v>
      </c>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v>-35086.79</v>
      </c>
      <c r="BV335" s="52">
        <v>35086.79</v>
      </c>
      <c r="BW335" s="52">
        <v>0</v>
      </c>
      <c r="BX335" s="52">
        <v>0</v>
      </c>
      <c r="BY335" s="52">
        <v>0</v>
      </c>
      <c r="BZ335" s="52">
        <v>0</v>
      </c>
      <c r="CA335" s="52">
        <v>0</v>
      </c>
      <c r="CB335" s="52">
        <v>0</v>
      </c>
      <c r="CC335" s="52">
        <v>0</v>
      </c>
      <c r="CD335" s="52">
        <v>0</v>
      </c>
      <c r="CE335" s="52">
        <v>0</v>
      </c>
      <c r="CF335" s="52">
        <v>0</v>
      </c>
      <c r="CG335" s="52">
        <v>0</v>
      </c>
      <c r="CH335" s="52">
        <v>0</v>
      </c>
      <c r="CI335" s="52">
        <v>0</v>
      </c>
      <c r="CJ335" s="52">
        <v>0</v>
      </c>
      <c r="CK335" s="52">
        <v>0</v>
      </c>
      <c r="CL335" s="52">
        <v>0</v>
      </c>
      <c r="CM335" s="52">
        <v>0</v>
      </c>
      <c r="CN335" s="52">
        <v>0</v>
      </c>
      <c r="CO335" s="52">
        <v>0</v>
      </c>
      <c r="CP335" s="52">
        <v>0</v>
      </c>
      <c r="CQ335" s="52">
        <v>0</v>
      </c>
      <c r="CR335" s="52">
        <v>0</v>
      </c>
      <c r="CS335" s="52">
        <v>0</v>
      </c>
      <c r="CT335" s="52">
        <v>0</v>
      </c>
      <c r="CU335" s="52">
        <v>0</v>
      </c>
      <c r="CV335" s="430">
        <f t="shared" si="10"/>
        <v>0</v>
      </c>
    </row>
    <row r="336" spans="1:100">
      <c r="A336" s="540" t="str">
        <f t="shared" si="9"/>
        <v>6810010</v>
      </c>
      <c r="B336" s="541" t="s">
        <v>2138</v>
      </c>
      <c r="C336" s="463" t="s">
        <v>1218</v>
      </c>
      <c r="D336" s="428">
        <v>4224895.26</v>
      </c>
      <c r="E336" s="428">
        <v>4185779.14</v>
      </c>
      <c r="F336" s="428">
        <v>4191196.42</v>
      </c>
      <c r="G336" s="428">
        <v>4196298.99</v>
      </c>
      <c r="H336" s="428">
        <v>4212094.55</v>
      </c>
      <c r="I336" s="428">
        <v>4222655.87</v>
      </c>
      <c r="J336" s="428">
        <v>4232059.4800000004</v>
      </c>
      <c r="K336" s="428">
        <v>4262661.43</v>
      </c>
      <c r="L336" s="428">
        <v>4277694.4000000004</v>
      </c>
      <c r="M336" s="428">
        <v>4291526.7300000004</v>
      </c>
      <c r="N336" s="428">
        <v>4318799.1100000003</v>
      </c>
      <c r="O336" s="429">
        <v>4336471.91</v>
      </c>
      <c r="P336" s="52">
        <v>4430283.71</v>
      </c>
      <c r="Q336" s="52">
        <v>4378665.71</v>
      </c>
      <c r="R336" s="52">
        <v>4379435.84</v>
      </c>
      <c r="S336" s="52">
        <v>4391615.12</v>
      </c>
      <c r="T336" s="52">
        <v>4411311.6100000003</v>
      </c>
      <c r="U336" s="52">
        <v>4431205.87</v>
      </c>
      <c r="V336" s="52">
        <v>4476925.3499999996</v>
      </c>
      <c r="W336" s="52">
        <v>4488349.9000000004</v>
      </c>
      <c r="X336" s="52">
        <v>4500464.3600000003</v>
      </c>
      <c r="Y336" s="52">
        <v>4519428.87</v>
      </c>
      <c r="Z336" s="52">
        <v>4536882.1100000003</v>
      </c>
      <c r="AA336" s="52">
        <v>4562485.3</v>
      </c>
      <c r="AB336" s="52">
        <v>4595012.33</v>
      </c>
      <c r="AC336" s="52">
        <v>4630409.0599999996</v>
      </c>
      <c r="AD336" s="52">
        <v>4648217.08</v>
      </c>
      <c r="AE336" s="52">
        <v>4666475.21</v>
      </c>
      <c r="AF336" s="52">
        <v>4685767.54</v>
      </c>
      <c r="AG336" s="52">
        <v>4697735.12</v>
      </c>
      <c r="AH336" s="52">
        <v>4832869.8499999996</v>
      </c>
      <c r="AI336" s="52">
        <v>4694245.7699999996</v>
      </c>
      <c r="AJ336" s="52">
        <v>4792246.45</v>
      </c>
      <c r="AK336" s="52">
        <v>4789762.08</v>
      </c>
      <c r="AL336" s="52">
        <v>4839191.68</v>
      </c>
      <c r="AM336" s="52">
        <v>-11543387.310000001</v>
      </c>
      <c r="AN336" s="52">
        <v>3455096.72</v>
      </c>
      <c r="AO336" s="52">
        <v>3496565.79</v>
      </c>
      <c r="AP336" s="52">
        <v>3501075.51</v>
      </c>
      <c r="AQ336" s="52">
        <v>3505109.32</v>
      </c>
      <c r="AR336" s="52">
        <v>3505145.38</v>
      </c>
      <c r="AS336" s="52">
        <v>3521399.73</v>
      </c>
      <c r="AT336" s="52">
        <v>3535183.23</v>
      </c>
      <c r="AU336" s="52">
        <v>3550461.63</v>
      </c>
      <c r="AV336" s="52">
        <v>3569379.77</v>
      </c>
      <c r="AW336" s="52">
        <v>3605793.55</v>
      </c>
      <c r="AX336" s="52">
        <v>3624645.6</v>
      </c>
      <c r="AY336" s="52">
        <v>3637384.83</v>
      </c>
      <c r="AZ336" s="52">
        <v>3661059.86</v>
      </c>
      <c r="BA336" s="52">
        <v>3690800.04</v>
      </c>
      <c r="BB336" s="52">
        <v>3707651.2</v>
      </c>
      <c r="BC336" s="52">
        <v>3728141.11</v>
      </c>
      <c r="BD336" s="52">
        <v>3742644.69</v>
      </c>
      <c r="BE336" s="52">
        <v>3764641.05</v>
      </c>
      <c r="BF336" s="52">
        <v>3783217.4</v>
      </c>
      <c r="BG336" s="52">
        <v>3801249.38</v>
      </c>
      <c r="BH336" s="52">
        <v>3841773.51</v>
      </c>
      <c r="BI336" s="52">
        <v>3826813.45</v>
      </c>
      <c r="BJ336" s="52">
        <v>3867414.58</v>
      </c>
      <c r="BK336" s="52">
        <v>3904767.59</v>
      </c>
      <c r="BL336" s="52">
        <v>2934688.97</v>
      </c>
      <c r="BM336" s="52">
        <v>2952641.62</v>
      </c>
      <c r="BN336" s="52">
        <v>2978909.57</v>
      </c>
      <c r="BO336" s="52">
        <v>3002377.31</v>
      </c>
      <c r="BP336" s="52">
        <v>3018393.21</v>
      </c>
      <c r="BQ336" s="52">
        <v>3037868.19</v>
      </c>
      <c r="BR336" s="52">
        <v>3064217.73</v>
      </c>
      <c r="BS336" s="52">
        <v>3079625.91</v>
      </c>
      <c r="BT336" s="52">
        <v>3093590.79</v>
      </c>
      <c r="BU336" s="52">
        <v>3125330.53</v>
      </c>
      <c r="BV336" s="52">
        <v>3135179.43</v>
      </c>
      <c r="BW336" s="52">
        <v>3163298.54</v>
      </c>
      <c r="BX336" s="52">
        <v>3192245.11</v>
      </c>
      <c r="BY336" s="52">
        <v>3207661.71</v>
      </c>
      <c r="BZ336" s="52">
        <v>3241482.99</v>
      </c>
      <c r="CA336" s="52">
        <v>3261304.49</v>
      </c>
      <c r="CB336" s="52">
        <v>3279834.72</v>
      </c>
      <c r="CC336" s="52">
        <v>3298307.42</v>
      </c>
      <c r="CD336" s="52">
        <v>3321832.65</v>
      </c>
      <c r="CE336" s="52">
        <v>3338484.81</v>
      </c>
      <c r="CF336" s="52">
        <v>3366430.75</v>
      </c>
      <c r="CG336" s="52">
        <v>3390082.75</v>
      </c>
      <c r="CH336" s="52">
        <v>3482803.59</v>
      </c>
      <c r="CI336" s="52">
        <v>3512901.43</v>
      </c>
      <c r="CJ336" s="52">
        <v>4014104.16</v>
      </c>
      <c r="CK336" s="52">
        <v>4039568.89</v>
      </c>
      <c r="CL336" s="52">
        <v>4032907.24</v>
      </c>
      <c r="CM336" s="52">
        <v>4060323.96</v>
      </c>
      <c r="CN336" s="52">
        <v>4193158.12</v>
      </c>
      <c r="CO336" s="52">
        <v>4218060.79</v>
      </c>
      <c r="CP336" s="52">
        <v>4242272.97</v>
      </c>
      <c r="CQ336" s="52">
        <v>4259295.82</v>
      </c>
      <c r="CR336" s="52">
        <v>4279673.78</v>
      </c>
      <c r="CS336" s="52">
        <v>4291604.01</v>
      </c>
      <c r="CT336" s="52">
        <v>4316111.74</v>
      </c>
      <c r="CU336" s="52">
        <v>4445760.51</v>
      </c>
      <c r="CV336" s="430">
        <f t="shared" si="10"/>
        <v>50392841.989999995</v>
      </c>
    </row>
    <row r="337" spans="1:100">
      <c r="A337" s="540" t="str">
        <f t="shared" si="9"/>
        <v>6810071</v>
      </c>
      <c r="B337" s="541" t="s">
        <v>2139</v>
      </c>
      <c r="C337" s="463" t="s">
        <v>1219</v>
      </c>
      <c r="D337" s="426">
        <v>20266</v>
      </c>
      <c r="E337" s="426">
        <v>21340</v>
      </c>
      <c r="F337" s="426">
        <v>23035</v>
      </c>
      <c r="G337" s="426">
        <v>26180.63</v>
      </c>
      <c r="H337" s="426">
        <v>28987.91</v>
      </c>
      <c r="I337" s="426">
        <v>28931</v>
      </c>
      <c r="J337" s="426">
        <v>29946</v>
      </c>
      <c r="K337" s="426">
        <v>35475</v>
      </c>
      <c r="L337" s="426">
        <v>38692</v>
      </c>
      <c r="M337" s="426">
        <v>42921</v>
      </c>
      <c r="N337" s="426">
        <v>46273</v>
      </c>
      <c r="O337" s="427">
        <v>47889</v>
      </c>
      <c r="P337" s="52">
        <v>-23185</v>
      </c>
      <c r="Q337" s="52">
        <v>46751.7</v>
      </c>
      <c r="R337" s="52">
        <v>51796.68</v>
      </c>
      <c r="S337" s="52">
        <v>54567.78</v>
      </c>
      <c r="T337" s="52">
        <v>56167.8</v>
      </c>
      <c r="U337" s="52">
        <v>57460.03</v>
      </c>
      <c r="V337" s="52">
        <v>61075.39</v>
      </c>
      <c r="W337" s="52">
        <v>62176.19</v>
      </c>
      <c r="X337" s="52">
        <v>62298.94</v>
      </c>
      <c r="Y337" s="52">
        <v>65301.23</v>
      </c>
      <c r="Z337" s="52">
        <v>67080.98</v>
      </c>
      <c r="AA337" s="52">
        <v>69366.2</v>
      </c>
      <c r="AB337" s="52">
        <v>72135.429999999993</v>
      </c>
      <c r="AC337" s="52">
        <v>74455.61</v>
      </c>
      <c r="AD337" s="52">
        <v>75128.23</v>
      </c>
      <c r="AE337" s="52">
        <v>77009.06</v>
      </c>
      <c r="AF337" s="52">
        <v>77978.8</v>
      </c>
      <c r="AG337" s="52">
        <v>79729.759999999995</v>
      </c>
      <c r="AH337" s="52">
        <v>83385.960000000006</v>
      </c>
      <c r="AI337" s="52">
        <v>86009.94</v>
      </c>
      <c r="AJ337" s="52">
        <v>89473.7</v>
      </c>
      <c r="AK337" s="52">
        <v>101299.18</v>
      </c>
      <c r="AL337" s="52">
        <v>104846.84</v>
      </c>
      <c r="AM337" s="52">
        <v>-113018.26</v>
      </c>
      <c r="AN337" s="52">
        <v>96519.4</v>
      </c>
      <c r="AO337" s="52">
        <v>75574.33</v>
      </c>
      <c r="AP337" s="52">
        <v>88141.19</v>
      </c>
      <c r="AQ337" s="52">
        <v>93042.77</v>
      </c>
      <c r="AR337" s="52">
        <v>97407.29</v>
      </c>
      <c r="AS337" s="52">
        <v>99144.09</v>
      </c>
      <c r="AT337" s="52">
        <v>101751.93</v>
      </c>
      <c r="AU337" s="52">
        <v>104951.78</v>
      </c>
      <c r="AV337" s="52">
        <v>107437.77</v>
      </c>
      <c r="AW337" s="52">
        <v>109187.73</v>
      </c>
      <c r="AX337" s="52">
        <v>115959.47</v>
      </c>
      <c r="AY337" s="52">
        <v>120916.8</v>
      </c>
      <c r="AZ337" s="52">
        <v>123662.3</v>
      </c>
      <c r="BA337" s="52">
        <v>123959.58</v>
      </c>
      <c r="BB337" s="52">
        <v>125406.7</v>
      </c>
      <c r="BC337" s="52">
        <v>127467.73</v>
      </c>
      <c r="BD337" s="52">
        <v>129946.96</v>
      </c>
      <c r="BE337" s="52">
        <v>147674.97</v>
      </c>
      <c r="BF337" s="52">
        <v>149450.60999999999</v>
      </c>
      <c r="BG337" s="52">
        <v>150888.73000000001</v>
      </c>
      <c r="BH337" s="52">
        <v>153193.07</v>
      </c>
      <c r="BI337" s="52">
        <v>154355.09</v>
      </c>
      <c r="BJ337" s="52">
        <v>155193.71</v>
      </c>
      <c r="BK337" s="52">
        <v>179736.85</v>
      </c>
      <c r="BL337" s="52">
        <v>123134.96</v>
      </c>
      <c r="BM337" s="52">
        <v>124984.57</v>
      </c>
      <c r="BN337" s="52">
        <v>135319</v>
      </c>
      <c r="BO337" s="52">
        <v>140386.76</v>
      </c>
      <c r="BP337" s="52">
        <v>142628.81</v>
      </c>
      <c r="BQ337" s="52">
        <v>147968.45000000001</v>
      </c>
      <c r="BR337" s="52">
        <v>150503.04000000001</v>
      </c>
      <c r="BS337" s="52">
        <v>157043.65</v>
      </c>
      <c r="BT337" s="52">
        <v>158558.57</v>
      </c>
      <c r="BU337" s="52">
        <v>163523.09</v>
      </c>
      <c r="BV337" s="52">
        <v>165041.46</v>
      </c>
      <c r="BW337" s="52">
        <v>177485.13</v>
      </c>
      <c r="BX337" s="52">
        <v>181567.07</v>
      </c>
      <c r="BY337" s="52">
        <v>182403.98</v>
      </c>
      <c r="BZ337" s="52">
        <v>186206.29</v>
      </c>
      <c r="CA337" s="52">
        <v>197568.45</v>
      </c>
      <c r="CB337" s="52">
        <v>200080.26</v>
      </c>
      <c r="CC337" s="52">
        <v>202622.93</v>
      </c>
      <c r="CD337" s="52">
        <v>203476.94</v>
      </c>
      <c r="CE337" s="52">
        <v>205236.8</v>
      </c>
      <c r="CF337" s="52">
        <v>211242.97</v>
      </c>
      <c r="CG337" s="52">
        <v>212184.05</v>
      </c>
      <c r="CH337" s="52">
        <v>215449.68</v>
      </c>
      <c r="CI337" s="52">
        <v>221506.58</v>
      </c>
      <c r="CJ337" s="52">
        <v>-9971.86</v>
      </c>
      <c r="CK337" s="52">
        <v>-1905.14</v>
      </c>
      <c r="CL337" s="52">
        <v>401.93</v>
      </c>
      <c r="CM337" s="52">
        <v>4034.39</v>
      </c>
      <c r="CN337" s="52">
        <v>5684.58</v>
      </c>
      <c r="CO337" s="52">
        <v>6508.95</v>
      </c>
      <c r="CP337" s="52">
        <v>7800.93</v>
      </c>
      <c r="CQ337" s="52">
        <v>9314.52</v>
      </c>
      <c r="CR337" s="52">
        <v>10174.290000000001</v>
      </c>
      <c r="CS337" s="52">
        <v>12031.25</v>
      </c>
      <c r="CT337" s="52">
        <v>12745.7</v>
      </c>
      <c r="CU337" s="52">
        <v>14393.46</v>
      </c>
      <c r="CV337" s="430">
        <f t="shared" si="10"/>
        <v>71213</v>
      </c>
    </row>
    <row r="338" spans="1:100">
      <c r="A338" s="540" t="str">
        <f t="shared" si="9"/>
        <v>6810801</v>
      </c>
      <c r="B338" s="541" t="s">
        <v>2140</v>
      </c>
      <c r="C338" s="463" t="s">
        <v>1449</v>
      </c>
      <c r="D338" s="426"/>
      <c r="E338" s="426"/>
      <c r="F338" s="426"/>
      <c r="G338" s="426"/>
      <c r="H338" s="426"/>
      <c r="I338" s="426"/>
      <c r="J338" s="426"/>
      <c r="K338" s="426"/>
      <c r="L338" s="426"/>
      <c r="M338" s="426"/>
      <c r="N338" s="426"/>
      <c r="O338" s="427"/>
      <c r="P338" s="52"/>
      <c r="Q338" s="52"/>
      <c r="R338" s="52"/>
      <c r="S338" s="52"/>
      <c r="T338" s="52"/>
      <c r="U338" s="52"/>
      <c r="V338" s="52"/>
      <c r="W338" s="52"/>
      <c r="X338" s="52"/>
      <c r="Y338" s="52"/>
      <c r="Z338" s="52"/>
      <c r="AA338" s="52"/>
      <c r="AB338" s="52"/>
      <c r="AC338" s="52"/>
      <c r="AD338" s="52"/>
      <c r="AE338" s="52">
        <v>0</v>
      </c>
      <c r="AF338" s="52">
        <v>0</v>
      </c>
      <c r="AG338" s="525">
        <v>-98151</v>
      </c>
      <c r="AH338" s="525">
        <v>-32717</v>
      </c>
      <c r="AI338" s="525">
        <v>-32717</v>
      </c>
      <c r="AJ338" s="525">
        <v>-32717</v>
      </c>
      <c r="AK338" s="525">
        <v>-32717</v>
      </c>
      <c r="AL338" s="525">
        <v>-55592</v>
      </c>
      <c r="AM338" s="525">
        <v>-44155</v>
      </c>
      <c r="AN338" s="525">
        <v>-44155</v>
      </c>
      <c r="AO338" s="525">
        <v>-44155</v>
      </c>
      <c r="AP338" s="525">
        <v>-44155</v>
      </c>
      <c r="AQ338" s="525">
        <v>-44155</v>
      </c>
      <c r="AR338" s="525">
        <v>-44155</v>
      </c>
      <c r="AS338" s="525">
        <v>-44155</v>
      </c>
      <c r="AT338" s="525">
        <v>-44155</v>
      </c>
      <c r="AU338" s="525">
        <v>-44155</v>
      </c>
      <c r="AV338" s="525">
        <v>-44155</v>
      </c>
      <c r="AW338" s="525">
        <v>-44155</v>
      </c>
      <c r="AX338" s="525">
        <v>-44155</v>
      </c>
      <c r="AY338" s="525">
        <v>-44155</v>
      </c>
      <c r="AZ338" s="525">
        <v>-44155</v>
      </c>
      <c r="BA338" s="525">
        <v>-44155</v>
      </c>
      <c r="BB338" s="525">
        <v>-44155</v>
      </c>
      <c r="BC338" s="525">
        <v>-44155</v>
      </c>
      <c r="BD338" s="525">
        <v>-44155</v>
      </c>
      <c r="BE338" s="525">
        <v>-44155</v>
      </c>
      <c r="BF338" s="525">
        <v>-44155</v>
      </c>
      <c r="BG338" s="525">
        <v>-44155</v>
      </c>
      <c r="BH338" s="525">
        <v>-44155</v>
      </c>
      <c r="BI338" s="525">
        <v>-44155</v>
      </c>
      <c r="BJ338" s="525">
        <v>-44155</v>
      </c>
      <c r="BK338" s="525">
        <v>-44155</v>
      </c>
      <c r="BL338" s="525">
        <v>-44155</v>
      </c>
      <c r="BM338" s="525">
        <v>-44155</v>
      </c>
      <c r="BN338" s="525">
        <v>-44155</v>
      </c>
      <c r="BO338" s="525">
        <v>-44155</v>
      </c>
      <c r="BP338" s="525">
        <v>-44155</v>
      </c>
      <c r="BQ338" s="525">
        <v>-44155</v>
      </c>
      <c r="BR338" s="525">
        <v>-44155</v>
      </c>
      <c r="BS338" s="525">
        <v>-44155</v>
      </c>
      <c r="BT338" s="525">
        <v>-44155</v>
      </c>
      <c r="BU338" s="525">
        <v>-44155</v>
      </c>
      <c r="BV338" s="525">
        <v>-44155</v>
      </c>
      <c r="BW338" s="525">
        <v>-44155</v>
      </c>
      <c r="BX338" s="525">
        <v>-44155</v>
      </c>
      <c r="BY338" s="525">
        <v>-44155</v>
      </c>
      <c r="BZ338" s="525">
        <v>-44155</v>
      </c>
      <c r="CA338" s="525">
        <v>-44155</v>
      </c>
      <c r="CB338" s="525">
        <v>-44155</v>
      </c>
      <c r="CC338" s="525">
        <v>-44155</v>
      </c>
      <c r="CD338" s="525">
        <v>-44155</v>
      </c>
      <c r="CE338" s="525">
        <v>-44155</v>
      </c>
      <c r="CF338" s="525">
        <v>-44155</v>
      </c>
      <c r="CG338" s="525">
        <v>-44155</v>
      </c>
      <c r="CH338" s="525">
        <v>-44155</v>
      </c>
      <c r="CI338" s="525">
        <v>-44155</v>
      </c>
      <c r="CJ338" s="525">
        <v>-44155</v>
      </c>
      <c r="CK338" s="525">
        <v>-44155</v>
      </c>
      <c r="CL338" s="525">
        <v>-44155</v>
      </c>
      <c r="CM338" s="525">
        <v>-44155</v>
      </c>
      <c r="CN338" s="525">
        <v>-44155</v>
      </c>
      <c r="CO338" s="525">
        <v>-44155</v>
      </c>
      <c r="CP338" s="525">
        <v>-44155</v>
      </c>
      <c r="CQ338" s="525">
        <v>-44155</v>
      </c>
      <c r="CR338" s="525">
        <v>-44155</v>
      </c>
      <c r="CS338" s="525">
        <v>-44155</v>
      </c>
      <c r="CT338" s="525">
        <v>-44155</v>
      </c>
      <c r="CU338" s="525">
        <v>-44155</v>
      </c>
      <c r="CV338" s="430">
        <f t="shared" si="10"/>
        <v>-529860</v>
      </c>
    </row>
    <row r="339" spans="1:100">
      <c r="A339" s="540" t="str">
        <f t="shared" si="9"/>
        <v>6810802</v>
      </c>
      <c r="B339" s="541" t="s">
        <v>2141</v>
      </c>
      <c r="C339" s="463" t="s">
        <v>1698</v>
      </c>
      <c r="D339" s="426"/>
      <c r="E339" s="426"/>
      <c r="F339" s="426"/>
      <c r="G339" s="426"/>
      <c r="H339" s="426"/>
      <c r="I339" s="426"/>
      <c r="J339" s="426"/>
      <c r="K339" s="426"/>
      <c r="L339" s="426"/>
      <c r="M339" s="426"/>
      <c r="N339" s="426"/>
      <c r="O339" s="427"/>
      <c r="P339" s="52"/>
      <c r="Q339" s="52"/>
      <c r="R339" s="52"/>
      <c r="S339" s="52"/>
      <c r="T339" s="52"/>
      <c r="U339" s="52"/>
      <c r="V339" s="52"/>
      <c r="W339" s="52"/>
      <c r="X339" s="52"/>
      <c r="Y339" s="52"/>
      <c r="Z339" s="52"/>
      <c r="AA339" s="52"/>
      <c r="AB339" s="52"/>
      <c r="AC339" s="52"/>
      <c r="AD339" s="52"/>
      <c r="AE339" s="52">
        <v>0</v>
      </c>
      <c r="AF339" s="52">
        <v>0</v>
      </c>
      <c r="AG339" s="52"/>
      <c r="AH339" s="52">
        <v>43185.87</v>
      </c>
      <c r="AI339" s="52">
        <v>57190.12</v>
      </c>
      <c r="AJ339" s="52">
        <v>57190.12</v>
      </c>
      <c r="AK339" s="52">
        <v>58290.12</v>
      </c>
      <c r="AL339" s="52">
        <v>58290.12</v>
      </c>
      <c r="AM339" s="52">
        <v>-22300.51</v>
      </c>
      <c r="AN339" s="52">
        <v>44159.19</v>
      </c>
      <c r="AO339" s="52">
        <v>44159.19</v>
      </c>
      <c r="AP339" s="52">
        <v>44159.19</v>
      </c>
      <c r="AQ339" s="52">
        <v>44159.19</v>
      </c>
      <c r="AR339" s="52">
        <v>44159.19</v>
      </c>
      <c r="AS339" s="52">
        <v>44159.19</v>
      </c>
      <c r="AT339" s="52">
        <v>44159.19</v>
      </c>
      <c r="AU339" s="52">
        <v>44159.19</v>
      </c>
      <c r="AV339" s="52">
        <v>44159.19</v>
      </c>
      <c r="AW339" s="52">
        <v>44159.19</v>
      </c>
      <c r="AX339" s="52">
        <v>44159.19</v>
      </c>
      <c r="AY339" s="52">
        <v>44159.19</v>
      </c>
      <c r="AZ339" s="52">
        <v>44159.19</v>
      </c>
      <c r="BA339" s="52">
        <v>44159.19</v>
      </c>
      <c r="BB339" s="52">
        <v>44172.67</v>
      </c>
      <c r="BC339" s="52">
        <v>50138.69</v>
      </c>
      <c r="BD339" s="52">
        <v>50138.69</v>
      </c>
      <c r="BE339" s="52">
        <v>50138.69</v>
      </c>
      <c r="BF339" s="52">
        <v>50138.69</v>
      </c>
      <c r="BG339" s="52">
        <v>50138.69</v>
      </c>
      <c r="BH339" s="52">
        <v>50138.69</v>
      </c>
      <c r="BI339" s="52">
        <v>50138.69</v>
      </c>
      <c r="BJ339" s="52">
        <v>50138.69</v>
      </c>
      <c r="BK339" s="52">
        <v>50138.69</v>
      </c>
      <c r="BL339" s="52">
        <v>50138.69</v>
      </c>
      <c r="BM339" s="52">
        <v>50138.69</v>
      </c>
      <c r="BN339" s="52">
        <v>50166.52</v>
      </c>
      <c r="BO339" s="52">
        <v>50166.52</v>
      </c>
      <c r="BP339" s="52">
        <v>54729.68</v>
      </c>
      <c r="BQ339" s="52">
        <v>54729.68</v>
      </c>
      <c r="BR339" s="52">
        <v>54729.68</v>
      </c>
      <c r="BS339" s="52">
        <v>54729.68</v>
      </c>
      <c r="BT339" s="52">
        <v>54729.68</v>
      </c>
      <c r="BU339" s="52">
        <v>54729.68</v>
      </c>
      <c r="BV339" s="52">
        <v>54729.68</v>
      </c>
      <c r="BW339" s="52">
        <v>54729.68</v>
      </c>
      <c r="BX339" s="52">
        <v>54729.68</v>
      </c>
      <c r="BY339" s="52">
        <v>54729.68</v>
      </c>
      <c r="BZ339" s="52">
        <v>54729.68</v>
      </c>
      <c r="CA339" s="52">
        <v>54729.68</v>
      </c>
      <c r="CB339" s="52">
        <v>54729.68</v>
      </c>
      <c r="CC339" s="52">
        <v>54729.68</v>
      </c>
      <c r="CD339" s="52">
        <v>54729.68</v>
      </c>
      <c r="CE339" s="52">
        <v>54729.68</v>
      </c>
      <c r="CF339" s="52">
        <v>54729.68</v>
      </c>
      <c r="CG339" s="52">
        <v>54729.68</v>
      </c>
      <c r="CH339" s="52">
        <v>54729.68</v>
      </c>
      <c r="CI339" s="52">
        <v>54729.68</v>
      </c>
      <c r="CJ339" s="52">
        <v>54729.68</v>
      </c>
      <c r="CK339" s="52">
        <v>54729.68</v>
      </c>
      <c r="CL339" s="52">
        <v>54729.68</v>
      </c>
      <c r="CM339" s="52">
        <v>54729.68</v>
      </c>
      <c r="CN339" s="52">
        <v>54701.85</v>
      </c>
      <c r="CO339" s="52">
        <v>54701.85</v>
      </c>
      <c r="CP339" s="52">
        <v>54701.85</v>
      </c>
      <c r="CQ339" s="52">
        <v>54701.85</v>
      </c>
      <c r="CR339" s="52">
        <v>54701.85</v>
      </c>
      <c r="CS339" s="52">
        <v>54701.85</v>
      </c>
      <c r="CT339" s="52">
        <v>54701.85</v>
      </c>
      <c r="CU339" s="52">
        <v>54701.85</v>
      </c>
      <c r="CV339" s="430">
        <f t="shared" si="10"/>
        <v>656533.5199999999</v>
      </c>
    </row>
    <row r="340" spans="1:100">
      <c r="A340" s="540" t="str">
        <f t="shared" si="9"/>
        <v>6900010</v>
      </c>
      <c r="B340" s="541" t="s">
        <v>2142</v>
      </c>
      <c r="C340" s="463" t="s">
        <v>1220</v>
      </c>
      <c r="D340" s="426">
        <v>962488.02</v>
      </c>
      <c r="E340" s="426">
        <v>970766.68</v>
      </c>
      <c r="F340" s="426">
        <v>818115.57</v>
      </c>
      <c r="G340" s="426">
        <v>765780.78</v>
      </c>
      <c r="H340" s="426">
        <v>634682.4</v>
      </c>
      <c r="I340" s="426">
        <v>659680.96</v>
      </c>
      <c r="J340" s="426">
        <v>611352.59</v>
      </c>
      <c r="K340" s="426">
        <v>579391.89</v>
      </c>
      <c r="L340" s="426">
        <v>612396.09</v>
      </c>
      <c r="M340" s="426">
        <v>613588.09</v>
      </c>
      <c r="N340" s="426">
        <v>654532.75</v>
      </c>
      <c r="O340" s="427">
        <v>821418.82</v>
      </c>
      <c r="P340" s="52">
        <v>921564.01</v>
      </c>
      <c r="Q340" s="52">
        <v>930701.6</v>
      </c>
      <c r="R340" s="52">
        <v>876713.12</v>
      </c>
      <c r="S340" s="52">
        <v>716711.79</v>
      </c>
      <c r="T340" s="52">
        <v>628787.68999999994</v>
      </c>
      <c r="U340" s="52">
        <v>659683.54</v>
      </c>
      <c r="V340" s="52">
        <v>731931.03</v>
      </c>
      <c r="W340" s="52">
        <v>555618.9</v>
      </c>
      <c r="X340" s="52">
        <v>659420.37</v>
      </c>
      <c r="Y340" s="52">
        <v>663224.89</v>
      </c>
      <c r="Z340" s="52">
        <v>711130.29</v>
      </c>
      <c r="AA340" s="52">
        <v>786432.01</v>
      </c>
      <c r="AB340" s="52">
        <v>944707.49</v>
      </c>
      <c r="AC340" s="52">
        <v>1061673.83</v>
      </c>
      <c r="AD340" s="52">
        <v>932956.59</v>
      </c>
      <c r="AE340" s="52">
        <v>853197.85</v>
      </c>
      <c r="AF340" s="52">
        <v>771462.93</v>
      </c>
      <c r="AG340" s="52">
        <v>715451.39</v>
      </c>
      <c r="AH340" s="52">
        <v>671022.66</v>
      </c>
      <c r="AI340" s="52">
        <v>666345.05000000005</v>
      </c>
      <c r="AJ340" s="52">
        <v>666261.43999999994</v>
      </c>
      <c r="AK340" s="52">
        <v>662989.31999999995</v>
      </c>
      <c r="AL340" s="52">
        <v>721183.81</v>
      </c>
      <c r="AM340" s="52">
        <v>827905.41</v>
      </c>
      <c r="AN340" s="52">
        <v>908405.3</v>
      </c>
      <c r="AO340" s="52">
        <v>873855.53</v>
      </c>
      <c r="AP340" s="52">
        <v>843831.69</v>
      </c>
      <c r="AQ340" s="52">
        <v>823902.14</v>
      </c>
      <c r="AR340" s="52">
        <v>745675.26</v>
      </c>
      <c r="AS340" s="52">
        <v>703437.52</v>
      </c>
      <c r="AT340" s="52">
        <v>662025.48</v>
      </c>
      <c r="AU340" s="52">
        <v>665891.54</v>
      </c>
      <c r="AV340" s="52">
        <v>688518.25</v>
      </c>
      <c r="AW340" s="52">
        <v>719407.09</v>
      </c>
      <c r="AX340" s="52">
        <v>784829.67</v>
      </c>
      <c r="AY340" s="52">
        <v>896025.55</v>
      </c>
      <c r="AZ340" s="52">
        <v>1200983.6299999999</v>
      </c>
      <c r="BA340" s="52">
        <v>1074141.94</v>
      </c>
      <c r="BB340" s="52">
        <v>943123.05</v>
      </c>
      <c r="BC340" s="52">
        <v>935732.52</v>
      </c>
      <c r="BD340" s="52">
        <v>849832.03</v>
      </c>
      <c r="BE340" s="52">
        <v>812558.07</v>
      </c>
      <c r="BF340" s="52">
        <v>746757.66</v>
      </c>
      <c r="BG340" s="52">
        <v>728620.03</v>
      </c>
      <c r="BH340" s="52">
        <v>772746.52</v>
      </c>
      <c r="BI340" s="52">
        <v>716676.54</v>
      </c>
      <c r="BJ340" s="52">
        <v>769378.23</v>
      </c>
      <c r="BK340" s="52">
        <v>937801.05</v>
      </c>
      <c r="BL340" s="52">
        <v>1066822.57</v>
      </c>
      <c r="BM340" s="52">
        <v>1041144.7</v>
      </c>
      <c r="BN340" s="52">
        <v>965206.94</v>
      </c>
      <c r="BO340" s="52">
        <v>930781.64</v>
      </c>
      <c r="BP340" s="52">
        <v>806809.96</v>
      </c>
      <c r="BQ340" s="52">
        <v>775019.29</v>
      </c>
      <c r="BR340" s="52">
        <v>753787.61</v>
      </c>
      <c r="BS340" s="52">
        <v>720129.45</v>
      </c>
      <c r="BT340" s="52">
        <v>756683.05</v>
      </c>
      <c r="BU340" s="52">
        <v>740014.74</v>
      </c>
      <c r="BV340" s="52">
        <v>823134.47</v>
      </c>
      <c r="BW340" s="52">
        <v>993293.22</v>
      </c>
      <c r="BX340" s="52">
        <v>1099027.43</v>
      </c>
      <c r="BY340" s="52">
        <v>1057497.58</v>
      </c>
      <c r="BZ340" s="52">
        <v>995565.97</v>
      </c>
      <c r="CA340" s="52">
        <v>858234.19</v>
      </c>
      <c r="CB340" s="52">
        <v>757404.7</v>
      </c>
      <c r="CC340" s="52">
        <v>703815.08</v>
      </c>
      <c r="CD340" s="52">
        <v>735672.65</v>
      </c>
      <c r="CE340" s="52">
        <v>728815.39</v>
      </c>
      <c r="CF340" s="52">
        <v>712266.38</v>
      </c>
      <c r="CG340" s="52">
        <v>741461.7</v>
      </c>
      <c r="CH340" s="52">
        <v>845673.32</v>
      </c>
      <c r="CI340" s="52">
        <v>974505.53</v>
      </c>
      <c r="CJ340" s="52">
        <v>1339279.8</v>
      </c>
      <c r="CK340" s="52">
        <v>1246435.1200000001</v>
      </c>
      <c r="CL340" s="52">
        <v>1168468.74</v>
      </c>
      <c r="CM340" s="52">
        <v>1172223.43</v>
      </c>
      <c r="CN340" s="52">
        <v>1047174.69</v>
      </c>
      <c r="CO340" s="52">
        <v>984453.81</v>
      </c>
      <c r="CP340" s="52">
        <v>986918.97</v>
      </c>
      <c r="CQ340" s="52">
        <v>919524.78</v>
      </c>
      <c r="CR340" s="52">
        <v>971650.93</v>
      </c>
      <c r="CS340" s="52">
        <v>923528.5</v>
      </c>
      <c r="CT340" s="52">
        <v>1044670.42</v>
      </c>
      <c r="CU340" s="52">
        <v>1264591.1000000001</v>
      </c>
      <c r="CV340" s="430">
        <f t="shared" si="10"/>
        <v>13068920.289999999</v>
      </c>
    </row>
    <row r="341" spans="1:100">
      <c r="A341" s="540" t="str">
        <f t="shared" si="9"/>
        <v>6900030</v>
      </c>
      <c r="B341" s="541" t="s">
        <v>2143</v>
      </c>
      <c r="C341" s="463" t="s">
        <v>1221</v>
      </c>
      <c r="D341" s="428">
        <v>1465731.05</v>
      </c>
      <c r="E341" s="428">
        <v>1421595.38</v>
      </c>
      <c r="F341" s="428">
        <v>1286642.43</v>
      </c>
      <c r="G341" s="428">
        <v>1142563.07</v>
      </c>
      <c r="H341" s="428">
        <v>973728.84</v>
      </c>
      <c r="I341" s="428">
        <v>877486.41</v>
      </c>
      <c r="J341" s="428">
        <v>810814.72</v>
      </c>
      <c r="K341" s="428">
        <v>823589.01</v>
      </c>
      <c r="L341" s="428">
        <v>877702.84</v>
      </c>
      <c r="M341" s="428">
        <v>906182.37</v>
      </c>
      <c r="N341" s="428">
        <v>1020693.12</v>
      </c>
      <c r="O341" s="429">
        <v>1299279.1100000001</v>
      </c>
      <c r="P341" s="52">
        <v>1442235.87</v>
      </c>
      <c r="Q341" s="52">
        <v>1486286.69</v>
      </c>
      <c r="R341" s="52">
        <v>1457304.46</v>
      </c>
      <c r="S341" s="52">
        <v>1148076.8</v>
      </c>
      <c r="T341" s="52">
        <v>937863.33</v>
      </c>
      <c r="U341" s="52">
        <v>958209.06</v>
      </c>
      <c r="V341" s="52">
        <v>1195531.6200000001</v>
      </c>
      <c r="W341" s="52">
        <v>686270.15</v>
      </c>
      <c r="X341" s="52">
        <v>909597.35</v>
      </c>
      <c r="Y341" s="52">
        <v>950741.2</v>
      </c>
      <c r="Z341" s="52">
        <v>1034527.47</v>
      </c>
      <c r="AA341" s="52">
        <v>1206266.96</v>
      </c>
      <c r="AB341" s="52">
        <v>1498909.7</v>
      </c>
      <c r="AC341" s="52">
        <v>1616852.72</v>
      </c>
      <c r="AD341" s="52">
        <v>1429511.29</v>
      </c>
      <c r="AE341" s="52">
        <v>1127332.1000000001</v>
      </c>
      <c r="AF341" s="52">
        <v>1110115.95</v>
      </c>
      <c r="AG341" s="52">
        <v>967475.79</v>
      </c>
      <c r="AH341" s="52">
        <v>931908.86</v>
      </c>
      <c r="AI341" s="52">
        <v>821047.49</v>
      </c>
      <c r="AJ341" s="52">
        <v>915385.39</v>
      </c>
      <c r="AK341" s="52">
        <v>897013.57</v>
      </c>
      <c r="AL341" s="52">
        <v>1056768.1499999999</v>
      </c>
      <c r="AM341" s="52">
        <v>1254297.95</v>
      </c>
      <c r="AN341" s="52">
        <v>1421653.55</v>
      </c>
      <c r="AO341" s="52">
        <v>1324602.05</v>
      </c>
      <c r="AP341" s="52">
        <v>1298064.1200000001</v>
      </c>
      <c r="AQ341" s="52">
        <v>1249194.8400000001</v>
      </c>
      <c r="AR341" s="52">
        <v>1077161.9099999999</v>
      </c>
      <c r="AS341" s="52">
        <v>949099.08</v>
      </c>
      <c r="AT341" s="52">
        <v>776245.84</v>
      </c>
      <c r="AU341" s="52">
        <v>875004.59</v>
      </c>
      <c r="AV341" s="52">
        <v>875395.73</v>
      </c>
      <c r="AW341" s="52">
        <v>936251.45</v>
      </c>
      <c r="AX341" s="52">
        <v>1049937.8400000001</v>
      </c>
      <c r="AY341" s="52">
        <v>1278413.8400000001</v>
      </c>
      <c r="AZ341" s="52">
        <v>1748087.86</v>
      </c>
      <c r="BA341" s="52">
        <v>1508987.86</v>
      </c>
      <c r="BB341" s="52">
        <v>1277608.48</v>
      </c>
      <c r="BC341" s="52">
        <v>1337389.19</v>
      </c>
      <c r="BD341" s="52">
        <v>1076048.68</v>
      </c>
      <c r="BE341" s="52">
        <v>1033662.19</v>
      </c>
      <c r="BF341" s="52">
        <v>894234.75</v>
      </c>
      <c r="BG341" s="52">
        <v>837829.54</v>
      </c>
      <c r="BH341" s="52">
        <v>986490.61</v>
      </c>
      <c r="BI341" s="52">
        <v>891540.29</v>
      </c>
      <c r="BJ341" s="52">
        <v>1009116.81</v>
      </c>
      <c r="BK341" s="52">
        <v>1392204.59</v>
      </c>
      <c r="BL341" s="52">
        <v>1655787.55</v>
      </c>
      <c r="BM341" s="52">
        <v>1640421.41</v>
      </c>
      <c r="BN341" s="52">
        <v>1424624.07</v>
      </c>
      <c r="BO341" s="52">
        <v>1125549.97</v>
      </c>
      <c r="BP341" s="52">
        <v>1177922.3799999999</v>
      </c>
      <c r="BQ341" s="52">
        <v>1016378.54</v>
      </c>
      <c r="BR341" s="52">
        <v>984361.68</v>
      </c>
      <c r="BS341" s="52">
        <v>932359.53</v>
      </c>
      <c r="BT341" s="52">
        <v>949375.97</v>
      </c>
      <c r="BU341" s="52">
        <v>936155.2</v>
      </c>
      <c r="BV341" s="52">
        <v>1112587.07</v>
      </c>
      <c r="BW341" s="52">
        <v>1504303.85</v>
      </c>
      <c r="BX341" s="52">
        <v>1618178.97</v>
      </c>
      <c r="BY341" s="52">
        <v>1572436.88</v>
      </c>
      <c r="BZ341" s="52">
        <v>1352878.21</v>
      </c>
      <c r="CA341" s="52">
        <v>1062025.6200000001</v>
      </c>
      <c r="CB341" s="52">
        <v>953525.89</v>
      </c>
      <c r="CC341" s="52">
        <v>967309.63</v>
      </c>
      <c r="CD341" s="52">
        <v>851851.75</v>
      </c>
      <c r="CE341" s="52">
        <v>911904.78</v>
      </c>
      <c r="CF341" s="52">
        <v>870947.67</v>
      </c>
      <c r="CG341" s="52">
        <v>954992.39</v>
      </c>
      <c r="CH341" s="52">
        <v>1095394.1499999999</v>
      </c>
      <c r="CI341" s="52">
        <v>1396326.38</v>
      </c>
      <c r="CJ341" s="52">
        <v>1837558.54</v>
      </c>
      <c r="CK341" s="52">
        <v>1655338.08</v>
      </c>
      <c r="CL341" s="52">
        <v>1457150.65</v>
      </c>
      <c r="CM341" s="52">
        <v>1426996.58</v>
      </c>
      <c r="CN341" s="52">
        <v>1201056.29</v>
      </c>
      <c r="CO341" s="52">
        <v>1108542.6499999999</v>
      </c>
      <c r="CP341" s="52">
        <v>1134501.22</v>
      </c>
      <c r="CQ341" s="52">
        <v>1011208.09</v>
      </c>
      <c r="CR341" s="52">
        <v>1071922.69</v>
      </c>
      <c r="CS341" s="52">
        <v>1072270.76</v>
      </c>
      <c r="CT341" s="52">
        <v>1236232.4099999999</v>
      </c>
      <c r="CU341" s="52">
        <v>1610219.3</v>
      </c>
      <c r="CV341" s="430">
        <f t="shared" si="10"/>
        <v>15822997.26</v>
      </c>
    </row>
    <row r="342" spans="1:100">
      <c r="A342" s="540" t="str">
        <f t="shared" si="9"/>
        <v>6900040</v>
      </c>
      <c r="B342" s="541" t="s">
        <v>2144</v>
      </c>
      <c r="C342" s="463" t="s">
        <v>1222</v>
      </c>
      <c r="D342" s="428">
        <v>513899.56</v>
      </c>
      <c r="E342" s="428">
        <v>192111.83</v>
      </c>
      <c r="F342" s="428">
        <v>188788.5</v>
      </c>
      <c r="G342" s="428">
        <v>190675.25</v>
      </c>
      <c r="H342" s="428">
        <v>295409.40000000002</v>
      </c>
      <c r="I342" s="428">
        <v>183266.06</v>
      </c>
      <c r="J342" s="428">
        <v>184336.22</v>
      </c>
      <c r="K342" s="428">
        <v>183479.86</v>
      </c>
      <c r="L342" s="428">
        <v>179951.44</v>
      </c>
      <c r="M342" s="428">
        <v>268881.18</v>
      </c>
      <c r="N342" s="428">
        <v>189043.54</v>
      </c>
      <c r="O342" s="429">
        <v>267749.59000000003</v>
      </c>
      <c r="P342" s="52">
        <v>219788.02</v>
      </c>
      <c r="Q342" s="52">
        <v>338383.19</v>
      </c>
      <c r="R342" s="52">
        <v>240386.72</v>
      </c>
      <c r="S342" s="52">
        <v>294165.48</v>
      </c>
      <c r="T342" s="52">
        <v>187157.9</v>
      </c>
      <c r="U342" s="52">
        <v>193915.67</v>
      </c>
      <c r="V342" s="52">
        <v>180169.74</v>
      </c>
      <c r="W342" s="52">
        <v>184111.85</v>
      </c>
      <c r="X342" s="52">
        <v>167316.93</v>
      </c>
      <c r="Y342" s="52">
        <v>269874.71999999997</v>
      </c>
      <c r="Z342" s="52">
        <v>206913.99</v>
      </c>
      <c r="AA342" s="52">
        <v>268648.63</v>
      </c>
      <c r="AB342" s="52">
        <v>316057</v>
      </c>
      <c r="AC342" s="52">
        <v>259509.29</v>
      </c>
      <c r="AD342" s="52">
        <v>310442.06</v>
      </c>
      <c r="AE342" s="52">
        <v>200506.94</v>
      </c>
      <c r="AF342" s="52">
        <v>198256.83</v>
      </c>
      <c r="AG342" s="52">
        <v>197124.07</v>
      </c>
      <c r="AH342" s="52">
        <v>211087.52</v>
      </c>
      <c r="AI342" s="52">
        <v>246196.5</v>
      </c>
      <c r="AJ342" s="52">
        <v>313282.81</v>
      </c>
      <c r="AK342" s="52">
        <v>202268.7</v>
      </c>
      <c r="AL342" s="52">
        <v>161152.97</v>
      </c>
      <c r="AM342" s="52">
        <v>231861.72</v>
      </c>
      <c r="AN342" s="52">
        <v>264460.69</v>
      </c>
      <c r="AO342" s="52">
        <v>249825.81</v>
      </c>
      <c r="AP342" s="52">
        <v>330954.64</v>
      </c>
      <c r="AQ342" s="52">
        <v>224962.66</v>
      </c>
      <c r="AR342" s="52">
        <v>214288.17</v>
      </c>
      <c r="AS342" s="52">
        <v>221205.38</v>
      </c>
      <c r="AT342" s="52">
        <v>220045.88</v>
      </c>
      <c r="AU342" s="52">
        <v>330319.28000000003</v>
      </c>
      <c r="AV342" s="52">
        <v>226256.26</v>
      </c>
      <c r="AW342" s="52">
        <v>202242.11</v>
      </c>
      <c r="AX342" s="52">
        <v>223910.43</v>
      </c>
      <c r="AY342" s="52">
        <v>228088.02</v>
      </c>
      <c r="AZ342" s="52">
        <v>255845.55</v>
      </c>
      <c r="BA342" s="52">
        <v>318437.59999999998</v>
      </c>
      <c r="BB342" s="52">
        <v>350276.78</v>
      </c>
      <c r="BC342" s="52">
        <v>239945.3</v>
      </c>
      <c r="BD342" s="52">
        <v>237282.78</v>
      </c>
      <c r="BE342" s="52">
        <v>238344.06</v>
      </c>
      <c r="BF342" s="52">
        <v>247595.76</v>
      </c>
      <c r="BG342" s="52">
        <v>388768.2</v>
      </c>
      <c r="BH342" s="52">
        <v>246965.68</v>
      </c>
      <c r="BI342" s="52">
        <v>268739.77</v>
      </c>
      <c r="BJ342" s="52">
        <v>263371.71999999997</v>
      </c>
      <c r="BK342" s="52">
        <v>340349.92</v>
      </c>
      <c r="BL342" s="52">
        <v>410969.53</v>
      </c>
      <c r="BM342" s="52">
        <v>287161.67</v>
      </c>
      <c r="BN342" s="52">
        <v>261423.12</v>
      </c>
      <c r="BO342" s="52">
        <v>256504.34</v>
      </c>
      <c r="BP342" s="52">
        <v>256781.97</v>
      </c>
      <c r="BQ342" s="52">
        <v>256459.01</v>
      </c>
      <c r="BR342" s="52">
        <v>260533.29</v>
      </c>
      <c r="BS342" s="52">
        <v>375637.89</v>
      </c>
      <c r="BT342" s="52">
        <v>261612.34</v>
      </c>
      <c r="BU342" s="52">
        <v>254524.98</v>
      </c>
      <c r="BV342" s="52">
        <v>315412.69</v>
      </c>
      <c r="BW342" s="52">
        <v>382810.19</v>
      </c>
      <c r="BX342" s="52">
        <v>337906.09</v>
      </c>
      <c r="BY342" s="52">
        <v>373135.64</v>
      </c>
      <c r="BZ342" s="52">
        <v>311945.71999999997</v>
      </c>
      <c r="CA342" s="52">
        <v>276934.52</v>
      </c>
      <c r="CB342" s="52">
        <v>277587.19</v>
      </c>
      <c r="CC342" s="52">
        <v>264970.82</v>
      </c>
      <c r="CD342" s="52">
        <v>397312.17</v>
      </c>
      <c r="CE342" s="52">
        <v>271030.08</v>
      </c>
      <c r="CF342" s="52">
        <v>120850.93</v>
      </c>
      <c r="CG342" s="52">
        <v>268781.05</v>
      </c>
      <c r="CH342" s="52">
        <v>277307.40999999997</v>
      </c>
      <c r="CI342" s="52">
        <v>356983.64</v>
      </c>
      <c r="CJ342" s="52">
        <v>334886.88</v>
      </c>
      <c r="CK342" s="52">
        <v>313955.82</v>
      </c>
      <c r="CL342" s="52">
        <v>363252</v>
      </c>
      <c r="CM342" s="52">
        <v>303140</v>
      </c>
      <c r="CN342" s="52">
        <v>302745.43</v>
      </c>
      <c r="CO342" s="52">
        <v>218448.63</v>
      </c>
      <c r="CP342" s="52">
        <v>426721.29</v>
      </c>
      <c r="CQ342" s="52">
        <v>282078</v>
      </c>
      <c r="CR342" s="52">
        <v>264677.14</v>
      </c>
      <c r="CS342" s="52">
        <v>340171.16</v>
      </c>
      <c r="CT342" s="52">
        <v>301178.21999999997</v>
      </c>
      <c r="CU342" s="52">
        <v>534773.48</v>
      </c>
      <c r="CV342" s="430">
        <f t="shared" si="10"/>
        <v>3986028.0500000003</v>
      </c>
    </row>
    <row r="343" spans="1:100">
      <c r="A343" s="540" t="str">
        <f t="shared" si="9"/>
        <v>6900060</v>
      </c>
      <c r="B343" s="541" t="s">
        <v>2145</v>
      </c>
      <c r="C343" s="463" t="s">
        <v>1223</v>
      </c>
      <c r="D343" s="426">
        <v>809000</v>
      </c>
      <c r="E343" s="426">
        <v>809000</v>
      </c>
      <c r="F343" s="426">
        <v>809000</v>
      </c>
      <c r="G343" s="426">
        <v>809000</v>
      </c>
      <c r="H343" s="426">
        <v>809000</v>
      </c>
      <c r="I343" s="426">
        <v>807092.51</v>
      </c>
      <c r="J343" s="426">
        <v>809000</v>
      </c>
      <c r="K343" s="426">
        <v>471000</v>
      </c>
      <c r="L343" s="426">
        <v>766977</v>
      </c>
      <c r="M343" s="426">
        <v>766977</v>
      </c>
      <c r="N343" s="426">
        <v>812057</v>
      </c>
      <c r="O343" s="427">
        <v>800196.96</v>
      </c>
      <c r="P343" s="52">
        <v>819204.37</v>
      </c>
      <c r="Q343" s="52">
        <v>819000</v>
      </c>
      <c r="R343" s="52">
        <v>819000</v>
      </c>
      <c r="S343" s="52">
        <v>819000</v>
      </c>
      <c r="T343" s="52">
        <v>819000</v>
      </c>
      <c r="U343" s="52">
        <v>819000</v>
      </c>
      <c r="V343" s="52">
        <v>819000</v>
      </c>
      <c r="W343" s="52">
        <v>467000.35</v>
      </c>
      <c r="X343" s="52">
        <v>775000</v>
      </c>
      <c r="Y343" s="52">
        <v>775000</v>
      </c>
      <c r="Z343" s="52">
        <v>775000</v>
      </c>
      <c r="AA343" s="52">
        <v>718621.41</v>
      </c>
      <c r="AB343" s="52">
        <v>809000</v>
      </c>
      <c r="AC343" s="52">
        <v>809000</v>
      </c>
      <c r="AD343" s="52">
        <v>809000</v>
      </c>
      <c r="AE343" s="52">
        <v>809000</v>
      </c>
      <c r="AF343" s="52">
        <v>809000</v>
      </c>
      <c r="AG343" s="52">
        <v>809000</v>
      </c>
      <c r="AH343" s="52">
        <v>809000</v>
      </c>
      <c r="AI343" s="52">
        <v>809000</v>
      </c>
      <c r="AJ343" s="52">
        <v>809000</v>
      </c>
      <c r="AK343" s="52">
        <v>809000</v>
      </c>
      <c r="AL343" s="52">
        <v>399570.32</v>
      </c>
      <c r="AM343" s="52">
        <v>771779.1</v>
      </c>
      <c r="AN343" s="52">
        <v>876000</v>
      </c>
      <c r="AO343" s="52">
        <v>876000</v>
      </c>
      <c r="AP343" s="52">
        <v>876000</v>
      </c>
      <c r="AQ343" s="52">
        <v>876000</v>
      </c>
      <c r="AR343" s="52">
        <v>626000</v>
      </c>
      <c r="AS343" s="52">
        <v>826000</v>
      </c>
      <c r="AT343" s="52">
        <v>826000</v>
      </c>
      <c r="AU343" s="52">
        <v>684666.4</v>
      </c>
      <c r="AV343" s="52">
        <v>808333.3</v>
      </c>
      <c r="AW343" s="52">
        <v>808333.3</v>
      </c>
      <c r="AX343" s="52">
        <v>514410.1</v>
      </c>
      <c r="AY343" s="52">
        <v>781613.01</v>
      </c>
      <c r="AZ343" s="52">
        <v>943820</v>
      </c>
      <c r="BA343" s="52">
        <v>943820</v>
      </c>
      <c r="BB343" s="52">
        <v>943820</v>
      </c>
      <c r="BC343" s="52">
        <v>943820</v>
      </c>
      <c r="BD343" s="52">
        <v>943820</v>
      </c>
      <c r="BE343" s="52">
        <v>943820</v>
      </c>
      <c r="BF343" s="52">
        <v>943820</v>
      </c>
      <c r="BG343" s="52">
        <v>943820</v>
      </c>
      <c r="BH343" s="52">
        <v>943820</v>
      </c>
      <c r="BI343" s="52">
        <v>943820</v>
      </c>
      <c r="BJ343" s="52">
        <v>422195.93</v>
      </c>
      <c r="BK343" s="52">
        <v>896399.7</v>
      </c>
      <c r="BL343" s="52">
        <v>1063964</v>
      </c>
      <c r="BM343" s="52">
        <v>1063964</v>
      </c>
      <c r="BN343" s="52">
        <v>1063964</v>
      </c>
      <c r="BO343" s="52">
        <v>1063964</v>
      </c>
      <c r="BP343" s="52">
        <v>1063964</v>
      </c>
      <c r="BQ343" s="52">
        <v>1063964</v>
      </c>
      <c r="BR343" s="52">
        <v>1063964</v>
      </c>
      <c r="BS343" s="52">
        <v>552252</v>
      </c>
      <c r="BT343" s="52">
        <v>1000000</v>
      </c>
      <c r="BU343" s="52">
        <v>1000000</v>
      </c>
      <c r="BV343" s="52">
        <v>1000000</v>
      </c>
      <c r="BW343" s="52">
        <v>1033067.6</v>
      </c>
      <c r="BX343" s="52">
        <v>1159498</v>
      </c>
      <c r="BY343" s="52">
        <v>1159498</v>
      </c>
      <c r="BZ343" s="52">
        <v>1159498</v>
      </c>
      <c r="CA343" s="52">
        <v>1159498</v>
      </c>
      <c r="CB343" s="52">
        <v>1159498</v>
      </c>
      <c r="CC343" s="52">
        <v>1159498</v>
      </c>
      <c r="CD343" s="52">
        <v>1159498</v>
      </c>
      <c r="CE343" s="52">
        <v>1159498</v>
      </c>
      <c r="CF343" s="52">
        <v>1159498</v>
      </c>
      <c r="CG343" s="52">
        <v>1159498</v>
      </c>
      <c r="CH343" s="52">
        <v>662910.97</v>
      </c>
      <c r="CI343" s="52">
        <v>661943.87</v>
      </c>
      <c r="CJ343" s="52">
        <v>1232571.23</v>
      </c>
      <c r="CK343" s="52">
        <v>1232571.23</v>
      </c>
      <c r="CL343" s="52">
        <v>1232571.23</v>
      </c>
      <c r="CM343" s="52">
        <v>1232571.23</v>
      </c>
      <c r="CN343" s="52">
        <v>1232571.23</v>
      </c>
      <c r="CO343" s="52">
        <v>1232614.9099999999</v>
      </c>
      <c r="CP343" s="52">
        <v>1232571.23</v>
      </c>
      <c r="CQ343" s="52">
        <v>1232571.23</v>
      </c>
      <c r="CR343" s="52">
        <v>564430.73</v>
      </c>
      <c r="CS343" s="52">
        <v>1158333.3999999999</v>
      </c>
      <c r="CT343" s="52">
        <v>1158333.3999999999</v>
      </c>
      <c r="CU343" s="52">
        <v>1029673.84</v>
      </c>
      <c r="CV343" s="430">
        <f t="shared" si="10"/>
        <v>13771384.890000002</v>
      </c>
    </row>
    <row r="344" spans="1:100">
      <c r="A344" s="540" t="str">
        <f t="shared" si="9"/>
        <v>6900061</v>
      </c>
      <c r="B344" s="541" t="s">
        <v>2146</v>
      </c>
      <c r="C344" s="463" t="s">
        <v>1450</v>
      </c>
      <c r="D344" s="426"/>
      <c r="E344" s="426"/>
      <c r="F344" s="426"/>
      <c r="G344" s="426"/>
      <c r="H344" s="426"/>
      <c r="I344" s="426"/>
      <c r="J344" s="426"/>
      <c r="K344" s="426"/>
      <c r="L344" s="426"/>
      <c r="M344" s="426"/>
      <c r="N344" s="426"/>
      <c r="O344" s="427"/>
      <c r="P344" s="52"/>
      <c r="Q344" s="52"/>
      <c r="R344" s="52"/>
      <c r="S344" s="52"/>
      <c r="T344" s="52"/>
      <c r="U344" s="52"/>
      <c r="V344" s="52"/>
      <c r="W344" s="52"/>
      <c r="X344" s="52"/>
      <c r="Y344" s="52"/>
      <c r="Z344" s="52"/>
      <c r="AA344" s="52"/>
      <c r="AB344" s="52"/>
      <c r="AC344" s="52"/>
      <c r="AD344" s="52"/>
      <c r="AE344" s="52">
        <v>0</v>
      </c>
      <c r="AF344" s="52">
        <v>0</v>
      </c>
      <c r="AG344" s="525">
        <v>-29445</v>
      </c>
      <c r="AH344" s="525">
        <v>-9815</v>
      </c>
      <c r="AI344" s="525">
        <v>-9815</v>
      </c>
      <c r="AJ344" s="525">
        <v>-9815</v>
      </c>
      <c r="AK344" s="525">
        <v>-9815</v>
      </c>
      <c r="AL344" s="525">
        <v>-16677</v>
      </c>
      <c r="AM344" s="525">
        <v>-13246</v>
      </c>
      <c r="AN344" s="525">
        <v>-12834</v>
      </c>
      <c r="AO344" s="525">
        <v>-12835</v>
      </c>
      <c r="AP344" s="525">
        <v>-12835</v>
      </c>
      <c r="AQ344" s="525">
        <v>-12835</v>
      </c>
      <c r="AR344" s="525">
        <v>-12835</v>
      </c>
      <c r="AS344" s="525">
        <v>-12835</v>
      </c>
      <c r="AT344" s="525">
        <v>-12835</v>
      </c>
      <c r="AU344" s="525">
        <v>-12835</v>
      </c>
      <c r="AV344" s="525">
        <v>-12835</v>
      </c>
      <c r="AW344" s="525">
        <v>-12835</v>
      </c>
      <c r="AX344" s="525">
        <v>-12835</v>
      </c>
      <c r="AY344" s="525">
        <v>-12835</v>
      </c>
      <c r="AZ344" s="525">
        <v>-12173</v>
      </c>
      <c r="BA344" s="525">
        <v>-12173</v>
      </c>
      <c r="BB344" s="525">
        <v>-12173</v>
      </c>
      <c r="BC344" s="525">
        <v>-12173</v>
      </c>
      <c r="BD344" s="525">
        <v>-12173</v>
      </c>
      <c r="BE344" s="525">
        <v>-12167</v>
      </c>
      <c r="BF344" s="525">
        <v>-12172</v>
      </c>
      <c r="BG344" s="525">
        <v>-12173</v>
      </c>
      <c r="BH344" s="525">
        <v>-12173</v>
      </c>
      <c r="BI344" s="525">
        <v>-12173</v>
      </c>
      <c r="BJ344" s="525">
        <v>-12173</v>
      </c>
      <c r="BK344" s="525">
        <v>-12173</v>
      </c>
      <c r="BL344" s="525">
        <v>-11510</v>
      </c>
      <c r="BM344" s="525">
        <v>-11510</v>
      </c>
      <c r="BN344" s="525">
        <v>-11510</v>
      </c>
      <c r="BO344" s="525">
        <v>-11510</v>
      </c>
      <c r="BP344" s="525">
        <v>-11510</v>
      </c>
      <c r="BQ344" s="525">
        <v>-11510</v>
      </c>
      <c r="BR344" s="525">
        <v>-11510</v>
      </c>
      <c r="BS344" s="525">
        <v>-11510</v>
      </c>
      <c r="BT344" s="525">
        <v>-11510</v>
      </c>
      <c r="BU344" s="525">
        <v>-11510</v>
      </c>
      <c r="BV344" s="525">
        <v>-11510</v>
      </c>
      <c r="BW344" s="525">
        <v>-11510</v>
      </c>
      <c r="BX344" s="525">
        <v>-10849</v>
      </c>
      <c r="BY344" s="525">
        <v>-10849</v>
      </c>
      <c r="BZ344" s="525">
        <v>-10849</v>
      </c>
      <c r="CA344" s="525">
        <v>-10849</v>
      </c>
      <c r="CB344" s="525">
        <v>-10849</v>
      </c>
      <c r="CC344" s="525">
        <v>-10849</v>
      </c>
      <c r="CD344" s="525">
        <v>-10849</v>
      </c>
      <c r="CE344" s="525">
        <v>-10849</v>
      </c>
      <c r="CF344" s="525">
        <v>-10849</v>
      </c>
      <c r="CG344" s="525">
        <v>-10849</v>
      </c>
      <c r="CH344" s="525">
        <v>-10849</v>
      </c>
      <c r="CI344" s="525">
        <v>-10849</v>
      </c>
      <c r="CJ344" s="525">
        <v>-10186</v>
      </c>
      <c r="CK344" s="525">
        <v>-10186</v>
      </c>
      <c r="CL344" s="525">
        <v>-10186</v>
      </c>
      <c r="CM344" s="525">
        <v>-10186</v>
      </c>
      <c r="CN344" s="525">
        <v>-10186</v>
      </c>
      <c r="CO344" s="525">
        <v>-10186</v>
      </c>
      <c r="CP344" s="525">
        <v>-10186</v>
      </c>
      <c r="CQ344" s="525">
        <v>-10186</v>
      </c>
      <c r="CR344" s="525">
        <v>-10186</v>
      </c>
      <c r="CS344" s="525">
        <v>-10186</v>
      </c>
      <c r="CT344" s="525">
        <v>-10186</v>
      </c>
      <c r="CU344" s="525">
        <v>-10186</v>
      </c>
      <c r="CV344" s="430">
        <f t="shared" si="10"/>
        <v>-122232</v>
      </c>
    </row>
    <row r="345" spans="1:100">
      <c r="A345" s="540" t="str">
        <f t="shared" si="9"/>
        <v>6900070</v>
      </c>
      <c r="B345" s="541" t="s">
        <v>2147</v>
      </c>
      <c r="C345" s="463" t="s">
        <v>1224</v>
      </c>
      <c r="D345" s="428">
        <v>190106.41</v>
      </c>
      <c r="E345" s="428">
        <v>178244.85</v>
      </c>
      <c r="F345" s="428">
        <v>152307.96</v>
      </c>
      <c r="G345" s="428">
        <v>136766.87</v>
      </c>
      <c r="H345" s="428">
        <v>125067.01</v>
      </c>
      <c r="I345" s="428">
        <v>115244.77</v>
      </c>
      <c r="J345" s="428">
        <v>111157.89</v>
      </c>
      <c r="K345" s="428">
        <v>104862.12</v>
      </c>
      <c r="L345" s="428">
        <v>138566.35999999999</v>
      </c>
      <c r="M345" s="428">
        <v>79139.25</v>
      </c>
      <c r="N345" s="428">
        <v>118099.26</v>
      </c>
      <c r="O345" s="429">
        <v>190104.65</v>
      </c>
      <c r="P345" s="52">
        <v>173194.35</v>
      </c>
      <c r="Q345" s="52">
        <v>172300.56</v>
      </c>
      <c r="R345" s="52">
        <v>165117.4</v>
      </c>
      <c r="S345" s="52">
        <v>128986.18</v>
      </c>
      <c r="T345" s="52">
        <v>136626.10999999999</v>
      </c>
      <c r="U345" s="52">
        <v>122925.82</v>
      </c>
      <c r="V345" s="52">
        <v>120321.46</v>
      </c>
      <c r="W345" s="52">
        <v>115236.63</v>
      </c>
      <c r="X345" s="52">
        <v>126306.09</v>
      </c>
      <c r="Y345" s="52">
        <v>123591.56</v>
      </c>
      <c r="Z345" s="52">
        <v>128782.04</v>
      </c>
      <c r="AA345" s="52">
        <v>155270.85</v>
      </c>
      <c r="AB345" s="52">
        <v>165747.07</v>
      </c>
      <c r="AC345" s="52">
        <v>184487.17</v>
      </c>
      <c r="AD345" s="52">
        <v>161719.97</v>
      </c>
      <c r="AE345" s="52">
        <v>145017.46</v>
      </c>
      <c r="AF345" s="52">
        <v>134033.91</v>
      </c>
      <c r="AG345" s="52">
        <v>147424.18</v>
      </c>
      <c r="AH345" s="52">
        <v>135357.71</v>
      </c>
      <c r="AI345" s="52">
        <v>147344.25</v>
      </c>
      <c r="AJ345" s="52">
        <v>142040.09</v>
      </c>
      <c r="AK345" s="52">
        <v>140638.31</v>
      </c>
      <c r="AL345" s="52">
        <v>139655.96</v>
      </c>
      <c r="AM345" s="52">
        <v>139422.57</v>
      </c>
      <c r="AN345" s="52">
        <v>164471.87</v>
      </c>
      <c r="AO345" s="52">
        <v>163845.14000000001</v>
      </c>
      <c r="AP345" s="52">
        <v>153868.12</v>
      </c>
      <c r="AQ345" s="52">
        <v>151260.76999999999</v>
      </c>
      <c r="AR345" s="52">
        <v>146118.57999999999</v>
      </c>
      <c r="AS345" s="52">
        <v>137944.79</v>
      </c>
      <c r="AT345" s="52">
        <v>127049.95</v>
      </c>
      <c r="AU345" s="52">
        <v>131260.43</v>
      </c>
      <c r="AV345" s="52">
        <v>138190.48000000001</v>
      </c>
      <c r="AW345" s="52">
        <v>131213.89000000001</v>
      </c>
      <c r="AX345" s="52">
        <v>148033.01</v>
      </c>
      <c r="AY345" s="52">
        <v>173217.98</v>
      </c>
      <c r="AZ345" s="52">
        <v>224566.48</v>
      </c>
      <c r="BA345" s="52">
        <v>208661.42</v>
      </c>
      <c r="BB345" s="52">
        <v>168561.81</v>
      </c>
      <c r="BC345" s="52">
        <v>173036.45</v>
      </c>
      <c r="BD345" s="52">
        <v>151341.87</v>
      </c>
      <c r="BE345" s="52">
        <v>148590.45000000001</v>
      </c>
      <c r="BF345" s="52">
        <v>141468.37</v>
      </c>
      <c r="BG345" s="52">
        <v>149505</v>
      </c>
      <c r="BH345" s="52">
        <v>149474.21</v>
      </c>
      <c r="BI345" s="52">
        <v>139261.81</v>
      </c>
      <c r="BJ345" s="52">
        <v>150265.22</v>
      </c>
      <c r="BK345" s="52">
        <v>178957.13</v>
      </c>
      <c r="BL345" s="52">
        <v>192312.36</v>
      </c>
      <c r="BM345" s="52">
        <v>192561.32</v>
      </c>
      <c r="BN345" s="52">
        <v>173146.54</v>
      </c>
      <c r="BO345" s="52">
        <v>166352.44</v>
      </c>
      <c r="BP345" s="52">
        <v>156239.94</v>
      </c>
      <c r="BQ345" s="52">
        <v>144986.88</v>
      </c>
      <c r="BR345" s="52">
        <v>138172.34</v>
      </c>
      <c r="BS345" s="52">
        <v>132512.26</v>
      </c>
      <c r="BT345" s="52">
        <v>136917.5</v>
      </c>
      <c r="BU345" s="52">
        <v>141768.03</v>
      </c>
      <c r="BV345" s="52">
        <v>141768.03</v>
      </c>
      <c r="BW345" s="52">
        <v>176726.28</v>
      </c>
      <c r="BX345" s="52">
        <v>194367.62</v>
      </c>
      <c r="BY345" s="52">
        <v>188167.73</v>
      </c>
      <c r="BZ345" s="52">
        <v>177744.29</v>
      </c>
      <c r="CA345" s="52">
        <v>131900.16</v>
      </c>
      <c r="CB345" s="52">
        <v>140744.25</v>
      </c>
      <c r="CC345" s="52">
        <v>137373.29999999999</v>
      </c>
      <c r="CD345" s="52">
        <v>151799.5</v>
      </c>
      <c r="CE345" s="52">
        <v>133983.67000000001</v>
      </c>
      <c r="CF345" s="52">
        <v>127094.12</v>
      </c>
      <c r="CG345" s="52">
        <v>135590.22</v>
      </c>
      <c r="CH345" s="52">
        <v>148605.32</v>
      </c>
      <c r="CI345" s="52">
        <v>178741.87</v>
      </c>
      <c r="CJ345" s="52">
        <v>247852.69</v>
      </c>
      <c r="CK345" s="52">
        <v>233717.86</v>
      </c>
      <c r="CL345" s="52">
        <v>210269.24</v>
      </c>
      <c r="CM345" s="52">
        <v>213234.81</v>
      </c>
      <c r="CN345" s="52">
        <v>187290.12</v>
      </c>
      <c r="CO345" s="52">
        <v>180968.28</v>
      </c>
      <c r="CP345" s="52">
        <v>172135.59</v>
      </c>
      <c r="CQ345" s="52">
        <v>162802.17000000001</v>
      </c>
      <c r="CR345" s="52">
        <v>170596.77</v>
      </c>
      <c r="CS345" s="52">
        <v>169604.49</v>
      </c>
      <c r="CT345" s="52">
        <v>206204.79999999999</v>
      </c>
      <c r="CU345" s="52">
        <v>224752.08</v>
      </c>
      <c r="CV345" s="430">
        <f t="shared" si="10"/>
        <v>2379428.9000000004</v>
      </c>
    </row>
    <row r="346" spans="1:100">
      <c r="A346" s="540" t="str">
        <f t="shared" si="9"/>
        <v>6900110</v>
      </c>
      <c r="B346" s="541" t="s">
        <v>2148</v>
      </c>
      <c r="C346" s="463" t="s">
        <v>1225</v>
      </c>
      <c r="D346" s="428">
        <v>0</v>
      </c>
      <c r="E346" s="428">
        <v>0</v>
      </c>
      <c r="F346" s="428">
        <v>0</v>
      </c>
      <c r="G346" s="428">
        <v>0</v>
      </c>
      <c r="H346" s="428">
        <v>0</v>
      </c>
      <c r="I346" s="428">
        <v>0</v>
      </c>
      <c r="J346" s="428">
        <v>7215.96</v>
      </c>
      <c r="K346" s="428">
        <v>0</v>
      </c>
      <c r="L346" s="428">
        <v>0</v>
      </c>
      <c r="M346" s="428">
        <v>952.88</v>
      </c>
      <c r="N346" s="428">
        <v>457.92</v>
      </c>
      <c r="O346" s="429">
        <v>52.11</v>
      </c>
      <c r="P346" s="52">
        <v>35.409999999999997</v>
      </c>
      <c r="Q346" s="52">
        <v>31.04</v>
      </c>
      <c r="R346" s="52">
        <v>69.03</v>
      </c>
      <c r="S346" s="52">
        <v>34.51</v>
      </c>
      <c r="T346" s="52">
        <v>78.75</v>
      </c>
      <c r="U346" s="52">
        <v>88.8</v>
      </c>
      <c r="V346" s="52">
        <v>6942.84</v>
      </c>
      <c r="W346" s="52">
        <v>196.84</v>
      </c>
      <c r="X346" s="52">
        <v>84.23</v>
      </c>
      <c r="Y346" s="52">
        <v>68.84</v>
      </c>
      <c r="Z346" s="52">
        <v>108.74</v>
      </c>
      <c r="AA346" s="52">
        <v>87.47</v>
      </c>
      <c r="AB346" s="52">
        <v>147.63</v>
      </c>
      <c r="AC346" s="52">
        <v>199.82</v>
      </c>
      <c r="AD346" s="52">
        <v>98.15</v>
      </c>
      <c r="AE346" s="52">
        <v>146.15</v>
      </c>
      <c r="AF346" s="52">
        <v>104.3</v>
      </c>
      <c r="AG346" s="52">
        <v>90.16</v>
      </c>
      <c r="AH346" s="52">
        <v>6995.76</v>
      </c>
      <c r="AI346" s="52">
        <v>137.41</v>
      </c>
      <c r="AJ346" s="52">
        <v>115.81</v>
      </c>
      <c r="AK346" s="52">
        <v>118.04</v>
      </c>
      <c r="AL346" s="52">
        <v>83.8</v>
      </c>
      <c r="AM346" s="52">
        <v>107.66</v>
      </c>
      <c r="AN346" s="52">
        <v>104.6</v>
      </c>
      <c r="AO346" s="52">
        <v>124.94</v>
      </c>
      <c r="AP346" s="52">
        <v>75.5</v>
      </c>
      <c r="AQ346" s="52">
        <v>85.09</v>
      </c>
      <c r="AR346" s="52">
        <v>6684.51</v>
      </c>
      <c r="AS346" s="52">
        <v>54.77</v>
      </c>
      <c r="AT346" s="52">
        <v>0</v>
      </c>
      <c r="AU346" s="52">
        <v>73.52</v>
      </c>
      <c r="AV346" s="52">
        <v>-3658.45</v>
      </c>
      <c r="AW346" s="52">
        <v>185.56</v>
      </c>
      <c r="AX346" s="52">
        <v>47.37</v>
      </c>
      <c r="AY346" s="52">
        <v>59.55</v>
      </c>
      <c r="AZ346" s="52">
        <v>62.92</v>
      </c>
      <c r="BA346" s="52">
        <v>68.86</v>
      </c>
      <c r="BB346" s="52">
        <v>45.11</v>
      </c>
      <c r="BC346" s="52">
        <v>46.04</v>
      </c>
      <c r="BD346" s="52">
        <v>62.64</v>
      </c>
      <c r="BE346" s="52">
        <v>54.74</v>
      </c>
      <c r="BF346" s="52">
        <v>60.52</v>
      </c>
      <c r="BG346" s="52">
        <v>40.700000000000003</v>
      </c>
      <c r="BH346" s="52">
        <v>59.49</v>
      </c>
      <c r="BI346" s="52">
        <v>15.74</v>
      </c>
      <c r="BJ346" s="52">
        <v>35.17</v>
      </c>
      <c r="BK346" s="52">
        <v>56</v>
      </c>
      <c r="BL346" s="52">
        <v>23.16</v>
      </c>
      <c r="BM346" s="52">
        <v>25.5</v>
      </c>
      <c r="BN346" s="52">
        <v>33.700000000000003</v>
      </c>
      <c r="BO346" s="52">
        <v>12.41</v>
      </c>
      <c r="BP346" s="52">
        <v>12.6</v>
      </c>
      <c r="BQ346" s="52">
        <v>6.27</v>
      </c>
      <c r="BR346" s="52">
        <v>13.49</v>
      </c>
      <c r="BS346" s="52">
        <v>16.920000000000002</v>
      </c>
      <c r="BT346" s="52">
        <v>1.48</v>
      </c>
      <c r="BU346" s="52">
        <v>20.73</v>
      </c>
      <c r="BV346" s="52">
        <v>8.58</v>
      </c>
      <c r="BW346" s="52">
        <v>19.71</v>
      </c>
      <c r="BX346" s="52">
        <v>16.170000000000002</v>
      </c>
      <c r="BY346" s="52">
        <v>11.85</v>
      </c>
      <c r="BZ346" s="52">
        <v>10.37</v>
      </c>
      <c r="CA346" s="52">
        <v>23.7</v>
      </c>
      <c r="CB346" s="52">
        <v>3.26</v>
      </c>
      <c r="CC346" s="52">
        <v>50.35</v>
      </c>
      <c r="CD346" s="52">
        <v>35.54</v>
      </c>
      <c r="CE346" s="52">
        <v>2.15</v>
      </c>
      <c r="CF346" s="52">
        <v>1.48</v>
      </c>
      <c r="CG346" s="52">
        <v>3.29</v>
      </c>
      <c r="CH346" s="52">
        <v>0</v>
      </c>
      <c r="CI346" s="52">
        <v>27.21</v>
      </c>
      <c r="CJ346" s="52">
        <v>13.33</v>
      </c>
      <c r="CK346" s="52">
        <v>1.64</v>
      </c>
      <c r="CL346" s="52">
        <v>7.4</v>
      </c>
      <c r="CM346" s="52">
        <v>-1.17</v>
      </c>
      <c r="CN346" s="52">
        <v>8.89</v>
      </c>
      <c r="CO346" s="52">
        <v>6.78</v>
      </c>
      <c r="CP346" s="52">
        <v>5.92</v>
      </c>
      <c r="CQ346" s="52">
        <v>12.66</v>
      </c>
      <c r="CR346" s="52">
        <v>5.31</v>
      </c>
      <c r="CS346" s="52">
        <v>2.35</v>
      </c>
      <c r="CT346" s="52">
        <v>8.14</v>
      </c>
      <c r="CU346" s="52">
        <v>0</v>
      </c>
      <c r="CV346" s="430">
        <f t="shared" si="10"/>
        <v>71.25</v>
      </c>
    </row>
    <row r="347" spans="1:100">
      <c r="A347" s="540" t="str">
        <f t="shared" si="9"/>
        <v>6900120</v>
      </c>
      <c r="B347" s="541" t="s">
        <v>2149</v>
      </c>
      <c r="C347" s="463" t="s">
        <v>1226</v>
      </c>
      <c r="D347" s="426">
        <v>60</v>
      </c>
      <c r="E347" s="426">
        <v>0</v>
      </c>
      <c r="F347" s="426">
        <v>0</v>
      </c>
      <c r="G347" s="426">
        <v>1477.5</v>
      </c>
      <c r="H347" s="426">
        <v>0</v>
      </c>
      <c r="I347" s="426">
        <v>0</v>
      </c>
      <c r="J347" s="426">
        <v>2699.64</v>
      </c>
      <c r="K347" s="426">
        <v>6603.05</v>
      </c>
      <c r="L347" s="426">
        <v>3660.93</v>
      </c>
      <c r="M347" s="426">
        <v>356.15</v>
      </c>
      <c r="N347" s="426">
        <v>0</v>
      </c>
      <c r="O347" s="427">
        <v>108.08</v>
      </c>
      <c r="P347" s="52">
        <v>0</v>
      </c>
      <c r="Q347" s="52">
        <v>0</v>
      </c>
      <c r="R347" s="52">
        <v>0</v>
      </c>
      <c r="S347" s="52">
        <v>0</v>
      </c>
      <c r="T347" s="52">
        <v>440.5</v>
      </c>
      <c r="U347" s="52">
        <v>0</v>
      </c>
      <c r="V347" s="52">
        <v>2624.64</v>
      </c>
      <c r="W347" s="52">
        <v>6257.35</v>
      </c>
      <c r="X347" s="52">
        <v>1398.43</v>
      </c>
      <c r="Y347" s="52">
        <v>216.15</v>
      </c>
      <c r="Z347" s="52">
        <v>0</v>
      </c>
      <c r="AA347" s="52">
        <v>270</v>
      </c>
      <c r="AB347" s="52">
        <v>108.08</v>
      </c>
      <c r="AC347" s="52">
        <v>0</v>
      </c>
      <c r="AD347" s="52">
        <v>-27</v>
      </c>
      <c r="AE347" s="52">
        <v>0</v>
      </c>
      <c r="AF347" s="52">
        <v>0</v>
      </c>
      <c r="AG347" s="52">
        <v>477.9</v>
      </c>
      <c r="AH347" s="52">
        <v>2441.0100000000002</v>
      </c>
      <c r="AI347" s="52">
        <v>6361.43</v>
      </c>
      <c r="AJ347" s="52">
        <v>1258.43</v>
      </c>
      <c r="AK347" s="52">
        <v>203.5</v>
      </c>
      <c r="AL347" s="52">
        <v>0</v>
      </c>
      <c r="AM347" s="52">
        <v>183.63</v>
      </c>
      <c r="AN347" s="52">
        <v>0</v>
      </c>
      <c r="AO347" s="52">
        <v>60</v>
      </c>
      <c r="AP347" s="52">
        <v>1968.76</v>
      </c>
      <c r="AQ347" s="52">
        <v>0</v>
      </c>
      <c r="AR347" s="52">
        <v>445</v>
      </c>
      <c r="AS347" s="52">
        <v>479.35</v>
      </c>
      <c r="AT347" s="52">
        <v>156.63</v>
      </c>
      <c r="AU347" s="52">
        <v>9329.69</v>
      </c>
      <c r="AV347" s="52">
        <v>590.03</v>
      </c>
      <c r="AW347" s="52">
        <v>817.74</v>
      </c>
      <c r="AX347" s="52">
        <v>0</v>
      </c>
      <c r="AY347" s="52">
        <v>222</v>
      </c>
      <c r="AZ347" s="52">
        <v>0</v>
      </c>
      <c r="BA347" s="52">
        <v>60</v>
      </c>
      <c r="BB347" s="52">
        <v>0</v>
      </c>
      <c r="BC347" s="52">
        <v>111</v>
      </c>
      <c r="BD347" s="52">
        <v>0</v>
      </c>
      <c r="BE347" s="52">
        <v>479.35</v>
      </c>
      <c r="BF347" s="52">
        <v>0</v>
      </c>
      <c r="BG347" s="52">
        <v>6558.83</v>
      </c>
      <c r="BH347" s="52">
        <v>3679.51</v>
      </c>
      <c r="BI347" s="52">
        <v>3391.1</v>
      </c>
      <c r="BJ347" s="52">
        <v>222</v>
      </c>
      <c r="BK347" s="52">
        <v>-111</v>
      </c>
      <c r="BL347" s="52">
        <v>0</v>
      </c>
      <c r="BM347" s="52">
        <v>58.75</v>
      </c>
      <c r="BN347" s="52">
        <v>0</v>
      </c>
      <c r="BO347" s="52">
        <v>0</v>
      </c>
      <c r="BP347" s="52">
        <v>0</v>
      </c>
      <c r="BQ347" s="52">
        <v>479.35</v>
      </c>
      <c r="BR347" s="52">
        <v>0</v>
      </c>
      <c r="BS347" s="52">
        <v>5769.74</v>
      </c>
      <c r="BT347" s="52">
        <v>798.51</v>
      </c>
      <c r="BU347" s="52">
        <v>29.5</v>
      </c>
      <c r="BV347" s="52">
        <v>222</v>
      </c>
      <c r="BW347" s="52">
        <v>90</v>
      </c>
      <c r="BX347" s="52">
        <v>0</v>
      </c>
      <c r="BY347" s="52">
        <v>0</v>
      </c>
      <c r="BZ347" s="52">
        <v>0</v>
      </c>
      <c r="CA347" s="52">
        <v>0</v>
      </c>
      <c r="CB347" s="52">
        <v>0</v>
      </c>
      <c r="CC347" s="52">
        <v>1588.74</v>
      </c>
      <c r="CD347" s="52">
        <v>258.94</v>
      </c>
      <c r="CE347" s="52">
        <v>7780.68</v>
      </c>
      <c r="CF347" s="52">
        <v>4174.59</v>
      </c>
      <c r="CG347" s="52">
        <v>2515.35</v>
      </c>
      <c r="CH347" s="52">
        <v>231.11</v>
      </c>
      <c r="CI347" s="52">
        <v>249.56</v>
      </c>
      <c r="CJ347" s="52">
        <v>-9.11</v>
      </c>
      <c r="CK347" s="52">
        <v>52.7</v>
      </c>
      <c r="CL347" s="52">
        <v>-222</v>
      </c>
      <c r="CM347" s="52">
        <v>115.55</v>
      </c>
      <c r="CN347" s="52">
        <v>0</v>
      </c>
      <c r="CO347" s="52">
        <v>0</v>
      </c>
      <c r="CP347" s="52">
        <v>2681.32</v>
      </c>
      <c r="CQ347" s="52">
        <v>860.82</v>
      </c>
      <c r="CR347" s="52">
        <v>7777.6</v>
      </c>
      <c r="CS347" s="52">
        <v>0</v>
      </c>
      <c r="CT347" s="52">
        <v>231.11</v>
      </c>
      <c r="CU347" s="52">
        <v>0</v>
      </c>
      <c r="CV347" s="430">
        <f t="shared" si="10"/>
        <v>11487.990000000002</v>
      </c>
    </row>
    <row r="348" spans="1:100">
      <c r="A348" s="540" t="str">
        <f t="shared" si="9"/>
        <v>6900800</v>
      </c>
      <c r="B348" s="541" t="s">
        <v>2150</v>
      </c>
      <c r="C348" s="463" t="s">
        <v>1227</v>
      </c>
      <c r="D348" s="426">
        <v>-48807.46</v>
      </c>
      <c r="E348" s="426">
        <v>-135451.97</v>
      </c>
      <c r="F348" s="426">
        <v>26239.97</v>
      </c>
      <c r="G348" s="426">
        <v>-49930.37</v>
      </c>
      <c r="H348" s="426">
        <v>-50384.11</v>
      </c>
      <c r="I348" s="426">
        <v>-73813.75</v>
      </c>
      <c r="J348" s="426">
        <v>-50214</v>
      </c>
      <c r="K348" s="426">
        <v>-46647.73</v>
      </c>
      <c r="L348" s="426">
        <v>-47126.080000000002</v>
      </c>
      <c r="M348" s="426">
        <v>-48863.56</v>
      </c>
      <c r="N348" s="426">
        <v>-77853.850000000006</v>
      </c>
      <c r="O348" s="427">
        <v>-57133.2</v>
      </c>
      <c r="P348" s="52">
        <v>-72703.97</v>
      </c>
      <c r="Q348" s="52">
        <v>-99341.82</v>
      </c>
      <c r="R348" s="52">
        <v>-13501</v>
      </c>
      <c r="S348" s="52">
        <v>-40207.870000000003</v>
      </c>
      <c r="T348" s="52">
        <v>-76809.13</v>
      </c>
      <c r="U348" s="52">
        <v>-51572.54</v>
      </c>
      <c r="V348" s="52">
        <v>-50648.4</v>
      </c>
      <c r="W348" s="52">
        <v>-47570.07</v>
      </c>
      <c r="X348" s="52">
        <v>-47788.87</v>
      </c>
      <c r="Y348" s="52">
        <v>-43464.05</v>
      </c>
      <c r="Z348" s="52">
        <v>-65706.25</v>
      </c>
      <c r="AA348" s="52">
        <v>4059.48</v>
      </c>
      <c r="AB348" s="52">
        <v>-58793.55</v>
      </c>
      <c r="AC348" s="52">
        <v>-51020.78</v>
      </c>
      <c r="AD348" s="52">
        <v>-45462.78</v>
      </c>
      <c r="AE348" s="52">
        <v>-81814.990000000005</v>
      </c>
      <c r="AF348" s="52">
        <v>-52247.46</v>
      </c>
      <c r="AG348" s="52">
        <v>-53660.31</v>
      </c>
      <c r="AH348" s="52">
        <v>-54460.23</v>
      </c>
      <c r="AI348" s="52">
        <v>-53419.55</v>
      </c>
      <c r="AJ348" s="52">
        <v>-57056.12</v>
      </c>
      <c r="AK348" s="52">
        <v>-82980.44</v>
      </c>
      <c r="AL348" s="52">
        <v>-59035.56</v>
      </c>
      <c r="AM348" s="52">
        <v>-55504.7</v>
      </c>
      <c r="AN348" s="52">
        <v>-58906.95</v>
      </c>
      <c r="AO348" s="52">
        <v>-83863.98</v>
      </c>
      <c r="AP348" s="52">
        <v>-76884.14</v>
      </c>
      <c r="AQ348" s="52">
        <v>-106902.41</v>
      </c>
      <c r="AR348" s="52">
        <v>-71244.31</v>
      </c>
      <c r="AS348" s="52">
        <v>-72504.41</v>
      </c>
      <c r="AT348" s="52">
        <v>-68967.7</v>
      </c>
      <c r="AU348" s="52">
        <v>-79966.899999999994</v>
      </c>
      <c r="AV348" s="52">
        <v>-108577.48</v>
      </c>
      <c r="AW348" s="52">
        <v>-80500.08</v>
      </c>
      <c r="AX348" s="52">
        <v>-70659.77</v>
      </c>
      <c r="AY348" s="52">
        <v>224152.95999999999</v>
      </c>
      <c r="AZ348" s="52">
        <v>-68162.259999999995</v>
      </c>
      <c r="BA348" s="52">
        <v>-79551.72</v>
      </c>
      <c r="BB348" s="52">
        <v>-285132.02</v>
      </c>
      <c r="BC348" s="52">
        <v>-111216.47</v>
      </c>
      <c r="BD348" s="52">
        <v>-74994.649999999994</v>
      </c>
      <c r="BE348" s="52">
        <v>-72823.820000000007</v>
      </c>
      <c r="BF348" s="52">
        <v>-77567.86</v>
      </c>
      <c r="BG348" s="52">
        <v>-75004.320000000007</v>
      </c>
      <c r="BH348" s="52">
        <v>-126087.66</v>
      </c>
      <c r="BI348" s="52">
        <v>-84472.6</v>
      </c>
      <c r="BJ348" s="52">
        <v>-118922.82</v>
      </c>
      <c r="BK348" s="52">
        <v>-132921.5</v>
      </c>
      <c r="BL348" s="52">
        <v>-89597.69</v>
      </c>
      <c r="BM348" s="52">
        <v>-143198.71</v>
      </c>
      <c r="BN348" s="52">
        <v>-86987.67</v>
      </c>
      <c r="BO348" s="52">
        <v>-88912.93</v>
      </c>
      <c r="BP348" s="52">
        <v>-82749.179999999993</v>
      </c>
      <c r="BQ348" s="52">
        <v>-86852.22</v>
      </c>
      <c r="BR348" s="52">
        <v>-88517.45</v>
      </c>
      <c r="BS348" s="52">
        <v>-79630.81</v>
      </c>
      <c r="BT348" s="52">
        <v>-123013.92</v>
      </c>
      <c r="BU348" s="52">
        <v>-82046.87</v>
      </c>
      <c r="BV348" s="52">
        <v>-83007.97</v>
      </c>
      <c r="BW348" s="52">
        <v>-86679.39</v>
      </c>
      <c r="BX348" s="52">
        <v>-85530.95</v>
      </c>
      <c r="BY348" s="52">
        <v>-144480.37</v>
      </c>
      <c r="BZ348" s="52">
        <v>-92741.06</v>
      </c>
      <c r="CA348" s="52">
        <v>-101081.49</v>
      </c>
      <c r="CB348" s="52">
        <v>-89042.34</v>
      </c>
      <c r="CC348" s="52">
        <v>-94202.240000000005</v>
      </c>
      <c r="CD348" s="52">
        <v>-91517.53</v>
      </c>
      <c r="CE348" s="52">
        <v>-133633.17000000001</v>
      </c>
      <c r="CF348" s="52">
        <v>-86124.87</v>
      </c>
      <c r="CG348" s="52">
        <v>-89387.31</v>
      </c>
      <c r="CH348" s="52">
        <v>-87022.04</v>
      </c>
      <c r="CI348" s="52">
        <v>-95069.18</v>
      </c>
      <c r="CJ348" s="52">
        <v>-138043.67000000001</v>
      </c>
      <c r="CK348" s="52">
        <v>-102209.32</v>
      </c>
      <c r="CL348" s="52">
        <v>-107357.14</v>
      </c>
      <c r="CM348" s="52">
        <v>-116516.81</v>
      </c>
      <c r="CN348" s="52">
        <v>-99684.93</v>
      </c>
      <c r="CO348" s="52">
        <v>-100875.61</v>
      </c>
      <c r="CP348" s="52">
        <v>-98293.92</v>
      </c>
      <c r="CQ348" s="52">
        <v>-143614.45000000001</v>
      </c>
      <c r="CR348" s="52">
        <v>-93135.22</v>
      </c>
      <c r="CS348" s="52">
        <v>-199137.48</v>
      </c>
      <c r="CT348" s="52">
        <v>-103963.92</v>
      </c>
      <c r="CU348" s="52">
        <v>-100772.44</v>
      </c>
      <c r="CV348" s="430">
        <f t="shared" si="10"/>
        <v>-1403604.91</v>
      </c>
    </row>
    <row r="349" spans="1:100">
      <c r="A349" s="540" t="str">
        <f t="shared" si="9"/>
        <v>6909000</v>
      </c>
      <c r="B349" s="541" t="s">
        <v>2151</v>
      </c>
      <c r="C349" s="463" t="s">
        <v>1451</v>
      </c>
      <c r="D349" s="426"/>
      <c r="E349" s="426"/>
      <c r="F349" s="426"/>
      <c r="G349" s="426"/>
      <c r="H349" s="426"/>
      <c r="I349" s="426"/>
      <c r="J349" s="426"/>
      <c r="K349" s="426"/>
      <c r="L349" s="426"/>
      <c r="M349" s="426"/>
      <c r="N349" s="426"/>
      <c r="O349" s="427"/>
      <c r="P349" s="52"/>
      <c r="Q349" s="52"/>
      <c r="R349" s="52"/>
      <c r="S349" s="52"/>
      <c r="T349" s="52"/>
      <c r="U349" s="52"/>
      <c r="V349" s="52"/>
      <c r="W349" s="52"/>
      <c r="X349" s="52"/>
      <c r="Y349" s="52"/>
      <c r="Z349" s="52"/>
      <c r="AA349" s="52"/>
      <c r="AB349" s="52"/>
      <c r="AC349" s="52"/>
      <c r="AD349" s="52"/>
      <c r="AE349" s="52"/>
      <c r="AF349" s="52"/>
      <c r="AG349" s="52"/>
      <c r="AH349" s="52">
        <v>0</v>
      </c>
      <c r="AI349" s="52">
        <v>0</v>
      </c>
      <c r="AJ349" s="52">
        <v>0</v>
      </c>
      <c r="AK349" s="52">
        <v>0</v>
      </c>
      <c r="AL349" s="52">
        <v>0</v>
      </c>
      <c r="AM349" s="52">
        <v>0</v>
      </c>
      <c r="AN349" s="52">
        <v>0</v>
      </c>
      <c r="AO349" s="52">
        <v>0</v>
      </c>
      <c r="AP349" s="52">
        <v>0</v>
      </c>
      <c r="AQ349" s="52">
        <v>0</v>
      </c>
      <c r="AR349" s="52">
        <v>0</v>
      </c>
      <c r="AS349" s="52">
        <v>0</v>
      </c>
      <c r="AT349" s="52">
        <v>0</v>
      </c>
      <c r="AU349" s="52">
        <v>-132.04</v>
      </c>
      <c r="AV349" s="52">
        <v>0</v>
      </c>
      <c r="AW349" s="52">
        <v>0</v>
      </c>
      <c r="AX349" s="52">
        <v>0</v>
      </c>
      <c r="AY349" s="52">
        <v>0</v>
      </c>
      <c r="AZ349" s="52">
        <v>0</v>
      </c>
      <c r="BA349" s="52">
        <v>0</v>
      </c>
      <c r="BB349" s="52">
        <v>0</v>
      </c>
      <c r="BC349" s="52">
        <v>0</v>
      </c>
      <c r="BD349" s="52">
        <v>0</v>
      </c>
      <c r="BE349" s="52">
        <v>0</v>
      </c>
      <c r="BF349" s="52">
        <v>0</v>
      </c>
      <c r="BG349" s="52">
        <v>0</v>
      </c>
      <c r="BH349" s="52">
        <v>0</v>
      </c>
      <c r="BI349" s="52">
        <v>-466.55</v>
      </c>
      <c r="BJ349" s="52">
        <v>-508.49</v>
      </c>
      <c r="BK349" s="52">
        <v>-2364.2199999999998</v>
      </c>
      <c r="BL349" s="52">
        <v>-579.83000000000004</v>
      </c>
      <c r="BM349" s="52">
        <v>-542.4</v>
      </c>
      <c r="BN349" s="52">
        <v>-652.21</v>
      </c>
      <c r="BO349" s="52">
        <v>0</v>
      </c>
      <c r="BP349" s="52">
        <v>-1110.1300000000001</v>
      </c>
      <c r="BQ349" s="52">
        <v>-628.77</v>
      </c>
      <c r="BR349" s="52">
        <v>-3561.03</v>
      </c>
      <c r="BS349" s="52">
        <v>-704.42</v>
      </c>
      <c r="BT349" s="52">
        <v>-532.71</v>
      </c>
      <c r="BU349" s="52">
        <v>-529.86</v>
      </c>
      <c r="BV349" s="52">
        <v>-968.45</v>
      </c>
      <c r="BW349" s="52">
        <v>-719.94</v>
      </c>
      <c r="BX349" s="52">
        <v>-656.46</v>
      </c>
      <c r="BY349" s="52">
        <v>-764.45</v>
      </c>
      <c r="BZ349" s="52">
        <v>-831.41</v>
      </c>
      <c r="CA349" s="52">
        <v>-874.03</v>
      </c>
      <c r="CB349" s="52">
        <v>-609.95000000000005</v>
      </c>
      <c r="CC349" s="52">
        <v>-877.36</v>
      </c>
      <c r="CD349" s="52">
        <v>-1016.21</v>
      </c>
      <c r="CE349" s="52">
        <v>-846.46</v>
      </c>
      <c r="CF349" s="52">
        <v>-3980.39</v>
      </c>
      <c r="CG349" s="52">
        <v>-874.57</v>
      </c>
      <c r="CH349" s="52">
        <v>-903.72</v>
      </c>
      <c r="CI349" s="52">
        <v>-922.74</v>
      </c>
      <c r="CJ349" s="52">
        <v>-750.94</v>
      </c>
      <c r="CK349" s="52">
        <v>-812.96</v>
      </c>
      <c r="CL349" s="52">
        <v>-1017.36</v>
      </c>
      <c r="CM349" s="52">
        <v>216.67</v>
      </c>
      <c r="CN349" s="52">
        <v>-779.75</v>
      </c>
      <c r="CO349" s="52">
        <v>-794.02</v>
      </c>
      <c r="CP349" s="52">
        <v>-757.53</v>
      </c>
      <c r="CQ349" s="52">
        <v>-685.78</v>
      </c>
      <c r="CR349" s="52">
        <v>-1387.03</v>
      </c>
      <c r="CS349" s="52">
        <v>-768.94</v>
      </c>
      <c r="CT349" s="52">
        <v>-870.56</v>
      </c>
      <c r="CU349" s="52">
        <v>-1295.01</v>
      </c>
      <c r="CV349" s="430">
        <f t="shared" si="10"/>
        <v>-9703.2099999999991</v>
      </c>
    </row>
    <row r="350" spans="1:100">
      <c r="A350" s="540" t="str">
        <f>+B350</f>
        <v>7000090</v>
      </c>
      <c r="B350" s="541" t="s">
        <v>2458</v>
      </c>
      <c r="C350" s="463" t="s">
        <v>2459</v>
      </c>
      <c r="D350" s="428"/>
      <c r="E350" s="428"/>
      <c r="F350" s="428"/>
      <c r="G350" s="428"/>
      <c r="H350" s="428"/>
      <c r="I350" s="428"/>
      <c r="J350" s="428"/>
      <c r="K350" s="428"/>
      <c r="L350" s="428"/>
      <c r="M350" s="428"/>
      <c r="N350" s="428"/>
      <c r="O350" s="429"/>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v>0</v>
      </c>
      <c r="BY350" s="52">
        <v>0</v>
      </c>
      <c r="BZ350" s="52">
        <v>-8502</v>
      </c>
      <c r="CA350" s="52">
        <v>-45218</v>
      </c>
      <c r="CB350" s="52">
        <v>0</v>
      </c>
      <c r="CC350" s="52">
        <v>0</v>
      </c>
      <c r="CD350" s="52">
        <v>0</v>
      </c>
      <c r="CE350" s="52">
        <v>0</v>
      </c>
      <c r="CF350" s="52">
        <v>0</v>
      </c>
      <c r="CG350" s="52">
        <v>0</v>
      </c>
      <c r="CH350" s="52">
        <v>0</v>
      </c>
      <c r="CI350" s="52">
        <v>0</v>
      </c>
      <c r="CJ350" s="52">
        <v>0</v>
      </c>
      <c r="CK350" s="52">
        <v>0</v>
      </c>
      <c r="CL350" s="52">
        <v>0</v>
      </c>
      <c r="CM350" s="52">
        <v>0</v>
      </c>
      <c r="CN350" s="52">
        <v>0</v>
      </c>
      <c r="CO350" s="52">
        <v>0</v>
      </c>
      <c r="CP350" s="52">
        <v>0</v>
      </c>
      <c r="CQ350" s="52">
        <v>0</v>
      </c>
      <c r="CR350" s="52">
        <v>0</v>
      </c>
      <c r="CS350" s="52">
        <v>0</v>
      </c>
      <c r="CT350" s="52">
        <v>0</v>
      </c>
      <c r="CU350" s="52">
        <v>0</v>
      </c>
      <c r="CV350" s="430">
        <f t="shared" si="10"/>
        <v>0</v>
      </c>
    </row>
    <row r="351" spans="1:100">
      <c r="A351" s="540" t="str">
        <f t="shared" si="9"/>
        <v>7000240</v>
      </c>
      <c r="B351" s="541" t="s">
        <v>2152</v>
      </c>
      <c r="C351" s="463" t="s">
        <v>1228</v>
      </c>
      <c r="D351" s="426">
        <v>-91</v>
      </c>
      <c r="E351" s="426">
        <v>-43</v>
      </c>
      <c r="F351" s="426">
        <v>-4</v>
      </c>
      <c r="G351" s="426">
        <v>0</v>
      </c>
      <c r="H351" s="426">
        <v>0</v>
      </c>
      <c r="I351" s="426">
        <v>0</v>
      </c>
      <c r="J351" s="426">
        <v>0</v>
      </c>
      <c r="K351" s="426">
        <v>0</v>
      </c>
      <c r="L351" s="426">
        <v>-1</v>
      </c>
      <c r="M351" s="426">
        <v>-12</v>
      </c>
      <c r="N351" s="426">
        <v>-16</v>
      </c>
      <c r="O351" s="427">
        <v>0</v>
      </c>
      <c r="P351" s="52">
        <v>0</v>
      </c>
      <c r="Q351" s="52">
        <v>0</v>
      </c>
      <c r="R351" s="52">
        <v>0</v>
      </c>
      <c r="S351" s="52">
        <v>0</v>
      </c>
      <c r="T351" s="52">
        <v>0</v>
      </c>
      <c r="U351" s="52">
        <v>0</v>
      </c>
      <c r="V351" s="52">
        <v>0</v>
      </c>
      <c r="W351" s="52">
        <v>0</v>
      </c>
      <c r="X351" s="52">
        <v>0</v>
      </c>
      <c r="Y351" s="52">
        <v>0</v>
      </c>
      <c r="Z351" s="52">
        <v>0</v>
      </c>
      <c r="AA351" s="52">
        <v>0</v>
      </c>
      <c r="AB351" s="52">
        <v>0</v>
      </c>
      <c r="AC351" s="52">
        <v>0</v>
      </c>
      <c r="AD351" s="52">
        <v>0</v>
      </c>
      <c r="AE351" s="52">
        <v>0</v>
      </c>
      <c r="AF351" s="52">
        <v>0</v>
      </c>
      <c r="AG351" s="52">
        <v>0</v>
      </c>
      <c r="AH351" s="52">
        <v>0</v>
      </c>
      <c r="AI351" s="52">
        <v>0</v>
      </c>
      <c r="AJ351" s="52">
        <v>0</v>
      </c>
      <c r="AK351" s="52">
        <v>0</v>
      </c>
      <c r="AL351" s="52">
        <v>0</v>
      </c>
      <c r="AM351" s="52">
        <v>0</v>
      </c>
      <c r="AN351" s="52">
        <v>0</v>
      </c>
      <c r="AO351" s="52">
        <v>0</v>
      </c>
      <c r="AP351" s="52">
        <v>0</v>
      </c>
      <c r="AQ351" s="52">
        <v>0</v>
      </c>
      <c r="AR351" s="52">
        <v>0</v>
      </c>
      <c r="AS351" s="52">
        <v>0</v>
      </c>
      <c r="AT351" s="52">
        <v>0</v>
      </c>
      <c r="AU351" s="52">
        <v>-210</v>
      </c>
      <c r="AV351" s="52">
        <v>-633</v>
      </c>
      <c r="AW351" s="52">
        <v>-1281</v>
      </c>
      <c r="AX351" s="52">
        <v>-2439</v>
      </c>
      <c r="AY351" s="52">
        <v>-3028</v>
      </c>
      <c r="AZ351" s="52">
        <v>-2600</v>
      </c>
      <c r="BA351" s="52">
        <v>-1811</v>
      </c>
      <c r="BB351" s="52">
        <v>-1999</v>
      </c>
      <c r="BC351" s="52">
        <v>-3139</v>
      </c>
      <c r="BD351" s="52">
        <v>-3719</v>
      </c>
      <c r="BE351" s="52">
        <v>-3586</v>
      </c>
      <c r="BF351" s="52">
        <v>-4543</v>
      </c>
      <c r="BG351" s="52">
        <v>-5885</v>
      </c>
      <c r="BH351" s="52">
        <v>-6516</v>
      </c>
      <c r="BI351" s="52">
        <v>-7730</v>
      </c>
      <c r="BJ351" s="52">
        <v>-8730</v>
      </c>
      <c r="BK351" s="52">
        <v>-8725</v>
      </c>
      <c r="BL351" s="52">
        <v>-8289</v>
      </c>
      <c r="BM351" s="52">
        <v>-6559</v>
      </c>
      <c r="BN351" s="52">
        <v>-4632</v>
      </c>
      <c r="BO351" s="52">
        <v>-3724</v>
      </c>
      <c r="BP351" s="52">
        <v>-3040</v>
      </c>
      <c r="BQ351" s="52">
        <v>-3159</v>
      </c>
      <c r="BR351" s="52">
        <v>-4386</v>
      </c>
      <c r="BS351" s="52">
        <v>-5182</v>
      </c>
      <c r="BT351" s="52">
        <v>-5071</v>
      </c>
      <c r="BU351" s="52">
        <v>-4748</v>
      </c>
      <c r="BV351" s="52">
        <v>-4646</v>
      </c>
      <c r="BW351" s="52">
        <v>-4484</v>
      </c>
      <c r="BX351" s="52">
        <v>-4057</v>
      </c>
      <c r="BY351" s="52">
        <v>-2890</v>
      </c>
      <c r="BZ351" s="52">
        <v>-1888</v>
      </c>
      <c r="CA351" s="52">
        <v>-672</v>
      </c>
      <c r="CB351" s="52">
        <v>-44</v>
      </c>
      <c r="CC351" s="52">
        <v>-63</v>
      </c>
      <c r="CD351" s="52">
        <v>-85</v>
      </c>
      <c r="CE351" s="52">
        <v>-100</v>
      </c>
      <c r="CF351" s="52">
        <v>-113</v>
      </c>
      <c r="CG351" s="52">
        <v>-142</v>
      </c>
      <c r="CH351" s="52">
        <v>-232</v>
      </c>
      <c r="CI351" s="52">
        <v>-208</v>
      </c>
      <c r="CJ351" s="52">
        <v>-125</v>
      </c>
      <c r="CK351" s="52">
        <v>-69</v>
      </c>
      <c r="CL351" s="52">
        <v>-45</v>
      </c>
      <c r="CM351" s="52">
        <v>-27</v>
      </c>
      <c r="CN351" s="52">
        <v>-7</v>
      </c>
      <c r="CO351" s="52">
        <v>-2</v>
      </c>
      <c r="CP351" s="52">
        <v>-6</v>
      </c>
      <c r="CQ351" s="52">
        <v>-7</v>
      </c>
      <c r="CR351" s="52">
        <v>-13</v>
      </c>
      <c r="CS351" s="52">
        <v>-37</v>
      </c>
      <c r="CT351" s="52">
        <v>-63</v>
      </c>
      <c r="CU351" s="52">
        <v>-56</v>
      </c>
      <c r="CV351" s="430">
        <f t="shared" si="10"/>
        <v>-457</v>
      </c>
    </row>
    <row r="352" spans="1:100">
      <c r="A352" s="540" t="str">
        <f t="shared" si="9"/>
        <v>7000260</v>
      </c>
      <c r="B352" s="541" t="s">
        <v>2154</v>
      </c>
      <c r="C352" s="463" t="s">
        <v>1229</v>
      </c>
      <c r="D352" s="426">
        <v>-167</v>
      </c>
      <c r="E352" s="426">
        <v>10</v>
      </c>
      <c r="F352" s="426">
        <v>124</v>
      </c>
      <c r="G352" s="426">
        <v>33</v>
      </c>
      <c r="H352" s="426">
        <v>0</v>
      </c>
      <c r="I352" s="426">
        <v>0</v>
      </c>
      <c r="J352" s="426">
        <v>0</v>
      </c>
      <c r="K352" s="426">
        <v>0</v>
      </c>
      <c r="L352" s="426">
        <v>0</v>
      </c>
      <c r="M352" s="426">
        <v>0</v>
      </c>
      <c r="N352" s="426">
        <v>0</v>
      </c>
      <c r="O352" s="427">
        <v>0</v>
      </c>
      <c r="P352" s="52">
        <v>-34</v>
      </c>
      <c r="Q352" s="52">
        <v>-25</v>
      </c>
      <c r="R352" s="52">
        <v>22</v>
      </c>
      <c r="S352" s="52">
        <v>-22</v>
      </c>
      <c r="T352" s="52">
        <v>-54</v>
      </c>
      <c r="U352" s="52">
        <v>0</v>
      </c>
      <c r="V352" s="52">
        <v>0</v>
      </c>
      <c r="W352" s="52">
        <v>0</v>
      </c>
      <c r="X352" s="52">
        <v>0</v>
      </c>
      <c r="Y352" s="52">
        <v>-109</v>
      </c>
      <c r="Z352" s="52">
        <v>-383</v>
      </c>
      <c r="AA352" s="52">
        <v>-1075</v>
      </c>
      <c r="AB352" s="52">
        <v>-1449</v>
      </c>
      <c r="AC352" s="52">
        <v>-470</v>
      </c>
      <c r="AD352" s="52">
        <v>0</v>
      </c>
      <c r="AE352" s="52">
        <v>0</v>
      </c>
      <c r="AF352" s="52">
        <v>0</v>
      </c>
      <c r="AG352" s="52">
        <v>0</v>
      </c>
      <c r="AH352" s="52">
        <v>0</v>
      </c>
      <c r="AI352" s="52">
        <v>0</v>
      </c>
      <c r="AJ352" s="52">
        <v>0</v>
      </c>
      <c r="AK352" s="52">
        <v>0</v>
      </c>
      <c r="AL352" s="52">
        <v>0</v>
      </c>
      <c r="AM352" s="52">
        <v>0</v>
      </c>
      <c r="AN352" s="52">
        <v>0</v>
      </c>
      <c r="AO352" s="52">
        <v>0</v>
      </c>
      <c r="AP352" s="52">
        <v>0</v>
      </c>
      <c r="AQ352" s="52">
        <v>0</v>
      </c>
      <c r="AR352" s="52">
        <v>0</v>
      </c>
      <c r="AS352" s="52">
        <v>0</v>
      </c>
      <c r="AT352" s="52">
        <v>0</v>
      </c>
      <c r="AU352" s="52">
        <v>0</v>
      </c>
      <c r="AV352" s="52">
        <v>0</v>
      </c>
      <c r="AW352" s="52">
        <v>-455</v>
      </c>
      <c r="AX352" s="52">
        <v>-2886</v>
      </c>
      <c r="AY352" s="52">
        <v>-3736</v>
      </c>
      <c r="AZ352" s="52">
        <v>-285</v>
      </c>
      <c r="BA352" s="52">
        <v>0</v>
      </c>
      <c r="BB352" s="52">
        <v>0</v>
      </c>
      <c r="BC352" s="52">
        <v>0</v>
      </c>
      <c r="BD352" s="52">
        <v>0</v>
      </c>
      <c r="BE352" s="52">
        <v>0</v>
      </c>
      <c r="BF352" s="52">
        <v>0</v>
      </c>
      <c r="BG352" s="52">
        <v>0</v>
      </c>
      <c r="BH352" s="52">
        <v>0</v>
      </c>
      <c r="BI352" s="52">
        <v>0</v>
      </c>
      <c r="BJ352" s="52">
        <v>0</v>
      </c>
      <c r="BK352" s="52">
        <v>-1549</v>
      </c>
      <c r="BL352" s="52">
        <v>-3058</v>
      </c>
      <c r="BM352" s="52">
        <v>0</v>
      </c>
      <c r="BN352" s="52">
        <v>0</v>
      </c>
      <c r="BO352" s="52">
        <v>0</v>
      </c>
      <c r="BP352" s="52">
        <v>0</v>
      </c>
      <c r="BQ352" s="52">
        <v>0</v>
      </c>
      <c r="BR352" s="52">
        <v>0</v>
      </c>
      <c r="BS352" s="52">
        <v>0</v>
      </c>
      <c r="BT352" s="52">
        <v>0</v>
      </c>
      <c r="BU352" s="52">
        <v>0</v>
      </c>
      <c r="BV352" s="52">
        <v>0</v>
      </c>
      <c r="BW352" s="52">
        <v>0</v>
      </c>
      <c r="BX352" s="52">
        <v>0</v>
      </c>
      <c r="BY352" s="52">
        <v>0</v>
      </c>
      <c r="BZ352" s="52">
        <v>0</v>
      </c>
      <c r="CA352" s="52">
        <v>0</v>
      </c>
      <c r="CB352" s="52">
        <v>0</v>
      </c>
      <c r="CC352" s="52">
        <v>0</v>
      </c>
      <c r="CD352" s="52">
        <v>0</v>
      </c>
      <c r="CE352" s="52">
        <v>0</v>
      </c>
      <c r="CF352" s="52">
        <v>0</v>
      </c>
      <c r="CG352" s="52">
        <v>0</v>
      </c>
      <c r="CH352" s="52">
        <v>0</v>
      </c>
      <c r="CI352" s="52">
        <v>0</v>
      </c>
      <c r="CJ352" s="52">
        <v>0</v>
      </c>
      <c r="CK352" s="52">
        <v>0</v>
      </c>
      <c r="CL352" s="52">
        <v>0</v>
      </c>
      <c r="CM352" s="52">
        <v>0</v>
      </c>
      <c r="CN352" s="52">
        <v>0</v>
      </c>
      <c r="CO352" s="52">
        <v>0</v>
      </c>
      <c r="CP352" s="52">
        <v>0</v>
      </c>
      <c r="CQ352" s="52">
        <v>0</v>
      </c>
      <c r="CR352" s="52">
        <v>0</v>
      </c>
      <c r="CS352" s="52">
        <v>-55</v>
      </c>
      <c r="CT352" s="52">
        <v>-684</v>
      </c>
      <c r="CU352" s="52">
        <v>-973</v>
      </c>
      <c r="CV352" s="430">
        <f t="shared" si="10"/>
        <v>-1712</v>
      </c>
    </row>
    <row r="353" spans="1:100">
      <c r="A353" s="540" t="str">
        <f t="shared" si="9"/>
        <v>7000270</v>
      </c>
      <c r="B353" s="541" t="s">
        <v>2153</v>
      </c>
      <c r="C353" s="463" t="s">
        <v>1230</v>
      </c>
      <c r="D353" s="428">
        <v>-212</v>
      </c>
      <c r="E353" s="428">
        <v>-194</v>
      </c>
      <c r="F353" s="428">
        <v>-180</v>
      </c>
      <c r="G353" s="428">
        <v>-201</v>
      </c>
      <c r="H353" s="428">
        <v>-158</v>
      </c>
      <c r="I353" s="428">
        <v>-120</v>
      </c>
      <c r="J353" s="428">
        <v>-142</v>
      </c>
      <c r="K353" s="428">
        <v>-138</v>
      </c>
      <c r="L353" s="428">
        <v>-135</v>
      </c>
      <c r="M353" s="428">
        <v>-130</v>
      </c>
      <c r="N353" s="428">
        <v>-170</v>
      </c>
      <c r="O353" s="429">
        <v>-226</v>
      </c>
      <c r="P353" s="52">
        <v>-223</v>
      </c>
      <c r="Q353" s="52">
        <v>-219</v>
      </c>
      <c r="R353" s="52">
        <v>-213</v>
      </c>
      <c r="S353" s="52">
        <v>-155</v>
      </c>
      <c r="T353" s="52">
        <v>-178</v>
      </c>
      <c r="U353" s="52">
        <v>-203</v>
      </c>
      <c r="V353" s="52">
        <v>-200</v>
      </c>
      <c r="W353" s="52">
        <v>-223</v>
      </c>
      <c r="X353" s="52">
        <v>-246</v>
      </c>
      <c r="Y353" s="52">
        <v>-244</v>
      </c>
      <c r="Z353" s="52">
        <v>-289</v>
      </c>
      <c r="AA353" s="52">
        <v>-499</v>
      </c>
      <c r="AB353" s="52">
        <v>-759</v>
      </c>
      <c r="AC353" s="52">
        <v>-884</v>
      </c>
      <c r="AD353" s="52">
        <v>-920</v>
      </c>
      <c r="AE353" s="52">
        <v>-839</v>
      </c>
      <c r="AF353" s="52">
        <v>-735</v>
      </c>
      <c r="AG353" s="52">
        <v>-784</v>
      </c>
      <c r="AH353" s="52">
        <v>-861</v>
      </c>
      <c r="AI353" s="52">
        <v>-881</v>
      </c>
      <c r="AJ353" s="52">
        <v>-939</v>
      </c>
      <c r="AK353" s="52">
        <v>-1017</v>
      </c>
      <c r="AL353" s="52">
        <v>-1090</v>
      </c>
      <c r="AM353" s="52">
        <v>-1366</v>
      </c>
      <c r="AN353" s="52">
        <v>-1663</v>
      </c>
      <c r="AO353" s="52">
        <v>-1575</v>
      </c>
      <c r="AP353" s="52">
        <v>-1773</v>
      </c>
      <c r="AQ353" s="52">
        <v>-202</v>
      </c>
      <c r="AR353" s="52">
        <v>-3836</v>
      </c>
      <c r="AS353" s="52">
        <v>-2294</v>
      </c>
      <c r="AT353" s="52">
        <v>-2480</v>
      </c>
      <c r="AU353" s="52">
        <v>-2402</v>
      </c>
      <c r="AV353" s="52">
        <v>-2035</v>
      </c>
      <c r="AW353" s="52">
        <v>-2491</v>
      </c>
      <c r="AX353" s="52">
        <v>-2795</v>
      </c>
      <c r="AY353" s="52">
        <v>-3142</v>
      </c>
      <c r="AZ353" s="52">
        <v>-3665</v>
      </c>
      <c r="BA353" s="52">
        <v>-3592</v>
      </c>
      <c r="BB353" s="52">
        <v>-3924</v>
      </c>
      <c r="BC353" s="52">
        <v>-4227</v>
      </c>
      <c r="BD353" s="52">
        <v>-4197</v>
      </c>
      <c r="BE353" s="52">
        <v>-4335</v>
      </c>
      <c r="BF353" s="52">
        <v>-4459</v>
      </c>
      <c r="BG353" s="52">
        <v>-4462</v>
      </c>
      <c r="BH353" s="52">
        <v>-4621</v>
      </c>
      <c r="BI353" s="52">
        <v>-4915</v>
      </c>
      <c r="BJ353" s="52">
        <v>-5481</v>
      </c>
      <c r="BK353" s="52">
        <v>-5657</v>
      </c>
      <c r="BL353" s="52">
        <v>-6125</v>
      </c>
      <c r="BM353" s="52">
        <v>-5967</v>
      </c>
      <c r="BN353" s="52">
        <v>-5980</v>
      </c>
      <c r="BO353" s="52">
        <v>-5961</v>
      </c>
      <c r="BP353" s="52">
        <v>-5755</v>
      </c>
      <c r="BQ353" s="52">
        <v>-5623</v>
      </c>
      <c r="BR353" s="52">
        <v>-5238</v>
      </c>
      <c r="BS353" s="52">
        <v>-4937</v>
      </c>
      <c r="BT353" s="52">
        <v>-4679</v>
      </c>
      <c r="BU353" s="52">
        <v>-4313</v>
      </c>
      <c r="BV353" s="52">
        <v>-4182</v>
      </c>
      <c r="BW353" s="52">
        <v>-4231</v>
      </c>
      <c r="BX353" s="52">
        <v>-4250</v>
      </c>
      <c r="BY353" s="52">
        <v>-4055</v>
      </c>
      <c r="BZ353" s="52">
        <v>-4055</v>
      </c>
      <c r="CA353" s="52">
        <v>-2769</v>
      </c>
      <c r="CB353" s="52">
        <v>-148</v>
      </c>
      <c r="CC353" s="52">
        <v>-241</v>
      </c>
      <c r="CD353" s="52">
        <v>-272</v>
      </c>
      <c r="CE353" s="52">
        <v>-271</v>
      </c>
      <c r="CF353" s="52">
        <v>-243</v>
      </c>
      <c r="CG353" s="52">
        <v>-215</v>
      </c>
      <c r="CH353" s="52">
        <v>-329</v>
      </c>
      <c r="CI353" s="52">
        <v>-328</v>
      </c>
      <c r="CJ353" s="52">
        <v>-334</v>
      </c>
      <c r="CK353" s="52">
        <v>-289</v>
      </c>
      <c r="CL353" s="52">
        <v>-254</v>
      </c>
      <c r="CM353" s="52">
        <v>-261</v>
      </c>
      <c r="CN353" s="52">
        <v>0</v>
      </c>
      <c r="CO353" s="52">
        <v>-65</v>
      </c>
      <c r="CP353" s="52">
        <v>-103</v>
      </c>
      <c r="CQ353" s="52">
        <v>-175</v>
      </c>
      <c r="CR353" s="52">
        <v>-179</v>
      </c>
      <c r="CS353" s="52">
        <v>-217</v>
      </c>
      <c r="CT353" s="52">
        <v>-315</v>
      </c>
      <c r="CU353" s="52">
        <v>-314</v>
      </c>
      <c r="CV353" s="430">
        <f t="shared" si="10"/>
        <v>-2506</v>
      </c>
    </row>
    <row r="354" spans="1:100">
      <c r="A354" s="540" t="str">
        <f t="shared" si="9"/>
        <v>7000271</v>
      </c>
      <c r="B354" s="541" t="s">
        <v>2155</v>
      </c>
      <c r="C354" s="463" t="s">
        <v>1452</v>
      </c>
      <c r="D354" s="428"/>
      <c r="E354" s="428"/>
      <c r="F354" s="428"/>
      <c r="G354" s="428"/>
      <c r="H354" s="428"/>
      <c r="I354" s="428"/>
      <c r="J354" s="428"/>
      <c r="K354" s="428"/>
      <c r="L354" s="428"/>
      <c r="M354" s="428"/>
      <c r="N354" s="428"/>
      <c r="O354" s="429"/>
      <c r="P354" s="52"/>
      <c r="Q354" s="52"/>
      <c r="R354" s="52"/>
      <c r="S354" s="52"/>
      <c r="T354" s="52"/>
      <c r="U354" s="52"/>
      <c r="V354" s="52"/>
      <c r="W354" s="52"/>
      <c r="X354" s="52"/>
      <c r="Y354" s="52"/>
      <c r="Z354" s="52"/>
      <c r="AA354" s="52"/>
      <c r="AB354" s="52"/>
      <c r="AC354" s="52"/>
      <c r="AD354" s="52"/>
      <c r="AE354" s="52">
        <v>0</v>
      </c>
      <c r="AF354" s="52">
        <v>0</v>
      </c>
      <c r="AG354" s="52">
        <v>0</v>
      </c>
      <c r="AH354" s="52">
        <v>0</v>
      </c>
      <c r="AI354" s="52">
        <v>0</v>
      </c>
      <c r="AJ354" s="52">
        <v>0</v>
      </c>
      <c r="AK354" s="52">
        <v>0</v>
      </c>
      <c r="AL354" s="52">
        <v>0</v>
      </c>
      <c r="AM354" s="52">
        <v>0</v>
      </c>
      <c r="AN354" s="52">
        <v>0</v>
      </c>
      <c r="AO354" s="52">
        <v>0</v>
      </c>
      <c r="AP354" s="52">
        <v>0</v>
      </c>
      <c r="AQ354" s="52">
        <v>0</v>
      </c>
      <c r="AR354" s="52">
        <v>0</v>
      </c>
      <c r="AS354" s="52">
        <v>0</v>
      </c>
      <c r="AT354" s="52">
        <v>0</v>
      </c>
      <c r="AU354" s="52">
        <v>0</v>
      </c>
      <c r="AV354" s="52">
        <v>0</v>
      </c>
      <c r="AW354" s="52">
        <v>-156</v>
      </c>
      <c r="AX354" s="52">
        <v>-532</v>
      </c>
      <c r="AY354" s="52">
        <v>-970</v>
      </c>
      <c r="AZ354" s="52">
        <v>-914</v>
      </c>
      <c r="BA354" s="52">
        <v>-219</v>
      </c>
      <c r="BB354" s="52">
        <v>0</v>
      </c>
      <c r="BC354" s="52">
        <v>0</v>
      </c>
      <c r="BD354" s="52">
        <v>175</v>
      </c>
      <c r="BE354" s="52">
        <v>-138</v>
      </c>
      <c r="BF354" s="52">
        <v>0</v>
      </c>
      <c r="BG354" s="52">
        <v>0</v>
      </c>
      <c r="BH354" s="52">
        <v>0</v>
      </c>
      <c r="BI354" s="52">
        <v>0</v>
      </c>
      <c r="BJ354" s="52">
        <v>0</v>
      </c>
      <c r="BK354" s="52">
        <v>3</v>
      </c>
      <c r="BL354" s="52">
        <v>0</v>
      </c>
      <c r="BM354" s="52">
        <v>-15</v>
      </c>
      <c r="BN354" s="52">
        <v>0</v>
      </c>
      <c r="BO354" s="52">
        <v>0</v>
      </c>
      <c r="BP354" s="52">
        <v>0</v>
      </c>
      <c r="BQ354" s="52">
        <v>-194</v>
      </c>
      <c r="BR354" s="52">
        <v>-976</v>
      </c>
      <c r="BS354" s="52">
        <v>-1763</v>
      </c>
      <c r="BT354" s="52">
        <v>-2577</v>
      </c>
      <c r="BU354" s="52">
        <v>-2702</v>
      </c>
      <c r="BV354" s="52">
        <v>-3433</v>
      </c>
      <c r="BW354" s="52">
        <v>-6609</v>
      </c>
      <c r="BX354" s="52">
        <v>-4289</v>
      </c>
      <c r="BY354" s="52">
        <v>-3279</v>
      </c>
      <c r="BZ354" s="52">
        <v>-3115</v>
      </c>
      <c r="CA354" s="52">
        <v>-1745</v>
      </c>
      <c r="CB354" s="52">
        <v>-122</v>
      </c>
      <c r="CC354" s="52">
        <v>-186</v>
      </c>
      <c r="CD354" s="52">
        <v>-269</v>
      </c>
      <c r="CE354" s="52">
        <v>-315</v>
      </c>
      <c r="CF354" s="52">
        <v>-291</v>
      </c>
      <c r="CG354" s="52">
        <v>-288</v>
      </c>
      <c r="CH354" s="52">
        <v>-450</v>
      </c>
      <c r="CI354" s="52">
        <v>-461</v>
      </c>
      <c r="CJ354" s="52">
        <v>-383</v>
      </c>
      <c r="CK354" s="52">
        <v>-328</v>
      </c>
      <c r="CL354" s="52">
        <v>-250</v>
      </c>
      <c r="CM354" s="52">
        <v>-215</v>
      </c>
      <c r="CN354" s="52">
        <v>-115</v>
      </c>
      <c r="CO354" s="52">
        <v>-100</v>
      </c>
      <c r="CP354" s="52">
        <v>-104</v>
      </c>
      <c r="CQ354" s="52">
        <v>-75</v>
      </c>
      <c r="CR354" s="52">
        <v>-65</v>
      </c>
      <c r="CS354" s="52">
        <v>-67</v>
      </c>
      <c r="CT354" s="52">
        <v>-75</v>
      </c>
      <c r="CU354" s="52">
        <v>-56</v>
      </c>
      <c r="CV354" s="430">
        <f t="shared" si="10"/>
        <v>-1833</v>
      </c>
    </row>
    <row r="355" spans="1:100">
      <c r="A355" s="540" t="str">
        <f t="shared" si="9"/>
        <v>7000700</v>
      </c>
      <c r="B355" s="541" t="s">
        <v>2157</v>
      </c>
      <c r="C355" s="463" t="s">
        <v>1231</v>
      </c>
      <c r="D355" s="428">
        <v>-949.64</v>
      </c>
      <c r="E355" s="428">
        <v>-391.98</v>
      </c>
      <c r="F355" s="428">
        <v>-537.23</v>
      </c>
      <c r="G355" s="428">
        <v>-1716.68</v>
      </c>
      <c r="H355" s="428">
        <v>-2592.81</v>
      </c>
      <c r="I355" s="428">
        <v>-81.83</v>
      </c>
      <c r="J355" s="428">
        <v>0</v>
      </c>
      <c r="K355" s="428">
        <v>-282.83</v>
      </c>
      <c r="L355" s="428">
        <v>-233.2</v>
      </c>
      <c r="M355" s="428">
        <v>-277.56</v>
      </c>
      <c r="N355" s="428">
        <v>0</v>
      </c>
      <c r="O355" s="429">
        <v>-983.42</v>
      </c>
      <c r="P355" s="52">
        <v>-769.58</v>
      </c>
      <c r="Q355" s="52">
        <v>-570.25</v>
      </c>
      <c r="R355" s="52">
        <v>-2664.93</v>
      </c>
      <c r="S355" s="52">
        <v>-5316.88</v>
      </c>
      <c r="T355" s="52">
        <v>-3236.73</v>
      </c>
      <c r="U355" s="52">
        <v>-479.98</v>
      </c>
      <c r="V355" s="52">
        <v>-664.18</v>
      </c>
      <c r="W355" s="52">
        <v>-237.7</v>
      </c>
      <c r="X355" s="52">
        <v>-327.07</v>
      </c>
      <c r="Y355" s="52">
        <v>-368.85</v>
      </c>
      <c r="Z355" s="52">
        <v>-664.38</v>
      </c>
      <c r="AA355" s="52">
        <v>-3034.31</v>
      </c>
      <c r="AB355" s="52">
        <v>-3244.46</v>
      </c>
      <c r="AC355" s="52">
        <v>-3989.13</v>
      </c>
      <c r="AD355" s="52">
        <v>-650.26</v>
      </c>
      <c r="AE355" s="52">
        <v>-11483.41</v>
      </c>
      <c r="AF355" s="52">
        <v>-13996.7</v>
      </c>
      <c r="AG355" s="52">
        <v>-2678.56</v>
      </c>
      <c r="AH355" s="52">
        <v>0</v>
      </c>
      <c r="AI355" s="52">
        <v>-4540.3900000000003</v>
      </c>
      <c r="AJ355" s="52">
        <v>-10.44</v>
      </c>
      <c r="AK355" s="52">
        <v>-1497.99</v>
      </c>
      <c r="AL355" s="52">
        <v>0</v>
      </c>
      <c r="AM355" s="52">
        <v>-900.17</v>
      </c>
      <c r="AN355" s="52">
        <v>0</v>
      </c>
      <c r="AO355" s="52">
        <v>0</v>
      </c>
      <c r="AP355" s="52">
        <v>0</v>
      </c>
      <c r="AQ355" s="52">
        <v>0</v>
      </c>
      <c r="AR355" s="52">
        <v>0</v>
      </c>
      <c r="AS355" s="52">
        <v>0</v>
      </c>
      <c r="AT355" s="52">
        <v>0</v>
      </c>
      <c r="AU355" s="52">
        <v>0</v>
      </c>
      <c r="AV355" s="52">
        <v>0</v>
      </c>
      <c r="AW355" s="52"/>
      <c r="AX355" s="52"/>
      <c r="AY355" s="52"/>
      <c r="AZ355" s="52">
        <v>0</v>
      </c>
      <c r="BA355" s="52">
        <v>0</v>
      </c>
      <c r="BB355" s="52">
        <v>0</v>
      </c>
      <c r="BC355" s="52">
        <v>0</v>
      </c>
      <c r="BD355" s="52">
        <v>0</v>
      </c>
      <c r="BE355" s="52">
        <v>0</v>
      </c>
      <c r="BF355" s="52">
        <v>0</v>
      </c>
      <c r="BG355" s="52">
        <v>0</v>
      </c>
      <c r="BH355" s="52">
        <v>0</v>
      </c>
      <c r="BI355" s="52">
        <v>0</v>
      </c>
      <c r="BJ355" s="52">
        <v>0</v>
      </c>
      <c r="BK355" s="52">
        <v>0</v>
      </c>
      <c r="BL355" s="52">
        <v>0</v>
      </c>
      <c r="BM355" s="52">
        <v>0</v>
      </c>
      <c r="BN355" s="52">
        <v>0</v>
      </c>
      <c r="BO355" s="52">
        <v>0</v>
      </c>
      <c r="BP355" s="52">
        <v>0</v>
      </c>
      <c r="BQ355" s="52">
        <v>0</v>
      </c>
      <c r="BR355" s="52">
        <v>0</v>
      </c>
      <c r="BS355" s="52">
        <v>0</v>
      </c>
      <c r="BT355" s="52">
        <v>0</v>
      </c>
      <c r="BU355" s="52">
        <v>0</v>
      </c>
      <c r="BV355" s="52">
        <v>0</v>
      </c>
      <c r="BW355" s="52">
        <v>0</v>
      </c>
      <c r="BX355" s="52">
        <v>0</v>
      </c>
      <c r="BY355" s="52">
        <v>0</v>
      </c>
      <c r="BZ355" s="52">
        <v>0</v>
      </c>
      <c r="CA355" s="52">
        <v>0</v>
      </c>
      <c r="CB355" s="52">
        <v>0</v>
      </c>
      <c r="CC355" s="52">
        <v>0</v>
      </c>
      <c r="CD355" s="52">
        <v>0</v>
      </c>
      <c r="CE355" s="52">
        <v>0</v>
      </c>
      <c r="CF355" s="52">
        <v>0</v>
      </c>
      <c r="CG355" s="52">
        <v>0</v>
      </c>
      <c r="CH355" s="52">
        <v>0</v>
      </c>
      <c r="CI355" s="52">
        <v>0</v>
      </c>
      <c r="CJ355" s="52">
        <v>-9413.48</v>
      </c>
      <c r="CK355" s="52">
        <v>-9459.18</v>
      </c>
      <c r="CL355" s="52">
        <v>-9229.83</v>
      </c>
      <c r="CM355" s="52">
        <v>-5079.79</v>
      </c>
      <c r="CN355" s="52">
        <v>-10909.71</v>
      </c>
      <c r="CO355" s="52">
        <v>-4635.07</v>
      </c>
      <c r="CP355" s="52">
        <v>-2076.81</v>
      </c>
      <c r="CQ355" s="52">
        <v>-2131.5</v>
      </c>
      <c r="CR355" s="52">
        <v>-1986.29</v>
      </c>
      <c r="CS355" s="52">
        <v>-1910.9</v>
      </c>
      <c r="CT355" s="52">
        <v>-1944.63</v>
      </c>
      <c r="CU355" s="52">
        <v>-2449.88</v>
      </c>
      <c r="CV355" s="430">
        <f t="shared" si="10"/>
        <v>-61227.069999999992</v>
      </c>
    </row>
    <row r="356" spans="1:100">
      <c r="A356" s="540" t="str">
        <f t="shared" si="9"/>
        <v>7000800</v>
      </c>
      <c r="B356" s="541" t="s">
        <v>2156</v>
      </c>
      <c r="C356" s="463" t="s">
        <v>1232</v>
      </c>
      <c r="D356" s="426">
        <v>-32156.26</v>
      </c>
      <c r="E356" s="426">
        <v>-59768.59</v>
      </c>
      <c r="F356" s="426">
        <v>-16405.560000000001</v>
      </c>
      <c r="G356" s="426">
        <v>-11983.35</v>
      </c>
      <c r="H356" s="426">
        <v>-19841.05</v>
      </c>
      <c r="I356" s="426">
        <v>-34519.17</v>
      </c>
      <c r="J356" s="426">
        <v>-13577.67</v>
      </c>
      <c r="K356" s="426">
        <v>-15355.17</v>
      </c>
      <c r="L356" s="426">
        <v>-15121.38</v>
      </c>
      <c r="M356" s="426">
        <v>-16882.47</v>
      </c>
      <c r="N356" s="426">
        <v>-11242.67</v>
      </c>
      <c r="O356" s="427">
        <v>-29160.13</v>
      </c>
      <c r="P356" s="52">
        <v>-24518.29</v>
      </c>
      <c r="Q356" s="52">
        <v>-17993.23</v>
      </c>
      <c r="R356" s="52">
        <v>-17994.25</v>
      </c>
      <c r="S356" s="52">
        <v>-19822.23</v>
      </c>
      <c r="T356" s="52">
        <v>-41990.1</v>
      </c>
      <c r="U356" s="52">
        <v>-46082.1</v>
      </c>
      <c r="V356" s="52">
        <v>-12781.81</v>
      </c>
      <c r="W356" s="52">
        <v>-21453.43</v>
      </c>
      <c r="X356" s="52">
        <v>-15998.47</v>
      </c>
      <c r="Y356" s="52">
        <v>-17926.060000000001</v>
      </c>
      <c r="Z356" s="52">
        <v>-23394.54</v>
      </c>
      <c r="AA356" s="52">
        <v>-18115.330000000002</v>
      </c>
      <c r="AB356" s="52">
        <v>-14596.01</v>
      </c>
      <c r="AC356" s="52">
        <v>-64398.96</v>
      </c>
      <c r="AD356" s="52">
        <v>-24467.18</v>
      </c>
      <c r="AE356" s="52">
        <v>-25289.81</v>
      </c>
      <c r="AF356" s="52">
        <v>-24608.98</v>
      </c>
      <c r="AG356" s="52">
        <v>-45412.81</v>
      </c>
      <c r="AH356" s="52">
        <v>-53566.52</v>
      </c>
      <c r="AI356" s="52">
        <v>-37029.370000000003</v>
      </c>
      <c r="AJ356" s="52">
        <v>-29848.48</v>
      </c>
      <c r="AK356" s="52">
        <v>-22548.720000000001</v>
      </c>
      <c r="AL356" s="52">
        <v>-34613.72</v>
      </c>
      <c r="AM356" s="52">
        <v>-40897.17</v>
      </c>
      <c r="AN356" s="52">
        <v>-28006.81</v>
      </c>
      <c r="AO356" s="52">
        <v>-37984.57</v>
      </c>
      <c r="AP356" s="52">
        <v>-31193.17</v>
      </c>
      <c r="AQ356" s="52">
        <v>-30066.84</v>
      </c>
      <c r="AR356" s="52">
        <v>-9809.65</v>
      </c>
      <c r="AS356" s="52">
        <v>-20994.17</v>
      </c>
      <c r="AT356" s="52">
        <v>-1673.21</v>
      </c>
      <c r="AU356" s="52">
        <v>-5205.66</v>
      </c>
      <c r="AV356" s="52">
        <v>-1710.7</v>
      </c>
      <c r="AW356" s="52">
        <v>-2412.67</v>
      </c>
      <c r="AX356" s="52">
        <v>-653.58000000000004</v>
      </c>
      <c r="AY356" s="52">
        <v>-722.53</v>
      </c>
      <c r="AZ356" s="52">
        <v>-5980.14</v>
      </c>
      <c r="BA356" s="52">
        <v>-683.95</v>
      </c>
      <c r="BB356" s="52">
        <v>-593.34</v>
      </c>
      <c r="BC356" s="52">
        <v>-1242.23</v>
      </c>
      <c r="BD356" s="52">
        <v>-3325.19</v>
      </c>
      <c r="BE356" s="52">
        <v>-823.95</v>
      </c>
      <c r="BF356" s="52">
        <v>61.04</v>
      </c>
      <c r="BG356" s="52">
        <v>-774.42</v>
      </c>
      <c r="BH356" s="52">
        <v>-869.08</v>
      </c>
      <c r="BI356" s="52">
        <v>123.42</v>
      </c>
      <c r="BJ356" s="52">
        <v>-859.74</v>
      </c>
      <c r="BK356" s="52">
        <v>-1245.73</v>
      </c>
      <c r="BL356" s="52">
        <v>-1386.14</v>
      </c>
      <c r="BM356" s="52">
        <v>-1039.8</v>
      </c>
      <c r="BN356" s="52">
        <v>-926.46</v>
      </c>
      <c r="BO356" s="52">
        <v>-955.99</v>
      </c>
      <c r="BP356" s="52">
        <v>-1150.17</v>
      </c>
      <c r="BQ356" s="52">
        <v>-3577.39</v>
      </c>
      <c r="BR356" s="52">
        <v>-3981.29</v>
      </c>
      <c r="BS356" s="52">
        <v>-3921.99</v>
      </c>
      <c r="BT356" s="52">
        <v>-3048.89</v>
      </c>
      <c r="BU356" s="52">
        <v>-21.6</v>
      </c>
      <c r="BV356" s="52">
        <v>-5046.87</v>
      </c>
      <c r="BW356" s="52">
        <v>-1393.46</v>
      </c>
      <c r="BX356" s="52">
        <v>-1579.61</v>
      </c>
      <c r="BY356" s="52">
        <v>-1281.06</v>
      </c>
      <c r="BZ356" s="52">
        <v>-1072.8</v>
      </c>
      <c r="CA356" s="52">
        <v>-719.88</v>
      </c>
      <c r="CB356" s="52">
        <v>-1039.4000000000001</v>
      </c>
      <c r="CC356" s="52">
        <v>-750.75</v>
      </c>
      <c r="CD356" s="52">
        <v>-625.63</v>
      </c>
      <c r="CE356" s="52">
        <v>-738.82</v>
      </c>
      <c r="CF356" s="52">
        <v>-572.55999999999995</v>
      </c>
      <c r="CG356" s="52">
        <v>-534.87</v>
      </c>
      <c r="CH356" s="52">
        <v>-573.24</v>
      </c>
      <c r="CI356" s="52">
        <v>-664.81</v>
      </c>
      <c r="CJ356" s="52">
        <v>-842.29</v>
      </c>
      <c r="CK356" s="52">
        <v>-387.57</v>
      </c>
      <c r="CL356" s="52">
        <v>-485.21</v>
      </c>
      <c r="CM356" s="52">
        <v>-4509.24</v>
      </c>
      <c r="CN356" s="52">
        <v>-3492.65</v>
      </c>
      <c r="CO356" s="52">
        <v>-489.02</v>
      </c>
      <c r="CP356" s="52">
        <v>-1132.8800000000001</v>
      </c>
      <c r="CQ356" s="52">
        <v>-953.31</v>
      </c>
      <c r="CR356" s="52">
        <v>-818.78</v>
      </c>
      <c r="CS356" s="52">
        <v>-974.96</v>
      </c>
      <c r="CT356" s="52">
        <v>-899.24</v>
      </c>
      <c r="CU356" s="52">
        <v>-905.4</v>
      </c>
      <c r="CV356" s="430">
        <f t="shared" si="10"/>
        <v>-15890.55</v>
      </c>
    </row>
    <row r="357" spans="1:100">
      <c r="A357" s="540" t="str">
        <f t="shared" si="9"/>
        <v>7009000</v>
      </c>
      <c r="B357" s="541" t="s">
        <v>2158</v>
      </c>
      <c r="C357" s="463" t="s">
        <v>1700</v>
      </c>
      <c r="D357" s="426">
        <v>0</v>
      </c>
      <c r="E357" s="426">
        <v>-6767.39</v>
      </c>
      <c r="F357" s="426">
        <v>0</v>
      </c>
      <c r="G357" s="426">
        <v>0</v>
      </c>
      <c r="H357" s="426">
        <v>0</v>
      </c>
      <c r="I357" s="426">
        <v>0</v>
      </c>
      <c r="J357" s="426">
        <v>0</v>
      </c>
      <c r="K357" s="426">
        <v>0</v>
      </c>
      <c r="L357" s="426">
        <v>0</v>
      </c>
      <c r="M357" s="426">
        <v>0</v>
      </c>
      <c r="N357" s="426">
        <v>0</v>
      </c>
      <c r="O357" s="427">
        <v>0</v>
      </c>
      <c r="P357" s="52">
        <v>0</v>
      </c>
      <c r="Q357" s="52">
        <v>0</v>
      </c>
      <c r="R357" s="52">
        <v>0</v>
      </c>
      <c r="S357" s="52">
        <v>0</v>
      </c>
      <c r="T357" s="52">
        <v>0</v>
      </c>
      <c r="U357" s="52">
        <v>0</v>
      </c>
      <c r="V357" s="52">
        <v>0</v>
      </c>
      <c r="W357" s="52">
        <v>0</v>
      </c>
      <c r="X357" s="52">
        <v>0</v>
      </c>
      <c r="Y357" s="52">
        <v>0</v>
      </c>
      <c r="Z357" s="52">
        <v>0</v>
      </c>
      <c r="AA357" s="52">
        <v>-687910.31</v>
      </c>
      <c r="AB357" s="52">
        <v>0</v>
      </c>
      <c r="AC357" s="52">
        <v>0</v>
      </c>
      <c r="AD357" s="52">
        <v>0</v>
      </c>
      <c r="AE357" s="52">
        <v>0</v>
      </c>
      <c r="AF357" s="52">
        <v>0</v>
      </c>
      <c r="AG357" s="52">
        <v>0</v>
      </c>
      <c r="AH357" s="52">
        <v>0</v>
      </c>
      <c r="AI357" s="52">
        <v>0</v>
      </c>
      <c r="AJ357" s="52">
        <v>140</v>
      </c>
      <c r="AK357" s="52">
        <v>-140</v>
      </c>
      <c r="AL357" s="52">
        <v>0</v>
      </c>
      <c r="AM357" s="52">
        <v>0</v>
      </c>
      <c r="AN357" s="52">
        <v>0</v>
      </c>
      <c r="AO357" s="52">
        <v>0</v>
      </c>
      <c r="AP357" s="52">
        <v>0</v>
      </c>
      <c r="AQ357" s="52">
        <v>0</v>
      </c>
      <c r="AR357" s="52">
        <v>0</v>
      </c>
      <c r="AS357" s="52">
        <v>0</v>
      </c>
      <c r="AT357" s="52">
        <v>0</v>
      </c>
      <c r="AU357" s="52">
        <v>0</v>
      </c>
      <c r="AV357" s="52">
        <v>0</v>
      </c>
      <c r="AW357" s="52"/>
      <c r="AX357" s="52"/>
      <c r="AY357" s="52"/>
      <c r="AZ357" s="52">
        <v>0</v>
      </c>
      <c r="BA357" s="52">
        <v>0</v>
      </c>
      <c r="BB357" s="52">
        <v>0</v>
      </c>
      <c r="BC357" s="52">
        <v>0</v>
      </c>
      <c r="BD357" s="52">
        <v>0</v>
      </c>
      <c r="BE357" s="52">
        <v>0</v>
      </c>
      <c r="BF357" s="52">
        <v>0</v>
      </c>
      <c r="BG357" s="52">
        <v>0</v>
      </c>
      <c r="BH357" s="52">
        <v>0</v>
      </c>
      <c r="BI357" s="52">
        <v>0</v>
      </c>
      <c r="BJ357" s="52">
        <v>0</v>
      </c>
      <c r="BK357" s="52">
        <v>0</v>
      </c>
      <c r="BL357" s="52">
        <v>0</v>
      </c>
      <c r="BM357" s="52">
        <v>0</v>
      </c>
      <c r="BN357" s="52">
        <v>0</v>
      </c>
      <c r="BO357" s="52">
        <v>0</v>
      </c>
      <c r="BP357" s="52">
        <v>0</v>
      </c>
      <c r="BQ357" s="52">
        <v>0</v>
      </c>
      <c r="BR357" s="52">
        <v>0</v>
      </c>
      <c r="BS357" s="52">
        <v>0</v>
      </c>
      <c r="BT357" s="52">
        <v>0</v>
      </c>
      <c r="BU357" s="52">
        <v>0</v>
      </c>
      <c r="BV357" s="52">
        <v>0</v>
      </c>
      <c r="BW357" s="52">
        <v>0</v>
      </c>
      <c r="BX357" s="52">
        <v>0</v>
      </c>
      <c r="BY357" s="52">
        <v>0</v>
      </c>
      <c r="BZ357" s="52">
        <v>0</v>
      </c>
      <c r="CA357" s="52">
        <v>0</v>
      </c>
      <c r="CB357" s="52">
        <v>0</v>
      </c>
      <c r="CC357" s="52">
        <v>0</v>
      </c>
      <c r="CD357" s="52">
        <v>0</v>
      </c>
      <c r="CE357" s="52">
        <v>0</v>
      </c>
      <c r="CF357" s="52">
        <v>0</v>
      </c>
      <c r="CG357" s="52">
        <v>0</v>
      </c>
      <c r="CH357" s="52">
        <v>0</v>
      </c>
      <c r="CI357" s="52">
        <v>0</v>
      </c>
      <c r="CJ357" s="52">
        <v>0</v>
      </c>
      <c r="CK357" s="52">
        <v>0</v>
      </c>
      <c r="CL357" s="52">
        <v>0</v>
      </c>
      <c r="CM357" s="52">
        <v>0</v>
      </c>
      <c r="CN357" s="52">
        <v>0</v>
      </c>
      <c r="CO357" s="52">
        <v>0</v>
      </c>
      <c r="CP357" s="52">
        <v>0</v>
      </c>
      <c r="CQ357" s="52">
        <v>0</v>
      </c>
      <c r="CR357" s="52">
        <v>0</v>
      </c>
      <c r="CS357" s="52">
        <v>0</v>
      </c>
      <c r="CT357" s="52">
        <v>0</v>
      </c>
      <c r="CU357" s="52">
        <v>0</v>
      </c>
      <c r="CV357" s="430">
        <f t="shared" si="10"/>
        <v>0</v>
      </c>
    </row>
    <row r="358" spans="1:100">
      <c r="A358" s="540" t="str">
        <f>+B358</f>
        <v>7100010</v>
      </c>
      <c r="B358" s="541" t="s">
        <v>2301</v>
      </c>
      <c r="C358" s="463" t="s">
        <v>2296</v>
      </c>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v>0</v>
      </c>
      <c r="BM358" s="52">
        <v>0</v>
      </c>
      <c r="BN358" s="52">
        <v>0</v>
      </c>
      <c r="BO358" s="52">
        <v>0</v>
      </c>
      <c r="BP358" s="52">
        <v>0</v>
      </c>
      <c r="BQ358" s="52">
        <v>0</v>
      </c>
      <c r="BR358" s="52">
        <v>0</v>
      </c>
      <c r="BS358" s="52">
        <v>-135260.79</v>
      </c>
      <c r="BT358" s="52">
        <v>-88143.23</v>
      </c>
      <c r="BU358" s="52">
        <v>-69984.350000000006</v>
      </c>
      <c r="BV358" s="52">
        <v>-78293.710000000006</v>
      </c>
      <c r="BW358" s="52">
        <v>-98731.87</v>
      </c>
      <c r="BX358" s="52">
        <v>-128109.59</v>
      </c>
      <c r="BY358" s="52">
        <v>-160068.20000000001</v>
      </c>
      <c r="BZ358" s="52">
        <v>-187039.09</v>
      </c>
      <c r="CA358" s="52">
        <v>-212810.96</v>
      </c>
      <c r="CB358" s="52">
        <v>-258036.43</v>
      </c>
      <c r="CC358" s="52">
        <v>-295038.21000000002</v>
      </c>
      <c r="CD358" s="52">
        <v>-317432.21000000002</v>
      </c>
      <c r="CE358" s="52">
        <v>-354208</v>
      </c>
      <c r="CF358" s="52">
        <v>-396170.73</v>
      </c>
      <c r="CG358" s="52">
        <v>-313400.96999999997</v>
      </c>
      <c r="CH358" s="52">
        <v>-231389.87</v>
      </c>
      <c r="CI358" s="52">
        <v>-267899.33</v>
      </c>
      <c r="CJ358" s="52">
        <v>-304757.78999999998</v>
      </c>
      <c r="CK358" s="52">
        <v>-370593.85</v>
      </c>
      <c r="CL358" s="52">
        <v>-389947.17</v>
      </c>
      <c r="CM358" s="52">
        <v>-326242.06</v>
      </c>
      <c r="CN358" s="52">
        <v>-221915.58</v>
      </c>
      <c r="CO358" s="52">
        <v>-230325.17</v>
      </c>
      <c r="CP358" s="52">
        <v>-249458.15</v>
      </c>
      <c r="CQ358" s="52">
        <v>-280763.06</v>
      </c>
      <c r="CR358" s="52">
        <v>-307772.68</v>
      </c>
      <c r="CS358" s="52">
        <v>-330307.34000000003</v>
      </c>
      <c r="CT358" s="52">
        <v>-118962.32</v>
      </c>
      <c r="CU358" s="52">
        <v>-163717.22</v>
      </c>
      <c r="CV358" s="430">
        <f t="shared" si="10"/>
        <v>-3294762.3899999997</v>
      </c>
    </row>
    <row r="359" spans="1:100">
      <c r="A359" s="540" t="str">
        <f>+B359</f>
        <v>7100015</v>
      </c>
      <c r="B359" s="541" t="s">
        <v>2382</v>
      </c>
      <c r="C359" s="463" t="s">
        <v>2383</v>
      </c>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v>0</v>
      </c>
      <c r="BV359" s="52">
        <v>0</v>
      </c>
      <c r="BW359" s="52">
        <v>470413.95</v>
      </c>
      <c r="BX359" s="52">
        <v>128109.59</v>
      </c>
      <c r="BY359" s="52">
        <v>160068.20000000001</v>
      </c>
      <c r="BZ359" s="52">
        <v>187039.09</v>
      </c>
      <c r="CA359" s="52">
        <v>212810.96</v>
      </c>
      <c r="CB359" s="52">
        <v>258036.43</v>
      </c>
      <c r="CC359" s="52">
        <v>295038.21000000002</v>
      </c>
      <c r="CD359" s="52">
        <v>317432.21000000002</v>
      </c>
      <c r="CE359" s="52">
        <v>354208</v>
      </c>
      <c r="CF359" s="52">
        <v>396170.73</v>
      </c>
      <c r="CG359" s="52">
        <v>313400.96999999997</v>
      </c>
      <c r="CH359" s="52">
        <v>231389.87</v>
      </c>
      <c r="CI359" s="52">
        <v>267899.33</v>
      </c>
      <c r="CJ359" s="52">
        <v>304757.78999999998</v>
      </c>
      <c r="CK359" s="52">
        <v>370593.85</v>
      </c>
      <c r="CL359" s="52">
        <v>389947.17</v>
      </c>
      <c r="CM359" s="52">
        <v>326242.06</v>
      </c>
      <c r="CN359" s="52">
        <v>221915.58</v>
      </c>
      <c r="CO359" s="52">
        <v>230325.17</v>
      </c>
      <c r="CP359" s="52">
        <v>249458.15</v>
      </c>
      <c r="CQ359" s="52">
        <v>280763.06</v>
      </c>
      <c r="CR359" s="52">
        <v>307772.68</v>
      </c>
      <c r="CS359" s="52">
        <v>330307.34000000003</v>
      </c>
      <c r="CT359" s="52">
        <v>118962.32</v>
      </c>
      <c r="CU359" s="52">
        <v>163717.22</v>
      </c>
      <c r="CV359" s="430">
        <f t="shared" si="10"/>
        <v>3294762.3899999997</v>
      </c>
    </row>
    <row r="360" spans="1:100">
      <c r="A360" s="540" t="str">
        <f t="shared" si="9"/>
        <v>7100020</v>
      </c>
      <c r="B360" s="541" t="s">
        <v>2159</v>
      </c>
      <c r="C360" s="463" t="s">
        <v>1233</v>
      </c>
      <c r="D360" s="426">
        <v>0</v>
      </c>
      <c r="E360" s="426">
        <v>-6767.39</v>
      </c>
      <c r="F360" s="426">
        <v>0</v>
      </c>
      <c r="G360" s="426">
        <v>0</v>
      </c>
      <c r="H360" s="426">
        <v>0</v>
      </c>
      <c r="I360" s="426">
        <v>0</v>
      </c>
      <c r="J360" s="426">
        <v>0</v>
      </c>
      <c r="K360" s="426">
        <v>0</v>
      </c>
      <c r="L360" s="426">
        <v>0</v>
      </c>
      <c r="M360" s="426">
        <v>0</v>
      </c>
      <c r="N360" s="426">
        <v>0</v>
      </c>
      <c r="O360" s="427">
        <v>0</v>
      </c>
      <c r="P360" s="52">
        <v>0</v>
      </c>
      <c r="Q360" s="52">
        <v>0</v>
      </c>
      <c r="R360" s="52">
        <v>0</v>
      </c>
      <c r="S360" s="52">
        <v>0</v>
      </c>
      <c r="T360" s="52">
        <v>0</v>
      </c>
      <c r="U360" s="52">
        <v>0</v>
      </c>
      <c r="V360" s="52">
        <v>0</v>
      </c>
      <c r="W360" s="52">
        <v>0</v>
      </c>
      <c r="X360" s="52">
        <v>0</v>
      </c>
      <c r="Y360" s="52">
        <v>0</v>
      </c>
      <c r="Z360" s="52">
        <v>0</v>
      </c>
      <c r="AA360" s="52">
        <v>-687910.31</v>
      </c>
      <c r="AB360" s="52">
        <v>0</v>
      </c>
      <c r="AC360" s="52">
        <v>0</v>
      </c>
      <c r="AD360" s="52">
        <v>0</v>
      </c>
      <c r="AE360" s="52">
        <v>0</v>
      </c>
      <c r="AF360" s="52">
        <v>0</v>
      </c>
      <c r="AG360" s="52">
        <v>0</v>
      </c>
      <c r="AH360" s="52">
        <v>0</v>
      </c>
      <c r="AI360" s="52">
        <v>-214531</v>
      </c>
      <c r="AJ360" s="52">
        <v>0</v>
      </c>
      <c r="AK360" s="52">
        <v>-732275.85</v>
      </c>
      <c r="AL360" s="52">
        <v>0</v>
      </c>
      <c r="AM360" s="52">
        <v>0</v>
      </c>
      <c r="AN360" s="52">
        <v>0</v>
      </c>
      <c r="AO360" s="52">
        <v>0</v>
      </c>
      <c r="AP360" s="52">
        <v>0</v>
      </c>
      <c r="AQ360" s="52">
        <v>0</v>
      </c>
      <c r="AR360" s="52">
        <v>0</v>
      </c>
      <c r="AS360" s="52">
        <v>0</v>
      </c>
      <c r="AT360" s="52">
        <v>0</v>
      </c>
      <c r="AU360" s="52">
        <v>0</v>
      </c>
      <c r="AV360" s="52">
        <v>0</v>
      </c>
      <c r="AW360" s="52"/>
      <c r="AX360" s="52"/>
      <c r="AY360" s="52"/>
      <c r="AZ360" s="52">
        <v>-8001.86</v>
      </c>
      <c r="BA360" s="52">
        <v>0</v>
      </c>
      <c r="BB360" s="52">
        <v>0</v>
      </c>
      <c r="BC360" s="52">
        <v>0</v>
      </c>
      <c r="BD360" s="52">
        <v>0</v>
      </c>
      <c r="BE360" s="52">
        <v>-1457.99</v>
      </c>
      <c r="BF360" s="52">
        <v>0</v>
      </c>
      <c r="BG360" s="52">
        <v>-357.9</v>
      </c>
      <c r="BH360" s="52">
        <v>-5833.64</v>
      </c>
      <c r="BI360" s="52">
        <v>-1458</v>
      </c>
      <c r="BJ360" s="52">
        <v>-178.95</v>
      </c>
      <c r="BK360" s="52">
        <v>0</v>
      </c>
      <c r="BL360" s="52">
        <v>-1958.92</v>
      </c>
      <c r="BM360" s="52">
        <v>0</v>
      </c>
      <c r="BN360" s="52">
        <v>0</v>
      </c>
      <c r="BO360" s="52">
        <v>-6839.54</v>
      </c>
      <c r="BP360" s="52">
        <v>0</v>
      </c>
      <c r="BQ360" s="52">
        <v>0</v>
      </c>
      <c r="BR360" s="52">
        <v>-2142.37</v>
      </c>
      <c r="BS360" s="52">
        <v>0</v>
      </c>
      <c r="BT360" s="52">
        <v>-1958.93</v>
      </c>
      <c r="BU360" s="52">
        <v>0</v>
      </c>
      <c r="BV360" s="52">
        <v>0</v>
      </c>
      <c r="BW360" s="52">
        <v>0</v>
      </c>
      <c r="BX360" s="52">
        <v>0</v>
      </c>
      <c r="BY360" s="52">
        <v>0</v>
      </c>
      <c r="BZ360" s="52">
        <v>-5691.65</v>
      </c>
      <c r="CA360" s="52">
        <v>0</v>
      </c>
      <c r="CB360" s="52">
        <v>0</v>
      </c>
      <c r="CC360" s="52">
        <v>0</v>
      </c>
      <c r="CD360" s="52">
        <v>0</v>
      </c>
      <c r="CE360" s="52">
        <v>-14669.15</v>
      </c>
      <c r="CF360" s="52">
        <v>0</v>
      </c>
      <c r="CG360" s="52">
        <v>-2211.61</v>
      </c>
      <c r="CH360" s="52">
        <v>0</v>
      </c>
      <c r="CI360" s="52">
        <v>-187.97</v>
      </c>
      <c r="CJ360" s="52">
        <v>0</v>
      </c>
      <c r="CK360" s="52">
        <v>0</v>
      </c>
      <c r="CL360" s="52">
        <v>0</v>
      </c>
      <c r="CM360" s="52">
        <v>-4005.72</v>
      </c>
      <c r="CN360" s="52">
        <v>0</v>
      </c>
      <c r="CO360" s="52">
        <v>0</v>
      </c>
      <c r="CP360" s="52">
        <v>0</v>
      </c>
      <c r="CQ360" s="52">
        <v>0</v>
      </c>
      <c r="CR360" s="52">
        <v>0</v>
      </c>
      <c r="CS360" s="52">
        <v>0</v>
      </c>
      <c r="CT360" s="52">
        <v>0</v>
      </c>
      <c r="CU360" s="52">
        <v>0</v>
      </c>
      <c r="CV360" s="430">
        <f t="shared" si="10"/>
        <v>-4005.72</v>
      </c>
    </row>
    <row r="361" spans="1:100">
      <c r="A361" s="540" t="str">
        <f t="shared" ref="A361:A417" si="11">+B361</f>
        <v>7100800</v>
      </c>
      <c r="B361" s="541" t="s">
        <v>2160</v>
      </c>
      <c r="C361" s="463" t="s">
        <v>1234</v>
      </c>
      <c r="D361" s="426">
        <v>-48</v>
      </c>
      <c r="E361" s="426">
        <v>-47</v>
      </c>
      <c r="F361" s="426">
        <v>-46</v>
      </c>
      <c r="G361" s="426">
        <v>-46</v>
      </c>
      <c r="H361" s="426">
        <v>-68</v>
      </c>
      <c r="I361" s="426">
        <v>-43</v>
      </c>
      <c r="J361" s="426">
        <v>-43</v>
      </c>
      <c r="K361" s="426">
        <v>-44</v>
      </c>
      <c r="L361" s="426">
        <v>-46</v>
      </c>
      <c r="M361" s="426">
        <v>-75</v>
      </c>
      <c r="N361" s="426">
        <v>-50</v>
      </c>
      <c r="O361" s="427">
        <v>-50</v>
      </c>
      <c r="P361" s="52">
        <v>-52</v>
      </c>
      <c r="Q361" s="52">
        <v>-51</v>
      </c>
      <c r="R361" s="52">
        <v>-49</v>
      </c>
      <c r="S361" s="52">
        <v>-78</v>
      </c>
      <c r="T361" s="52">
        <v>-52</v>
      </c>
      <c r="U361" s="52">
        <v>-53</v>
      </c>
      <c r="V361" s="52">
        <v>-49</v>
      </c>
      <c r="W361" s="52">
        <v>-50</v>
      </c>
      <c r="X361" s="52">
        <v>-52</v>
      </c>
      <c r="Y361" s="52">
        <v>-78</v>
      </c>
      <c r="Z361" s="52">
        <v>-50</v>
      </c>
      <c r="AA361" s="52">
        <v>-48</v>
      </c>
      <c r="AB361" s="52">
        <v>-48</v>
      </c>
      <c r="AC361" s="52">
        <v>-49</v>
      </c>
      <c r="AD361" s="52">
        <v>-75</v>
      </c>
      <c r="AE361" s="52">
        <v>-52</v>
      </c>
      <c r="AF361" s="52">
        <v>-52</v>
      </c>
      <c r="AG361" s="52">
        <v>-55</v>
      </c>
      <c r="AH361" s="52">
        <v>-53</v>
      </c>
      <c r="AI361" s="52">
        <v>-52</v>
      </c>
      <c r="AJ361" s="52">
        <v>-64.5</v>
      </c>
      <c r="AK361" s="52">
        <v>-40.5</v>
      </c>
      <c r="AL361" s="52">
        <v>-40</v>
      </c>
      <c r="AM361" s="52">
        <v>-40</v>
      </c>
      <c r="AN361" s="52">
        <v>-39.5</v>
      </c>
      <c r="AO361" s="52">
        <v>-22.5</v>
      </c>
      <c r="AP361" s="52">
        <v>-56</v>
      </c>
      <c r="AQ361" s="52">
        <v>-39</v>
      </c>
      <c r="AR361" s="52">
        <v>-25</v>
      </c>
      <c r="AS361" s="52">
        <v>-32</v>
      </c>
      <c r="AT361" s="52">
        <v>-32</v>
      </c>
      <c r="AU361" s="52">
        <v>-46</v>
      </c>
      <c r="AV361" s="52">
        <v>-32</v>
      </c>
      <c r="AW361" s="52">
        <v>-32</v>
      </c>
      <c r="AX361" s="52">
        <v>-32</v>
      </c>
      <c r="AY361" s="52">
        <v>-30</v>
      </c>
      <c r="AZ361" s="52">
        <v>-32</v>
      </c>
      <c r="BA361" s="52">
        <v>-34</v>
      </c>
      <c r="BB361" s="52">
        <v>-43</v>
      </c>
      <c r="BC361" s="52">
        <v>-29</v>
      </c>
      <c r="BD361" s="52">
        <v>-30</v>
      </c>
      <c r="BE361" s="52">
        <v>-30.5</v>
      </c>
      <c r="BF361" s="52">
        <v>-27</v>
      </c>
      <c r="BG361" s="52">
        <v>-37</v>
      </c>
      <c r="BH361" s="52">
        <v>-25</v>
      </c>
      <c r="BI361" s="52">
        <v>-25</v>
      </c>
      <c r="BJ361" s="52">
        <v>-25.5</v>
      </c>
      <c r="BK361" s="52">
        <v>-29</v>
      </c>
      <c r="BL361" s="52">
        <v>-43.5</v>
      </c>
      <c r="BM361" s="52">
        <v>-34</v>
      </c>
      <c r="BN361" s="52">
        <v>-25.5</v>
      </c>
      <c r="BO361" s="52">
        <v>-25</v>
      </c>
      <c r="BP361" s="52">
        <v>-25.5</v>
      </c>
      <c r="BQ361" s="52">
        <v>-28</v>
      </c>
      <c r="BR361" s="52">
        <v>-28.5</v>
      </c>
      <c r="BS361" s="52">
        <v>-40</v>
      </c>
      <c r="BT361" s="52">
        <v>-25.5</v>
      </c>
      <c r="BU361" s="52">
        <v>-23</v>
      </c>
      <c r="BV361" s="52">
        <v>-23.5</v>
      </c>
      <c r="BW361" s="52">
        <v>-24</v>
      </c>
      <c r="BX361" s="52">
        <v>-33.5</v>
      </c>
      <c r="BY361" s="52">
        <v>-26</v>
      </c>
      <c r="BZ361" s="52">
        <v>-25</v>
      </c>
      <c r="CA361" s="52">
        <v>-25</v>
      </c>
      <c r="CB361" s="52">
        <v>-25</v>
      </c>
      <c r="CC361" s="52">
        <v>-25</v>
      </c>
      <c r="CD361" s="52">
        <v>-35.5</v>
      </c>
      <c r="CE361" s="52">
        <v>-25</v>
      </c>
      <c r="CF361" s="52">
        <v>-25</v>
      </c>
      <c r="CG361" s="52">
        <v>-25</v>
      </c>
      <c r="CH361" s="52">
        <v>-25</v>
      </c>
      <c r="CI361" s="52">
        <v>-39.5</v>
      </c>
      <c r="CJ361" s="52">
        <v>-29</v>
      </c>
      <c r="CK361" s="52">
        <v>-29</v>
      </c>
      <c r="CL361" s="52">
        <v>-30.5</v>
      </c>
      <c r="CM361" s="52">
        <v>-32</v>
      </c>
      <c r="CN361" s="52">
        <v>-30</v>
      </c>
      <c r="CO361" s="52">
        <v>-29.5</v>
      </c>
      <c r="CP361" s="52">
        <v>-38.5</v>
      </c>
      <c r="CQ361" s="52">
        <v>-27</v>
      </c>
      <c r="CR361" s="52">
        <v>-27</v>
      </c>
      <c r="CS361" s="52">
        <v>-26</v>
      </c>
      <c r="CT361" s="52">
        <v>-26</v>
      </c>
      <c r="CU361" s="52">
        <v>-34.5</v>
      </c>
      <c r="CV361" s="430">
        <f t="shared" si="10"/>
        <v>-359</v>
      </c>
    </row>
    <row r="362" spans="1:100">
      <c r="A362" s="540" t="str">
        <f t="shared" si="11"/>
        <v>7101000</v>
      </c>
      <c r="B362" s="541" t="s">
        <v>2161</v>
      </c>
      <c r="C362" s="463" t="s">
        <v>1699</v>
      </c>
      <c r="D362" s="426"/>
      <c r="E362" s="426"/>
      <c r="F362" s="426"/>
      <c r="G362" s="426"/>
      <c r="H362" s="426"/>
      <c r="I362" s="426"/>
      <c r="J362" s="426"/>
      <c r="K362" s="426"/>
      <c r="L362" s="426"/>
      <c r="M362" s="426"/>
      <c r="N362" s="426"/>
      <c r="O362" s="426"/>
      <c r="P362" s="426"/>
      <c r="Q362" s="426"/>
      <c r="R362" s="426"/>
      <c r="S362" s="426"/>
      <c r="T362" s="426"/>
      <c r="U362" s="426"/>
      <c r="V362" s="426"/>
      <c r="W362" s="426"/>
      <c r="X362" s="426"/>
      <c r="Y362" s="426"/>
      <c r="Z362" s="426"/>
      <c r="AA362" s="426"/>
      <c r="AB362" s="426"/>
      <c r="AC362" s="426"/>
      <c r="AD362" s="426"/>
      <c r="AE362" s="426"/>
      <c r="AF362" s="426"/>
      <c r="AG362" s="426"/>
      <c r="AH362" s="52">
        <v>-178382.13</v>
      </c>
      <c r="AI362" s="52">
        <v>-178382.13</v>
      </c>
      <c r="AJ362" s="52">
        <v>-178382.13</v>
      </c>
      <c r="AK362" s="52">
        <v>-178382.13</v>
      </c>
      <c r="AL362" s="52">
        <v>-178382.13</v>
      </c>
      <c r="AM362" s="52">
        <v>-178382.13</v>
      </c>
      <c r="AN362" s="52">
        <v>-178382.13</v>
      </c>
      <c r="AO362" s="52">
        <v>-178382.13</v>
      </c>
      <c r="AP362" s="52">
        <v>-178382.13</v>
      </c>
      <c r="AQ362" s="52">
        <v>-178382.13</v>
      </c>
      <c r="AR362" s="52">
        <v>-178382.13</v>
      </c>
      <c r="AS362" s="52">
        <v>-178382.13</v>
      </c>
      <c r="AT362" s="52">
        <v>-178382.13</v>
      </c>
      <c r="AU362" s="52">
        <v>-178382.13</v>
      </c>
      <c r="AV362" s="52">
        <v>-178382.13</v>
      </c>
      <c r="AW362" s="52">
        <v>-178382.13</v>
      </c>
      <c r="AX362" s="52">
        <v>-178382.13</v>
      </c>
      <c r="AY362" s="52">
        <v>-178382.13</v>
      </c>
      <c r="AZ362" s="52">
        <v>-178382.13</v>
      </c>
      <c r="BA362" s="52">
        <v>-178382.13</v>
      </c>
      <c r="BB362" s="52">
        <v>-178382.13</v>
      </c>
      <c r="BC362" s="52">
        <v>-178382.13</v>
      </c>
      <c r="BD362" s="52">
        <v>-178382.13</v>
      </c>
      <c r="BE362" s="52">
        <v>-178382.13</v>
      </c>
      <c r="BF362" s="52">
        <v>-178382.13</v>
      </c>
      <c r="BG362" s="52">
        <v>-178382.13</v>
      </c>
      <c r="BH362" s="52">
        <v>-178382.13</v>
      </c>
      <c r="BI362" s="52">
        <v>-178382.13</v>
      </c>
      <c r="BJ362" s="52">
        <v>-178382.13</v>
      </c>
      <c r="BK362" s="52">
        <v>-178382.13</v>
      </c>
      <c r="BL362" s="52">
        <v>-178382.13</v>
      </c>
      <c r="BM362" s="52">
        <v>-178382.13</v>
      </c>
      <c r="BN362" s="52">
        <v>-178382.13</v>
      </c>
      <c r="BO362" s="52">
        <v>-178382.13</v>
      </c>
      <c r="BP362" s="52">
        <v>-178382.13</v>
      </c>
      <c r="BQ362" s="52">
        <v>-178382.13</v>
      </c>
      <c r="BR362" s="52">
        <v>-178382.13</v>
      </c>
      <c r="BS362" s="52">
        <v>-178382.13</v>
      </c>
      <c r="BT362" s="52">
        <v>-178382.13</v>
      </c>
      <c r="BU362" s="52">
        <v>-178382.13</v>
      </c>
      <c r="BV362" s="52">
        <v>-178382.13</v>
      </c>
      <c r="BW362" s="52">
        <v>-178382.13</v>
      </c>
      <c r="BX362" s="52">
        <v>-178382.13</v>
      </c>
      <c r="BY362" s="52">
        <v>-178382.13</v>
      </c>
      <c r="BZ362" s="52">
        <v>-178382.13</v>
      </c>
      <c r="CA362" s="52">
        <v>-178382.13</v>
      </c>
      <c r="CB362" s="52">
        <v>-134554.43</v>
      </c>
      <c r="CC362" s="52">
        <v>-156002.03</v>
      </c>
      <c r="CD362" s="52">
        <v>-21447.55</v>
      </c>
      <c r="CE362" s="52">
        <v>0</v>
      </c>
      <c r="CF362" s="52">
        <v>0</v>
      </c>
      <c r="CG362" s="52">
        <v>0</v>
      </c>
      <c r="CH362" s="52">
        <v>0</v>
      </c>
      <c r="CI362" s="52">
        <v>0</v>
      </c>
      <c r="CJ362" s="52">
        <v>0</v>
      </c>
      <c r="CK362" s="52">
        <v>0</v>
      </c>
      <c r="CL362" s="52">
        <v>0</v>
      </c>
      <c r="CM362" s="52">
        <v>0</v>
      </c>
      <c r="CN362" s="52">
        <v>0</v>
      </c>
      <c r="CO362" s="52">
        <v>0</v>
      </c>
      <c r="CP362" s="52">
        <v>0</v>
      </c>
      <c r="CQ362" s="52">
        <v>0</v>
      </c>
      <c r="CR362" s="52">
        <v>0</v>
      </c>
      <c r="CS362" s="52">
        <v>0</v>
      </c>
      <c r="CT362" s="52">
        <v>0</v>
      </c>
      <c r="CU362" s="52">
        <v>0</v>
      </c>
      <c r="CV362" s="430">
        <f t="shared" si="10"/>
        <v>0</v>
      </c>
    </row>
    <row r="363" spans="1:100">
      <c r="A363" s="540" t="str">
        <f>+B363</f>
        <v>7102000</v>
      </c>
      <c r="B363" s="541" t="s">
        <v>2217</v>
      </c>
      <c r="C363" s="463" t="s">
        <v>2213</v>
      </c>
      <c r="D363" s="426"/>
      <c r="E363" s="426"/>
      <c r="F363" s="426"/>
      <c r="G363" s="426"/>
      <c r="H363" s="426"/>
      <c r="I363" s="426"/>
      <c r="J363" s="426"/>
      <c r="K363" s="426"/>
      <c r="L363" s="426"/>
      <c r="M363" s="426"/>
      <c r="N363" s="426"/>
      <c r="O363" s="427"/>
      <c r="P363" s="543"/>
      <c r="Q363" s="543"/>
      <c r="R363" s="543"/>
      <c r="S363" s="543"/>
      <c r="T363" s="543"/>
      <c r="U363" s="543"/>
      <c r="V363" s="543"/>
      <c r="W363" s="543"/>
      <c r="X363" s="543"/>
      <c r="Y363" s="543"/>
      <c r="Z363" s="543"/>
      <c r="AA363" s="543"/>
      <c r="AB363" s="543"/>
      <c r="AC363" s="543"/>
      <c r="AD363" s="543"/>
      <c r="AE363" s="543"/>
      <c r="AF363" s="543"/>
      <c r="AG363" s="543"/>
      <c r="AH363" s="52"/>
      <c r="AI363" s="52"/>
      <c r="AJ363" s="52"/>
      <c r="AK363" s="52"/>
      <c r="AL363" s="52"/>
      <c r="AM363" s="52"/>
      <c r="AN363" s="52"/>
      <c r="AO363" s="52"/>
      <c r="AP363" s="52"/>
      <c r="AQ363" s="52"/>
      <c r="AR363" s="52"/>
      <c r="AS363" s="52"/>
      <c r="AT363" s="52"/>
      <c r="AU363" s="52"/>
      <c r="AV363" s="52"/>
      <c r="AW363" s="52"/>
      <c r="AX363" s="52"/>
      <c r="AY363" s="52"/>
      <c r="AZ363" s="52">
        <v>0</v>
      </c>
      <c r="BA363" s="52">
        <v>0</v>
      </c>
      <c r="BB363" s="52">
        <v>-161.44</v>
      </c>
      <c r="BC363" s="52">
        <v>39026.239999999998</v>
      </c>
      <c r="BD363" s="52">
        <v>0</v>
      </c>
      <c r="BE363" s="52">
        <v>-18.850000000000001</v>
      </c>
      <c r="BF363" s="52">
        <v>0</v>
      </c>
      <c r="BG363" s="52">
        <v>0</v>
      </c>
      <c r="BH363" s="52">
        <v>0</v>
      </c>
      <c r="BI363" s="52">
        <v>0</v>
      </c>
      <c r="BJ363" s="52">
        <v>0</v>
      </c>
      <c r="BK363" s="52">
        <v>-12.47</v>
      </c>
      <c r="BL363" s="52">
        <v>0</v>
      </c>
      <c r="BM363" s="52">
        <v>0</v>
      </c>
      <c r="BN363" s="52">
        <v>0</v>
      </c>
      <c r="BO363" s="52">
        <v>-342.88</v>
      </c>
      <c r="BP363" s="52">
        <v>0</v>
      </c>
      <c r="BQ363" s="52">
        <v>0</v>
      </c>
      <c r="BR363" s="52">
        <v>0</v>
      </c>
      <c r="BS363" s="52">
        <v>-2526.56</v>
      </c>
      <c r="BT363" s="52">
        <v>0</v>
      </c>
      <c r="BU363" s="52">
        <v>0</v>
      </c>
      <c r="BV363" s="52">
        <v>0</v>
      </c>
      <c r="BW363" s="52">
        <v>0</v>
      </c>
      <c r="BX363" s="52">
        <v>0</v>
      </c>
      <c r="BY363" s="52">
        <v>0</v>
      </c>
      <c r="BZ363" s="52">
        <v>-1998.92</v>
      </c>
      <c r="CA363" s="52">
        <v>2975</v>
      </c>
      <c r="CB363" s="52">
        <v>0</v>
      </c>
      <c r="CC363" s="52">
        <v>0</v>
      </c>
      <c r="CD363" s="52">
        <v>0</v>
      </c>
      <c r="CE363" s="52">
        <v>0</v>
      </c>
      <c r="CF363" s="52">
        <v>0</v>
      </c>
      <c r="CG363" s="52">
        <v>0</v>
      </c>
      <c r="CH363" s="52">
        <v>0</v>
      </c>
      <c r="CI363" s="52">
        <v>0</v>
      </c>
      <c r="CJ363" s="52">
        <v>0</v>
      </c>
      <c r="CK363" s="52">
        <v>0</v>
      </c>
      <c r="CL363" s="52">
        <v>0</v>
      </c>
      <c r="CM363" s="52">
        <v>0</v>
      </c>
      <c r="CN363" s="52">
        <v>0</v>
      </c>
      <c r="CO363" s="52">
        <v>0</v>
      </c>
      <c r="CP363" s="52">
        <v>-241.19</v>
      </c>
      <c r="CQ363" s="52">
        <v>0</v>
      </c>
      <c r="CR363" s="52">
        <v>0</v>
      </c>
      <c r="CS363" s="52">
        <v>0</v>
      </c>
      <c r="CT363" s="52">
        <v>-117.02</v>
      </c>
      <c r="CU363" s="52">
        <v>-94.72</v>
      </c>
      <c r="CV363" s="430">
        <f t="shared" si="10"/>
        <v>-452.92999999999995</v>
      </c>
    </row>
    <row r="364" spans="1:100">
      <c r="A364" s="540" t="str">
        <f t="shared" si="11"/>
        <v>7102100</v>
      </c>
      <c r="B364" s="541" t="s">
        <v>2162</v>
      </c>
      <c r="C364" s="463" t="s">
        <v>1735</v>
      </c>
      <c r="D364" s="426"/>
      <c r="E364" s="426"/>
      <c r="F364" s="426"/>
      <c r="G364" s="426"/>
      <c r="H364" s="426"/>
      <c r="I364" s="426"/>
      <c r="J364" s="426"/>
      <c r="K364" s="426"/>
      <c r="L364" s="426"/>
      <c r="M364" s="426"/>
      <c r="N364" s="426"/>
      <c r="O364" s="427"/>
      <c r="P364" s="543"/>
      <c r="Q364" s="543"/>
      <c r="R364" s="543"/>
      <c r="S364" s="543"/>
      <c r="T364" s="543"/>
      <c r="U364" s="543"/>
      <c r="V364" s="543"/>
      <c r="W364" s="543"/>
      <c r="X364" s="543"/>
      <c r="Y364" s="543"/>
      <c r="Z364" s="543"/>
      <c r="AA364" s="543"/>
      <c r="AB364" s="543"/>
      <c r="AC364" s="543"/>
      <c r="AD364" s="543"/>
      <c r="AE364" s="543"/>
      <c r="AF364" s="543"/>
      <c r="AG364" s="543"/>
      <c r="AH364" s="52"/>
      <c r="AI364" s="52"/>
      <c r="AJ364" s="52"/>
      <c r="AK364" s="52">
        <v>0</v>
      </c>
      <c r="AL364" s="52">
        <v>0</v>
      </c>
      <c r="AM364" s="52">
        <v>19.100000000000001</v>
      </c>
      <c r="AN364" s="52">
        <v>0</v>
      </c>
      <c r="AO364" s="52">
        <v>0</v>
      </c>
      <c r="AP364" s="52">
        <v>-19.100000000000001</v>
      </c>
      <c r="AQ364" s="52">
        <v>0</v>
      </c>
      <c r="AR364" s="52">
        <v>0</v>
      </c>
      <c r="AS364" s="52">
        <v>0</v>
      </c>
      <c r="AT364" s="52">
        <v>0</v>
      </c>
      <c r="AU364" s="52">
        <v>0</v>
      </c>
      <c r="AV364" s="52">
        <v>0</v>
      </c>
      <c r="AW364" s="52">
        <v>-56.83</v>
      </c>
      <c r="AX364" s="52">
        <v>56.83</v>
      </c>
      <c r="AY364" s="52">
        <v>0</v>
      </c>
      <c r="AZ364" s="52">
        <v>0</v>
      </c>
      <c r="BA364" s="52">
        <v>-1188.0999999999999</v>
      </c>
      <c r="BB364" s="52">
        <v>1188.0999999999999</v>
      </c>
      <c r="BC364" s="52">
        <v>-36.619999999999997</v>
      </c>
      <c r="BD364" s="52">
        <v>-20.51</v>
      </c>
      <c r="BE364" s="52">
        <v>-82.5</v>
      </c>
      <c r="BF364" s="52">
        <v>-1660.88</v>
      </c>
      <c r="BG364" s="52">
        <v>-144.03</v>
      </c>
      <c r="BH364" s="52">
        <v>-1207.02</v>
      </c>
      <c r="BI364" s="52">
        <v>-428.82</v>
      </c>
      <c r="BJ364" s="52">
        <v>-664.97</v>
      </c>
      <c r="BK364" s="52">
        <v>-1524.85</v>
      </c>
      <c r="BL364" s="52">
        <v>-5453.53</v>
      </c>
      <c r="BM364" s="52">
        <v>-112.17</v>
      </c>
      <c r="BN364" s="52">
        <v>-1029.8</v>
      </c>
      <c r="BO364" s="52">
        <v>3646.31</v>
      </c>
      <c r="BP364" s="52">
        <v>-62.37</v>
      </c>
      <c r="BQ364" s="52">
        <v>8814.2099999999991</v>
      </c>
      <c r="BR364" s="52">
        <v>-5380.94</v>
      </c>
      <c r="BS364" s="52">
        <v>5479.95</v>
      </c>
      <c r="BT364" s="52">
        <v>145.38999999999999</v>
      </c>
      <c r="BU364" s="52">
        <v>18.010000000000002</v>
      </c>
      <c r="BV364" s="52">
        <v>-185.42</v>
      </c>
      <c r="BW364" s="52">
        <v>185.42</v>
      </c>
      <c r="BX364" s="52">
        <v>-918.74</v>
      </c>
      <c r="BY364" s="52">
        <v>-2109.54</v>
      </c>
      <c r="BZ364" s="52">
        <v>875.25</v>
      </c>
      <c r="CA364" s="52">
        <v>2153.0300000000002</v>
      </c>
      <c r="CB364" s="52">
        <v>0</v>
      </c>
      <c r="CC364" s="52">
        <v>-1597.18</v>
      </c>
      <c r="CD364" s="52">
        <v>469.92</v>
      </c>
      <c r="CE364" s="52">
        <v>1127.26</v>
      </c>
      <c r="CF364" s="52">
        <v>-739.55</v>
      </c>
      <c r="CG364" s="52">
        <v>-32.700000000000003</v>
      </c>
      <c r="CH364" s="52">
        <v>764.3</v>
      </c>
      <c r="CI364" s="52">
        <v>0</v>
      </c>
      <c r="CJ364" s="52">
        <v>-874.71</v>
      </c>
      <c r="CK364" s="52">
        <v>874.71</v>
      </c>
      <c r="CL364" s="52">
        <v>-19.64</v>
      </c>
      <c r="CM364" s="52">
        <v>19.64</v>
      </c>
      <c r="CN364" s="52">
        <v>0</v>
      </c>
      <c r="CO364" s="52">
        <v>-2691.33</v>
      </c>
      <c r="CP364" s="52">
        <v>2691.33</v>
      </c>
      <c r="CQ364" s="52">
        <v>-106.74</v>
      </c>
      <c r="CR364" s="52">
        <v>-1421.45</v>
      </c>
      <c r="CS364" s="52">
        <v>1528.19</v>
      </c>
      <c r="CT364" s="52">
        <v>-2675.34</v>
      </c>
      <c r="CU364" s="52">
        <v>2675.34</v>
      </c>
      <c r="CV364" s="430">
        <f t="shared" si="10"/>
        <v>0</v>
      </c>
    </row>
    <row r="365" spans="1:100">
      <c r="A365" s="540" t="str">
        <f t="shared" si="11"/>
        <v>7103020</v>
      </c>
      <c r="B365" s="541" t="s">
        <v>2163</v>
      </c>
      <c r="C365" s="463" t="s">
        <v>1235</v>
      </c>
      <c r="D365" s="426">
        <v>-1875</v>
      </c>
      <c r="E365" s="426">
        <v>3655</v>
      </c>
      <c r="F365" s="426">
        <v>-1145</v>
      </c>
      <c r="G365" s="426">
        <v>-10415</v>
      </c>
      <c r="H365" s="426">
        <v>1325</v>
      </c>
      <c r="I365" s="426">
        <v>-1560</v>
      </c>
      <c r="J365" s="426">
        <v>-1000</v>
      </c>
      <c r="K365" s="426">
        <v>-42.5</v>
      </c>
      <c r="L365" s="426">
        <v>-2900</v>
      </c>
      <c r="M365" s="426">
        <v>-468</v>
      </c>
      <c r="N365" s="426">
        <v>965.5</v>
      </c>
      <c r="O365" s="427">
        <v>-75</v>
      </c>
      <c r="P365" s="52">
        <v>-9126</v>
      </c>
      <c r="Q365" s="52">
        <v>5641.39</v>
      </c>
      <c r="R365" s="52">
        <v>-70</v>
      </c>
      <c r="S365" s="52">
        <v>-73</v>
      </c>
      <c r="T365" s="52">
        <v>-3135</v>
      </c>
      <c r="U365" s="52">
        <v>1385</v>
      </c>
      <c r="V365" s="52">
        <v>-455</v>
      </c>
      <c r="W365" s="52">
        <v>-780</v>
      </c>
      <c r="X365" s="52">
        <v>-1772</v>
      </c>
      <c r="Y365" s="52">
        <v>-640</v>
      </c>
      <c r="Z365" s="52">
        <v>-75</v>
      </c>
      <c r="AA365" s="52">
        <v>-1222</v>
      </c>
      <c r="AB365" s="52">
        <v>-255</v>
      </c>
      <c r="AC365" s="52">
        <v>-850</v>
      </c>
      <c r="AD365" s="52">
        <v>-585</v>
      </c>
      <c r="AE365" s="52">
        <v>-510</v>
      </c>
      <c r="AF365" s="52">
        <v>-2080</v>
      </c>
      <c r="AG365" s="52">
        <v>-5455</v>
      </c>
      <c r="AH365" s="52">
        <v>-875</v>
      </c>
      <c r="AI365" s="52">
        <v>-810</v>
      </c>
      <c r="AJ365" s="52">
        <v>125.77</v>
      </c>
      <c r="AK365" s="52">
        <v>-4210</v>
      </c>
      <c r="AL365" s="52">
        <v>0</v>
      </c>
      <c r="AM365" s="52">
        <v>2335</v>
      </c>
      <c r="AN365" s="52">
        <v>0</v>
      </c>
      <c r="AO365" s="52">
        <v>0</v>
      </c>
      <c r="AP365" s="52">
        <v>0</v>
      </c>
      <c r="AQ365" s="52">
        <v>0</v>
      </c>
      <c r="AR365" s="52">
        <v>0</v>
      </c>
      <c r="AS365" s="52">
        <v>-260</v>
      </c>
      <c r="AT365" s="52">
        <v>0</v>
      </c>
      <c r="AU365" s="52">
        <v>-140</v>
      </c>
      <c r="AV365" s="52">
        <v>0</v>
      </c>
      <c r="AW365" s="52">
        <v>0</v>
      </c>
      <c r="AX365" s="52">
        <v>0</v>
      </c>
      <c r="AY365" s="52">
        <v>0</v>
      </c>
      <c r="AZ365" s="52">
        <v>0</v>
      </c>
      <c r="BA365" s="52">
        <v>0</v>
      </c>
      <c r="BB365" s="52">
        <v>0</v>
      </c>
      <c r="BC365" s="52">
        <v>0</v>
      </c>
      <c r="BD365" s="52">
        <v>0</v>
      </c>
      <c r="BE365" s="52">
        <v>0</v>
      </c>
      <c r="BF365" s="52">
        <v>0</v>
      </c>
      <c r="BG365" s="52">
        <v>0</v>
      </c>
      <c r="BH365" s="52">
        <v>0</v>
      </c>
      <c r="BI365" s="52">
        <v>0</v>
      </c>
      <c r="BJ365" s="52">
        <v>0</v>
      </c>
      <c r="BK365" s="52">
        <v>0</v>
      </c>
      <c r="BL365" s="52">
        <v>0</v>
      </c>
      <c r="BM365" s="52">
        <v>0</v>
      </c>
      <c r="BN365" s="52">
        <v>0</v>
      </c>
      <c r="BO365" s="52">
        <v>0</v>
      </c>
      <c r="BP365" s="52">
        <v>0</v>
      </c>
      <c r="BQ365" s="52">
        <v>0</v>
      </c>
      <c r="BR365" s="52">
        <v>0</v>
      </c>
      <c r="BS365" s="52">
        <v>0</v>
      </c>
      <c r="BT365" s="52">
        <v>0</v>
      </c>
      <c r="BU365" s="52">
        <v>0</v>
      </c>
      <c r="BV365" s="52">
        <v>-260</v>
      </c>
      <c r="BW365" s="52">
        <v>0</v>
      </c>
      <c r="BX365" s="52">
        <v>0</v>
      </c>
      <c r="BY365" s="52">
        <v>0</v>
      </c>
      <c r="BZ365" s="52">
        <v>0</v>
      </c>
      <c r="CA365" s="52">
        <v>0</v>
      </c>
      <c r="CB365" s="52">
        <v>-283.32</v>
      </c>
      <c r="CC365" s="52">
        <v>0</v>
      </c>
      <c r="CD365" s="52">
        <v>0</v>
      </c>
      <c r="CE365" s="52">
        <v>0</v>
      </c>
      <c r="CF365" s="52">
        <v>0</v>
      </c>
      <c r="CG365" s="52">
        <v>-200</v>
      </c>
      <c r="CH365" s="52">
        <v>0</v>
      </c>
      <c r="CI365" s="52">
        <v>0</v>
      </c>
      <c r="CJ365" s="52">
        <v>0</v>
      </c>
      <c r="CK365" s="52">
        <v>0</v>
      </c>
      <c r="CL365" s="52">
        <v>0</v>
      </c>
      <c r="CM365" s="52">
        <v>0</v>
      </c>
      <c r="CN365" s="52">
        <v>0</v>
      </c>
      <c r="CO365" s="52">
        <v>0</v>
      </c>
      <c r="CP365" s="52">
        <v>0</v>
      </c>
      <c r="CQ365" s="52">
        <v>0</v>
      </c>
      <c r="CR365" s="52">
        <v>0</v>
      </c>
      <c r="CS365" s="52">
        <v>0</v>
      </c>
      <c r="CT365" s="52">
        <v>0</v>
      </c>
      <c r="CU365" s="52">
        <v>0</v>
      </c>
      <c r="CV365" s="430">
        <f t="shared" si="10"/>
        <v>0</v>
      </c>
    </row>
    <row r="366" spans="1:100">
      <c r="A366" s="540" t="str">
        <f t="shared" si="11"/>
        <v>7103060</v>
      </c>
      <c r="B366" s="541" t="s">
        <v>2164</v>
      </c>
      <c r="C366" s="463" t="s">
        <v>1236</v>
      </c>
      <c r="D366" s="428">
        <v>-270754.78999999998</v>
      </c>
      <c r="E366" s="428">
        <v>-58833.5</v>
      </c>
      <c r="F366" s="428">
        <v>-111585.79</v>
      </c>
      <c r="G366" s="428">
        <v>-65864.429999999993</v>
      </c>
      <c r="H366" s="428">
        <v>-101929.74</v>
      </c>
      <c r="I366" s="428">
        <v>-285989.12</v>
      </c>
      <c r="J366" s="428">
        <v>-77132.179999999993</v>
      </c>
      <c r="K366" s="428">
        <v>-302484.2</v>
      </c>
      <c r="L366" s="428">
        <v>-160011.57999999999</v>
      </c>
      <c r="M366" s="428">
        <v>-93278.36</v>
      </c>
      <c r="N366" s="428">
        <v>-51273.38</v>
      </c>
      <c r="O366" s="429">
        <v>-120860.81</v>
      </c>
      <c r="P366" s="52">
        <v>-44634.95</v>
      </c>
      <c r="Q366" s="52">
        <v>-44174.080000000002</v>
      </c>
      <c r="R366" s="52">
        <v>-66319.58</v>
      </c>
      <c r="S366" s="52">
        <v>-129770</v>
      </c>
      <c r="T366" s="52">
        <v>-440448.58</v>
      </c>
      <c r="U366" s="52">
        <v>-129743.83</v>
      </c>
      <c r="V366" s="52">
        <v>-93615.98</v>
      </c>
      <c r="W366" s="52">
        <v>-42785.96</v>
      </c>
      <c r="X366" s="52">
        <v>-205791.62</v>
      </c>
      <c r="Y366" s="52">
        <v>-45799.87</v>
      </c>
      <c r="Z366" s="52">
        <v>-66691.899999999994</v>
      </c>
      <c r="AA366" s="52">
        <v>-71751.929999999993</v>
      </c>
      <c r="AB366" s="52">
        <v>-61753.65</v>
      </c>
      <c r="AC366" s="52">
        <v>-83352.789999999994</v>
      </c>
      <c r="AD366" s="52">
        <v>-136948.20000000001</v>
      </c>
      <c r="AE366" s="52">
        <v>-99073.75</v>
      </c>
      <c r="AF366" s="52">
        <v>-102444.42</v>
      </c>
      <c r="AG366" s="52">
        <v>-107222.02</v>
      </c>
      <c r="AH366" s="52">
        <v>-213077.19</v>
      </c>
      <c r="AI366" s="52">
        <v>-368734.44</v>
      </c>
      <c r="AJ366" s="52">
        <v>-155970.64000000001</v>
      </c>
      <c r="AK366" s="52">
        <v>-83866.559999999998</v>
      </c>
      <c r="AL366" s="52">
        <v>-108594.95</v>
      </c>
      <c r="AM366" s="52">
        <v>-41147.9</v>
      </c>
      <c r="AN366" s="52">
        <v>-309832.71000000002</v>
      </c>
      <c r="AO366" s="52">
        <v>-51558.83</v>
      </c>
      <c r="AP366" s="52">
        <v>-53658.39</v>
      </c>
      <c r="AQ366" s="52">
        <v>-78958</v>
      </c>
      <c r="AR366" s="52">
        <v>-73038.48</v>
      </c>
      <c r="AS366" s="52">
        <v>-75122</v>
      </c>
      <c r="AT366" s="52">
        <v>-642807</v>
      </c>
      <c r="AU366" s="52">
        <v>-231492</v>
      </c>
      <c r="AV366" s="52">
        <v>-95223.57</v>
      </c>
      <c r="AW366" s="52">
        <v>-97515</v>
      </c>
      <c r="AX366" s="52">
        <v>-200589.02</v>
      </c>
      <c r="AY366" s="52">
        <v>-177959.82</v>
      </c>
      <c r="AZ366" s="52">
        <v>-139376.16</v>
      </c>
      <c r="BA366" s="52">
        <v>-254024.26</v>
      </c>
      <c r="BB366" s="52">
        <v>-102967</v>
      </c>
      <c r="BC366" s="52">
        <v>-285206.33</v>
      </c>
      <c r="BD366" s="52">
        <v>-252607.21</v>
      </c>
      <c r="BE366" s="52">
        <v>-447034.64</v>
      </c>
      <c r="BF366" s="52">
        <v>-299507.63</v>
      </c>
      <c r="BG366" s="52">
        <v>-276698</v>
      </c>
      <c r="BH366" s="52">
        <v>-128130.24000000001</v>
      </c>
      <c r="BI366" s="52">
        <v>-160897</v>
      </c>
      <c r="BJ366" s="52">
        <v>-157433.51</v>
      </c>
      <c r="BK366" s="52">
        <v>-129715</v>
      </c>
      <c r="BL366" s="52">
        <v>-166132.70000000001</v>
      </c>
      <c r="BM366" s="52">
        <v>-108010</v>
      </c>
      <c r="BN366" s="52">
        <v>-193619.97</v>
      </c>
      <c r="BO366" s="52">
        <v>-336297.62</v>
      </c>
      <c r="BP366" s="52">
        <v>-141740</v>
      </c>
      <c r="BQ366" s="52">
        <v>-203895.25</v>
      </c>
      <c r="BR366" s="52">
        <v>-198251</v>
      </c>
      <c r="BS366" s="52">
        <v>-206992.36</v>
      </c>
      <c r="BT366" s="52">
        <v>-936286.5</v>
      </c>
      <c r="BU366" s="52">
        <v>-940303.99</v>
      </c>
      <c r="BV366" s="52">
        <v>-115026</v>
      </c>
      <c r="BW366" s="52">
        <v>-172705</v>
      </c>
      <c r="BX366" s="52">
        <v>-316988.84000000003</v>
      </c>
      <c r="BY366" s="52">
        <v>-210792</v>
      </c>
      <c r="BZ366" s="52">
        <v>-195316</v>
      </c>
      <c r="CA366" s="52">
        <v>-1350723.03</v>
      </c>
      <c r="CB366" s="52">
        <v>-174389.9</v>
      </c>
      <c r="CC366" s="52">
        <v>-289571</v>
      </c>
      <c r="CD366" s="52">
        <v>-217697.67</v>
      </c>
      <c r="CE366" s="52">
        <v>-189226</v>
      </c>
      <c r="CF366" s="52">
        <v>-140836.01999999999</v>
      </c>
      <c r="CG366" s="52">
        <v>-205667.64</v>
      </c>
      <c r="CH366" s="52">
        <v>-86848.28</v>
      </c>
      <c r="CI366" s="52">
        <v>-345711.35</v>
      </c>
      <c r="CJ366" s="52">
        <v>-393051.22</v>
      </c>
      <c r="CK366" s="52">
        <v>-273838.42</v>
      </c>
      <c r="CL366" s="52">
        <v>-360495.78</v>
      </c>
      <c r="CM366" s="52">
        <v>-149016.44</v>
      </c>
      <c r="CN366" s="52">
        <v>-185667.12</v>
      </c>
      <c r="CO366" s="52">
        <v>-271149.36</v>
      </c>
      <c r="CP366" s="52">
        <v>-235614.73</v>
      </c>
      <c r="CQ366" s="52">
        <v>-141267.48000000001</v>
      </c>
      <c r="CR366" s="52">
        <v>-172253.82</v>
      </c>
      <c r="CS366" s="52">
        <v>-215619.49</v>
      </c>
      <c r="CT366" s="52">
        <v>-136982.68</v>
      </c>
      <c r="CU366" s="52">
        <v>-105536.6</v>
      </c>
      <c r="CV366" s="430">
        <f t="shared" si="10"/>
        <v>-2640493.1399999997</v>
      </c>
    </row>
    <row r="367" spans="1:100">
      <c r="A367" s="540" t="str">
        <f t="shared" si="11"/>
        <v>7103070</v>
      </c>
      <c r="B367" s="541" t="s">
        <v>2165</v>
      </c>
      <c r="C367" s="463" t="s">
        <v>1237</v>
      </c>
      <c r="D367" s="428">
        <v>-94992.960000000006</v>
      </c>
      <c r="E367" s="428">
        <v>-127227.25</v>
      </c>
      <c r="F367" s="428">
        <v>-78594.31</v>
      </c>
      <c r="G367" s="428">
        <v>-73169.84</v>
      </c>
      <c r="H367" s="428">
        <v>-55505.19</v>
      </c>
      <c r="I367" s="428">
        <v>-48094.65</v>
      </c>
      <c r="J367" s="428">
        <v>-45389.69</v>
      </c>
      <c r="K367" s="428">
        <v>-42434.19</v>
      </c>
      <c r="L367" s="428">
        <v>-43794.04</v>
      </c>
      <c r="M367" s="428">
        <v>-45902.82</v>
      </c>
      <c r="N367" s="428">
        <v>-57947.89</v>
      </c>
      <c r="O367" s="429">
        <v>-73909.31</v>
      </c>
      <c r="P367" s="52">
        <v>-99204.99</v>
      </c>
      <c r="Q367" s="52">
        <v>-113440.53</v>
      </c>
      <c r="R367" s="52">
        <v>-110512.3</v>
      </c>
      <c r="S367" s="52">
        <v>-69132.14</v>
      </c>
      <c r="T367" s="52">
        <v>-50133.78</v>
      </c>
      <c r="U367" s="52">
        <v>-48733.43</v>
      </c>
      <c r="V367" s="52">
        <v>-45138.48</v>
      </c>
      <c r="W367" s="52">
        <v>-32977.21</v>
      </c>
      <c r="X367" s="52">
        <v>-32480.99</v>
      </c>
      <c r="Y367" s="52">
        <v>-33478.400000000001</v>
      </c>
      <c r="Z367" s="52">
        <v>-38216.800000000003</v>
      </c>
      <c r="AA367" s="52">
        <v>-39015.82</v>
      </c>
      <c r="AB367" s="52">
        <v>-45866.38</v>
      </c>
      <c r="AC367" s="52">
        <v>-48611.49</v>
      </c>
      <c r="AD367" s="52">
        <v>-30605.62</v>
      </c>
      <c r="AE367" s="52">
        <v>-25992.12</v>
      </c>
      <c r="AF367" s="52">
        <v>-22974.99</v>
      </c>
      <c r="AG367" s="52">
        <v>-20031.09</v>
      </c>
      <c r="AH367" s="52">
        <v>-17495.59</v>
      </c>
      <c r="AI367" s="52">
        <v>-17151.560000000001</v>
      </c>
      <c r="AJ367" s="52">
        <v>-400.62</v>
      </c>
      <c r="AK367" s="52">
        <v>-611.04999999999995</v>
      </c>
      <c r="AL367" s="52">
        <v>-782.39</v>
      </c>
      <c r="AM367" s="52">
        <v>-901.81</v>
      </c>
      <c r="AN367" s="52">
        <v>-1053.8499999999999</v>
      </c>
      <c r="AO367" s="52">
        <v>-1087.5</v>
      </c>
      <c r="AP367" s="52">
        <v>-1211.8499999999999</v>
      </c>
      <c r="AQ367" s="52">
        <v>-1303.5999999999999</v>
      </c>
      <c r="AR367" s="52">
        <v>-1534.05</v>
      </c>
      <c r="AS367" s="52">
        <v>-1701.1</v>
      </c>
      <c r="AT367" s="52">
        <v>-1800.45</v>
      </c>
      <c r="AU367" s="52">
        <v>-1855.5</v>
      </c>
      <c r="AV367" s="52">
        <v>-2018.25</v>
      </c>
      <c r="AW367" s="52">
        <v>-2007.55</v>
      </c>
      <c r="AX367" s="52">
        <v>-2291.1</v>
      </c>
      <c r="AY367" s="52">
        <v>-2593.25</v>
      </c>
      <c r="AZ367" s="52">
        <v>-3024.45</v>
      </c>
      <c r="BA367" s="52">
        <v>-2945.5</v>
      </c>
      <c r="BB367" s="52">
        <v>-3133.45</v>
      </c>
      <c r="BC367" s="52">
        <v>-3236.05</v>
      </c>
      <c r="BD367" s="52">
        <v>-3408.05</v>
      </c>
      <c r="BE367" s="52">
        <v>-3446.7</v>
      </c>
      <c r="BF367" s="52">
        <v>-3618.5</v>
      </c>
      <c r="BG367" s="52">
        <v>-3723.05</v>
      </c>
      <c r="BH367" s="52">
        <v>-3956</v>
      </c>
      <c r="BI367" s="52">
        <v>-4317.45</v>
      </c>
      <c r="BJ367" s="52">
        <v>-4440.95</v>
      </c>
      <c r="BK367" s="52">
        <v>-4727.1499999999996</v>
      </c>
      <c r="BL367" s="52">
        <v>-4821.3999999999996</v>
      </c>
      <c r="BM367" s="52">
        <v>-4944.3999999999996</v>
      </c>
      <c r="BN367" s="52">
        <v>-5100</v>
      </c>
      <c r="BO367" s="52">
        <v>-5189.3999999999996</v>
      </c>
      <c r="BP367" s="52">
        <v>-5389.45</v>
      </c>
      <c r="BQ367" s="52">
        <v>-5508.25</v>
      </c>
      <c r="BR367" s="52">
        <v>-5661.25</v>
      </c>
      <c r="BS367" s="52">
        <v>-5666.55</v>
      </c>
      <c r="BT367" s="52">
        <v>-5882.6</v>
      </c>
      <c r="BU367" s="52">
        <v>-5919.95</v>
      </c>
      <c r="BV367" s="52">
        <v>-6109.45</v>
      </c>
      <c r="BW367" s="52">
        <v>-6298.35</v>
      </c>
      <c r="BX367" s="52">
        <v>-6492.1</v>
      </c>
      <c r="BY367" s="52">
        <v>-6629.2</v>
      </c>
      <c r="BZ367" s="52">
        <v>-6776.5</v>
      </c>
      <c r="CA367" s="52">
        <v>-6904.9</v>
      </c>
      <c r="CB367" s="52">
        <v>-7114.75</v>
      </c>
      <c r="CC367" s="52">
        <v>-7208.1</v>
      </c>
      <c r="CD367" s="52">
        <v>-7324.4</v>
      </c>
      <c r="CE367" s="52">
        <v>-7429.65</v>
      </c>
      <c r="CF367" s="52">
        <v>-7436.45</v>
      </c>
      <c r="CG367" s="52">
        <v>-7729</v>
      </c>
      <c r="CH367" s="52">
        <v>-7893</v>
      </c>
      <c r="CI367" s="52">
        <v>-7944.9</v>
      </c>
      <c r="CJ367" s="52">
        <v>-8081.1</v>
      </c>
      <c r="CK367" s="52">
        <v>-8228.0499999999993</v>
      </c>
      <c r="CL367" s="52">
        <v>-8416</v>
      </c>
      <c r="CM367" s="52">
        <v>-8448.9500000000007</v>
      </c>
      <c r="CN367" s="52">
        <v>-8554.1</v>
      </c>
      <c r="CO367" s="52">
        <v>-8642.75</v>
      </c>
      <c r="CP367" s="52">
        <v>-8679.5</v>
      </c>
      <c r="CQ367" s="52">
        <v>-8830.7999999999993</v>
      </c>
      <c r="CR367" s="52">
        <v>-8981.75</v>
      </c>
      <c r="CS367" s="52">
        <v>-9018.7999999999993</v>
      </c>
      <c r="CT367" s="52">
        <v>-9087.25</v>
      </c>
      <c r="CU367" s="52">
        <v>-9116.6</v>
      </c>
      <c r="CV367" s="430">
        <f t="shared" si="10"/>
        <v>-104085.65000000001</v>
      </c>
    </row>
    <row r="368" spans="1:100">
      <c r="A368" s="540" t="str">
        <f t="shared" si="11"/>
        <v>7109000</v>
      </c>
      <c r="B368" s="541" t="s">
        <v>2166</v>
      </c>
      <c r="C368" s="463" t="s">
        <v>1238</v>
      </c>
      <c r="D368" s="428">
        <v>365747.75</v>
      </c>
      <c r="E368" s="428">
        <v>186060.75</v>
      </c>
      <c r="F368" s="428">
        <v>194991.42</v>
      </c>
      <c r="G368" s="428">
        <v>129909.27</v>
      </c>
      <c r="H368" s="428">
        <v>157434.93</v>
      </c>
      <c r="I368" s="428">
        <v>334083.77</v>
      </c>
      <c r="J368" s="428">
        <v>122521.87</v>
      </c>
      <c r="K368" s="428">
        <v>344918.39</v>
      </c>
      <c r="L368" s="428">
        <v>203805.62</v>
      </c>
      <c r="M368" s="428">
        <v>138188.42000000001</v>
      </c>
      <c r="N368" s="428">
        <v>109221.27</v>
      </c>
      <c r="O368" s="429">
        <v>194020.12</v>
      </c>
      <c r="P368" s="52">
        <v>142057.94</v>
      </c>
      <c r="Q368" s="52">
        <v>157556.60999999999</v>
      </c>
      <c r="R368" s="52">
        <v>176671.88</v>
      </c>
      <c r="S368" s="52">
        <v>197644.14</v>
      </c>
      <c r="T368" s="52">
        <v>489532.36</v>
      </c>
      <c r="U368" s="52">
        <v>172247.43</v>
      </c>
      <c r="V368" s="52">
        <v>134344.85999999999</v>
      </c>
      <c r="W368" s="52">
        <v>75763.17</v>
      </c>
      <c r="X368" s="52">
        <v>237822.61</v>
      </c>
      <c r="Y368" s="52">
        <v>78429.440000000002</v>
      </c>
      <c r="Z368" s="52">
        <v>104908.7</v>
      </c>
      <c r="AA368" s="52">
        <v>110767.75</v>
      </c>
      <c r="AB368" s="52">
        <v>107620.03</v>
      </c>
      <c r="AC368" s="52">
        <v>131964.28</v>
      </c>
      <c r="AD368" s="52">
        <v>165553.82</v>
      </c>
      <c r="AE368" s="52">
        <v>125065.87</v>
      </c>
      <c r="AF368" s="52">
        <v>125419.41</v>
      </c>
      <c r="AG368" s="52">
        <v>127253.11</v>
      </c>
      <c r="AH368" s="52">
        <v>225681.78</v>
      </c>
      <c r="AI368" s="52">
        <v>385886</v>
      </c>
      <c r="AJ368" s="52">
        <v>156371.26</v>
      </c>
      <c r="AK368" s="52">
        <v>84477.61</v>
      </c>
      <c r="AL368" s="52">
        <v>109377.34</v>
      </c>
      <c r="AM368" s="52">
        <v>42049.71</v>
      </c>
      <c r="AN368" s="52">
        <v>251595.56</v>
      </c>
      <c r="AO368" s="52">
        <v>52640.18</v>
      </c>
      <c r="AP368" s="52">
        <v>53658.39</v>
      </c>
      <c r="AQ368" s="52">
        <v>78958</v>
      </c>
      <c r="AR368" s="52">
        <v>70748.759999999995</v>
      </c>
      <c r="AS368" s="52">
        <v>71206.05</v>
      </c>
      <c r="AT368" s="52">
        <v>644404.6</v>
      </c>
      <c r="AU368" s="52">
        <v>233373.45</v>
      </c>
      <c r="AV368" s="52">
        <v>96894.57</v>
      </c>
      <c r="AW368" s="52">
        <v>99695.25</v>
      </c>
      <c r="AX368" s="52">
        <v>202571.27</v>
      </c>
      <c r="AY368" s="52">
        <v>179501.92</v>
      </c>
      <c r="AZ368" s="52">
        <v>141969.41</v>
      </c>
      <c r="BA368" s="52">
        <v>235898.01</v>
      </c>
      <c r="BB368" s="52">
        <v>105671.8</v>
      </c>
      <c r="BC368" s="52">
        <v>288339.78000000003</v>
      </c>
      <c r="BD368" s="52">
        <v>255843.26</v>
      </c>
      <c r="BE368" s="52">
        <v>446104.69</v>
      </c>
      <c r="BF368" s="52">
        <v>302954.33</v>
      </c>
      <c r="BG368" s="52">
        <v>280316.5</v>
      </c>
      <c r="BH368" s="52">
        <v>128713.05</v>
      </c>
      <c r="BI368" s="52">
        <v>164853</v>
      </c>
      <c r="BJ368" s="52">
        <v>161750.96</v>
      </c>
      <c r="BK368" s="52">
        <v>134155.95000000001</v>
      </c>
      <c r="BL368" s="52">
        <v>170859.85</v>
      </c>
      <c r="BM368" s="52">
        <v>112831.4</v>
      </c>
      <c r="BN368" s="52">
        <v>198564.37</v>
      </c>
      <c r="BO368" s="52">
        <v>339498.64</v>
      </c>
      <c r="BP368" s="52">
        <v>146929.4</v>
      </c>
      <c r="BQ368" s="52">
        <v>208884.7</v>
      </c>
      <c r="BR368" s="52">
        <v>203759.25</v>
      </c>
      <c r="BS368" s="52">
        <v>212403.61</v>
      </c>
      <c r="BT368" s="52">
        <v>941953.05</v>
      </c>
      <c r="BU368" s="52">
        <v>945636.59</v>
      </c>
      <c r="BV368" s="52">
        <v>120945.95</v>
      </c>
      <c r="BW368" s="52">
        <v>-297708.95</v>
      </c>
      <c r="BX368" s="52">
        <v>201287.05</v>
      </c>
      <c r="BY368" s="52">
        <v>57215.9</v>
      </c>
      <c r="BZ368" s="52">
        <v>14906.11</v>
      </c>
      <c r="CA368" s="52">
        <v>1144687.67</v>
      </c>
      <c r="CB368" s="52">
        <v>-76741.63</v>
      </c>
      <c r="CC368" s="52">
        <v>224.54</v>
      </c>
      <c r="CD368" s="52">
        <v>-92526.44</v>
      </c>
      <c r="CE368" s="52">
        <v>-157657.60000000001</v>
      </c>
      <c r="CF368" s="52">
        <v>-248155.06</v>
      </c>
      <c r="CG368" s="52">
        <v>-101499.08</v>
      </c>
      <c r="CH368" s="52">
        <v>-136812.59</v>
      </c>
      <c r="CI368" s="52">
        <v>85705.02</v>
      </c>
      <c r="CJ368" s="52">
        <v>96238.33</v>
      </c>
      <c r="CK368" s="52">
        <v>-88674.33</v>
      </c>
      <c r="CL368" s="52">
        <v>-21223.34</v>
      </c>
      <c r="CM368" s="52">
        <v>-168809.62</v>
      </c>
      <c r="CN368" s="52">
        <v>-27799.51</v>
      </c>
      <c r="CO368" s="52">
        <v>49378.29</v>
      </c>
      <c r="CP368" s="52">
        <v>-5200.67</v>
      </c>
      <c r="CQ368" s="52">
        <v>-140116.07999999999</v>
      </c>
      <c r="CR368" s="52">
        <v>-127423.06</v>
      </c>
      <c r="CS368" s="52">
        <v>-105706.1</v>
      </c>
      <c r="CT368" s="52">
        <v>23682.16</v>
      </c>
      <c r="CU368" s="52">
        <v>-49093.37</v>
      </c>
      <c r="CV368" s="430">
        <f t="shared" si="10"/>
        <v>-564747.30000000005</v>
      </c>
    </row>
    <row r="369" spans="1:100">
      <c r="A369" s="540" t="str">
        <f t="shared" si="11"/>
        <v>7201000</v>
      </c>
      <c r="B369" s="541" t="s">
        <v>2167</v>
      </c>
      <c r="C369" s="463" t="s">
        <v>1453</v>
      </c>
      <c r="D369" s="428"/>
      <c r="E369" s="428"/>
      <c r="F369" s="428"/>
      <c r="G369" s="428"/>
      <c r="H369" s="428"/>
      <c r="I369" s="428"/>
      <c r="J369" s="428"/>
      <c r="K369" s="428"/>
      <c r="L369" s="428"/>
      <c r="M369" s="428"/>
      <c r="N369" s="428"/>
      <c r="O369" s="429"/>
      <c r="P369" s="52"/>
      <c r="Q369" s="52"/>
      <c r="R369" s="52"/>
      <c r="S369" s="52"/>
      <c r="T369" s="52"/>
      <c r="U369" s="52"/>
      <c r="V369" s="52"/>
      <c r="W369" s="52"/>
      <c r="X369" s="52"/>
      <c r="Y369" s="52"/>
      <c r="Z369" s="52"/>
      <c r="AA369" s="52"/>
      <c r="AB369" s="52"/>
      <c r="AC369" s="52"/>
      <c r="AD369" s="52"/>
      <c r="AE369" s="52">
        <v>0</v>
      </c>
      <c r="AF369" s="52">
        <v>0</v>
      </c>
      <c r="AG369" s="52">
        <v>0</v>
      </c>
      <c r="AH369" s="52">
        <v>0</v>
      </c>
      <c r="AI369" s="52">
        <v>0</v>
      </c>
      <c r="AJ369" s="52">
        <v>0</v>
      </c>
      <c r="AK369" s="52">
        <v>0</v>
      </c>
      <c r="AL369" s="52">
        <v>0</v>
      </c>
      <c r="AM369" s="52">
        <v>0</v>
      </c>
      <c r="AN369" s="52">
        <v>0</v>
      </c>
      <c r="AO369" s="52">
        <v>0</v>
      </c>
      <c r="AP369" s="52">
        <v>0</v>
      </c>
      <c r="AQ369" s="52">
        <v>0</v>
      </c>
      <c r="AR369" s="52">
        <v>0</v>
      </c>
      <c r="AS369" s="52">
        <v>0</v>
      </c>
      <c r="AT369" s="52">
        <v>0</v>
      </c>
      <c r="AU369" s="52">
        <v>0</v>
      </c>
      <c r="AV369" s="52">
        <v>0</v>
      </c>
      <c r="AW369" s="52"/>
      <c r="AX369" s="52"/>
      <c r="AY369" s="52"/>
      <c r="AZ369" s="52">
        <v>0</v>
      </c>
      <c r="BA369" s="52">
        <v>0</v>
      </c>
      <c r="BB369" s="52">
        <v>0</v>
      </c>
      <c r="BC369" s="52">
        <v>0</v>
      </c>
      <c r="BD369" s="52">
        <v>0</v>
      </c>
      <c r="BE369" s="52">
        <v>0</v>
      </c>
      <c r="BF369" s="52">
        <v>0</v>
      </c>
      <c r="BG369" s="52">
        <v>0</v>
      </c>
      <c r="BH369" s="52">
        <v>0</v>
      </c>
      <c r="BI369" s="52">
        <v>0</v>
      </c>
      <c r="BJ369" s="52">
        <v>0</v>
      </c>
      <c r="BK369" s="52">
        <v>0</v>
      </c>
      <c r="BL369" s="52">
        <v>0</v>
      </c>
      <c r="BM369" s="52">
        <v>0</v>
      </c>
      <c r="BN369" s="52">
        <v>0</v>
      </c>
      <c r="BO369" s="52">
        <v>0</v>
      </c>
      <c r="BP369" s="52">
        <v>0</v>
      </c>
      <c r="BQ369" s="52">
        <v>0</v>
      </c>
      <c r="BR369" s="52">
        <v>0</v>
      </c>
      <c r="BS369" s="52">
        <v>0</v>
      </c>
      <c r="BT369" s="52">
        <v>0</v>
      </c>
      <c r="BU369" s="52">
        <v>0</v>
      </c>
      <c r="BV369" s="52">
        <v>0</v>
      </c>
      <c r="BW369" s="52">
        <v>0</v>
      </c>
      <c r="BX369" s="52">
        <v>0</v>
      </c>
      <c r="BY369" s="52">
        <v>0</v>
      </c>
      <c r="BZ369" s="52">
        <v>5165.29</v>
      </c>
      <c r="CA369" s="52">
        <v>5165.29</v>
      </c>
      <c r="CB369" s="52">
        <v>5165.29</v>
      </c>
      <c r="CC369" s="52">
        <v>5165.29</v>
      </c>
      <c r="CD369" s="52">
        <v>5165.29</v>
      </c>
      <c r="CE369" s="52">
        <v>5165.29</v>
      </c>
      <c r="CF369" s="52">
        <v>5165.29</v>
      </c>
      <c r="CG369" s="52">
        <v>5165.29</v>
      </c>
      <c r="CH369" s="52">
        <v>5165.29</v>
      </c>
      <c r="CI369" s="52">
        <v>5165.29</v>
      </c>
      <c r="CJ369" s="52">
        <v>5165.29</v>
      </c>
      <c r="CK369" s="52">
        <v>5165.29</v>
      </c>
      <c r="CL369" s="52">
        <v>5165.29</v>
      </c>
      <c r="CM369" s="52">
        <v>5165.29</v>
      </c>
      <c r="CN369" s="52">
        <v>5165.29</v>
      </c>
      <c r="CO369" s="52">
        <v>5165.29</v>
      </c>
      <c r="CP369" s="52">
        <v>5165.29</v>
      </c>
      <c r="CQ369" s="52">
        <v>5165.29</v>
      </c>
      <c r="CR369" s="52">
        <v>5165.29</v>
      </c>
      <c r="CS369" s="52">
        <v>5165.29</v>
      </c>
      <c r="CT369" s="52">
        <v>5165.29</v>
      </c>
      <c r="CU369" s="52">
        <v>5165.29</v>
      </c>
      <c r="CV369" s="430">
        <f t="shared" si="10"/>
        <v>61983.48</v>
      </c>
    </row>
    <row r="370" spans="1:100">
      <c r="A370" s="540" t="str">
        <f>+B370</f>
        <v>7202100</v>
      </c>
      <c r="B370" s="541" t="s">
        <v>2216</v>
      </c>
      <c r="C370" s="463" t="s">
        <v>2214</v>
      </c>
      <c r="D370" s="817"/>
      <c r="E370" s="817"/>
      <c r="F370" s="817"/>
      <c r="G370" s="817"/>
      <c r="H370" s="817"/>
      <c r="I370" s="817"/>
      <c r="J370" s="817"/>
      <c r="K370" s="817"/>
      <c r="L370" s="817"/>
      <c r="M370" s="817"/>
      <c r="N370" s="817"/>
      <c r="O370" s="817"/>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v>322.72000000000003</v>
      </c>
      <c r="BA370" s="52">
        <v>-247.08</v>
      </c>
      <c r="BB370" s="52">
        <v>-60.48</v>
      </c>
      <c r="BC370" s="52">
        <v>-15.16</v>
      </c>
      <c r="BD370" s="52">
        <v>0</v>
      </c>
      <c r="BE370" s="52">
        <v>0</v>
      </c>
      <c r="BF370" s="52">
        <v>437.79</v>
      </c>
      <c r="BG370" s="52">
        <v>417.77</v>
      </c>
      <c r="BH370" s="52">
        <v>-131.16999999999999</v>
      </c>
      <c r="BI370" s="52">
        <v>2330.69</v>
      </c>
      <c r="BJ370" s="52">
        <v>1855.65</v>
      </c>
      <c r="BK370" s="52">
        <v>3833.85</v>
      </c>
      <c r="BL370" s="52">
        <v>2272.7199999999998</v>
      </c>
      <c r="BM370" s="52">
        <v>421.34</v>
      </c>
      <c r="BN370" s="52">
        <v>3661.16</v>
      </c>
      <c r="BO370" s="52">
        <v>-1500.92</v>
      </c>
      <c r="BP370" s="52">
        <v>1944.39</v>
      </c>
      <c r="BQ370" s="52">
        <v>-14438.81</v>
      </c>
      <c r="BR370" s="52">
        <v>674.95</v>
      </c>
      <c r="BS370" s="52">
        <v>-1987.58</v>
      </c>
      <c r="BT370" s="52">
        <v>-86.69</v>
      </c>
      <c r="BU370" s="52">
        <v>138.49</v>
      </c>
      <c r="BV370" s="52">
        <v>-138.49</v>
      </c>
      <c r="BW370" s="52">
        <v>1433.05</v>
      </c>
      <c r="BX370" s="52">
        <v>1716.41</v>
      </c>
      <c r="BY370" s="52">
        <v>1328.04</v>
      </c>
      <c r="BZ370" s="52">
        <v>-4447.1899999999996</v>
      </c>
      <c r="CA370" s="52">
        <v>204.78</v>
      </c>
      <c r="CB370" s="52">
        <v>2099.34</v>
      </c>
      <c r="CC370" s="52">
        <v>-2334.4299999999998</v>
      </c>
      <c r="CD370" s="52">
        <v>377.35</v>
      </c>
      <c r="CE370" s="52">
        <v>792.51</v>
      </c>
      <c r="CF370" s="52">
        <v>-1161.9100000000001</v>
      </c>
      <c r="CG370" s="52">
        <v>0</v>
      </c>
      <c r="CH370" s="52">
        <v>948.44</v>
      </c>
      <c r="CI370" s="52">
        <v>519.5</v>
      </c>
      <c r="CJ370" s="52">
        <v>-1467.94</v>
      </c>
      <c r="CK370" s="52">
        <v>139.77000000000001</v>
      </c>
      <c r="CL370" s="52">
        <v>-139.77000000000001</v>
      </c>
      <c r="CM370" s="52">
        <v>2894.78</v>
      </c>
      <c r="CN370" s="52">
        <v>-2004.23</v>
      </c>
      <c r="CO370" s="52">
        <v>-890.55</v>
      </c>
      <c r="CP370" s="52">
        <v>561.66999999999996</v>
      </c>
      <c r="CQ370" s="52">
        <v>-561.66999999999996</v>
      </c>
      <c r="CR370" s="52">
        <v>0</v>
      </c>
      <c r="CS370" s="52">
        <v>464.63</v>
      </c>
      <c r="CT370" s="52">
        <v>-464.63</v>
      </c>
      <c r="CU370" s="52">
        <v>2039.9</v>
      </c>
      <c r="CV370" s="430">
        <f t="shared" si="10"/>
        <v>571.96000000000026</v>
      </c>
    </row>
    <row r="371" spans="1:100">
      <c r="A371" s="540" t="str">
        <f t="shared" si="11"/>
        <v>7202000</v>
      </c>
      <c r="B371" s="541" t="s">
        <v>2215</v>
      </c>
      <c r="C371" s="463" t="s">
        <v>1842</v>
      </c>
      <c r="D371" s="52">
        <v>0</v>
      </c>
      <c r="E371" s="52">
        <v>0</v>
      </c>
      <c r="F371" s="52">
        <v>0</v>
      </c>
      <c r="G371" s="52">
        <v>0</v>
      </c>
      <c r="H371" s="52">
        <v>0</v>
      </c>
      <c r="I371" s="52">
        <v>0</v>
      </c>
      <c r="J371" s="52">
        <v>0</v>
      </c>
      <c r="K371" s="52">
        <v>0</v>
      </c>
      <c r="L371" s="52">
        <v>0</v>
      </c>
      <c r="M371" s="52">
        <v>0</v>
      </c>
      <c r="N371" s="52">
        <v>0</v>
      </c>
      <c r="O371" s="52">
        <v>0</v>
      </c>
      <c r="P371" s="52">
        <v>0</v>
      </c>
      <c r="Q371" s="52">
        <v>0</v>
      </c>
      <c r="R371" s="52">
        <v>0</v>
      </c>
      <c r="S371" s="52">
        <v>0</v>
      </c>
      <c r="T371" s="52">
        <v>0</v>
      </c>
      <c r="U371" s="52">
        <v>0</v>
      </c>
      <c r="V371" s="52">
        <v>0</v>
      </c>
      <c r="W371" s="52">
        <v>0</v>
      </c>
      <c r="X371" s="52">
        <v>0</v>
      </c>
      <c r="Y371" s="52">
        <v>0</v>
      </c>
      <c r="Z371" s="52">
        <v>0</v>
      </c>
      <c r="AA371" s="52">
        <v>0</v>
      </c>
      <c r="AB371" s="52">
        <v>0</v>
      </c>
      <c r="AC371" s="52">
        <v>0</v>
      </c>
      <c r="AD371" s="52">
        <v>0</v>
      </c>
      <c r="AE371" s="52">
        <v>0</v>
      </c>
      <c r="AF371" s="52">
        <v>0</v>
      </c>
      <c r="AG371" s="52">
        <v>0</v>
      </c>
      <c r="AH371" s="52">
        <v>0</v>
      </c>
      <c r="AI371" s="52">
        <v>0</v>
      </c>
      <c r="AJ371" s="52">
        <v>0</v>
      </c>
      <c r="AK371" s="52">
        <v>0</v>
      </c>
      <c r="AL371" s="52">
        <v>0</v>
      </c>
      <c r="AM371" s="52">
        <v>0</v>
      </c>
      <c r="AN371" s="52">
        <v>0</v>
      </c>
      <c r="AO371" s="52">
        <v>0</v>
      </c>
      <c r="AP371" s="52">
        <v>0</v>
      </c>
      <c r="AQ371" s="52">
        <v>0</v>
      </c>
      <c r="AR371" s="52">
        <v>0</v>
      </c>
      <c r="AS371" s="52">
        <v>0</v>
      </c>
      <c r="AT371" s="52">
        <v>0</v>
      </c>
      <c r="AU371" s="52">
        <v>0</v>
      </c>
      <c r="AV371" s="52">
        <v>0</v>
      </c>
      <c r="AW371" s="52">
        <v>0</v>
      </c>
      <c r="AX371" s="52">
        <v>21.58</v>
      </c>
      <c r="AY371" s="52">
        <v>0</v>
      </c>
      <c r="AZ371" s="52">
        <v>0</v>
      </c>
      <c r="BA371" s="52">
        <v>0</v>
      </c>
      <c r="BB371" s="52">
        <v>0</v>
      </c>
      <c r="BC371" s="52">
        <v>183.42</v>
      </c>
      <c r="BD371" s="52">
        <v>39.76</v>
      </c>
      <c r="BE371" s="52">
        <v>0</v>
      </c>
      <c r="BF371" s="52">
        <v>243.13</v>
      </c>
      <c r="BG371" s="52">
        <v>176.27</v>
      </c>
      <c r="BH371" s="52">
        <v>1822.35</v>
      </c>
      <c r="BI371" s="52">
        <v>97.1</v>
      </c>
      <c r="BJ371" s="52">
        <v>22.08</v>
      </c>
      <c r="BK371" s="52">
        <v>0</v>
      </c>
      <c r="BL371" s="52">
        <v>300.82</v>
      </c>
      <c r="BM371" s="52">
        <v>774.74</v>
      </c>
      <c r="BN371" s="52">
        <v>575.51</v>
      </c>
      <c r="BO371" s="52">
        <v>496.56</v>
      </c>
      <c r="BP371" s="52">
        <v>796.26</v>
      </c>
      <c r="BQ371" s="52">
        <v>7469.41</v>
      </c>
      <c r="BR371" s="52">
        <v>0</v>
      </c>
      <c r="BS371" s="52">
        <v>0</v>
      </c>
      <c r="BT371" s="52">
        <v>1544.34</v>
      </c>
      <c r="BU371" s="52">
        <v>3861.69</v>
      </c>
      <c r="BV371" s="52">
        <v>883.12</v>
      </c>
      <c r="BW371" s="52">
        <v>1900.04</v>
      </c>
      <c r="BX371" s="52">
        <v>0</v>
      </c>
      <c r="BY371" s="52">
        <v>0</v>
      </c>
      <c r="BZ371" s="52">
        <v>0</v>
      </c>
      <c r="CA371" s="52">
        <v>0</v>
      </c>
      <c r="CB371" s="52">
        <v>2111.63</v>
      </c>
      <c r="CC371" s="52">
        <v>7747.55</v>
      </c>
      <c r="CD371" s="52">
        <v>3047.85</v>
      </c>
      <c r="CE371" s="52">
        <v>174.3</v>
      </c>
      <c r="CF371" s="52">
        <v>1087.82</v>
      </c>
      <c r="CG371" s="52">
        <v>3263.67</v>
      </c>
      <c r="CH371" s="52">
        <v>3223.46</v>
      </c>
      <c r="CI371" s="52">
        <v>4428.6000000000004</v>
      </c>
      <c r="CJ371" s="52">
        <v>5719.85</v>
      </c>
      <c r="CK371" s="52">
        <v>7798.65</v>
      </c>
      <c r="CL371" s="52">
        <v>3694.92</v>
      </c>
      <c r="CM371" s="52">
        <v>7769.99</v>
      </c>
      <c r="CN371" s="52">
        <v>8949.24</v>
      </c>
      <c r="CO371" s="52">
        <v>3663.96</v>
      </c>
      <c r="CP371" s="52">
        <v>0</v>
      </c>
      <c r="CQ371" s="52">
        <v>1429.11</v>
      </c>
      <c r="CR371" s="52">
        <v>1757.39</v>
      </c>
      <c r="CS371" s="52">
        <v>10398.459999999999</v>
      </c>
      <c r="CT371" s="52">
        <v>0</v>
      </c>
      <c r="CU371" s="52">
        <v>0</v>
      </c>
      <c r="CV371" s="430">
        <f t="shared" si="10"/>
        <v>51181.569999999992</v>
      </c>
    </row>
    <row r="372" spans="1:100">
      <c r="A372" s="540" t="str">
        <f t="shared" si="11"/>
        <v>7203020</v>
      </c>
      <c r="B372" s="541" t="s">
        <v>2168</v>
      </c>
      <c r="C372" s="463" t="s">
        <v>1239</v>
      </c>
      <c r="D372" s="428">
        <v>1940</v>
      </c>
      <c r="E372" s="428">
        <v>-17953</v>
      </c>
      <c r="F372" s="428">
        <v>10400</v>
      </c>
      <c r="G372" s="428">
        <v>6500</v>
      </c>
      <c r="H372" s="428">
        <v>6600</v>
      </c>
      <c r="I372" s="428">
        <v>7410.6</v>
      </c>
      <c r="J372" s="428">
        <v>8020</v>
      </c>
      <c r="K372" s="428">
        <v>200</v>
      </c>
      <c r="L372" s="428">
        <v>0</v>
      </c>
      <c r="M372" s="428">
        <v>0</v>
      </c>
      <c r="N372" s="428">
        <v>0</v>
      </c>
      <c r="O372" s="429">
        <v>123735</v>
      </c>
      <c r="P372" s="52">
        <v>0</v>
      </c>
      <c r="Q372" s="52">
        <v>0</v>
      </c>
      <c r="R372" s="52">
        <v>0</v>
      </c>
      <c r="S372" s="52">
        <v>0</v>
      </c>
      <c r="T372" s="52">
        <v>0</v>
      </c>
      <c r="U372" s="52">
        <v>3800</v>
      </c>
      <c r="V372" s="52">
        <v>0</v>
      </c>
      <c r="W372" s="52">
        <v>0</v>
      </c>
      <c r="X372" s="52">
        <v>0</v>
      </c>
      <c r="Y372" s="52">
        <v>-3805</v>
      </c>
      <c r="Z372" s="52">
        <v>4500</v>
      </c>
      <c r="AA372" s="52">
        <v>106139</v>
      </c>
      <c r="AB372" s="52">
        <v>0</v>
      </c>
      <c r="AC372" s="52">
        <v>0</v>
      </c>
      <c r="AD372" s="52">
        <v>0</v>
      </c>
      <c r="AE372" s="52">
        <v>-1678.52</v>
      </c>
      <c r="AF372" s="52">
        <v>0</v>
      </c>
      <c r="AG372" s="52">
        <v>0</v>
      </c>
      <c r="AH372" s="52">
        <v>0</v>
      </c>
      <c r="AI372" s="52">
        <v>0</v>
      </c>
      <c r="AJ372" s="52">
        <v>0</v>
      </c>
      <c r="AK372" s="52">
        <v>0</v>
      </c>
      <c r="AL372" s="52">
        <v>0</v>
      </c>
      <c r="AM372" s="52">
        <v>13620</v>
      </c>
      <c r="AN372" s="52">
        <v>0</v>
      </c>
      <c r="AO372" s="52">
        <v>0</v>
      </c>
      <c r="AP372" s="52">
        <v>0</v>
      </c>
      <c r="AQ372" s="52">
        <v>0</v>
      </c>
      <c r="AR372" s="52">
        <v>0</v>
      </c>
      <c r="AS372" s="52">
        <v>0</v>
      </c>
      <c r="AT372" s="52">
        <v>0</v>
      </c>
      <c r="AU372" s="52">
        <v>0</v>
      </c>
      <c r="AV372" s="52">
        <v>0</v>
      </c>
      <c r="AW372" s="52">
        <v>0</v>
      </c>
      <c r="AX372" s="52">
        <v>0</v>
      </c>
      <c r="AY372" s="52">
        <v>-37947</v>
      </c>
      <c r="AZ372" s="52">
        <v>0</v>
      </c>
      <c r="BA372" s="52">
        <v>0</v>
      </c>
      <c r="BB372" s="52">
        <v>0</v>
      </c>
      <c r="BC372" s="52">
        <v>0</v>
      </c>
      <c r="BD372" s="52">
        <v>0</v>
      </c>
      <c r="BE372" s="52">
        <v>0</v>
      </c>
      <c r="BF372" s="52">
        <v>0</v>
      </c>
      <c r="BG372" s="52">
        <v>0</v>
      </c>
      <c r="BH372" s="52">
        <v>0</v>
      </c>
      <c r="BI372" s="52">
        <v>0</v>
      </c>
      <c r="BJ372" s="52">
        <v>0</v>
      </c>
      <c r="BK372" s="52">
        <v>0</v>
      </c>
      <c r="BL372" s="52">
        <v>0</v>
      </c>
      <c r="BM372" s="52">
        <v>0</v>
      </c>
      <c r="BN372" s="52">
        <v>0</v>
      </c>
      <c r="BO372" s="52">
        <v>0</v>
      </c>
      <c r="BP372" s="52">
        <v>0</v>
      </c>
      <c r="BQ372" s="52">
        <v>0</v>
      </c>
      <c r="BR372" s="52">
        <v>0</v>
      </c>
      <c r="BS372" s="52">
        <v>0</v>
      </c>
      <c r="BT372" s="52">
        <v>0</v>
      </c>
      <c r="BU372" s="52">
        <v>0</v>
      </c>
      <c r="BV372" s="52">
        <v>0</v>
      </c>
      <c r="BW372" s="52">
        <v>0</v>
      </c>
      <c r="BX372" s="52">
        <v>0</v>
      </c>
      <c r="BY372" s="52">
        <v>0</v>
      </c>
      <c r="BZ372" s="52">
        <v>0</v>
      </c>
      <c r="CA372" s="52">
        <v>0</v>
      </c>
      <c r="CB372" s="52">
        <v>0</v>
      </c>
      <c r="CC372" s="52">
        <v>0</v>
      </c>
      <c r="CD372" s="52">
        <v>0</v>
      </c>
      <c r="CE372" s="52">
        <v>0</v>
      </c>
      <c r="CF372" s="52">
        <v>0</v>
      </c>
      <c r="CG372" s="52">
        <v>0</v>
      </c>
      <c r="CH372" s="52">
        <v>0</v>
      </c>
      <c r="CI372" s="52">
        <v>0</v>
      </c>
      <c r="CJ372" s="52">
        <v>0</v>
      </c>
      <c r="CK372" s="52">
        <v>0</v>
      </c>
      <c r="CL372" s="52">
        <v>0</v>
      </c>
      <c r="CM372" s="52">
        <v>0</v>
      </c>
      <c r="CN372" s="52">
        <v>0</v>
      </c>
      <c r="CO372" s="52">
        <v>0</v>
      </c>
      <c r="CP372" s="52">
        <v>0</v>
      </c>
      <c r="CQ372" s="52">
        <v>0</v>
      </c>
      <c r="CR372" s="52">
        <v>0</v>
      </c>
      <c r="CS372" s="52">
        <v>0</v>
      </c>
      <c r="CT372" s="52">
        <v>0</v>
      </c>
      <c r="CU372" s="52">
        <v>0</v>
      </c>
      <c r="CV372" s="430">
        <f t="shared" si="10"/>
        <v>0</v>
      </c>
    </row>
    <row r="373" spans="1:100">
      <c r="A373" s="540" t="str">
        <f t="shared" si="11"/>
        <v>7301000</v>
      </c>
      <c r="B373" s="541" t="s">
        <v>2169</v>
      </c>
      <c r="C373" s="463" t="s">
        <v>1240</v>
      </c>
      <c r="D373" s="428">
        <v>-214296.28</v>
      </c>
      <c r="E373" s="428">
        <v>-330590.94</v>
      </c>
      <c r="F373" s="428">
        <v>-206491.26</v>
      </c>
      <c r="G373" s="428">
        <v>-280856.64</v>
      </c>
      <c r="H373" s="428">
        <v>-178527.23</v>
      </c>
      <c r="I373" s="428">
        <v>-262447.71999999997</v>
      </c>
      <c r="J373" s="428">
        <v>-240575.55</v>
      </c>
      <c r="K373" s="428">
        <v>-197832.04</v>
      </c>
      <c r="L373" s="428">
        <v>-68753.320000000007</v>
      </c>
      <c r="M373" s="428">
        <v>-294246.26</v>
      </c>
      <c r="N373" s="428">
        <v>-168347.11</v>
      </c>
      <c r="O373" s="429">
        <v>-192880.57</v>
      </c>
      <c r="P373" s="52">
        <v>-390775.07</v>
      </c>
      <c r="Q373" s="52">
        <v>-210884.69</v>
      </c>
      <c r="R373" s="52">
        <v>-150763.29</v>
      </c>
      <c r="S373" s="52">
        <v>-117072.92</v>
      </c>
      <c r="T373" s="52">
        <v>-224359.7</v>
      </c>
      <c r="U373" s="52">
        <v>-216294.17</v>
      </c>
      <c r="V373" s="52">
        <v>-152920.16</v>
      </c>
      <c r="W373" s="52">
        <v>-171043.58</v>
      </c>
      <c r="X373" s="52">
        <v>-223338.23999999999</v>
      </c>
      <c r="Y373" s="52">
        <v>-130233.48</v>
      </c>
      <c r="Z373" s="52">
        <v>-190346.84</v>
      </c>
      <c r="AA373" s="52">
        <v>-703834.01</v>
      </c>
      <c r="AB373" s="52">
        <v>-296280.46000000002</v>
      </c>
      <c r="AC373" s="52">
        <v>-362928.71</v>
      </c>
      <c r="AD373" s="52">
        <v>-102655.97</v>
      </c>
      <c r="AE373" s="52">
        <v>-122065.81</v>
      </c>
      <c r="AF373" s="52">
        <v>-290536.36</v>
      </c>
      <c r="AG373" s="52">
        <v>-148831.98000000001</v>
      </c>
      <c r="AH373" s="52">
        <v>-214871.25</v>
      </c>
      <c r="AI373" s="52">
        <v>-277765.40000000002</v>
      </c>
      <c r="AJ373" s="52">
        <v>-180270.99</v>
      </c>
      <c r="AK373" s="52">
        <v>-769396.37</v>
      </c>
      <c r="AL373" s="52">
        <v>-202984.49</v>
      </c>
      <c r="AM373" s="52">
        <v>-221317.04</v>
      </c>
      <c r="AN373" s="52">
        <v>-353932.4</v>
      </c>
      <c r="AO373" s="52">
        <v>-308136.26</v>
      </c>
      <c r="AP373" s="52">
        <v>-287169.15000000002</v>
      </c>
      <c r="AQ373" s="52">
        <v>-146968.54999999999</v>
      </c>
      <c r="AR373" s="52">
        <v>-331963.59000000003</v>
      </c>
      <c r="AS373" s="52">
        <v>153361.17000000001</v>
      </c>
      <c r="AT373" s="52">
        <v>-293256.39</v>
      </c>
      <c r="AU373" s="52">
        <v>-142790.04999999999</v>
      </c>
      <c r="AV373" s="52">
        <v>-297970.53000000003</v>
      </c>
      <c r="AW373" s="52">
        <v>-245610.76</v>
      </c>
      <c r="AX373" s="52">
        <v>-341556.85</v>
      </c>
      <c r="AY373" s="52">
        <v>-549068.92000000004</v>
      </c>
      <c r="AZ373" s="52">
        <v>-427265.75</v>
      </c>
      <c r="BA373" s="52">
        <v>-414555.12</v>
      </c>
      <c r="BB373" s="52">
        <v>-112602.5</v>
      </c>
      <c r="BC373" s="52">
        <v>-506278.72</v>
      </c>
      <c r="BD373" s="52">
        <v>-262049.55</v>
      </c>
      <c r="BE373" s="52">
        <v>-222660.19</v>
      </c>
      <c r="BF373" s="52">
        <v>-289543.83</v>
      </c>
      <c r="BG373" s="52">
        <v>-189620.79</v>
      </c>
      <c r="BH373" s="52">
        <v>-174472.46</v>
      </c>
      <c r="BI373" s="52">
        <v>-253677.03</v>
      </c>
      <c r="BJ373" s="52">
        <v>-242731.81</v>
      </c>
      <c r="BK373" s="52">
        <v>-417337.17</v>
      </c>
      <c r="BL373" s="52">
        <v>-256648.59</v>
      </c>
      <c r="BM373" s="52">
        <v>-285523.38</v>
      </c>
      <c r="BN373" s="52">
        <v>-461128.74</v>
      </c>
      <c r="BO373" s="52">
        <v>-417107.02</v>
      </c>
      <c r="BP373" s="52">
        <v>-323818.81</v>
      </c>
      <c r="BQ373" s="52">
        <v>-234534.32</v>
      </c>
      <c r="BR373" s="52">
        <v>-338930.12</v>
      </c>
      <c r="BS373" s="52">
        <v>-459463.36</v>
      </c>
      <c r="BT373" s="52">
        <v>-219164.33</v>
      </c>
      <c r="BU373" s="52">
        <v>-197590.86</v>
      </c>
      <c r="BV373" s="52">
        <v>-194188.46</v>
      </c>
      <c r="BW373" s="52">
        <v>-228792.44</v>
      </c>
      <c r="BX373" s="52">
        <v>-126272.64</v>
      </c>
      <c r="BY373" s="52">
        <v>-424898.82</v>
      </c>
      <c r="BZ373" s="52">
        <v>-93899.42</v>
      </c>
      <c r="CA373" s="52">
        <v>-334447.24</v>
      </c>
      <c r="CB373" s="52">
        <v>-410336.04</v>
      </c>
      <c r="CC373" s="52">
        <v>-224341.44</v>
      </c>
      <c r="CD373" s="52">
        <v>-188439.92</v>
      </c>
      <c r="CE373" s="52">
        <v>-311341.21000000002</v>
      </c>
      <c r="CF373" s="52">
        <v>-239230.3</v>
      </c>
      <c r="CG373" s="52">
        <v>-350793.42</v>
      </c>
      <c r="CH373" s="52">
        <v>-209032.59</v>
      </c>
      <c r="CI373" s="52">
        <v>-367048.31</v>
      </c>
      <c r="CJ373" s="52">
        <v>-334134.96999999997</v>
      </c>
      <c r="CK373" s="52">
        <v>-387862.25</v>
      </c>
      <c r="CL373" s="52">
        <v>-275361.32</v>
      </c>
      <c r="CM373" s="52">
        <v>-331471.51</v>
      </c>
      <c r="CN373" s="52">
        <v>-390513.08</v>
      </c>
      <c r="CO373" s="52">
        <v>-271490.58</v>
      </c>
      <c r="CP373" s="52">
        <v>-274120.75</v>
      </c>
      <c r="CQ373" s="52">
        <v>-337068.29</v>
      </c>
      <c r="CR373" s="52">
        <v>-295827.65000000002</v>
      </c>
      <c r="CS373" s="52">
        <v>-313747.78000000003</v>
      </c>
      <c r="CT373" s="52">
        <v>-273112.37</v>
      </c>
      <c r="CU373" s="52">
        <v>-159444.92000000001</v>
      </c>
      <c r="CV373" s="430">
        <f t="shared" si="10"/>
        <v>-3644155.4699999997</v>
      </c>
    </row>
    <row r="374" spans="1:100">
      <c r="A374" s="540" t="str">
        <f>+B374</f>
        <v>7500010</v>
      </c>
      <c r="B374" s="541" t="s">
        <v>2302</v>
      </c>
      <c r="C374" s="463" t="s">
        <v>2295</v>
      </c>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v>0</v>
      </c>
      <c r="BM374" s="52">
        <v>0</v>
      </c>
      <c r="BN374" s="52">
        <v>0</v>
      </c>
      <c r="BO374" s="52">
        <v>0</v>
      </c>
      <c r="BP374" s="52">
        <v>0</v>
      </c>
      <c r="BQ374" s="52">
        <v>0</v>
      </c>
      <c r="BR374" s="52">
        <v>0</v>
      </c>
      <c r="BS374" s="52">
        <v>-43419.48</v>
      </c>
      <c r="BT374" s="52">
        <v>-28294.53</v>
      </c>
      <c r="BU374" s="52">
        <v>-22465.39</v>
      </c>
      <c r="BV374" s="52">
        <v>-25132.7</v>
      </c>
      <c r="BW374" s="52">
        <v>-31693.47</v>
      </c>
      <c r="BX374" s="52">
        <v>-41123.9</v>
      </c>
      <c r="BY374" s="52">
        <v>-51382.78</v>
      </c>
      <c r="BZ374" s="52">
        <v>-60040.59</v>
      </c>
      <c r="CA374" s="52">
        <v>-68313.5</v>
      </c>
      <c r="CB374" s="52">
        <v>-82831.14</v>
      </c>
      <c r="CC374" s="52">
        <v>-94708.89</v>
      </c>
      <c r="CD374" s="52">
        <v>-101897.5</v>
      </c>
      <c r="CE374" s="52">
        <v>-113702.74</v>
      </c>
      <c r="CF374" s="52">
        <v>-127173</v>
      </c>
      <c r="CG374" s="52">
        <v>-100603.36</v>
      </c>
      <c r="CH374" s="52">
        <v>-74277.42</v>
      </c>
      <c r="CI374" s="52">
        <v>-85997.18</v>
      </c>
      <c r="CJ374" s="52">
        <v>-97828.96</v>
      </c>
      <c r="CK374" s="52">
        <v>-118962.67</v>
      </c>
      <c r="CL374" s="52">
        <v>-125175.22</v>
      </c>
      <c r="CM374" s="52">
        <v>-101772.96</v>
      </c>
      <c r="CN374" s="52">
        <v>-70765.289999999994</v>
      </c>
      <c r="CO374" s="52">
        <v>-73446.960000000006</v>
      </c>
      <c r="CP374" s="52">
        <v>-79548.13</v>
      </c>
      <c r="CQ374" s="52">
        <v>-89530.79</v>
      </c>
      <c r="CR374" s="52">
        <v>-98143.71</v>
      </c>
      <c r="CS374" s="52">
        <v>-105329.65</v>
      </c>
      <c r="CT374" s="52">
        <v>-37935.15</v>
      </c>
      <c r="CU374" s="52">
        <v>-52206.77</v>
      </c>
      <c r="CV374" s="430">
        <f t="shared" si="10"/>
        <v>-1050646.26</v>
      </c>
    </row>
    <row r="375" spans="1:100">
      <c r="A375" s="540" t="str">
        <f>+B375</f>
        <v>7500015</v>
      </c>
      <c r="B375" s="541" t="s">
        <v>2384</v>
      </c>
      <c r="C375" s="463" t="s">
        <v>2385</v>
      </c>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v>0</v>
      </c>
      <c r="BV375" s="52">
        <v>0</v>
      </c>
      <c r="BW375" s="52">
        <v>151005.57</v>
      </c>
      <c r="BX375" s="52">
        <v>41123.9</v>
      </c>
      <c r="BY375" s="52">
        <v>51382.78</v>
      </c>
      <c r="BZ375" s="52">
        <v>60040.59</v>
      </c>
      <c r="CA375" s="52">
        <v>68313.5</v>
      </c>
      <c r="CB375" s="52">
        <v>82831.14</v>
      </c>
      <c r="CC375" s="52">
        <v>94708.89</v>
      </c>
      <c r="CD375" s="52">
        <v>101897.5</v>
      </c>
      <c r="CE375" s="52">
        <v>113702.74</v>
      </c>
      <c r="CF375" s="52">
        <v>127173</v>
      </c>
      <c r="CG375" s="52">
        <v>100603.36</v>
      </c>
      <c r="CH375" s="52">
        <v>74277.42</v>
      </c>
      <c r="CI375" s="52">
        <v>85997.18</v>
      </c>
      <c r="CJ375" s="52">
        <v>97828.96</v>
      </c>
      <c r="CK375" s="52">
        <v>118962.67</v>
      </c>
      <c r="CL375" s="52">
        <v>125175.22</v>
      </c>
      <c r="CM375" s="52">
        <v>101772.96</v>
      </c>
      <c r="CN375" s="52">
        <v>70765.289999999994</v>
      </c>
      <c r="CO375" s="52">
        <v>73446.960000000006</v>
      </c>
      <c r="CP375" s="52">
        <v>79548.13</v>
      </c>
      <c r="CQ375" s="52">
        <v>89530.79</v>
      </c>
      <c r="CR375" s="52">
        <v>98143.71</v>
      </c>
      <c r="CS375" s="52">
        <v>105329.65</v>
      </c>
      <c r="CT375" s="52">
        <v>37935.15</v>
      </c>
      <c r="CU375" s="52">
        <v>52206.77</v>
      </c>
      <c r="CV375" s="430">
        <f t="shared" si="10"/>
        <v>1050646.26</v>
      </c>
    </row>
    <row r="376" spans="1:100">
      <c r="A376" s="540" t="str">
        <f t="shared" si="11"/>
        <v>7500020</v>
      </c>
      <c r="B376" s="541" t="s">
        <v>1358</v>
      </c>
      <c r="C376" s="463" t="s">
        <v>1241</v>
      </c>
      <c r="D376" s="426">
        <v>8730.86</v>
      </c>
      <c r="E376" s="426">
        <v>4555.72</v>
      </c>
      <c r="F376" s="426">
        <v>1707.34</v>
      </c>
      <c r="G376" s="426">
        <v>84.78</v>
      </c>
      <c r="H376" s="426">
        <v>0</v>
      </c>
      <c r="I376" s="426">
        <v>0</v>
      </c>
      <c r="J376" s="426">
        <v>0</v>
      </c>
      <c r="K376" s="426">
        <v>0</v>
      </c>
      <c r="L376" s="426">
        <v>0</v>
      </c>
      <c r="M376" s="426">
        <v>0</v>
      </c>
      <c r="N376" s="426">
        <v>0</v>
      </c>
      <c r="O376" s="427">
        <v>1484.59</v>
      </c>
      <c r="P376" s="52">
        <v>5297.51</v>
      </c>
      <c r="Q376" s="52">
        <v>2912.52</v>
      </c>
      <c r="R376" s="52">
        <v>1569.14</v>
      </c>
      <c r="S376" s="52">
        <v>0</v>
      </c>
      <c r="T376" s="52">
        <v>0</v>
      </c>
      <c r="U376" s="52">
        <v>0</v>
      </c>
      <c r="V376" s="52">
        <v>0</v>
      </c>
      <c r="W376" s="52">
        <v>0</v>
      </c>
      <c r="X376" s="52">
        <v>0</v>
      </c>
      <c r="Y376" s="52">
        <v>0</v>
      </c>
      <c r="Z376" s="52">
        <v>0</v>
      </c>
      <c r="AA376" s="52">
        <v>0</v>
      </c>
      <c r="AB376" s="52">
        <v>0</v>
      </c>
      <c r="AC376" s="52">
        <v>58.73</v>
      </c>
      <c r="AD376" s="52">
        <v>10.98</v>
      </c>
      <c r="AE376" s="52">
        <v>0</v>
      </c>
      <c r="AF376" s="52">
        <v>0</v>
      </c>
      <c r="AG376" s="52">
        <v>615.94000000000005</v>
      </c>
      <c r="AH376" s="52">
        <v>919.76</v>
      </c>
      <c r="AI376" s="52">
        <v>1174.6099999999999</v>
      </c>
      <c r="AJ376" s="52">
        <v>2092.46</v>
      </c>
      <c r="AK376" s="52">
        <v>153.06</v>
      </c>
      <c r="AL376" s="52">
        <v>6259.33</v>
      </c>
      <c r="AM376" s="52">
        <v>22743.11</v>
      </c>
      <c r="AN376" s="52">
        <v>27951.37</v>
      </c>
      <c r="AO376" s="52">
        <v>16703.96</v>
      </c>
      <c r="AP376" s="52">
        <v>17194.43</v>
      </c>
      <c r="AQ376" s="52">
        <v>21539.71</v>
      </c>
      <c r="AR376" s="52">
        <v>14761.56</v>
      </c>
      <c r="AS376" s="52">
        <v>17612.86</v>
      </c>
      <c r="AT376" s="52">
        <v>21212.9</v>
      </c>
      <c r="AU376" s="52">
        <v>26543.24</v>
      </c>
      <c r="AV376" s="52">
        <v>23340.02</v>
      </c>
      <c r="AW376" s="52">
        <v>28357.279999999999</v>
      </c>
      <c r="AX376" s="52">
        <v>9669.6</v>
      </c>
      <c r="AY376" s="52">
        <v>0</v>
      </c>
      <c r="AZ376" s="52">
        <v>1302.08</v>
      </c>
      <c r="BA376" s="52">
        <v>2338.31</v>
      </c>
      <c r="BB376" s="52">
        <v>1517.92</v>
      </c>
      <c r="BC376" s="52">
        <v>1323.64</v>
      </c>
      <c r="BD376" s="52">
        <v>13990.11</v>
      </c>
      <c r="BE376" s="52">
        <v>14260.85</v>
      </c>
      <c r="BF376" s="52">
        <v>12072</v>
      </c>
      <c r="BG376" s="52">
        <v>6013.53</v>
      </c>
      <c r="BH376" s="52">
        <v>8272.64</v>
      </c>
      <c r="BI376" s="52">
        <v>2647.67</v>
      </c>
      <c r="BJ376" s="52">
        <v>40228.199999999997</v>
      </c>
      <c r="BK376" s="52">
        <v>83725.91</v>
      </c>
      <c r="BL376" s="52">
        <v>72850.350000000006</v>
      </c>
      <c r="BM376" s="52">
        <v>55834.26</v>
      </c>
      <c r="BN376" s="52">
        <v>46345.58</v>
      </c>
      <c r="BO376" s="52">
        <v>40380.199999999997</v>
      </c>
      <c r="BP376" s="52">
        <v>33115.96</v>
      </c>
      <c r="BQ376" s="52">
        <v>28771.46</v>
      </c>
      <c r="BR376" s="52">
        <v>32779.379999999997</v>
      </c>
      <c r="BS376" s="52">
        <v>89666.15</v>
      </c>
      <c r="BT376" s="52">
        <v>56198.26</v>
      </c>
      <c r="BU376" s="52">
        <v>18126.990000000002</v>
      </c>
      <c r="BV376" s="52">
        <v>83670.259999999995</v>
      </c>
      <c r="BW376" s="52">
        <v>35241.61</v>
      </c>
      <c r="BX376" s="52">
        <v>36112.730000000003</v>
      </c>
      <c r="BY376" s="52">
        <v>8081.86</v>
      </c>
      <c r="BZ376" s="52">
        <v>62323.75</v>
      </c>
      <c r="CA376" s="52">
        <v>30054.94</v>
      </c>
      <c r="CB376" s="52">
        <v>10575.66</v>
      </c>
      <c r="CC376" s="52">
        <v>1353.53</v>
      </c>
      <c r="CD376" s="52">
        <v>1353.53</v>
      </c>
      <c r="CE376" s="52">
        <v>3127.13</v>
      </c>
      <c r="CF376" s="52">
        <v>9745.27</v>
      </c>
      <c r="CG376" s="52">
        <v>7652.81</v>
      </c>
      <c r="CH376" s="52">
        <v>8249.43</v>
      </c>
      <c r="CI376" s="52">
        <v>18471.18</v>
      </c>
      <c r="CJ376" s="52">
        <v>22845.53</v>
      </c>
      <c r="CK376" s="52">
        <v>11141.68</v>
      </c>
      <c r="CL376" s="52">
        <v>10475.52</v>
      </c>
      <c r="CM376" s="52">
        <v>131.81</v>
      </c>
      <c r="CN376" s="52">
        <v>0</v>
      </c>
      <c r="CO376" s="52">
        <v>0</v>
      </c>
      <c r="CP376" s="52">
        <v>0</v>
      </c>
      <c r="CQ376" s="52">
        <v>0</v>
      </c>
      <c r="CR376" s="52">
        <v>0</v>
      </c>
      <c r="CS376" s="52">
        <v>0</v>
      </c>
      <c r="CT376" s="52">
        <v>0</v>
      </c>
      <c r="CU376" s="52">
        <v>0</v>
      </c>
      <c r="CV376" s="430">
        <f t="shared" si="10"/>
        <v>44594.539999999994</v>
      </c>
    </row>
    <row r="377" spans="1:100">
      <c r="A377" s="540" t="str">
        <f t="shared" si="11"/>
        <v>7500030</v>
      </c>
      <c r="B377" s="541" t="s">
        <v>2170</v>
      </c>
      <c r="C377" s="463" t="s">
        <v>1242</v>
      </c>
      <c r="D377" s="426">
        <v>81888.759999999995</v>
      </c>
      <c r="E377" s="426">
        <v>81946.080000000002</v>
      </c>
      <c r="F377" s="426">
        <v>82099.39</v>
      </c>
      <c r="G377" s="426">
        <v>82432.38</v>
      </c>
      <c r="H377" s="426">
        <v>82721.73</v>
      </c>
      <c r="I377" s="426">
        <v>82838.789999999994</v>
      </c>
      <c r="J377" s="426">
        <v>83059.78</v>
      </c>
      <c r="K377" s="426">
        <v>83473.91</v>
      </c>
      <c r="L377" s="426">
        <v>84096.54</v>
      </c>
      <c r="M377" s="426">
        <v>84586.99</v>
      </c>
      <c r="N377" s="426">
        <v>83849.83</v>
      </c>
      <c r="O377" s="427">
        <v>84583.05</v>
      </c>
      <c r="P377" s="52">
        <v>84931.32</v>
      </c>
      <c r="Q377" s="52">
        <v>84655.33</v>
      </c>
      <c r="R377" s="52">
        <v>84911.34</v>
      </c>
      <c r="S377" s="52">
        <v>84527.17</v>
      </c>
      <c r="T377" s="52">
        <v>85332.26</v>
      </c>
      <c r="U377" s="52">
        <v>85632.43</v>
      </c>
      <c r="V377" s="52">
        <v>85943.24</v>
      </c>
      <c r="W377" s="52">
        <v>86261.16</v>
      </c>
      <c r="X377" s="52">
        <v>86526.2</v>
      </c>
      <c r="Y377" s="52">
        <v>86730.98</v>
      </c>
      <c r="Z377" s="52">
        <v>87013.89</v>
      </c>
      <c r="AA377" s="52">
        <v>87193.38</v>
      </c>
      <c r="AB377" s="52">
        <v>87473.16</v>
      </c>
      <c r="AC377" s="52">
        <v>83962.2</v>
      </c>
      <c r="AD377" s="52">
        <v>81686.48</v>
      </c>
      <c r="AE377" s="52">
        <v>79084.69</v>
      </c>
      <c r="AF377" s="52">
        <v>77249.649999999994</v>
      </c>
      <c r="AG377" s="52">
        <v>75006.850000000006</v>
      </c>
      <c r="AH377" s="52">
        <v>72824.37</v>
      </c>
      <c r="AI377" s="52">
        <v>70476.73</v>
      </c>
      <c r="AJ377" s="52">
        <v>68089.320000000007</v>
      </c>
      <c r="AK377" s="52">
        <v>66051.56</v>
      </c>
      <c r="AL377" s="52">
        <v>62730.55</v>
      </c>
      <c r="AM377" s="52">
        <v>61008.99</v>
      </c>
      <c r="AN377" s="52">
        <v>58804</v>
      </c>
      <c r="AO377" s="52">
        <v>57673</v>
      </c>
      <c r="AP377" s="52">
        <v>57131</v>
      </c>
      <c r="AQ377" s="52">
        <v>57051</v>
      </c>
      <c r="AR377" s="52">
        <v>56744</v>
      </c>
      <c r="AS377" s="52">
        <v>56505</v>
      </c>
      <c r="AT377" s="52">
        <v>56115</v>
      </c>
      <c r="AU377" s="52">
        <v>56005</v>
      </c>
      <c r="AV377" s="52">
        <v>55816</v>
      </c>
      <c r="AW377" s="52">
        <v>55755.12</v>
      </c>
      <c r="AX377" s="52">
        <v>55425.88</v>
      </c>
      <c r="AY377" s="52">
        <v>68722.740000000005</v>
      </c>
      <c r="AZ377" s="52">
        <v>54753.9</v>
      </c>
      <c r="BA377" s="52">
        <v>54723.21</v>
      </c>
      <c r="BB377" s="52">
        <v>54724.01</v>
      </c>
      <c r="BC377" s="52">
        <v>54676.44</v>
      </c>
      <c r="BD377" s="52">
        <v>54806.87</v>
      </c>
      <c r="BE377" s="52">
        <v>54842.58</v>
      </c>
      <c r="BF377" s="52">
        <v>54865.06</v>
      </c>
      <c r="BG377" s="52">
        <v>55003.7</v>
      </c>
      <c r="BH377" s="52">
        <v>54939.74</v>
      </c>
      <c r="BI377" s="52">
        <v>55067.25</v>
      </c>
      <c r="BJ377" s="52">
        <v>55437.96</v>
      </c>
      <c r="BK377" s="52">
        <v>48365.77</v>
      </c>
      <c r="BL377" s="52">
        <v>55169.55</v>
      </c>
      <c r="BM377" s="52">
        <v>55205.35</v>
      </c>
      <c r="BN377" s="52">
        <v>55333.99</v>
      </c>
      <c r="BO377" s="52">
        <v>55165.16</v>
      </c>
      <c r="BP377" s="52">
        <v>55280.23</v>
      </c>
      <c r="BQ377" s="52">
        <v>55284.57</v>
      </c>
      <c r="BR377" s="52">
        <v>55092</v>
      </c>
      <c r="BS377" s="52">
        <v>54934.14</v>
      </c>
      <c r="BT377" s="52">
        <v>54913.05</v>
      </c>
      <c r="BU377" s="52">
        <v>55028.13</v>
      </c>
      <c r="BV377" s="52">
        <v>55015.55</v>
      </c>
      <c r="BW377" s="52">
        <v>42623.8</v>
      </c>
      <c r="BX377" s="52">
        <v>55003.35</v>
      </c>
      <c r="BY377" s="52">
        <v>55161.09</v>
      </c>
      <c r="BZ377" s="52">
        <v>55200.35</v>
      </c>
      <c r="CA377" s="52">
        <v>55190.61</v>
      </c>
      <c r="CB377" s="52">
        <v>55069.64</v>
      </c>
      <c r="CC377" s="52">
        <v>54910.879999999997</v>
      </c>
      <c r="CD377" s="52">
        <v>54900.4</v>
      </c>
      <c r="CE377" s="52">
        <v>54798.3</v>
      </c>
      <c r="CF377" s="52">
        <v>54843.46</v>
      </c>
      <c r="CG377" s="52">
        <v>54750.67</v>
      </c>
      <c r="CH377" s="52">
        <v>54601.17</v>
      </c>
      <c r="CI377" s="52">
        <v>43181.760000000002</v>
      </c>
      <c r="CJ377" s="52">
        <v>54454.27</v>
      </c>
      <c r="CK377" s="52">
        <v>54502.22</v>
      </c>
      <c r="CL377" s="52">
        <v>54701.38</v>
      </c>
      <c r="CM377" s="52">
        <v>54612.59</v>
      </c>
      <c r="CN377" s="52">
        <v>54794.78</v>
      </c>
      <c r="CO377" s="52">
        <v>55070.86</v>
      </c>
      <c r="CP377" s="52">
        <v>55445.67</v>
      </c>
      <c r="CQ377" s="52">
        <v>55611.72</v>
      </c>
      <c r="CR377" s="52">
        <v>55997.82</v>
      </c>
      <c r="CS377" s="52">
        <v>56225.65</v>
      </c>
      <c r="CT377" s="52">
        <v>56674.93</v>
      </c>
      <c r="CU377" s="52">
        <v>46807.44</v>
      </c>
      <c r="CV377" s="430">
        <f t="shared" si="10"/>
        <v>654899.33000000007</v>
      </c>
    </row>
    <row r="378" spans="1:100">
      <c r="A378" s="540" t="str">
        <f t="shared" si="11"/>
        <v>7500080</v>
      </c>
      <c r="B378" s="541" t="s">
        <v>1359</v>
      </c>
      <c r="C378" s="463" t="s">
        <v>1243</v>
      </c>
      <c r="D378" s="428">
        <v>1197.6199999999999</v>
      </c>
      <c r="E378" s="428">
        <v>193.26</v>
      </c>
      <c r="F378" s="428">
        <v>6.99</v>
      </c>
      <c r="G378" s="428">
        <v>151.29</v>
      </c>
      <c r="H378" s="428">
        <v>0</v>
      </c>
      <c r="I378" s="428">
        <v>0</v>
      </c>
      <c r="J378" s="428">
        <v>0</v>
      </c>
      <c r="K378" s="428">
        <v>0</v>
      </c>
      <c r="L378" s="428">
        <v>0</v>
      </c>
      <c r="M378" s="428">
        <v>0</v>
      </c>
      <c r="N378" s="428">
        <v>0</v>
      </c>
      <c r="O378" s="429">
        <v>866.18</v>
      </c>
      <c r="P378" s="52">
        <v>1039.32</v>
      </c>
      <c r="Q378" s="52">
        <v>201.34</v>
      </c>
      <c r="R378" s="52">
        <v>1148.27</v>
      </c>
      <c r="S378" s="52">
        <v>0</v>
      </c>
      <c r="T378" s="52">
        <v>0</v>
      </c>
      <c r="U378" s="52">
        <v>0</v>
      </c>
      <c r="V378" s="52">
        <v>0</v>
      </c>
      <c r="W378" s="52">
        <v>0</v>
      </c>
      <c r="X378" s="52">
        <v>0</v>
      </c>
      <c r="Y378" s="52">
        <v>0</v>
      </c>
      <c r="Z378" s="52">
        <v>0</v>
      </c>
      <c r="AA378" s="52">
        <v>0</v>
      </c>
      <c r="AB378" s="52">
        <v>0</v>
      </c>
      <c r="AC378" s="52">
        <v>6.08</v>
      </c>
      <c r="AD378" s="52">
        <v>0</v>
      </c>
      <c r="AE378" s="52">
        <v>0</v>
      </c>
      <c r="AF378" s="52">
        <v>0</v>
      </c>
      <c r="AG378" s="52">
        <v>5.56</v>
      </c>
      <c r="AH378" s="52">
        <v>4.55</v>
      </c>
      <c r="AI378" s="52">
        <v>12.22</v>
      </c>
      <c r="AJ378" s="52">
        <v>37.74</v>
      </c>
      <c r="AK378" s="52">
        <v>0</v>
      </c>
      <c r="AL378" s="52">
        <v>292.10000000000002</v>
      </c>
      <c r="AM378" s="52">
        <v>4873</v>
      </c>
      <c r="AN378" s="52">
        <v>16954.3</v>
      </c>
      <c r="AO378" s="52">
        <v>32826.68</v>
      </c>
      <c r="AP378" s="52">
        <v>36453.06</v>
      </c>
      <c r="AQ378" s="52">
        <v>36234.11</v>
      </c>
      <c r="AR378" s="52">
        <v>20114.93</v>
      </c>
      <c r="AS378" s="52">
        <v>28984.09</v>
      </c>
      <c r="AT378" s="52">
        <v>38111.74</v>
      </c>
      <c r="AU378" s="52">
        <v>38051.24</v>
      </c>
      <c r="AV378" s="52">
        <v>109398.05</v>
      </c>
      <c r="AW378" s="52">
        <v>95373.94</v>
      </c>
      <c r="AX378" s="52">
        <v>7113.72</v>
      </c>
      <c r="AY378" s="52">
        <v>970.83</v>
      </c>
      <c r="AZ378" s="52">
        <v>5876.07</v>
      </c>
      <c r="BA378" s="52">
        <v>194609.49</v>
      </c>
      <c r="BB378" s="52">
        <v>-182381.3</v>
      </c>
      <c r="BC378" s="52">
        <v>6402.12</v>
      </c>
      <c r="BD378" s="52">
        <v>53475.59</v>
      </c>
      <c r="BE378" s="52">
        <v>70464.28</v>
      </c>
      <c r="BF378" s="52">
        <v>5876.07</v>
      </c>
      <c r="BG378" s="52">
        <v>5876.07</v>
      </c>
      <c r="BH378" s="52">
        <v>8837.2800000000007</v>
      </c>
      <c r="BI378" s="52">
        <v>10405.48</v>
      </c>
      <c r="BJ378" s="52">
        <v>6546</v>
      </c>
      <c r="BK378" s="52">
        <v>70158.22</v>
      </c>
      <c r="BL378" s="52">
        <v>149349.24</v>
      </c>
      <c r="BM378" s="52">
        <v>149272.71</v>
      </c>
      <c r="BN378" s="52">
        <v>136387.71</v>
      </c>
      <c r="BO378" s="52">
        <v>128595.4</v>
      </c>
      <c r="BP378" s="52">
        <v>75832.62</v>
      </c>
      <c r="BQ378" s="52">
        <v>-142669.13</v>
      </c>
      <c r="BR378" s="52">
        <v>82858.12</v>
      </c>
      <c r="BS378" s="52">
        <v>12758.09</v>
      </c>
      <c r="BT378" s="52">
        <v>55656.33</v>
      </c>
      <c r="BU378" s="52">
        <v>104937.93</v>
      </c>
      <c r="BV378" s="52">
        <v>46607.1</v>
      </c>
      <c r="BW378" s="52">
        <v>151912.15</v>
      </c>
      <c r="BX378" s="52">
        <v>174102.82</v>
      </c>
      <c r="BY378" s="52">
        <v>81033.11</v>
      </c>
      <c r="BZ378" s="52">
        <v>173380.65</v>
      </c>
      <c r="CA378" s="52">
        <v>63600.09</v>
      </c>
      <c r="CB378" s="52">
        <v>82038.13</v>
      </c>
      <c r="CC378" s="52">
        <v>-189338.35</v>
      </c>
      <c r="CD378" s="52">
        <v>79856.78</v>
      </c>
      <c r="CE378" s="52">
        <v>74863.97</v>
      </c>
      <c r="CF378" s="52">
        <v>65231.29</v>
      </c>
      <c r="CG378" s="52">
        <v>84812.63</v>
      </c>
      <c r="CH378" s="52">
        <v>100107.05</v>
      </c>
      <c r="CI378" s="52">
        <v>128129.2</v>
      </c>
      <c r="CJ378" s="52">
        <v>159645.94</v>
      </c>
      <c r="CK378" s="52">
        <v>160555.04999999999</v>
      </c>
      <c r="CL378" s="52">
        <v>131893.68</v>
      </c>
      <c r="CM378" s="52">
        <v>25497.43</v>
      </c>
      <c r="CN378" s="52">
        <v>47144.56</v>
      </c>
      <c r="CO378" s="52">
        <v>76453.02</v>
      </c>
      <c r="CP378" s="52">
        <v>20020.509999999998</v>
      </c>
      <c r="CQ378" s="52">
        <v>20020.509999999998</v>
      </c>
      <c r="CR378" s="52">
        <v>20020.509999999998</v>
      </c>
      <c r="CS378" s="52">
        <v>20020.509999999998</v>
      </c>
      <c r="CT378" s="52">
        <v>20020.509999999998</v>
      </c>
      <c r="CU378" s="52">
        <v>20020.509999999998</v>
      </c>
      <c r="CV378" s="430">
        <f t="shared" si="10"/>
        <v>721312.74</v>
      </c>
    </row>
    <row r="379" spans="1:100">
      <c r="A379" s="540" t="str">
        <f>+B379</f>
        <v>7500090</v>
      </c>
      <c r="B379" s="541" t="s">
        <v>2219</v>
      </c>
      <c r="C379" s="463" t="s">
        <v>2218</v>
      </c>
      <c r="D379" s="428"/>
      <c r="E379" s="428"/>
      <c r="F379" s="428"/>
      <c r="G379" s="428"/>
      <c r="H379" s="428"/>
      <c r="I379" s="428"/>
      <c r="J379" s="428"/>
      <c r="K379" s="428"/>
      <c r="L379" s="428"/>
      <c r="M379" s="428"/>
      <c r="N379" s="428"/>
      <c r="O379" s="429"/>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v>0</v>
      </c>
      <c r="BA379" s="52">
        <v>0</v>
      </c>
      <c r="BB379" s="52">
        <v>307481.36</v>
      </c>
      <c r="BC379" s="52">
        <v>102797.2</v>
      </c>
      <c r="BD379" s="52">
        <v>74870.73</v>
      </c>
      <c r="BE379" s="52">
        <v>72428.31</v>
      </c>
      <c r="BF379" s="52">
        <v>64912.76</v>
      </c>
      <c r="BG379" s="52">
        <v>76242.16</v>
      </c>
      <c r="BH379" s="52">
        <v>84145.93</v>
      </c>
      <c r="BI379" s="52">
        <v>22617.87</v>
      </c>
      <c r="BJ379" s="52">
        <v>0</v>
      </c>
      <c r="BK379" s="52">
        <v>0</v>
      </c>
      <c r="BL379" s="52">
        <v>0</v>
      </c>
      <c r="BM379" s="52">
        <v>0</v>
      </c>
      <c r="BN379" s="52">
        <v>0</v>
      </c>
      <c r="BO379" s="52">
        <v>0</v>
      </c>
      <c r="BP379" s="52">
        <v>0</v>
      </c>
      <c r="BQ379" s="52">
        <v>0</v>
      </c>
      <c r="BR379" s="52">
        <v>0</v>
      </c>
      <c r="BS379" s="52">
        <v>0</v>
      </c>
      <c r="BT379" s="52">
        <v>0</v>
      </c>
      <c r="BU379" s="52">
        <v>0</v>
      </c>
      <c r="BV379" s="52">
        <v>0</v>
      </c>
      <c r="BW379" s="52">
        <v>0</v>
      </c>
      <c r="BX379" s="52">
        <v>0</v>
      </c>
      <c r="BY379" s="52">
        <v>1029</v>
      </c>
      <c r="BZ379" s="52">
        <v>1905.17</v>
      </c>
      <c r="CA379" s="52">
        <v>1467.06</v>
      </c>
      <c r="CB379" s="52">
        <v>1467.06</v>
      </c>
      <c r="CC379" s="52">
        <v>286758.73</v>
      </c>
      <c r="CD379" s="52">
        <v>36342.06</v>
      </c>
      <c r="CE379" s="52">
        <v>36342.06</v>
      </c>
      <c r="CF379" s="52">
        <v>35217.06</v>
      </c>
      <c r="CG379" s="52">
        <v>36342.06</v>
      </c>
      <c r="CH379" s="52">
        <v>35217.06</v>
      </c>
      <c r="CI379" s="52">
        <v>36342.06</v>
      </c>
      <c r="CJ379" s="52">
        <v>36342.06</v>
      </c>
      <c r="CK379" s="52">
        <v>33687.96</v>
      </c>
      <c r="CL379" s="52">
        <v>27648.54</v>
      </c>
      <c r="CM379" s="52">
        <v>2543.25</v>
      </c>
      <c r="CN379" s="52">
        <v>0</v>
      </c>
      <c r="CO379" s="52">
        <v>15740.72</v>
      </c>
      <c r="CP379" s="52">
        <v>28556.34</v>
      </c>
      <c r="CQ379" s="52">
        <v>33177.919999999998</v>
      </c>
      <c r="CR379" s="52">
        <v>24179.1</v>
      </c>
      <c r="CS379" s="52">
        <v>37730.400000000001</v>
      </c>
      <c r="CT379" s="52">
        <v>38920.99</v>
      </c>
      <c r="CU379" s="52">
        <v>60485.26</v>
      </c>
      <c r="CV379" s="430">
        <f t="shared" si="10"/>
        <v>339012.54</v>
      </c>
    </row>
    <row r="380" spans="1:100">
      <c r="A380" s="540" t="str">
        <f>+B380</f>
        <v>7500100</v>
      </c>
      <c r="B380" s="541" t="s">
        <v>2264</v>
      </c>
      <c r="C380" s="463" t="s">
        <v>2265</v>
      </c>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v>0</v>
      </c>
      <c r="BM380" s="52">
        <v>0</v>
      </c>
      <c r="BN380" s="52">
        <v>57.76</v>
      </c>
      <c r="BO380" s="52">
        <v>0</v>
      </c>
      <c r="BP380" s="52">
        <v>0</v>
      </c>
      <c r="BQ380" s="52">
        <v>0</v>
      </c>
      <c r="BR380" s="52">
        <v>0</v>
      </c>
      <c r="BS380" s="52">
        <v>0</v>
      </c>
      <c r="BT380" s="52">
        <v>0</v>
      </c>
      <c r="BU380" s="52">
        <v>0</v>
      </c>
      <c r="BV380" s="52">
        <v>0</v>
      </c>
      <c r="BW380" s="52">
        <v>0</v>
      </c>
      <c r="BX380" s="52">
        <v>0</v>
      </c>
      <c r="BY380" s="52">
        <v>0</v>
      </c>
      <c r="BZ380" s="52">
        <v>0</v>
      </c>
      <c r="CA380" s="52">
        <v>0</v>
      </c>
      <c r="CB380" s="52">
        <v>0</v>
      </c>
      <c r="CC380" s="52">
        <v>0</v>
      </c>
      <c r="CD380" s="52">
        <v>0</v>
      </c>
      <c r="CE380" s="52">
        <v>0</v>
      </c>
      <c r="CF380" s="52">
        <v>0</v>
      </c>
      <c r="CG380" s="52">
        <v>0</v>
      </c>
      <c r="CH380" s="52">
        <v>98.91</v>
      </c>
      <c r="CI380" s="52">
        <v>0</v>
      </c>
      <c r="CJ380" s="52">
        <v>0</v>
      </c>
      <c r="CK380" s="52">
        <v>0</v>
      </c>
      <c r="CL380" s="52">
        <v>0</v>
      </c>
      <c r="CM380" s="52">
        <v>0</v>
      </c>
      <c r="CN380" s="52">
        <v>0</v>
      </c>
      <c r="CO380" s="52">
        <v>0</v>
      </c>
      <c r="CP380" s="52">
        <v>68.680000000000007</v>
      </c>
      <c r="CQ380" s="52">
        <v>0</v>
      </c>
      <c r="CR380" s="52">
        <v>0</v>
      </c>
      <c r="CS380" s="52">
        <v>0</v>
      </c>
      <c r="CT380" s="52">
        <v>0</v>
      </c>
      <c r="CU380" s="52">
        <v>0</v>
      </c>
      <c r="CV380" s="430">
        <f t="shared" si="10"/>
        <v>68.680000000000007</v>
      </c>
    </row>
    <row r="381" spans="1:100">
      <c r="A381" s="540" t="str">
        <f t="shared" si="11"/>
        <v>7500110</v>
      </c>
      <c r="B381" s="541" t="s">
        <v>2171</v>
      </c>
      <c r="C381" s="463" t="s">
        <v>1244</v>
      </c>
      <c r="D381" s="426">
        <v>997107.72</v>
      </c>
      <c r="E381" s="426">
        <v>997107.72</v>
      </c>
      <c r="F381" s="426">
        <v>997107.72</v>
      </c>
      <c r="G381" s="426">
        <v>997107.72</v>
      </c>
      <c r="H381" s="426">
        <v>1015232.72</v>
      </c>
      <c r="I381" s="426">
        <v>1033357.72</v>
      </c>
      <c r="J381" s="426">
        <v>1033357.72</v>
      </c>
      <c r="K381" s="426">
        <v>1033357.72</v>
      </c>
      <c r="L381" s="426">
        <v>1033357.72</v>
      </c>
      <c r="M381" s="426">
        <v>1033357.72</v>
      </c>
      <c r="N381" s="426">
        <v>1033357.72</v>
      </c>
      <c r="O381" s="427">
        <v>1033357.72</v>
      </c>
      <c r="P381" s="52">
        <v>1033357.72</v>
      </c>
      <c r="Q381" s="52">
        <v>1033357.73</v>
      </c>
      <c r="R381" s="52">
        <v>1033357.73</v>
      </c>
      <c r="S381" s="52">
        <v>1033357.73</v>
      </c>
      <c r="T381" s="52">
        <v>1033357.73</v>
      </c>
      <c r="U381" s="52">
        <v>1136024.3999999999</v>
      </c>
      <c r="V381" s="52">
        <v>1103357.73</v>
      </c>
      <c r="W381" s="52">
        <v>1103357.73</v>
      </c>
      <c r="X381" s="52">
        <v>1103357.73</v>
      </c>
      <c r="Y381" s="52">
        <v>1103357.73</v>
      </c>
      <c r="Z381" s="52">
        <v>1103357.73</v>
      </c>
      <c r="AA381" s="52">
        <v>1103357.73</v>
      </c>
      <c r="AB381" s="52">
        <v>1103357.73</v>
      </c>
      <c r="AC381" s="52">
        <v>1103357.73</v>
      </c>
      <c r="AD381" s="52">
        <v>1103357.73</v>
      </c>
      <c r="AE381" s="52">
        <v>1103357.73</v>
      </c>
      <c r="AF381" s="52">
        <v>1103357.73</v>
      </c>
      <c r="AG381" s="52">
        <v>1103357.73</v>
      </c>
      <c r="AH381" s="52">
        <v>1103357.73</v>
      </c>
      <c r="AI381" s="52">
        <v>1093107.73</v>
      </c>
      <c r="AJ381" s="52">
        <v>1103357.73</v>
      </c>
      <c r="AK381" s="52">
        <v>1103357.73</v>
      </c>
      <c r="AL381" s="52">
        <v>1103357.73</v>
      </c>
      <c r="AM381" s="52">
        <v>1103357.73</v>
      </c>
      <c r="AN381" s="52">
        <v>1103357.73</v>
      </c>
      <c r="AO381" s="52">
        <v>1103357.73</v>
      </c>
      <c r="AP381" s="52">
        <v>1103357.73</v>
      </c>
      <c r="AQ381" s="52">
        <v>1103357.73</v>
      </c>
      <c r="AR381" s="52">
        <v>1103357.73</v>
      </c>
      <c r="AS381" s="52">
        <v>1103357.73</v>
      </c>
      <c r="AT381" s="52">
        <v>1103357.73</v>
      </c>
      <c r="AU381" s="52">
        <v>1103357.73</v>
      </c>
      <c r="AV381" s="52">
        <v>1103357.73</v>
      </c>
      <c r="AW381" s="52">
        <v>1103357.73</v>
      </c>
      <c r="AX381" s="52">
        <v>1103357.73</v>
      </c>
      <c r="AY381" s="52">
        <v>1103357.73</v>
      </c>
      <c r="AZ381" s="52">
        <v>1103357.73</v>
      </c>
      <c r="BA381" s="52">
        <v>1103357.73</v>
      </c>
      <c r="BB381" s="52">
        <v>1103357.73</v>
      </c>
      <c r="BC381" s="52">
        <v>1103357.73</v>
      </c>
      <c r="BD381" s="52">
        <v>976274</v>
      </c>
      <c r="BE381" s="52">
        <v>1055232.6499999999</v>
      </c>
      <c r="BF381" s="52">
        <v>1117941.06</v>
      </c>
      <c r="BG381" s="52">
        <v>1117941.06</v>
      </c>
      <c r="BH381" s="52">
        <v>1117941.06</v>
      </c>
      <c r="BI381" s="52">
        <v>1198288.32</v>
      </c>
      <c r="BJ381" s="52">
        <v>1210649.3899999999</v>
      </c>
      <c r="BK381" s="52">
        <v>1210649.3899999999</v>
      </c>
      <c r="BL381" s="52">
        <v>1210649.3899999999</v>
      </c>
      <c r="BM381" s="52">
        <v>1210649.3899999999</v>
      </c>
      <c r="BN381" s="52">
        <v>1210649.3899999999</v>
      </c>
      <c r="BO381" s="52">
        <v>1210649.3899999999</v>
      </c>
      <c r="BP381" s="52">
        <v>1210649.3899999999</v>
      </c>
      <c r="BQ381" s="52">
        <v>1210649.3899999999</v>
      </c>
      <c r="BR381" s="52">
        <v>1230788.28</v>
      </c>
      <c r="BS381" s="52">
        <v>1286170.22</v>
      </c>
      <c r="BT381" s="52">
        <v>1286170.22</v>
      </c>
      <c r="BU381" s="52">
        <v>1286170.22</v>
      </c>
      <c r="BV381" s="52">
        <v>1286170.22</v>
      </c>
      <c r="BW381" s="52">
        <v>1286170.22</v>
      </c>
      <c r="BX381" s="52">
        <v>1286170.22</v>
      </c>
      <c r="BY381" s="52">
        <v>1286170.22</v>
      </c>
      <c r="BZ381" s="52">
        <v>1281135.51</v>
      </c>
      <c r="CA381" s="52">
        <v>1286170.22</v>
      </c>
      <c r="CB381" s="52">
        <v>1286170.22</v>
      </c>
      <c r="CC381" s="52">
        <v>1286170.22</v>
      </c>
      <c r="CD381" s="52">
        <v>1286170.22</v>
      </c>
      <c r="CE381" s="52">
        <v>1286170.22</v>
      </c>
      <c r="CF381" s="52">
        <v>1286170.22</v>
      </c>
      <c r="CG381" s="52">
        <v>1286170.22</v>
      </c>
      <c r="CH381" s="52">
        <v>1286170.22</v>
      </c>
      <c r="CI381" s="52">
        <v>1286170.22</v>
      </c>
      <c r="CJ381" s="52">
        <v>1286170.22</v>
      </c>
      <c r="CK381" s="52">
        <v>1286170.22</v>
      </c>
      <c r="CL381" s="52">
        <v>1603857.72</v>
      </c>
      <c r="CM381" s="52">
        <v>1846795.22</v>
      </c>
      <c r="CN381" s="52">
        <v>1636354.16</v>
      </c>
      <c r="CO381" s="52">
        <v>1741574.69</v>
      </c>
      <c r="CP381" s="52">
        <v>1636354.16</v>
      </c>
      <c r="CQ381" s="52">
        <v>1636354.16</v>
      </c>
      <c r="CR381" s="52">
        <v>1542916.66</v>
      </c>
      <c r="CS381" s="52">
        <v>1636354.16</v>
      </c>
      <c r="CT381" s="52">
        <v>1636354.16</v>
      </c>
      <c r="CU381" s="52">
        <v>1636354.16</v>
      </c>
      <c r="CV381" s="430">
        <f t="shared" si="10"/>
        <v>19125609.690000001</v>
      </c>
    </row>
    <row r="382" spans="1:100">
      <c r="A382" s="540" t="str">
        <f t="shared" si="11"/>
        <v>7500120</v>
      </c>
      <c r="B382" s="541" t="s">
        <v>1372</v>
      </c>
      <c r="C382" s="463" t="s">
        <v>1245</v>
      </c>
      <c r="D382" s="428">
        <v>1582.5</v>
      </c>
      <c r="E382" s="428">
        <v>1582.5</v>
      </c>
      <c r="F382" s="428">
        <v>1582.5</v>
      </c>
      <c r="G382" s="428">
        <v>1582.5</v>
      </c>
      <c r="H382" s="428">
        <v>1582.5</v>
      </c>
      <c r="I382" s="428">
        <v>1610.42</v>
      </c>
      <c r="J382" s="428">
        <v>1601.11</v>
      </c>
      <c r="K382" s="428">
        <v>1601.11</v>
      </c>
      <c r="L382" s="428">
        <v>1601.11</v>
      </c>
      <c r="M382" s="428">
        <v>1601.11</v>
      </c>
      <c r="N382" s="428">
        <v>1601.11</v>
      </c>
      <c r="O382" s="429">
        <v>1601.11</v>
      </c>
      <c r="P382" s="52">
        <v>1601.11</v>
      </c>
      <c r="Q382" s="52">
        <v>1601.11</v>
      </c>
      <c r="R382" s="52">
        <v>1601.11</v>
      </c>
      <c r="S382" s="52">
        <v>1601.11</v>
      </c>
      <c r="T382" s="52">
        <v>1601.11</v>
      </c>
      <c r="U382" s="52">
        <v>1705.64</v>
      </c>
      <c r="V382" s="52">
        <v>1704.44</v>
      </c>
      <c r="W382" s="52">
        <v>1704.44</v>
      </c>
      <c r="X382" s="52">
        <v>1704.44</v>
      </c>
      <c r="Y382" s="52">
        <v>1704.44</v>
      </c>
      <c r="Z382" s="52">
        <v>1704.44</v>
      </c>
      <c r="AA382" s="52">
        <v>1704.44</v>
      </c>
      <c r="AB382" s="52">
        <v>1704.44</v>
      </c>
      <c r="AC382" s="52">
        <v>1704.44</v>
      </c>
      <c r="AD382" s="52">
        <v>1704.44</v>
      </c>
      <c r="AE382" s="52">
        <v>1704.44</v>
      </c>
      <c r="AF382" s="52">
        <v>1704.44</v>
      </c>
      <c r="AG382" s="52">
        <v>1704.44</v>
      </c>
      <c r="AH382" s="52">
        <v>1704.44</v>
      </c>
      <c r="AI382" s="52">
        <v>1704.44</v>
      </c>
      <c r="AJ382" s="52">
        <v>1704.44</v>
      </c>
      <c r="AK382" s="52">
        <v>1704.44</v>
      </c>
      <c r="AL382" s="52">
        <v>1704.44</v>
      </c>
      <c r="AM382" s="52">
        <v>1704.44</v>
      </c>
      <c r="AN382" s="52">
        <v>1704.44</v>
      </c>
      <c r="AO382" s="52">
        <v>1704.44</v>
      </c>
      <c r="AP382" s="52">
        <v>1704.44</v>
      </c>
      <c r="AQ382" s="52">
        <v>1704.44</v>
      </c>
      <c r="AR382" s="52">
        <v>1704.44</v>
      </c>
      <c r="AS382" s="52">
        <v>1704.44</v>
      </c>
      <c r="AT382" s="52">
        <v>1704.44</v>
      </c>
      <c r="AU382" s="52">
        <v>1704.44</v>
      </c>
      <c r="AV382" s="52">
        <v>1704.44</v>
      </c>
      <c r="AW382" s="52">
        <v>1704.44</v>
      </c>
      <c r="AX382" s="52">
        <v>1704.44</v>
      </c>
      <c r="AY382" s="52">
        <v>1704.44</v>
      </c>
      <c r="AZ382" s="52">
        <v>1704.44</v>
      </c>
      <c r="BA382" s="52">
        <v>1704.44</v>
      </c>
      <c r="BB382" s="52">
        <v>1704.44</v>
      </c>
      <c r="BC382" s="52">
        <v>1704.44</v>
      </c>
      <c r="BD382" s="52">
        <v>1704.44</v>
      </c>
      <c r="BE382" s="52">
        <v>2819.91</v>
      </c>
      <c r="BF382" s="52">
        <v>2821.11</v>
      </c>
      <c r="BG382" s="52">
        <v>2821.11</v>
      </c>
      <c r="BH382" s="52">
        <v>2821.11</v>
      </c>
      <c r="BI382" s="52">
        <v>3167.06</v>
      </c>
      <c r="BJ382" s="52">
        <v>3168.26</v>
      </c>
      <c r="BK382" s="52">
        <v>3168.26</v>
      </c>
      <c r="BL382" s="52">
        <v>3168.26</v>
      </c>
      <c r="BM382" s="52">
        <v>3168.26</v>
      </c>
      <c r="BN382" s="52">
        <v>3168.26</v>
      </c>
      <c r="BO382" s="52">
        <v>3168.26</v>
      </c>
      <c r="BP382" s="52">
        <v>3168.26</v>
      </c>
      <c r="BQ382" s="52">
        <v>3168.26</v>
      </c>
      <c r="BR382" s="52">
        <v>3168.26</v>
      </c>
      <c r="BS382" s="52">
        <v>3992.76</v>
      </c>
      <c r="BT382" s="52">
        <v>3994.41</v>
      </c>
      <c r="BU382" s="52">
        <v>3994.41</v>
      </c>
      <c r="BV382" s="52">
        <v>3994.41</v>
      </c>
      <c r="BW382" s="52">
        <v>3994.41</v>
      </c>
      <c r="BX382" s="52">
        <v>3994.41</v>
      </c>
      <c r="BY382" s="52">
        <v>3994.41</v>
      </c>
      <c r="BZ382" s="52">
        <v>3994.41</v>
      </c>
      <c r="CA382" s="52">
        <v>3994.41</v>
      </c>
      <c r="CB382" s="52">
        <v>3994.41</v>
      </c>
      <c r="CC382" s="52">
        <v>3994.41</v>
      </c>
      <c r="CD382" s="52">
        <v>3994.41</v>
      </c>
      <c r="CE382" s="52">
        <v>3994.41</v>
      </c>
      <c r="CF382" s="52">
        <v>3994.41</v>
      </c>
      <c r="CG382" s="52">
        <v>3994.41</v>
      </c>
      <c r="CH382" s="52">
        <v>3994.41</v>
      </c>
      <c r="CI382" s="52">
        <v>3994.41</v>
      </c>
      <c r="CJ382" s="52">
        <v>3994.41</v>
      </c>
      <c r="CK382" s="52">
        <v>3994.41</v>
      </c>
      <c r="CL382" s="52">
        <v>7830.94</v>
      </c>
      <c r="CM382" s="52">
        <v>7652.44</v>
      </c>
      <c r="CN382" s="52">
        <v>7830.94</v>
      </c>
      <c r="CO382" s="52">
        <v>7830.94</v>
      </c>
      <c r="CP382" s="52">
        <v>7830.94</v>
      </c>
      <c r="CQ382" s="52">
        <v>7830.94</v>
      </c>
      <c r="CR382" s="52">
        <v>7830.94</v>
      </c>
      <c r="CS382" s="52">
        <v>7830.94</v>
      </c>
      <c r="CT382" s="52">
        <v>7830.94</v>
      </c>
      <c r="CU382" s="52">
        <v>7830.94</v>
      </c>
      <c r="CV382" s="430">
        <f t="shared" si="10"/>
        <v>86119.72</v>
      </c>
    </row>
    <row r="383" spans="1:100">
      <c r="A383" s="540" t="str">
        <f t="shared" si="11"/>
        <v>7500130</v>
      </c>
      <c r="B383" s="541" t="s">
        <v>1373</v>
      </c>
      <c r="C383" s="463" t="s">
        <v>1246</v>
      </c>
      <c r="D383" s="426">
        <v>43660.99</v>
      </c>
      <c r="E383" s="426">
        <v>43660.99</v>
      </c>
      <c r="F383" s="426">
        <v>43660.99</v>
      </c>
      <c r="G383" s="426">
        <v>43660.99</v>
      </c>
      <c r="H383" s="426">
        <v>43675.37</v>
      </c>
      <c r="I383" s="426">
        <v>44086.239999999998</v>
      </c>
      <c r="J383" s="426">
        <v>43971.83</v>
      </c>
      <c r="K383" s="426">
        <v>43963.13</v>
      </c>
      <c r="L383" s="426">
        <v>44167.34</v>
      </c>
      <c r="M383" s="426">
        <v>43995.54</v>
      </c>
      <c r="N383" s="426">
        <v>43993.45</v>
      </c>
      <c r="O383" s="427">
        <v>43993.45</v>
      </c>
      <c r="P383" s="52">
        <v>43993.45</v>
      </c>
      <c r="Q383" s="52">
        <v>43993.45</v>
      </c>
      <c r="R383" s="52">
        <v>43993.45</v>
      </c>
      <c r="S383" s="52">
        <v>43993.45</v>
      </c>
      <c r="T383" s="52">
        <v>76660.12</v>
      </c>
      <c r="U383" s="52">
        <v>10942.84</v>
      </c>
      <c r="V383" s="52">
        <v>43616.11</v>
      </c>
      <c r="W383" s="52">
        <v>43612.81</v>
      </c>
      <c r="X383" s="52">
        <v>43723.93</v>
      </c>
      <c r="Y383" s="52">
        <v>43640.59</v>
      </c>
      <c r="Z383" s="52">
        <v>43639.88</v>
      </c>
      <c r="AA383" s="52">
        <v>43658.71</v>
      </c>
      <c r="AB383" s="52">
        <v>43640.59</v>
      </c>
      <c r="AC383" s="52">
        <v>43640.59</v>
      </c>
      <c r="AD383" s="52">
        <v>43640.59</v>
      </c>
      <c r="AE383" s="52">
        <v>43640.59</v>
      </c>
      <c r="AF383" s="52">
        <v>43640.59</v>
      </c>
      <c r="AG383" s="52">
        <v>43640.59</v>
      </c>
      <c r="AH383" s="52">
        <v>43640.59</v>
      </c>
      <c r="AI383" s="52">
        <v>43640.59</v>
      </c>
      <c r="AJ383" s="52">
        <v>43640.59</v>
      </c>
      <c r="AK383" s="52">
        <v>43640.59</v>
      </c>
      <c r="AL383" s="52">
        <v>43640.59</v>
      </c>
      <c r="AM383" s="52">
        <v>43640.59</v>
      </c>
      <c r="AN383" s="52">
        <v>43640.59</v>
      </c>
      <c r="AO383" s="52">
        <v>43640.59</v>
      </c>
      <c r="AP383" s="52">
        <v>43640.59</v>
      </c>
      <c r="AQ383" s="52">
        <v>43640.59</v>
      </c>
      <c r="AR383" s="52">
        <v>43640.59</v>
      </c>
      <c r="AS383" s="52">
        <v>43640.59</v>
      </c>
      <c r="AT383" s="52">
        <v>43640.59</v>
      </c>
      <c r="AU383" s="52">
        <v>43640.59</v>
      </c>
      <c r="AV383" s="52">
        <v>43640.59</v>
      </c>
      <c r="AW383" s="52">
        <v>43640.59</v>
      </c>
      <c r="AX383" s="52">
        <v>43640.59</v>
      </c>
      <c r="AY383" s="52">
        <v>43640.59</v>
      </c>
      <c r="AZ383" s="52">
        <v>43640.59</v>
      </c>
      <c r="BA383" s="52">
        <v>43640.59</v>
      </c>
      <c r="BB383" s="52">
        <v>43640.59</v>
      </c>
      <c r="BC383" s="52">
        <v>43640.59</v>
      </c>
      <c r="BD383" s="52">
        <v>25664.55</v>
      </c>
      <c r="BE383" s="52">
        <v>9797.19</v>
      </c>
      <c r="BF383" s="52">
        <v>9883.1299999999992</v>
      </c>
      <c r="BG383" s="52">
        <v>9885.27</v>
      </c>
      <c r="BH383" s="52">
        <v>10320.620000000001</v>
      </c>
      <c r="BI383" s="52">
        <v>10636.85</v>
      </c>
      <c r="BJ383" s="52">
        <v>10660.83</v>
      </c>
      <c r="BK383" s="52">
        <v>10682.06</v>
      </c>
      <c r="BL383" s="52">
        <v>10654.62</v>
      </c>
      <c r="BM383" s="52">
        <v>10654.62</v>
      </c>
      <c r="BN383" s="52">
        <v>10884.14</v>
      </c>
      <c r="BO383" s="52">
        <v>10692.66</v>
      </c>
      <c r="BP383" s="52">
        <v>10692.66</v>
      </c>
      <c r="BQ383" s="52">
        <v>10692.66</v>
      </c>
      <c r="BR383" s="52">
        <v>10692.66</v>
      </c>
      <c r="BS383" s="52">
        <v>11405.86</v>
      </c>
      <c r="BT383" s="52">
        <v>11465.91</v>
      </c>
      <c r="BU383" s="52">
        <v>11435.41</v>
      </c>
      <c r="BV383" s="52">
        <v>11435.41</v>
      </c>
      <c r="BW383" s="52">
        <v>11633.81</v>
      </c>
      <c r="BX383" s="52">
        <v>11475.51</v>
      </c>
      <c r="BY383" s="52">
        <v>11475.51</v>
      </c>
      <c r="BZ383" s="52">
        <v>11486.87</v>
      </c>
      <c r="CA383" s="52">
        <v>11476.79</v>
      </c>
      <c r="CB383" s="52">
        <v>11476.79</v>
      </c>
      <c r="CC383" s="52">
        <v>11476.79</v>
      </c>
      <c r="CD383" s="52">
        <v>11476.79</v>
      </c>
      <c r="CE383" s="52">
        <v>11476.79</v>
      </c>
      <c r="CF383" s="52">
        <v>11476.79</v>
      </c>
      <c r="CG383" s="52">
        <v>11476.79</v>
      </c>
      <c r="CH383" s="52">
        <v>11476.79</v>
      </c>
      <c r="CI383" s="52">
        <v>11476.79</v>
      </c>
      <c r="CJ383" s="52">
        <v>11476.79</v>
      </c>
      <c r="CK383" s="52">
        <v>11476.79</v>
      </c>
      <c r="CL383" s="52">
        <v>21131.59</v>
      </c>
      <c r="CM383" s="52">
        <v>22693.21</v>
      </c>
      <c r="CN383" s="52">
        <v>24477.97</v>
      </c>
      <c r="CO383" s="52">
        <v>26535.63</v>
      </c>
      <c r="CP383" s="52">
        <v>23717.69</v>
      </c>
      <c r="CQ383" s="52">
        <v>23717.69</v>
      </c>
      <c r="CR383" s="52">
        <v>23717.69</v>
      </c>
      <c r="CS383" s="52">
        <v>23717.69</v>
      </c>
      <c r="CT383" s="52">
        <v>25183.59</v>
      </c>
      <c r="CU383" s="52">
        <v>23717.69</v>
      </c>
      <c r="CV383" s="430">
        <f t="shared" si="10"/>
        <v>261564.02000000002</v>
      </c>
    </row>
    <row r="384" spans="1:100">
      <c r="A384" s="540" t="str">
        <f t="shared" si="11"/>
        <v>7500240</v>
      </c>
      <c r="B384" s="541" t="s">
        <v>2172</v>
      </c>
      <c r="C384" s="463" t="s">
        <v>1247</v>
      </c>
      <c r="D384" s="428">
        <v>0</v>
      </c>
      <c r="E384" s="428">
        <v>0</v>
      </c>
      <c r="F384" s="428">
        <v>0</v>
      </c>
      <c r="G384" s="428">
        <v>26</v>
      </c>
      <c r="H384" s="428">
        <v>34</v>
      </c>
      <c r="I384" s="428">
        <v>33</v>
      </c>
      <c r="J384" s="428">
        <v>29</v>
      </c>
      <c r="K384" s="428">
        <v>12</v>
      </c>
      <c r="L384" s="428">
        <v>0</v>
      </c>
      <c r="M384" s="428">
        <v>0</v>
      </c>
      <c r="N384" s="428">
        <v>0</v>
      </c>
      <c r="O384" s="429">
        <v>2</v>
      </c>
      <c r="P384" s="52">
        <v>39</v>
      </c>
      <c r="Q384" s="52">
        <v>85</v>
      </c>
      <c r="R384" s="52">
        <v>141</v>
      </c>
      <c r="S384" s="52">
        <v>135</v>
      </c>
      <c r="T384" s="52">
        <v>169</v>
      </c>
      <c r="U384" s="52">
        <v>192</v>
      </c>
      <c r="V384" s="52">
        <v>191</v>
      </c>
      <c r="W384" s="52">
        <v>203</v>
      </c>
      <c r="X384" s="52">
        <v>208</v>
      </c>
      <c r="Y384" s="52">
        <v>181</v>
      </c>
      <c r="Z384" s="52">
        <v>186</v>
      </c>
      <c r="AA384" s="52">
        <v>449</v>
      </c>
      <c r="AB384" s="52">
        <v>731</v>
      </c>
      <c r="AC384" s="52">
        <v>850</v>
      </c>
      <c r="AD384" s="52">
        <v>998</v>
      </c>
      <c r="AE384" s="52">
        <v>952</v>
      </c>
      <c r="AF384" s="52">
        <v>887</v>
      </c>
      <c r="AG384" s="52">
        <v>825</v>
      </c>
      <c r="AH384" s="52">
        <v>710</v>
      </c>
      <c r="AI384" s="52">
        <v>537</v>
      </c>
      <c r="AJ384" s="52">
        <v>380</v>
      </c>
      <c r="AK384" s="52">
        <v>246</v>
      </c>
      <c r="AL384" s="52">
        <v>121</v>
      </c>
      <c r="AM384" s="52">
        <v>25</v>
      </c>
      <c r="AN384" s="52">
        <v>178</v>
      </c>
      <c r="AO384" s="52">
        <v>607</v>
      </c>
      <c r="AP384" s="52">
        <v>966</v>
      </c>
      <c r="AQ384" s="52">
        <v>1317</v>
      </c>
      <c r="AR384" s="52">
        <v>1260</v>
      </c>
      <c r="AS384" s="52">
        <v>977</v>
      </c>
      <c r="AT384" s="52">
        <v>470</v>
      </c>
      <c r="AU384" s="52">
        <v>0</v>
      </c>
      <c r="AV384" s="52">
        <v>0</v>
      </c>
      <c r="AW384" s="52">
        <v>0</v>
      </c>
      <c r="AX384" s="52">
        <v>0</v>
      </c>
      <c r="AY384" s="52">
        <v>0</v>
      </c>
      <c r="AZ384" s="52">
        <v>0</v>
      </c>
      <c r="BA384" s="52">
        <v>0</v>
      </c>
      <c r="BB384" s="52">
        <v>0</v>
      </c>
      <c r="BC384" s="52">
        <v>0</v>
      </c>
      <c r="BD384" s="52">
        <v>0</v>
      </c>
      <c r="BE384" s="52">
        <v>0</v>
      </c>
      <c r="BF384" s="52">
        <v>0</v>
      </c>
      <c r="BG384" s="52">
        <v>0</v>
      </c>
      <c r="BH384" s="52">
        <v>0</v>
      </c>
      <c r="BI384" s="52">
        <v>0</v>
      </c>
      <c r="BJ384" s="52">
        <v>0</v>
      </c>
      <c r="BK384" s="52">
        <v>0</v>
      </c>
      <c r="BL384" s="52">
        <v>0</v>
      </c>
      <c r="BM384" s="52">
        <v>0</v>
      </c>
      <c r="BN384" s="52">
        <v>0</v>
      </c>
      <c r="BO384" s="52">
        <v>0</v>
      </c>
      <c r="BP384" s="52">
        <v>0</v>
      </c>
      <c r="BQ384" s="52">
        <v>0</v>
      </c>
      <c r="BR384" s="52">
        <v>0</v>
      </c>
      <c r="BS384" s="52">
        <v>0</v>
      </c>
      <c r="BT384" s="52">
        <v>0</v>
      </c>
      <c r="BU384" s="52">
        <v>0</v>
      </c>
      <c r="BV384" s="52">
        <v>0</v>
      </c>
      <c r="BW384" s="52">
        <v>0</v>
      </c>
      <c r="BX384" s="52">
        <v>0</v>
      </c>
      <c r="BY384" s="52">
        <v>0</v>
      </c>
      <c r="BZ384" s="52">
        <v>0</v>
      </c>
      <c r="CA384" s="52">
        <v>0</v>
      </c>
      <c r="CB384" s="52">
        <v>0</v>
      </c>
      <c r="CC384" s="52">
        <v>0</v>
      </c>
      <c r="CD384" s="52">
        <v>0</v>
      </c>
      <c r="CE384" s="52">
        <v>0</v>
      </c>
      <c r="CF384" s="52">
        <v>0</v>
      </c>
      <c r="CG384" s="52">
        <v>0</v>
      </c>
      <c r="CH384" s="52">
        <v>0</v>
      </c>
      <c r="CI384" s="52">
        <v>0</v>
      </c>
      <c r="CJ384" s="52">
        <v>0</v>
      </c>
      <c r="CK384" s="52">
        <v>0</v>
      </c>
      <c r="CL384" s="52">
        <v>0</v>
      </c>
      <c r="CM384" s="52">
        <v>0</v>
      </c>
      <c r="CN384" s="52">
        <v>0</v>
      </c>
      <c r="CO384" s="52">
        <v>0</v>
      </c>
      <c r="CP384" s="52">
        <v>0</v>
      </c>
      <c r="CQ384" s="52">
        <v>0</v>
      </c>
      <c r="CR384" s="52">
        <v>0</v>
      </c>
      <c r="CS384" s="52">
        <v>0</v>
      </c>
      <c r="CT384" s="52">
        <v>0</v>
      </c>
      <c r="CU384" s="52">
        <v>0</v>
      </c>
      <c r="CV384" s="430">
        <f t="shared" si="10"/>
        <v>0</v>
      </c>
    </row>
    <row r="385" spans="1:100">
      <c r="A385" s="540" t="str">
        <f t="shared" si="11"/>
        <v>7500260</v>
      </c>
      <c r="B385" s="541" t="s">
        <v>2173</v>
      </c>
      <c r="C385" s="463" t="s">
        <v>1248</v>
      </c>
      <c r="D385" s="426">
        <v>0</v>
      </c>
      <c r="E385" s="426">
        <v>0</v>
      </c>
      <c r="F385" s="426">
        <v>0</v>
      </c>
      <c r="G385" s="426">
        <v>145</v>
      </c>
      <c r="H385" s="426">
        <v>142</v>
      </c>
      <c r="I385" s="426">
        <v>117</v>
      </c>
      <c r="J385" s="426">
        <v>206</v>
      </c>
      <c r="K385" s="426">
        <v>249</v>
      </c>
      <c r="L385" s="426">
        <v>246</v>
      </c>
      <c r="M385" s="426">
        <v>185</v>
      </c>
      <c r="N385" s="426">
        <v>-26</v>
      </c>
      <c r="O385" s="427">
        <v>-153</v>
      </c>
      <c r="P385" s="52">
        <v>0</v>
      </c>
      <c r="Q385" s="52">
        <v>0</v>
      </c>
      <c r="R385" s="52">
        <v>0</v>
      </c>
      <c r="S385" s="52">
        <v>39</v>
      </c>
      <c r="T385" s="52">
        <v>0</v>
      </c>
      <c r="U385" s="52">
        <v>7</v>
      </c>
      <c r="V385" s="52">
        <v>53</v>
      </c>
      <c r="W385" s="52">
        <v>32</v>
      </c>
      <c r="X385" s="52">
        <v>38</v>
      </c>
      <c r="Y385" s="52">
        <v>0</v>
      </c>
      <c r="Z385" s="52">
        <v>0</v>
      </c>
      <c r="AA385" s="52">
        <v>0</v>
      </c>
      <c r="AB385" s="52">
        <v>0</v>
      </c>
      <c r="AC385" s="52">
        <v>0</v>
      </c>
      <c r="AD385" s="52">
        <v>682</v>
      </c>
      <c r="AE385" s="52">
        <v>987</v>
      </c>
      <c r="AF385" s="52">
        <v>1333</v>
      </c>
      <c r="AG385" s="52">
        <v>1981</v>
      </c>
      <c r="AH385" s="52">
        <v>2510</v>
      </c>
      <c r="AI385" s="52">
        <v>2952</v>
      </c>
      <c r="AJ385" s="52">
        <v>3171</v>
      </c>
      <c r="AK385" s="52">
        <v>2765</v>
      </c>
      <c r="AL385" s="52">
        <v>1640</v>
      </c>
      <c r="AM385" s="52">
        <v>1208</v>
      </c>
      <c r="AN385" s="52">
        <v>1465</v>
      </c>
      <c r="AO385" s="52">
        <v>2428</v>
      </c>
      <c r="AP385" s="52">
        <v>2665</v>
      </c>
      <c r="AQ385" s="52">
        <v>2079</v>
      </c>
      <c r="AR385" s="52">
        <v>2454</v>
      </c>
      <c r="AS385" s="52">
        <v>2364</v>
      </c>
      <c r="AT385" s="52">
        <v>1592</v>
      </c>
      <c r="AU385" s="52">
        <v>489</v>
      </c>
      <c r="AV385" s="52">
        <v>396</v>
      </c>
      <c r="AW385" s="52">
        <v>0</v>
      </c>
      <c r="AX385" s="52">
        <v>0</v>
      </c>
      <c r="AY385" s="52">
        <v>0</v>
      </c>
      <c r="AZ385" s="52">
        <v>0</v>
      </c>
      <c r="BA385" s="52">
        <v>7008</v>
      </c>
      <c r="BB385" s="52">
        <v>10442</v>
      </c>
      <c r="BC385" s="52">
        <v>11887</v>
      </c>
      <c r="BD385" s="52">
        <v>14614</v>
      </c>
      <c r="BE385" s="52">
        <v>15470</v>
      </c>
      <c r="BF385" s="52">
        <v>16526</v>
      </c>
      <c r="BG385" s="52">
        <v>16307</v>
      </c>
      <c r="BH385" s="52">
        <v>17347</v>
      </c>
      <c r="BI385" s="52">
        <v>16180</v>
      </c>
      <c r="BJ385" s="52">
        <v>7595</v>
      </c>
      <c r="BK385" s="52">
        <v>0</v>
      </c>
      <c r="BL385" s="52">
        <v>0</v>
      </c>
      <c r="BM385" s="52">
        <v>2141</v>
      </c>
      <c r="BN385" s="52">
        <v>6687</v>
      </c>
      <c r="BO385" s="52">
        <v>10771</v>
      </c>
      <c r="BP385" s="52">
        <v>15937</v>
      </c>
      <c r="BQ385" s="52">
        <v>19071</v>
      </c>
      <c r="BR385" s="52">
        <v>19102</v>
      </c>
      <c r="BS385" s="52">
        <v>16727</v>
      </c>
      <c r="BT385" s="52">
        <v>15362</v>
      </c>
      <c r="BU385" s="52">
        <v>12311</v>
      </c>
      <c r="BV385" s="52">
        <v>7698</v>
      </c>
      <c r="BW385" s="52">
        <v>6973</v>
      </c>
      <c r="BX385" s="52">
        <v>10190</v>
      </c>
      <c r="BY385" s="52">
        <v>14048</v>
      </c>
      <c r="BZ385" s="52">
        <v>19934</v>
      </c>
      <c r="CA385" s="52">
        <v>12890</v>
      </c>
      <c r="CB385" s="52">
        <v>798</v>
      </c>
      <c r="CC385" s="52">
        <v>1089</v>
      </c>
      <c r="CD385" s="52">
        <v>1320</v>
      </c>
      <c r="CE385" s="52">
        <v>1275</v>
      </c>
      <c r="CF385" s="52">
        <v>881</v>
      </c>
      <c r="CG385" s="52">
        <v>579</v>
      </c>
      <c r="CH385" s="52">
        <v>442</v>
      </c>
      <c r="CI385" s="52">
        <v>228</v>
      </c>
      <c r="CJ385" s="52">
        <v>339</v>
      </c>
      <c r="CK385" s="52">
        <v>372</v>
      </c>
      <c r="CL385" s="52">
        <v>194</v>
      </c>
      <c r="CM385" s="52">
        <v>269</v>
      </c>
      <c r="CN385" s="52">
        <v>261</v>
      </c>
      <c r="CO385" s="52">
        <v>276</v>
      </c>
      <c r="CP385" s="52">
        <v>310</v>
      </c>
      <c r="CQ385" s="52">
        <v>248</v>
      </c>
      <c r="CR385" s="52">
        <v>201</v>
      </c>
      <c r="CS385" s="52">
        <v>0</v>
      </c>
      <c r="CT385" s="52">
        <v>0</v>
      </c>
      <c r="CU385" s="52">
        <v>0</v>
      </c>
      <c r="CV385" s="430">
        <f t="shared" si="10"/>
        <v>2470</v>
      </c>
    </row>
    <row r="386" spans="1:100">
      <c r="A386" s="540" t="str">
        <f t="shared" si="11"/>
        <v>7500271</v>
      </c>
      <c r="B386" s="541" t="s">
        <v>2174</v>
      </c>
      <c r="C386" s="463" t="s">
        <v>1249</v>
      </c>
      <c r="D386" s="426">
        <v>6</v>
      </c>
      <c r="E386" s="426">
        <v>11</v>
      </c>
      <c r="F386" s="426">
        <v>16</v>
      </c>
      <c r="G386" s="426">
        <v>23</v>
      </c>
      <c r="H386" s="426">
        <v>20</v>
      </c>
      <c r="I386" s="426">
        <v>16</v>
      </c>
      <c r="J386" s="426">
        <v>19</v>
      </c>
      <c r="K386" s="426">
        <v>16</v>
      </c>
      <c r="L386" s="426">
        <v>13</v>
      </c>
      <c r="M386" s="426">
        <v>9</v>
      </c>
      <c r="N386" s="426">
        <v>6</v>
      </c>
      <c r="O386" s="427">
        <v>4</v>
      </c>
      <c r="P386" s="52">
        <v>11</v>
      </c>
      <c r="Q386" s="52">
        <v>26</v>
      </c>
      <c r="R386" s="52">
        <v>37</v>
      </c>
      <c r="S386" s="52">
        <v>32</v>
      </c>
      <c r="T386" s="52">
        <v>36</v>
      </c>
      <c r="U386" s="52">
        <v>37</v>
      </c>
      <c r="V386" s="52">
        <v>31</v>
      </c>
      <c r="W386" s="52">
        <v>27</v>
      </c>
      <c r="X386" s="52">
        <v>21</v>
      </c>
      <c r="Y386" s="52">
        <v>11</v>
      </c>
      <c r="Z386" s="52">
        <v>0</v>
      </c>
      <c r="AA386" s="52">
        <v>0</v>
      </c>
      <c r="AB386" s="52">
        <v>0</v>
      </c>
      <c r="AC386" s="52">
        <v>39</v>
      </c>
      <c r="AD386" s="52">
        <v>91</v>
      </c>
      <c r="AE386" s="52">
        <v>106</v>
      </c>
      <c r="AF386" s="52">
        <v>103</v>
      </c>
      <c r="AG386" s="52">
        <v>93</v>
      </c>
      <c r="AH386" s="52">
        <v>743</v>
      </c>
      <c r="AI386" s="52">
        <v>721</v>
      </c>
      <c r="AJ386" s="52">
        <v>716</v>
      </c>
      <c r="AK386" s="52">
        <v>710</v>
      </c>
      <c r="AL386" s="52">
        <v>653</v>
      </c>
      <c r="AM386" s="52">
        <v>1225</v>
      </c>
      <c r="AN386" s="52">
        <v>1024</v>
      </c>
      <c r="AO386" s="52">
        <v>959</v>
      </c>
      <c r="AP386" s="52">
        <v>1024</v>
      </c>
      <c r="AQ386" s="52">
        <v>1072</v>
      </c>
      <c r="AR386" s="52">
        <v>939</v>
      </c>
      <c r="AS386" s="52">
        <v>865</v>
      </c>
      <c r="AT386" s="52">
        <v>681</v>
      </c>
      <c r="AU386" s="52">
        <v>396</v>
      </c>
      <c r="AV386" s="52">
        <v>96</v>
      </c>
      <c r="AW386" s="52">
        <v>0</v>
      </c>
      <c r="AX386" s="52">
        <v>-1</v>
      </c>
      <c r="AY386" s="52">
        <v>-879</v>
      </c>
      <c r="AZ386" s="52">
        <v>0</v>
      </c>
      <c r="BA386" s="52">
        <v>0</v>
      </c>
      <c r="BB386" s="52">
        <v>228</v>
      </c>
      <c r="BC386" s="52">
        <v>590</v>
      </c>
      <c r="BD386" s="52">
        <v>1916</v>
      </c>
      <c r="BE386" s="52">
        <v>902</v>
      </c>
      <c r="BF386" s="52">
        <v>1239</v>
      </c>
      <c r="BG386" s="52">
        <v>1048</v>
      </c>
      <c r="BH386" s="52">
        <v>887</v>
      </c>
      <c r="BI386" s="52">
        <v>635</v>
      </c>
      <c r="BJ386" s="52">
        <v>285</v>
      </c>
      <c r="BK386" s="52">
        <v>297</v>
      </c>
      <c r="BL386" s="52">
        <v>454</v>
      </c>
      <c r="BM386" s="52">
        <v>-285</v>
      </c>
      <c r="BN386" s="52">
        <v>935</v>
      </c>
      <c r="BO386" s="52">
        <v>806</v>
      </c>
      <c r="BP386" s="52">
        <v>435</v>
      </c>
      <c r="BQ386" s="52">
        <v>1</v>
      </c>
      <c r="BR386" s="52">
        <v>0</v>
      </c>
      <c r="BS386" s="52">
        <v>0</v>
      </c>
      <c r="BT386" s="52">
        <v>0</v>
      </c>
      <c r="BU386" s="52">
        <v>155</v>
      </c>
      <c r="BV386" s="52">
        <v>0</v>
      </c>
      <c r="BW386" s="52">
        <v>-634</v>
      </c>
      <c r="BX386" s="52">
        <v>0</v>
      </c>
      <c r="BY386" s="52">
        <v>0</v>
      </c>
      <c r="BZ386" s="52">
        <v>0</v>
      </c>
      <c r="CA386" s="52">
        <v>0</v>
      </c>
      <c r="CB386" s="52">
        <v>0</v>
      </c>
      <c r="CC386" s="52">
        <v>0</v>
      </c>
      <c r="CD386" s="52">
        <v>0</v>
      </c>
      <c r="CE386" s="52">
        <v>0</v>
      </c>
      <c r="CF386" s="52">
        <v>0</v>
      </c>
      <c r="CG386" s="52">
        <v>0</v>
      </c>
      <c r="CH386" s="52">
        <v>0</v>
      </c>
      <c r="CI386" s="52">
        <v>0</v>
      </c>
      <c r="CJ386" s="52">
        <v>0</v>
      </c>
      <c r="CK386" s="52">
        <v>0</v>
      </c>
      <c r="CL386" s="52">
        <v>0</v>
      </c>
      <c r="CM386" s="52">
        <v>0</v>
      </c>
      <c r="CN386" s="52">
        <v>0</v>
      </c>
      <c r="CO386" s="52">
        <v>0</v>
      </c>
      <c r="CP386" s="52">
        <v>0</v>
      </c>
      <c r="CQ386" s="52">
        <v>0</v>
      </c>
      <c r="CR386" s="52">
        <v>0</v>
      </c>
      <c r="CS386" s="52">
        <v>0</v>
      </c>
      <c r="CT386" s="52">
        <v>0</v>
      </c>
      <c r="CU386" s="52">
        <v>0</v>
      </c>
      <c r="CV386" s="430">
        <f t="shared" si="10"/>
        <v>0</v>
      </c>
    </row>
    <row r="387" spans="1:100">
      <c r="A387" s="540" t="str">
        <f t="shared" si="11"/>
        <v>7500700</v>
      </c>
      <c r="B387" s="541" t="s">
        <v>1357</v>
      </c>
      <c r="C387" s="463" t="s">
        <v>1250</v>
      </c>
      <c r="D387" s="428">
        <v>8.7899999999999991</v>
      </c>
      <c r="E387" s="428">
        <v>0</v>
      </c>
      <c r="F387" s="428">
        <v>0</v>
      </c>
      <c r="G387" s="428">
        <v>0</v>
      </c>
      <c r="H387" s="428">
        <v>0</v>
      </c>
      <c r="I387" s="428">
        <v>0</v>
      </c>
      <c r="J387" s="428">
        <v>0</v>
      </c>
      <c r="K387" s="428">
        <v>21.92</v>
      </c>
      <c r="L387" s="428">
        <v>471.22</v>
      </c>
      <c r="M387" s="428">
        <v>359.57</v>
      </c>
      <c r="N387" s="428">
        <v>0</v>
      </c>
      <c r="O387" s="429">
        <v>255.48</v>
      </c>
      <c r="P387" s="52">
        <v>0</v>
      </c>
      <c r="Q387" s="52">
        <v>0</v>
      </c>
      <c r="R387" s="52">
        <v>0</v>
      </c>
      <c r="S387" s="52">
        <v>0</v>
      </c>
      <c r="T387" s="52">
        <v>0</v>
      </c>
      <c r="U387" s="52">
        <v>0</v>
      </c>
      <c r="V387" s="52">
        <v>0</v>
      </c>
      <c r="W387" s="52">
        <v>0</v>
      </c>
      <c r="X387" s="52">
        <v>0</v>
      </c>
      <c r="Y387" s="52">
        <v>0</v>
      </c>
      <c r="Z387" s="52">
        <v>0</v>
      </c>
      <c r="AA387" s="52">
        <v>0</v>
      </c>
      <c r="AB387" s="52">
        <v>0</v>
      </c>
      <c r="AC387" s="52">
        <v>0</v>
      </c>
      <c r="AD387" s="52">
        <v>0</v>
      </c>
      <c r="AE387" s="52">
        <v>0</v>
      </c>
      <c r="AF387" s="52">
        <v>0</v>
      </c>
      <c r="AG387" s="52">
        <v>0</v>
      </c>
      <c r="AH387" s="52">
        <v>0</v>
      </c>
      <c r="AI387" s="52">
        <v>0</v>
      </c>
      <c r="AJ387" s="52">
        <v>0</v>
      </c>
      <c r="AK387" s="52">
        <v>4.37</v>
      </c>
      <c r="AL387" s="52">
        <v>0</v>
      </c>
      <c r="AM387" s="52">
        <v>0</v>
      </c>
      <c r="AN387" s="52">
        <v>0</v>
      </c>
      <c r="AO387" s="52">
        <v>0</v>
      </c>
      <c r="AP387" s="52">
        <v>0</v>
      </c>
      <c r="AQ387" s="52">
        <v>0</v>
      </c>
      <c r="AR387" s="52">
        <v>0</v>
      </c>
      <c r="AS387" s="52">
        <v>0</v>
      </c>
      <c r="AT387" s="52">
        <v>0</v>
      </c>
      <c r="AU387" s="52">
        <v>0</v>
      </c>
      <c r="AV387" s="52">
        <v>0</v>
      </c>
      <c r="AW387" s="52">
        <v>0</v>
      </c>
      <c r="AX387" s="52">
        <v>11265.77</v>
      </c>
      <c r="AY387" s="52">
        <v>17164.080000000002</v>
      </c>
      <c r="AZ387" s="52">
        <v>0</v>
      </c>
      <c r="BA387" s="52">
        <v>0</v>
      </c>
      <c r="BB387" s="52">
        <v>0</v>
      </c>
      <c r="BC387" s="52">
        <v>0</v>
      </c>
      <c r="BD387" s="52">
        <v>0</v>
      </c>
      <c r="BE387" s="52">
        <v>0</v>
      </c>
      <c r="BF387" s="52">
        <v>0</v>
      </c>
      <c r="BG387" s="52">
        <v>0</v>
      </c>
      <c r="BH387" s="52">
        <v>0</v>
      </c>
      <c r="BI387" s="52">
        <v>10930.39</v>
      </c>
      <c r="BJ387" s="52">
        <v>9713.34</v>
      </c>
      <c r="BK387" s="52">
        <v>0</v>
      </c>
      <c r="BL387" s="52">
        <v>0</v>
      </c>
      <c r="BM387" s="52">
        <v>0</v>
      </c>
      <c r="BN387" s="52">
        <v>0</v>
      </c>
      <c r="BO387" s="52">
        <v>0</v>
      </c>
      <c r="BP387" s="52">
        <v>0</v>
      </c>
      <c r="BQ387" s="52">
        <v>0</v>
      </c>
      <c r="BR387" s="52">
        <v>0</v>
      </c>
      <c r="BS387" s="52">
        <v>0</v>
      </c>
      <c r="BT387" s="52">
        <v>0</v>
      </c>
      <c r="BU387" s="52">
        <v>0</v>
      </c>
      <c r="BV387" s="52">
        <v>0</v>
      </c>
      <c r="BW387" s="52">
        <v>0</v>
      </c>
      <c r="BX387" s="52">
        <v>0</v>
      </c>
      <c r="BY387" s="52">
        <v>0</v>
      </c>
      <c r="BZ387" s="52">
        <v>219.4</v>
      </c>
      <c r="CA387" s="52">
        <v>0</v>
      </c>
      <c r="CB387" s="52">
        <v>0</v>
      </c>
      <c r="CC387" s="52">
        <v>0</v>
      </c>
      <c r="CD387" s="52">
        <v>0</v>
      </c>
      <c r="CE387" s="52">
        <v>0</v>
      </c>
      <c r="CF387" s="52">
        <v>0</v>
      </c>
      <c r="CG387" s="52">
        <v>0</v>
      </c>
      <c r="CH387" s="52">
        <v>0</v>
      </c>
      <c r="CI387" s="52">
        <v>0</v>
      </c>
      <c r="CJ387" s="52">
        <v>0</v>
      </c>
      <c r="CK387" s="52">
        <v>0</v>
      </c>
      <c r="CL387" s="52">
        <v>278.17</v>
      </c>
      <c r="CM387" s="52">
        <v>993.1</v>
      </c>
      <c r="CN387" s="52">
        <v>0</v>
      </c>
      <c r="CO387" s="52">
        <v>0</v>
      </c>
      <c r="CP387" s="52">
        <v>0</v>
      </c>
      <c r="CQ387" s="52">
        <v>0</v>
      </c>
      <c r="CR387" s="52">
        <v>0</v>
      </c>
      <c r="CS387" s="52">
        <v>0</v>
      </c>
      <c r="CT387" s="52">
        <v>0</v>
      </c>
      <c r="CU387" s="52">
        <v>0</v>
      </c>
      <c r="CV387" s="430">
        <f t="shared" si="10"/>
        <v>1271.27</v>
      </c>
    </row>
    <row r="388" spans="1:100">
      <c r="A388" s="540" t="str">
        <f t="shared" si="11"/>
        <v>7500800</v>
      </c>
      <c r="B388" s="541" t="s">
        <v>2175</v>
      </c>
      <c r="C388" s="463" t="s">
        <v>1251</v>
      </c>
      <c r="D388" s="428">
        <v>0</v>
      </c>
      <c r="E388" s="428">
        <v>137.62</v>
      </c>
      <c r="F388" s="428">
        <v>0</v>
      </c>
      <c r="G388" s="428">
        <v>0</v>
      </c>
      <c r="H388" s="428">
        <v>285.36</v>
      </c>
      <c r="I388" s="428">
        <v>0</v>
      </c>
      <c r="J388" s="428">
        <v>0</v>
      </c>
      <c r="K388" s="428">
        <v>0</v>
      </c>
      <c r="L388" s="428">
        <v>0</v>
      </c>
      <c r="M388" s="428">
        <v>0</v>
      </c>
      <c r="N388" s="428">
        <v>0</v>
      </c>
      <c r="O388" s="429">
        <v>0</v>
      </c>
      <c r="P388" s="52">
        <v>461.02</v>
      </c>
      <c r="Q388" s="52">
        <v>87.8</v>
      </c>
      <c r="R388" s="52">
        <v>505.88</v>
      </c>
      <c r="S388" s="52">
        <v>0</v>
      </c>
      <c r="T388" s="52">
        <v>0</v>
      </c>
      <c r="U388" s="52">
        <v>0</v>
      </c>
      <c r="V388" s="52">
        <v>0</v>
      </c>
      <c r="W388" s="52">
        <v>0</v>
      </c>
      <c r="X388" s="52">
        <v>0</v>
      </c>
      <c r="Y388" s="52">
        <v>0</v>
      </c>
      <c r="Z388" s="52">
        <v>0</v>
      </c>
      <c r="AA388" s="52">
        <v>0</v>
      </c>
      <c r="AB388" s="52">
        <v>0</v>
      </c>
      <c r="AC388" s="52">
        <v>0</v>
      </c>
      <c r="AD388" s="52">
        <v>0</v>
      </c>
      <c r="AE388" s="52">
        <v>0</v>
      </c>
      <c r="AF388" s="52">
        <v>0</v>
      </c>
      <c r="AG388" s="52">
        <v>0</v>
      </c>
      <c r="AH388" s="52">
        <v>0</v>
      </c>
      <c r="AI388" s="52">
        <v>0</v>
      </c>
      <c r="AJ388" s="52">
        <v>0</v>
      </c>
      <c r="AK388" s="52">
        <v>0</v>
      </c>
      <c r="AL388" s="52">
        <v>0</v>
      </c>
      <c r="AM388" s="52">
        <v>0</v>
      </c>
      <c r="AN388" s="52">
        <v>0</v>
      </c>
      <c r="AO388" s="52">
        <v>0</v>
      </c>
      <c r="AP388" s="52">
        <v>0</v>
      </c>
      <c r="AQ388" s="52">
        <v>0</v>
      </c>
      <c r="AR388" s="52">
        <v>0</v>
      </c>
      <c r="AS388" s="52">
        <v>0</v>
      </c>
      <c r="AT388" s="52">
        <v>0</v>
      </c>
      <c r="AU388" s="52">
        <v>0</v>
      </c>
      <c r="AV388" s="52">
        <v>0</v>
      </c>
      <c r="AW388" s="52">
        <v>0</v>
      </c>
      <c r="AX388" s="52">
        <v>0</v>
      </c>
      <c r="AY388" s="52">
        <v>7988.7</v>
      </c>
      <c r="AZ388" s="52">
        <v>0</v>
      </c>
      <c r="BA388" s="52">
        <v>0</v>
      </c>
      <c r="BB388" s="52">
        <v>0</v>
      </c>
      <c r="BC388" s="52">
        <v>0</v>
      </c>
      <c r="BD388" s="52">
        <v>0</v>
      </c>
      <c r="BE388" s="52">
        <v>0</v>
      </c>
      <c r="BF388" s="52">
        <v>0</v>
      </c>
      <c r="BG388" s="52">
        <v>74.58</v>
      </c>
      <c r="BH388" s="52">
        <v>0</v>
      </c>
      <c r="BI388" s="52">
        <v>0</v>
      </c>
      <c r="BJ388" s="52">
        <v>0</v>
      </c>
      <c r="BK388" s="52">
        <v>0</v>
      </c>
      <c r="BL388" s="52">
        <v>0</v>
      </c>
      <c r="BM388" s="52">
        <v>0</v>
      </c>
      <c r="BN388" s="52">
        <v>0</v>
      </c>
      <c r="BO388" s="52">
        <v>0</v>
      </c>
      <c r="BP388" s="52">
        <v>0</v>
      </c>
      <c r="BQ388" s="52">
        <v>0</v>
      </c>
      <c r="BR388" s="52">
        <v>0</v>
      </c>
      <c r="BS388" s="52">
        <v>0</v>
      </c>
      <c r="BT388" s="52">
        <v>0</v>
      </c>
      <c r="BU388" s="52">
        <v>0</v>
      </c>
      <c r="BV388" s="52">
        <v>0</v>
      </c>
      <c r="BW388" s="52">
        <v>0</v>
      </c>
      <c r="BX388" s="52">
        <v>0</v>
      </c>
      <c r="BY388" s="52">
        <v>0</v>
      </c>
      <c r="BZ388" s="52">
        <v>0</v>
      </c>
      <c r="CA388" s="52">
        <v>0</v>
      </c>
      <c r="CB388" s="52">
        <v>0</v>
      </c>
      <c r="CC388" s="52">
        <v>0</v>
      </c>
      <c r="CD388" s="52">
        <v>0</v>
      </c>
      <c r="CE388" s="52">
        <v>0</v>
      </c>
      <c r="CF388" s="52">
        <v>0</v>
      </c>
      <c r="CG388" s="52">
        <v>0</v>
      </c>
      <c r="CH388" s="52">
        <v>0</v>
      </c>
      <c r="CI388" s="52">
        <v>0</v>
      </c>
      <c r="CJ388" s="52">
        <v>0</v>
      </c>
      <c r="CK388" s="52">
        <v>0</v>
      </c>
      <c r="CL388" s="52">
        <v>0</v>
      </c>
      <c r="CM388" s="52">
        <v>0</v>
      </c>
      <c r="CN388" s="52">
        <v>0</v>
      </c>
      <c r="CO388" s="52">
        <v>0</v>
      </c>
      <c r="CP388" s="52">
        <v>0</v>
      </c>
      <c r="CQ388" s="52">
        <v>0</v>
      </c>
      <c r="CR388" s="52">
        <v>0</v>
      </c>
      <c r="CS388" s="52">
        <v>0</v>
      </c>
      <c r="CT388" s="52">
        <v>0</v>
      </c>
      <c r="CU388" s="52">
        <v>0</v>
      </c>
      <c r="CV388" s="430">
        <f t="shared" si="10"/>
        <v>0</v>
      </c>
    </row>
    <row r="389" spans="1:100">
      <c r="A389" s="540" t="str">
        <f>+B389</f>
        <v>7509000</v>
      </c>
      <c r="B389" s="541" t="s">
        <v>2386</v>
      </c>
      <c r="C389" s="463" t="s">
        <v>2387</v>
      </c>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v>0</v>
      </c>
      <c r="BV389" s="52">
        <v>0</v>
      </c>
      <c r="BW389" s="52">
        <v>-151005.57</v>
      </c>
      <c r="BX389" s="52">
        <v>-41123.9</v>
      </c>
      <c r="BY389" s="52">
        <v>-51382.78</v>
      </c>
      <c r="BZ389" s="52">
        <v>-60040.59</v>
      </c>
      <c r="CA389" s="52">
        <v>-68313.5</v>
      </c>
      <c r="CB389" s="52">
        <v>-82831.14</v>
      </c>
      <c r="CC389" s="52">
        <v>-94708.89</v>
      </c>
      <c r="CD389" s="52">
        <v>-101897.5</v>
      </c>
      <c r="CE389" s="52">
        <v>-113702.74</v>
      </c>
      <c r="CF389" s="52">
        <v>-127173</v>
      </c>
      <c r="CG389" s="52">
        <v>-100603.36</v>
      </c>
      <c r="CH389" s="52">
        <v>-74277.42</v>
      </c>
      <c r="CI389" s="52">
        <v>-85997.18</v>
      </c>
      <c r="CJ389" s="52">
        <v>-97828.96</v>
      </c>
      <c r="CK389" s="52">
        <v>-118962.67</v>
      </c>
      <c r="CL389" s="52">
        <v>-125175.22</v>
      </c>
      <c r="CM389" s="52">
        <v>-101772.96</v>
      </c>
      <c r="CN389" s="52">
        <v>-70765.289999999994</v>
      </c>
      <c r="CO389" s="52">
        <v>-73446.960000000006</v>
      </c>
      <c r="CP389" s="52">
        <v>-79548.13</v>
      </c>
      <c r="CQ389" s="52">
        <v>-89530.79</v>
      </c>
      <c r="CR389" s="52">
        <v>-98143.71</v>
      </c>
      <c r="CS389" s="52">
        <v>-105329.65</v>
      </c>
      <c r="CT389" s="52">
        <v>-37935.15</v>
      </c>
      <c r="CU389" s="52">
        <v>-52206.77</v>
      </c>
      <c r="CV389" s="430">
        <f t="shared" si="10"/>
        <v>-1050646.26</v>
      </c>
    </row>
    <row r="390" spans="1:100">
      <c r="A390" s="540" t="str">
        <f t="shared" si="11"/>
        <v>8000300</v>
      </c>
      <c r="B390" s="541" t="s">
        <v>2176</v>
      </c>
      <c r="C390" s="463" t="s">
        <v>1252</v>
      </c>
      <c r="D390" s="428">
        <v>10122.36</v>
      </c>
      <c r="E390" s="428">
        <v>25294.86</v>
      </c>
      <c r="F390" s="428">
        <v>-3700.35</v>
      </c>
      <c r="G390" s="428">
        <v>59824.84</v>
      </c>
      <c r="H390" s="428">
        <v>-75602.44</v>
      </c>
      <c r="I390" s="428">
        <v>5163.3</v>
      </c>
      <c r="J390" s="428">
        <v>-25949.67</v>
      </c>
      <c r="K390" s="428">
        <v>-176.25</v>
      </c>
      <c r="L390" s="428">
        <v>10965.6</v>
      </c>
      <c r="M390" s="428">
        <v>3161.79</v>
      </c>
      <c r="N390" s="428">
        <v>-1615.38</v>
      </c>
      <c r="O390" s="429">
        <v>-63004.54</v>
      </c>
      <c r="P390" s="52">
        <v>5381.85</v>
      </c>
      <c r="Q390" s="52">
        <v>-3546.26</v>
      </c>
      <c r="R390" s="52">
        <v>-16936.259999999998</v>
      </c>
      <c r="S390" s="52">
        <v>-14255.84</v>
      </c>
      <c r="T390" s="52">
        <v>8603.56</v>
      </c>
      <c r="U390" s="52">
        <v>54731.41</v>
      </c>
      <c r="V390" s="52">
        <v>-5930.27</v>
      </c>
      <c r="W390" s="52">
        <v>588.51</v>
      </c>
      <c r="X390" s="52">
        <v>-47242.42</v>
      </c>
      <c r="Y390" s="52">
        <v>-1020.55</v>
      </c>
      <c r="Z390" s="52">
        <v>1781.75</v>
      </c>
      <c r="AA390" s="52">
        <v>172124.63</v>
      </c>
      <c r="AB390" s="52">
        <v>-3781.53</v>
      </c>
      <c r="AC390" s="52">
        <v>15347.9</v>
      </c>
      <c r="AD390" s="52">
        <v>-8510.25</v>
      </c>
      <c r="AE390" s="52">
        <v>3723.48</v>
      </c>
      <c r="AF390" s="52">
        <v>3858.13</v>
      </c>
      <c r="AG390" s="52">
        <v>-12811.93</v>
      </c>
      <c r="AH390" s="52">
        <v>71554.399999999994</v>
      </c>
      <c r="AI390" s="52">
        <v>135643.66</v>
      </c>
      <c r="AJ390" s="52">
        <v>251997.05</v>
      </c>
      <c r="AK390" s="52">
        <v>299178.48</v>
      </c>
      <c r="AL390" s="52">
        <v>62872.31</v>
      </c>
      <c r="AM390" s="52">
        <v>-556784.52</v>
      </c>
      <c r="AN390" s="52">
        <v>92848.33</v>
      </c>
      <c r="AO390" s="52">
        <v>66780.37</v>
      </c>
      <c r="AP390" s="52">
        <v>-71138.710000000006</v>
      </c>
      <c r="AQ390" s="52">
        <v>61139.63</v>
      </c>
      <c r="AR390" s="52">
        <v>59751.73</v>
      </c>
      <c r="AS390" s="52">
        <v>-169119.88</v>
      </c>
      <c r="AT390" s="52">
        <v>49796.88</v>
      </c>
      <c r="AU390" s="52">
        <v>53389.22</v>
      </c>
      <c r="AV390" s="52">
        <v>-136021.54</v>
      </c>
      <c r="AW390" s="52">
        <v>55034</v>
      </c>
      <c r="AX390" s="52">
        <v>55756.78</v>
      </c>
      <c r="AY390" s="52">
        <v>-113989.37</v>
      </c>
      <c r="AZ390" s="52">
        <v>36835.35</v>
      </c>
      <c r="BA390" s="52">
        <v>37551.25</v>
      </c>
      <c r="BB390" s="52">
        <v>-57030.31</v>
      </c>
      <c r="BC390" s="52">
        <v>20225.560000000001</v>
      </c>
      <c r="BD390" s="52">
        <v>31519.63</v>
      </c>
      <c r="BE390" s="52">
        <v>-64769.19</v>
      </c>
      <c r="BF390" s="52">
        <v>35411.68</v>
      </c>
      <c r="BG390" s="52">
        <v>32253.11</v>
      </c>
      <c r="BH390" s="52">
        <v>-76720.649999999994</v>
      </c>
      <c r="BI390" s="52">
        <v>24561.97</v>
      </c>
      <c r="BJ390" s="52">
        <v>25472.53</v>
      </c>
      <c r="BK390" s="52">
        <v>-106607.26</v>
      </c>
      <c r="BL390" s="52">
        <v>31834.66</v>
      </c>
      <c r="BM390" s="52">
        <v>34047.11</v>
      </c>
      <c r="BN390" s="52">
        <v>-29119.27</v>
      </c>
      <c r="BO390" s="52">
        <v>35700.839999999997</v>
      </c>
      <c r="BP390" s="52">
        <v>30783.18</v>
      </c>
      <c r="BQ390" s="52">
        <v>-65700.22</v>
      </c>
      <c r="BR390" s="52">
        <v>36316.379999999997</v>
      </c>
      <c r="BS390" s="52">
        <v>60936.21</v>
      </c>
      <c r="BT390" s="52">
        <v>-64190.71</v>
      </c>
      <c r="BU390" s="52">
        <v>48994.2</v>
      </c>
      <c r="BV390" s="52">
        <v>46673.56</v>
      </c>
      <c r="BW390" s="52">
        <v>-105699.92</v>
      </c>
      <c r="BX390" s="52">
        <v>61284.160000000003</v>
      </c>
      <c r="BY390" s="52">
        <v>55255.78</v>
      </c>
      <c r="BZ390" s="52">
        <v>-68433.66</v>
      </c>
      <c r="CA390" s="52">
        <v>65775.91</v>
      </c>
      <c r="CB390" s="52">
        <v>71264.73</v>
      </c>
      <c r="CC390" s="52">
        <v>77081.289999999994</v>
      </c>
      <c r="CD390" s="52">
        <v>66153.63</v>
      </c>
      <c r="CE390" s="52">
        <v>71392.66</v>
      </c>
      <c r="CF390" s="52">
        <v>-259505.43</v>
      </c>
      <c r="CG390" s="52">
        <v>55129.61</v>
      </c>
      <c r="CH390" s="52">
        <v>41684.720000000001</v>
      </c>
      <c r="CI390" s="52">
        <v>-335893.09</v>
      </c>
      <c r="CJ390" s="52">
        <v>60084.54</v>
      </c>
      <c r="CK390" s="52">
        <v>64674.45</v>
      </c>
      <c r="CL390" s="52">
        <v>-69800.52</v>
      </c>
      <c r="CM390" s="52">
        <v>61763.78</v>
      </c>
      <c r="CN390" s="52">
        <v>42420.41</v>
      </c>
      <c r="CO390" s="52">
        <v>-84066.36</v>
      </c>
      <c r="CP390" s="52">
        <v>47131.27</v>
      </c>
      <c r="CQ390" s="52">
        <v>51985.35</v>
      </c>
      <c r="CR390" s="52">
        <v>-68204.160000000003</v>
      </c>
      <c r="CS390" s="52">
        <v>61934.62</v>
      </c>
      <c r="CT390" s="52">
        <v>20440.650000000001</v>
      </c>
      <c r="CU390" s="52">
        <v>-83078.460000000006</v>
      </c>
      <c r="CV390" s="430">
        <f t="shared" ref="CV390:CV417" si="12">SUM(CJ390:CU390)</f>
        <v>105285.56999999996</v>
      </c>
    </row>
    <row r="391" spans="1:100">
      <c r="A391" s="540" t="str">
        <f t="shared" si="11"/>
        <v>8000310</v>
      </c>
      <c r="B391" s="541" t="s">
        <v>2177</v>
      </c>
      <c r="C391" s="463" t="s">
        <v>1253</v>
      </c>
      <c r="D391" s="426">
        <v>2064386.37</v>
      </c>
      <c r="E391" s="426">
        <v>2571435.4500000002</v>
      </c>
      <c r="F391" s="426">
        <v>2720974.61</v>
      </c>
      <c r="G391" s="426">
        <v>1419590.41</v>
      </c>
      <c r="H391" s="426">
        <v>1368909.15</v>
      </c>
      <c r="I391" s="426">
        <v>964813.63</v>
      </c>
      <c r="J391" s="426">
        <v>585498.98</v>
      </c>
      <c r="K391" s="426">
        <v>335584.38</v>
      </c>
      <c r="L391" s="426">
        <v>-1440494.73</v>
      </c>
      <c r="M391" s="426">
        <v>1666897.1</v>
      </c>
      <c r="N391" s="426">
        <v>-989523.84</v>
      </c>
      <c r="O391" s="427">
        <v>-5934692.4100000001</v>
      </c>
      <c r="P391" s="52">
        <v>3092367.22</v>
      </c>
      <c r="Q391" s="52">
        <v>1356392.26</v>
      </c>
      <c r="R391" s="52">
        <v>2443576.7599999998</v>
      </c>
      <c r="S391" s="52">
        <v>1063438.46</v>
      </c>
      <c r="T391" s="52">
        <v>911085.07</v>
      </c>
      <c r="U391" s="52">
        <v>1328024.7</v>
      </c>
      <c r="V391" s="52">
        <v>1032068.85</v>
      </c>
      <c r="W391" s="52">
        <v>1041214.7</v>
      </c>
      <c r="X391" s="52">
        <v>-340093.6</v>
      </c>
      <c r="Y391" s="52">
        <v>-231977.58</v>
      </c>
      <c r="Z391" s="52">
        <v>-143324.25</v>
      </c>
      <c r="AA391" s="52">
        <v>-9406716.0899999999</v>
      </c>
      <c r="AB391" s="52">
        <v>1893147.91</v>
      </c>
      <c r="AC391" s="52">
        <v>2490082.4900000002</v>
      </c>
      <c r="AD391" s="52">
        <v>920944.22</v>
      </c>
      <c r="AE391" s="52">
        <v>461251.11</v>
      </c>
      <c r="AF391" s="52">
        <v>151914.46</v>
      </c>
      <c r="AG391" s="52">
        <v>-25607.040000000001</v>
      </c>
      <c r="AH391" s="52">
        <v>210102.48</v>
      </c>
      <c r="AI391" s="52">
        <v>-798849.92</v>
      </c>
      <c r="AJ391" s="52">
        <v>1077049.5900000001</v>
      </c>
      <c r="AK391" s="52">
        <v>-652907.23</v>
      </c>
      <c r="AL391" s="52">
        <v>-225097.1</v>
      </c>
      <c r="AM391" s="52">
        <v>527993.18000000005</v>
      </c>
      <c r="AN391" s="52">
        <v>1749506.33</v>
      </c>
      <c r="AO391" s="52">
        <v>-541872.85</v>
      </c>
      <c r="AP391" s="52">
        <v>39810.129999999997</v>
      </c>
      <c r="AQ391" s="52">
        <v>395846.5</v>
      </c>
      <c r="AR391" s="52">
        <v>-704499.48</v>
      </c>
      <c r="AS391" s="52">
        <v>-855500.59</v>
      </c>
      <c r="AT391" s="52">
        <v>-864763</v>
      </c>
      <c r="AU391" s="52">
        <v>-906942.67</v>
      </c>
      <c r="AV391" s="52">
        <v>1539013.49</v>
      </c>
      <c r="AW391" s="52">
        <v>-1752700.95</v>
      </c>
      <c r="AX391" s="52">
        <v>-903079.65</v>
      </c>
      <c r="AY391" s="52">
        <v>5428060.2800000003</v>
      </c>
      <c r="AZ391" s="52">
        <v>2576885.4900000002</v>
      </c>
      <c r="BA391" s="52">
        <v>361097.41</v>
      </c>
      <c r="BB391" s="52">
        <v>800032.71</v>
      </c>
      <c r="BC391" s="52">
        <v>1080651.92</v>
      </c>
      <c r="BD391" s="52">
        <v>255319.65</v>
      </c>
      <c r="BE391" s="52">
        <v>480004.13</v>
      </c>
      <c r="BF391" s="52">
        <v>224960.63</v>
      </c>
      <c r="BG391" s="52">
        <v>-909855.17</v>
      </c>
      <c r="BH391" s="52">
        <v>394063.87</v>
      </c>
      <c r="BI391" s="52">
        <v>-221786.83</v>
      </c>
      <c r="BJ391" s="52">
        <v>-3288246.17</v>
      </c>
      <c r="BK391" s="52">
        <v>1972591.15</v>
      </c>
      <c r="BL391" s="52">
        <v>1613712.42</v>
      </c>
      <c r="BM391" s="52">
        <v>36052.230000000003</v>
      </c>
      <c r="BN391" s="52">
        <v>1025371.45</v>
      </c>
      <c r="BO391" s="52">
        <v>553919.17000000004</v>
      </c>
      <c r="BP391" s="52">
        <v>336031.09</v>
      </c>
      <c r="BQ391" s="52">
        <v>267179.34000000003</v>
      </c>
      <c r="BR391" s="52">
        <v>106751.32</v>
      </c>
      <c r="BS391" s="52">
        <v>89990.02</v>
      </c>
      <c r="BT391" s="52">
        <v>186096.53</v>
      </c>
      <c r="BU391" s="52">
        <v>190805.14</v>
      </c>
      <c r="BV391" s="52">
        <v>491884.42</v>
      </c>
      <c r="BW391" s="52">
        <v>202471.14</v>
      </c>
      <c r="BX391" s="52">
        <v>2575571.04</v>
      </c>
      <c r="BY391" s="52">
        <v>-1617160.33</v>
      </c>
      <c r="BZ391" s="52">
        <v>455513.67</v>
      </c>
      <c r="CA391" s="52">
        <v>194425.77</v>
      </c>
      <c r="CB391" s="52">
        <v>-245727.53</v>
      </c>
      <c r="CC391" s="52">
        <v>65760.34</v>
      </c>
      <c r="CD391" s="52">
        <v>-328747.68</v>
      </c>
      <c r="CE391" s="52">
        <v>-69051.22</v>
      </c>
      <c r="CF391" s="52">
        <v>232796.89</v>
      </c>
      <c r="CG391" s="52">
        <v>-1301454.24</v>
      </c>
      <c r="CH391" s="52">
        <v>209489.76</v>
      </c>
      <c r="CI391" s="52">
        <v>466916.1</v>
      </c>
      <c r="CJ391" s="52">
        <v>2336145.2200000002</v>
      </c>
      <c r="CK391" s="52">
        <v>945831.72</v>
      </c>
      <c r="CL391" s="52">
        <v>-345762.75</v>
      </c>
      <c r="CM391" s="52">
        <v>847359.34</v>
      </c>
      <c r="CN391" s="52">
        <v>-203997.68</v>
      </c>
      <c r="CO391" s="52">
        <v>1667072.22</v>
      </c>
      <c r="CP391" s="52">
        <v>-241107.61</v>
      </c>
      <c r="CQ391" s="52">
        <v>542237.17000000004</v>
      </c>
      <c r="CR391" s="52">
        <v>1423656.53</v>
      </c>
      <c r="CS391" s="52">
        <v>-1386541.32</v>
      </c>
      <c r="CT391" s="52">
        <v>-1358183.9</v>
      </c>
      <c r="CU391" s="52">
        <v>3287146.75</v>
      </c>
      <c r="CV391" s="430">
        <f t="shared" si="12"/>
        <v>7513855.6899999995</v>
      </c>
    </row>
    <row r="392" spans="1:100">
      <c r="A392" s="540" t="str">
        <f t="shared" si="11"/>
        <v>8000400</v>
      </c>
      <c r="B392" s="541" t="s">
        <v>2178</v>
      </c>
      <c r="C392" s="463" t="s">
        <v>1254</v>
      </c>
      <c r="D392" s="428">
        <v>1683.23</v>
      </c>
      <c r="E392" s="428">
        <v>4206.25</v>
      </c>
      <c r="F392" s="428">
        <v>-615.32000000000005</v>
      </c>
      <c r="G392" s="428">
        <v>9948.19</v>
      </c>
      <c r="H392" s="428">
        <v>-12571.83</v>
      </c>
      <c r="I392" s="428">
        <v>858.6</v>
      </c>
      <c r="J392" s="428">
        <v>-4315.1400000000003</v>
      </c>
      <c r="K392" s="428">
        <v>-29.31</v>
      </c>
      <c r="L392" s="428">
        <v>1823.46</v>
      </c>
      <c r="M392" s="428">
        <v>525.77</v>
      </c>
      <c r="N392" s="428">
        <v>-268.62</v>
      </c>
      <c r="O392" s="429">
        <v>-10476.94</v>
      </c>
      <c r="P392" s="52">
        <v>894.94</v>
      </c>
      <c r="Q392" s="52">
        <v>-589.70000000000005</v>
      </c>
      <c r="R392" s="52">
        <v>-2816.31</v>
      </c>
      <c r="S392" s="52">
        <v>-2370.59</v>
      </c>
      <c r="T392" s="52">
        <v>1430.68</v>
      </c>
      <c r="U392" s="52">
        <v>9101.2099999999991</v>
      </c>
      <c r="V392" s="52">
        <v>-986.13</v>
      </c>
      <c r="W392" s="52">
        <v>97.86</v>
      </c>
      <c r="X392" s="52">
        <v>-7855.88</v>
      </c>
      <c r="Y392" s="52">
        <v>-169.71</v>
      </c>
      <c r="Z392" s="52">
        <v>296.29000000000002</v>
      </c>
      <c r="AA392" s="52">
        <v>28622.38</v>
      </c>
      <c r="AB392" s="52">
        <v>-628.83000000000004</v>
      </c>
      <c r="AC392" s="52">
        <v>2552.19</v>
      </c>
      <c r="AD392" s="52">
        <v>-1415.16</v>
      </c>
      <c r="AE392" s="52">
        <v>619.16999999999996</v>
      </c>
      <c r="AF392" s="52">
        <v>641.57000000000005</v>
      </c>
      <c r="AG392" s="52">
        <v>-2130.4899999999998</v>
      </c>
      <c r="AH392" s="52">
        <v>11898.7</v>
      </c>
      <c r="AI392" s="52">
        <v>22556.01</v>
      </c>
      <c r="AJ392" s="52">
        <v>41904.269999999997</v>
      </c>
      <c r="AK392" s="52">
        <v>49750.01</v>
      </c>
      <c r="AL392" s="52">
        <v>10454.959999999999</v>
      </c>
      <c r="AM392" s="52">
        <v>-92586.99</v>
      </c>
      <c r="AN392" s="52">
        <v>15439.63</v>
      </c>
      <c r="AO392" s="52">
        <v>11104.82</v>
      </c>
      <c r="AP392" s="52">
        <v>-11829.56</v>
      </c>
      <c r="AQ392" s="52">
        <v>10166.83</v>
      </c>
      <c r="AR392" s="52">
        <v>9936.0400000000009</v>
      </c>
      <c r="AS392" s="52">
        <v>-28122.73</v>
      </c>
      <c r="AT392" s="52">
        <v>8280.66</v>
      </c>
      <c r="AU392" s="52">
        <v>8878.0300000000007</v>
      </c>
      <c r="AV392" s="52">
        <v>-22618.86</v>
      </c>
      <c r="AW392" s="52">
        <v>9151.5400000000009</v>
      </c>
      <c r="AX392" s="52">
        <v>9271.7199999999993</v>
      </c>
      <c r="AY392" s="52">
        <v>-18955.150000000001</v>
      </c>
      <c r="AZ392" s="52">
        <v>10208.84</v>
      </c>
      <c r="BA392" s="52">
        <v>10407.25</v>
      </c>
      <c r="BB392" s="52">
        <v>-15805.83</v>
      </c>
      <c r="BC392" s="52">
        <v>5605.47</v>
      </c>
      <c r="BD392" s="52">
        <v>8735.6</v>
      </c>
      <c r="BE392" s="52">
        <v>-17950.650000000001</v>
      </c>
      <c r="BF392" s="52">
        <v>9814.2800000000007</v>
      </c>
      <c r="BG392" s="52">
        <v>8938.8799999999992</v>
      </c>
      <c r="BH392" s="52">
        <v>-21262.97</v>
      </c>
      <c r="BI392" s="52">
        <v>6807.3</v>
      </c>
      <c r="BJ392" s="52">
        <v>7059.66</v>
      </c>
      <c r="BK392" s="52">
        <v>-29545.98</v>
      </c>
      <c r="BL392" s="52">
        <v>8822.91</v>
      </c>
      <c r="BM392" s="52">
        <v>9436.08</v>
      </c>
      <c r="BN392" s="52">
        <v>-8070.34</v>
      </c>
      <c r="BO392" s="52">
        <v>9894.41</v>
      </c>
      <c r="BP392" s="52">
        <v>8531.5</v>
      </c>
      <c r="BQ392" s="52">
        <v>-18208.68</v>
      </c>
      <c r="BR392" s="52">
        <v>10065.01</v>
      </c>
      <c r="BS392" s="52">
        <v>16888.34</v>
      </c>
      <c r="BT392" s="52">
        <v>-21670.73</v>
      </c>
      <c r="BU392" s="52">
        <v>10886.07</v>
      </c>
      <c r="BV392" s="52">
        <v>10370.44</v>
      </c>
      <c r="BW392" s="52">
        <v>-23485.56</v>
      </c>
      <c r="BX392" s="52">
        <v>13616.79</v>
      </c>
      <c r="BY392" s="52">
        <v>12277.33</v>
      </c>
      <c r="BZ392" s="52">
        <v>-15205.34</v>
      </c>
      <c r="CA392" s="52">
        <v>14614.82</v>
      </c>
      <c r="CB392" s="52">
        <v>15834.38</v>
      </c>
      <c r="CC392" s="52">
        <v>17126.759999999998</v>
      </c>
      <c r="CD392" s="52">
        <v>14698.75</v>
      </c>
      <c r="CE392" s="52">
        <v>15862.8</v>
      </c>
      <c r="CF392" s="52">
        <v>-57659.77</v>
      </c>
      <c r="CG392" s="52">
        <v>12249.31</v>
      </c>
      <c r="CH392" s="52">
        <v>9261.9699999999993</v>
      </c>
      <c r="CI392" s="52">
        <v>-74632.42</v>
      </c>
      <c r="CJ392" s="52">
        <v>13350.24</v>
      </c>
      <c r="CK392" s="52">
        <v>14370.08</v>
      </c>
      <c r="CL392" s="52">
        <v>-15509.04</v>
      </c>
      <c r="CM392" s="52">
        <v>13723.35</v>
      </c>
      <c r="CN392" s="52">
        <v>9425.43</v>
      </c>
      <c r="CO392" s="52">
        <v>-18678.78</v>
      </c>
      <c r="CP392" s="52">
        <v>10472.14</v>
      </c>
      <c r="CQ392" s="52">
        <v>11550.68</v>
      </c>
      <c r="CR392" s="52">
        <v>-20208.849999999999</v>
      </c>
      <c r="CS392" s="52">
        <v>10807.71</v>
      </c>
      <c r="CT392" s="52">
        <v>3566.94</v>
      </c>
      <c r="CU392" s="52">
        <v>-14497.36</v>
      </c>
      <c r="CV392" s="430">
        <f t="shared" si="12"/>
        <v>18372.54</v>
      </c>
    </row>
    <row r="393" spans="1:100">
      <c r="A393" s="540" t="str">
        <f t="shared" si="11"/>
        <v>8000410</v>
      </c>
      <c r="B393" s="541" t="s">
        <v>2179</v>
      </c>
      <c r="C393" s="463" t="s">
        <v>1255</v>
      </c>
      <c r="D393" s="426">
        <v>246936.25</v>
      </c>
      <c r="E393" s="426">
        <v>331252.8</v>
      </c>
      <c r="F393" s="426">
        <v>356119.49</v>
      </c>
      <c r="G393" s="426">
        <v>139713.94</v>
      </c>
      <c r="H393" s="426">
        <v>131286.22</v>
      </c>
      <c r="I393" s="426">
        <v>64089.69</v>
      </c>
      <c r="J393" s="426">
        <v>1013.93</v>
      </c>
      <c r="K393" s="426">
        <v>-40544.04</v>
      </c>
      <c r="L393" s="426">
        <v>-91349.66</v>
      </c>
      <c r="M393" s="426">
        <v>39467.040000000001</v>
      </c>
      <c r="N393" s="426">
        <v>-402265.84</v>
      </c>
      <c r="O393" s="427">
        <v>-90061.24</v>
      </c>
      <c r="P393" s="52">
        <v>419238.6</v>
      </c>
      <c r="Q393" s="52">
        <v>130565.53</v>
      </c>
      <c r="R393" s="52">
        <v>311352.05</v>
      </c>
      <c r="S393" s="52">
        <v>81850.61</v>
      </c>
      <c r="T393" s="52">
        <v>56515.95</v>
      </c>
      <c r="U393" s="52">
        <v>125848.32000000001</v>
      </c>
      <c r="V393" s="52">
        <v>76634.19</v>
      </c>
      <c r="W393" s="52">
        <v>78155.039999999994</v>
      </c>
      <c r="X393" s="52">
        <v>37153.050000000003</v>
      </c>
      <c r="Y393" s="52">
        <v>-131913.56</v>
      </c>
      <c r="Z393" s="52">
        <v>-117171.5</v>
      </c>
      <c r="AA393" s="52">
        <v>-305338.65999999997</v>
      </c>
      <c r="AB393" s="52">
        <v>335589.12</v>
      </c>
      <c r="AC393" s="52">
        <v>434852.62</v>
      </c>
      <c r="AD393" s="52">
        <v>173922.6</v>
      </c>
      <c r="AE393" s="52">
        <v>97480.81</v>
      </c>
      <c r="AF393" s="52">
        <v>46041.61</v>
      </c>
      <c r="AG393" s="52">
        <v>181018.72</v>
      </c>
      <c r="AH393" s="52">
        <v>55717.62</v>
      </c>
      <c r="AI393" s="52">
        <v>-131911.20000000001</v>
      </c>
      <c r="AJ393" s="52">
        <v>-4131.18</v>
      </c>
      <c r="AK393" s="52">
        <v>-107642.59</v>
      </c>
      <c r="AL393" s="52">
        <v>-36502.57</v>
      </c>
      <c r="AM393" s="52">
        <v>18680.599999999999</v>
      </c>
      <c r="AN393" s="52">
        <v>291319.28000000003</v>
      </c>
      <c r="AO393" s="52">
        <v>-89711.28</v>
      </c>
      <c r="AP393" s="52">
        <v>155003.29999999999</v>
      </c>
      <c r="AQ393" s="52">
        <v>115549.96</v>
      </c>
      <c r="AR393" s="52">
        <v>-137769.22</v>
      </c>
      <c r="AS393" s="52">
        <v>-106603.75</v>
      </c>
      <c r="AT393" s="52">
        <v>-108144</v>
      </c>
      <c r="AU393" s="52">
        <v>-115157.99</v>
      </c>
      <c r="AV393" s="52">
        <v>45059.81</v>
      </c>
      <c r="AW393" s="52">
        <v>-255798.08</v>
      </c>
      <c r="AX393" s="52">
        <v>-114515.62</v>
      </c>
      <c r="AY393" s="52">
        <v>297299.46000000002</v>
      </c>
      <c r="AZ393" s="52">
        <v>595955.29</v>
      </c>
      <c r="BA393" s="52">
        <v>-18145.72</v>
      </c>
      <c r="BB393" s="52">
        <v>95284.3</v>
      </c>
      <c r="BC393" s="52">
        <v>178537.3</v>
      </c>
      <c r="BD393" s="52">
        <v>-50201.8</v>
      </c>
      <c r="BE393" s="52">
        <v>12069.03</v>
      </c>
      <c r="BF393" s="52">
        <v>-58615.75</v>
      </c>
      <c r="BG393" s="52">
        <v>30518.68</v>
      </c>
      <c r="BH393" s="52">
        <v>38706.65</v>
      </c>
      <c r="BI393" s="52">
        <v>-131975.07</v>
      </c>
      <c r="BJ393" s="52">
        <v>-95156.160000000003</v>
      </c>
      <c r="BK393" s="52">
        <v>-548193.18000000005</v>
      </c>
      <c r="BL393" s="52">
        <v>284517.39</v>
      </c>
      <c r="BM393" s="52">
        <v>-123812.1</v>
      </c>
      <c r="BN393" s="52">
        <v>135917.76999999999</v>
      </c>
      <c r="BO393" s="52">
        <v>5255.78</v>
      </c>
      <c r="BP393" s="52">
        <v>-55131.45</v>
      </c>
      <c r="BQ393" s="52">
        <v>-74213.570000000007</v>
      </c>
      <c r="BR393" s="52">
        <v>-118675.85</v>
      </c>
      <c r="BS393" s="52">
        <v>-123321.18</v>
      </c>
      <c r="BT393" s="52">
        <v>-63739.12</v>
      </c>
      <c r="BU393" s="52">
        <v>-76467.08</v>
      </c>
      <c r="BV393" s="52">
        <v>-9569.98</v>
      </c>
      <c r="BW393" s="52">
        <v>-117447.52</v>
      </c>
      <c r="BX393" s="52">
        <v>474043.05</v>
      </c>
      <c r="BY393" s="52">
        <v>-457560.88</v>
      </c>
      <c r="BZ393" s="52">
        <v>2987.09</v>
      </c>
      <c r="CA393" s="52">
        <v>-55024.3</v>
      </c>
      <c r="CB393" s="52">
        <v>-152822.39000000001</v>
      </c>
      <c r="CC393" s="52">
        <v>-83612.59</v>
      </c>
      <c r="CD393" s="52">
        <v>-171268.72</v>
      </c>
      <c r="CE393" s="52">
        <v>-47658.54</v>
      </c>
      <c r="CF393" s="52">
        <v>-112401.54</v>
      </c>
      <c r="CG393" s="52">
        <v>-399432.42</v>
      </c>
      <c r="CH393" s="52">
        <v>-51678.89</v>
      </c>
      <c r="CI393" s="52">
        <v>-143363.22</v>
      </c>
      <c r="CJ393" s="52">
        <v>437579.17</v>
      </c>
      <c r="CK393" s="52">
        <v>128664.03</v>
      </c>
      <c r="CL393" s="52">
        <v>-158316.62</v>
      </c>
      <c r="CM393" s="52">
        <v>106784.36</v>
      </c>
      <c r="CN393" s="52">
        <v>-126817.7</v>
      </c>
      <c r="CO393" s="52">
        <v>288917.15999999997</v>
      </c>
      <c r="CP393" s="52">
        <v>-135063.19</v>
      </c>
      <c r="CQ393" s="52">
        <v>38988.949999999997</v>
      </c>
      <c r="CR393" s="52">
        <v>59786.34</v>
      </c>
      <c r="CS393" s="52">
        <v>-305954.93</v>
      </c>
      <c r="CT393" s="52">
        <v>-301006.5</v>
      </c>
      <c r="CU393" s="52">
        <v>691135.72</v>
      </c>
      <c r="CV393" s="430">
        <f t="shared" si="12"/>
        <v>724696.7899999998</v>
      </c>
    </row>
    <row r="394" spans="1:100">
      <c r="A394" s="540" t="str">
        <f t="shared" si="11"/>
        <v>8010300</v>
      </c>
      <c r="B394" s="541" t="s">
        <v>2180</v>
      </c>
      <c r="C394" s="463" t="s">
        <v>1256</v>
      </c>
      <c r="D394" s="428">
        <v>601431.35</v>
      </c>
      <c r="E394" s="428">
        <v>-340098.17</v>
      </c>
      <c r="F394" s="428">
        <v>-180250.75</v>
      </c>
      <c r="G394" s="428">
        <v>139483.21</v>
      </c>
      <c r="H394" s="428">
        <v>-403728.33</v>
      </c>
      <c r="I394" s="428">
        <v>229881.63</v>
      </c>
      <c r="J394" s="428">
        <v>249049.21</v>
      </c>
      <c r="K394" s="428">
        <v>486417.48</v>
      </c>
      <c r="L394" s="428">
        <v>2134507.46</v>
      </c>
      <c r="M394" s="428">
        <v>-518009.56</v>
      </c>
      <c r="N394" s="428">
        <v>2428029.71</v>
      </c>
      <c r="O394" s="429">
        <v>7917193.0999999996</v>
      </c>
      <c r="P394" s="52">
        <v>-318017.55</v>
      </c>
      <c r="Q394" s="52">
        <v>1219867.56</v>
      </c>
      <c r="R394" s="52">
        <v>-277916.02</v>
      </c>
      <c r="S394" s="52">
        <v>182932.81</v>
      </c>
      <c r="T394" s="52">
        <v>231193.94</v>
      </c>
      <c r="U394" s="52">
        <v>16201.45</v>
      </c>
      <c r="V394" s="52">
        <v>-106908.68</v>
      </c>
      <c r="W394" s="52">
        <v>501851.87</v>
      </c>
      <c r="X394" s="52">
        <v>1294302.71</v>
      </c>
      <c r="Y394" s="52">
        <v>1331940.01</v>
      </c>
      <c r="Z394" s="52">
        <v>1026352.68</v>
      </c>
      <c r="AA394" s="52">
        <v>10478245.810000001</v>
      </c>
      <c r="AB394" s="52">
        <v>809880.79</v>
      </c>
      <c r="AC394" s="52">
        <v>247877.75</v>
      </c>
      <c r="AD394" s="52">
        <v>867099.94</v>
      </c>
      <c r="AE394" s="52">
        <v>1067455.97</v>
      </c>
      <c r="AF394" s="52">
        <v>1191965.99</v>
      </c>
      <c r="AG394" s="52">
        <v>686745.34</v>
      </c>
      <c r="AH394" s="52">
        <v>1023221.12</v>
      </c>
      <c r="AI394" s="52">
        <v>1063533.6100000001</v>
      </c>
      <c r="AJ394" s="52">
        <v>-259208.13</v>
      </c>
      <c r="AK394" s="52">
        <v>1537485.19</v>
      </c>
      <c r="AL394" s="52">
        <v>1737134.91</v>
      </c>
      <c r="AM394" s="52">
        <v>1035457.41</v>
      </c>
      <c r="AN394" s="52">
        <v>864440.96</v>
      </c>
      <c r="AO394" s="52">
        <v>2403821.2599999998</v>
      </c>
      <c r="AP394" s="52">
        <v>2323297.88</v>
      </c>
      <c r="AQ394" s="52">
        <v>1539277.84</v>
      </c>
      <c r="AR394" s="52">
        <v>2473119.4300000002</v>
      </c>
      <c r="AS394" s="52">
        <v>2233308.4500000002</v>
      </c>
      <c r="AT394" s="52">
        <v>2181436.9700000002</v>
      </c>
      <c r="AU394" s="52">
        <v>2126525.64</v>
      </c>
      <c r="AV394" s="52">
        <v>-93314.22</v>
      </c>
      <c r="AW394" s="52">
        <v>2990531.82</v>
      </c>
      <c r="AX394" s="52">
        <v>2538493.4700000002</v>
      </c>
      <c r="AY394" s="52">
        <v>-2592723.4</v>
      </c>
      <c r="AZ394" s="52">
        <v>-460859.54</v>
      </c>
      <c r="BA394" s="52">
        <v>485845.47</v>
      </c>
      <c r="BB394" s="52">
        <v>-271377.28999999998</v>
      </c>
      <c r="BC394" s="52">
        <v>60330.9</v>
      </c>
      <c r="BD394" s="52">
        <v>678325.23</v>
      </c>
      <c r="BE394" s="52">
        <v>321863.56</v>
      </c>
      <c r="BF394" s="52">
        <v>463731.76</v>
      </c>
      <c r="BG394" s="52">
        <v>1485382.46</v>
      </c>
      <c r="BH394" s="52">
        <v>593924.77</v>
      </c>
      <c r="BI394" s="52">
        <v>850042.59</v>
      </c>
      <c r="BJ394" s="52">
        <v>4118779.12</v>
      </c>
      <c r="BK394" s="52">
        <v>-823941.81</v>
      </c>
      <c r="BL394" s="52">
        <v>68671.67</v>
      </c>
      <c r="BM394" s="52">
        <v>1484860.2</v>
      </c>
      <c r="BN394" s="52">
        <v>392819.43</v>
      </c>
      <c r="BO394" s="52">
        <v>736541.22</v>
      </c>
      <c r="BP394" s="52">
        <v>812273.36</v>
      </c>
      <c r="BQ394" s="52">
        <v>782803.12</v>
      </c>
      <c r="BR394" s="52">
        <v>630321</v>
      </c>
      <c r="BS394" s="52">
        <v>817032.89</v>
      </c>
      <c r="BT394" s="52">
        <v>836254.99</v>
      </c>
      <c r="BU394" s="52">
        <v>653655.13</v>
      </c>
      <c r="BV394" s="52">
        <v>611872.72</v>
      </c>
      <c r="BW394" s="52">
        <v>1079555.81</v>
      </c>
      <c r="BX394" s="52">
        <v>-631577.49</v>
      </c>
      <c r="BY394" s="52">
        <v>3018437.29</v>
      </c>
      <c r="BZ394" s="52">
        <v>704420.91</v>
      </c>
      <c r="CA394" s="52">
        <v>609992.89</v>
      </c>
      <c r="CB394" s="52">
        <v>981721.43</v>
      </c>
      <c r="CC394" s="52">
        <v>682951.61</v>
      </c>
      <c r="CD394" s="52">
        <v>979308.57</v>
      </c>
      <c r="CE394" s="52">
        <v>804395.51</v>
      </c>
      <c r="CF394" s="52">
        <v>914094.15</v>
      </c>
      <c r="CG394" s="52">
        <v>1439769.25</v>
      </c>
      <c r="CH394" s="52">
        <v>1031831.2</v>
      </c>
      <c r="CI394" s="52">
        <v>597169.56999999995</v>
      </c>
      <c r="CJ394" s="52">
        <v>489057.52</v>
      </c>
      <c r="CK394" s="52">
        <v>903008.8</v>
      </c>
      <c r="CL394" s="52">
        <v>2281521.73</v>
      </c>
      <c r="CM394" s="52">
        <v>1056414.75</v>
      </c>
      <c r="CN394" s="52">
        <v>1493447.01</v>
      </c>
      <c r="CO394" s="52">
        <v>-297314.15999999997</v>
      </c>
      <c r="CP394" s="52">
        <v>1259845.01</v>
      </c>
      <c r="CQ394" s="52">
        <v>533518.21</v>
      </c>
      <c r="CR394" s="52">
        <v>-138782.72</v>
      </c>
      <c r="CS394" s="52">
        <v>2485946.89</v>
      </c>
      <c r="CT394" s="52">
        <v>3206747.95</v>
      </c>
      <c r="CU394" s="52">
        <v>-2512668.58</v>
      </c>
      <c r="CV394" s="430">
        <f t="shared" si="12"/>
        <v>10760742.409999998</v>
      </c>
    </row>
    <row r="395" spans="1:100">
      <c r="A395" s="540" t="str">
        <f t="shared" si="11"/>
        <v>8010305</v>
      </c>
      <c r="B395" s="541" t="s">
        <v>2181</v>
      </c>
      <c r="C395" s="463" t="s">
        <v>1736</v>
      </c>
      <c r="D395" s="428"/>
      <c r="E395" s="428"/>
      <c r="F395" s="428"/>
      <c r="G395" s="428"/>
      <c r="H395" s="428"/>
      <c r="I395" s="428"/>
      <c r="J395" s="428"/>
      <c r="K395" s="428"/>
      <c r="L395" s="428"/>
      <c r="M395" s="428"/>
      <c r="N395" s="428"/>
      <c r="O395" s="429"/>
      <c r="P395" s="52"/>
      <c r="Q395" s="52"/>
      <c r="R395" s="52"/>
      <c r="S395" s="52"/>
      <c r="T395" s="52"/>
      <c r="U395" s="52"/>
      <c r="V395" s="52"/>
      <c r="W395" s="52"/>
      <c r="X395" s="52"/>
      <c r="Y395" s="52"/>
      <c r="Z395" s="52"/>
      <c r="AA395" s="52"/>
      <c r="AB395" s="52"/>
      <c r="AC395" s="52"/>
      <c r="AD395" s="52"/>
      <c r="AE395" s="52"/>
      <c r="AF395" s="52"/>
      <c r="AG395" s="52"/>
      <c r="AH395" s="52"/>
      <c r="AI395" s="52"/>
      <c r="AJ395" s="52"/>
      <c r="AK395" s="52">
        <v>0</v>
      </c>
      <c r="AL395" s="52">
        <v>0</v>
      </c>
      <c r="AM395" s="52">
        <v>-6.32</v>
      </c>
      <c r="AN395" s="52">
        <v>0</v>
      </c>
      <c r="AO395" s="52">
        <v>0</v>
      </c>
      <c r="AP395" s="52">
        <v>6.32</v>
      </c>
      <c r="AQ395" s="52">
        <v>0</v>
      </c>
      <c r="AR395" s="52">
        <v>0</v>
      </c>
      <c r="AS395" s="52">
        <v>0</v>
      </c>
      <c r="AT395" s="52">
        <v>0</v>
      </c>
      <c r="AU395" s="52">
        <v>0</v>
      </c>
      <c r="AV395" s="52">
        <v>0</v>
      </c>
      <c r="AW395" s="52">
        <v>18.8</v>
      </c>
      <c r="AX395" s="52">
        <v>-18.8</v>
      </c>
      <c r="AY395" s="52">
        <v>0</v>
      </c>
      <c r="AZ395" s="52">
        <v>0</v>
      </c>
      <c r="BA395" s="52">
        <v>0</v>
      </c>
      <c r="BB395" s="52">
        <v>0</v>
      </c>
      <c r="BC395" s="52">
        <v>0</v>
      </c>
      <c r="BD395" s="52">
        <v>0</v>
      </c>
      <c r="BE395" s="52">
        <v>20.91</v>
      </c>
      <c r="BF395" s="52">
        <v>309.99</v>
      </c>
      <c r="BG395" s="52">
        <v>-69.38</v>
      </c>
      <c r="BH395" s="52">
        <v>339.16</v>
      </c>
      <c r="BI395" s="52">
        <v>-482.03</v>
      </c>
      <c r="BJ395" s="52">
        <v>-301.77999999999997</v>
      </c>
      <c r="BK395" s="52">
        <v>-585.22</v>
      </c>
      <c r="BL395" s="52">
        <v>806.18</v>
      </c>
      <c r="BM395" s="52">
        <v>-78.36</v>
      </c>
      <c r="BN395" s="52">
        <v>0</v>
      </c>
      <c r="BO395" s="52">
        <v>-1210.69</v>
      </c>
      <c r="BP395" s="52">
        <v>-477.01</v>
      </c>
      <c r="BQ395" s="52">
        <v>1425.55</v>
      </c>
      <c r="BR395" s="52">
        <v>1192.77</v>
      </c>
      <c r="BS395" s="52">
        <v>-885.14</v>
      </c>
      <c r="BT395" s="52">
        <v>-14.88</v>
      </c>
      <c r="BU395" s="52">
        <v>-39.35</v>
      </c>
      <c r="BV395" s="52">
        <v>82.34</v>
      </c>
      <c r="BW395" s="52">
        <v>14.49</v>
      </c>
      <c r="BX395" s="52">
        <v>0</v>
      </c>
      <c r="BY395" s="52">
        <v>0</v>
      </c>
      <c r="BZ395" s="52">
        <v>0</v>
      </c>
      <c r="CA395" s="52">
        <v>0</v>
      </c>
      <c r="CB395" s="52">
        <v>0</v>
      </c>
      <c r="CC395" s="52">
        <v>0</v>
      </c>
      <c r="CD395" s="52">
        <v>0</v>
      </c>
      <c r="CE395" s="52">
        <v>0</v>
      </c>
      <c r="CF395" s="52">
        <v>0</v>
      </c>
      <c r="CG395" s="52">
        <v>0</v>
      </c>
      <c r="CH395" s="52">
        <v>0</v>
      </c>
      <c r="CI395" s="52">
        <v>0</v>
      </c>
      <c r="CJ395" s="52">
        <v>0</v>
      </c>
      <c r="CK395" s="52">
        <v>0</v>
      </c>
      <c r="CL395" s="52">
        <v>0</v>
      </c>
      <c r="CM395" s="52">
        <v>0</v>
      </c>
      <c r="CN395" s="52">
        <v>0</v>
      </c>
      <c r="CO395" s="52">
        <v>0</v>
      </c>
      <c r="CP395" s="52">
        <v>0</v>
      </c>
      <c r="CQ395" s="52">
        <v>0</v>
      </c>
      <c r="CR395" s="52">
        <v>0</v>
      </c>
      <c r="CS395" s="52">
        <v>0</v>
      </c>
      <c r="CT395" s="52">
        <v>0</v>
      </c>
      <c r="CU395" s="52">
        <v>0</v>
      </c>
      <c r="CV395" s="430">
        <f t="shared" si="12"/>
        <v>0</v>
      </c>
    </row>
    <row r="396" spans="1:100">
      <c r="A396" s="540" t="str">
        <f t="shared" si="11"/>
        <v>8010400</v>
      </c>
      <c r="B396" s="541" t="s">
        <v>2182</v>
      </c>
      <c r="C396" s="463" t="s">
        <v>1257</v>
      </c>
      <c r="D396" s="426">
        <v>196359.22</v>
      </c>
      <c r="E396" s="426">
        <v>39793.47</v>
      </c>
      <c r="F396" s="426">
        <v>66374.27</v>
      </c>
      <c r="G396" s="426">
        <v>119542.46</v>
      </c>
      <c r="H396" s="426">
        <v>29212.48</v>
      </c>
      <c r="I396" s="426">
        <v>134574.67000000001</v>
      </c>
      <c r="J396" s="426">
        <v>137762.01</v>
      </c>
      <c r="K396" s="426">
        <v>177233.73</v>
      </c>
      <c r="L396" s="426">
        <v>208491.53</v>
      </c>
      <c r="M396" s="426">
        <v>151580.03</v>
      </c>
      <c r="N396" s="426">
        <v>641473.15</v>
      </c>
      <c r="O396" s="427">
        <v>419728.77</v>
      </c>
      <c r="P396" s="52">
        <v>42104.5</v>
      </c>
      <c r="Q396" s="52">
        <v>297837.48</v>
      </c>
      <c r="R396" s="52">
        <v>48772.91</v>
      </c>
      <c r="S396" s="52">
        <v>125406.91</v>
      </c>
      <c r="T396" s="52">
        <v>133432.20000000001</v>
      </c>
      <c r="U396" s="52">
        <v>97681.33</v>
      </c>
      <c r="V396" s="52">
        <v>77209.539999999994</v>
      </c>
      <c r="W396" s="52">
        <v>-653800.67000000004</v>
      </c>
      <c r="X396" s="52">
        <v>122897.23</v>
      </c>
      <c r="Y396" s="52">
        <v>314824.95</v>
      </c>
      <c r="Z396" s="52">
        <v>264009.19</v>
      </c>
      <c r="AA396" s="52">
        <v>483521.98</v>
      </c>
      <c r="AB396" s="52">
        <v>113894.09</v>
      </c>
      <c r="AC396" s="52">
        <v>20439.34</v>
      </c>
      <c r="AD396" s="52">
        <v>123409</v>
      </c>
      <c r="AE396" s="52">
        <v>156725.97</v>
      </c>
      <c r="AF396" s="52">
        <v>177430.57</v>
      </c>
      <c r="AG396" s="52">
        <v>28789.91</v>
      </c>
      <c r="AH396" s="52">
        <v>149370.19</v>
      </c>
      <c r="AI396" s="52">
        <v>235349.9</v>
      </c>
      <c r="AJ396" s="52">
        <v>128551.98</v>
      </c>
      <c r="AK396" s="52">
        <v>254737.94</v>
      </c>
      <c r="AL396" s="52">
        <v>287937.40000000002</v>
      </c>
      <c r="AM396" s="52">
        <v>241303.67999999999</v>
      </c>
      <c r="AN396" s="52">
        <v>143350.70000000001</v>
      </c>
      <c r="AO396" s="52">
        <v>399332.31</v>
      </c>
      <c r="AP396" s="52">
        <v>237954.95</v>
      </c>
      <c r="AQ396" s="52">
        <v>206239.43</v>
      </c>
      <c r="AR396" s="52">
        <v>431870.81</v>
      </c>
      <c r="AS396" s="52">
        <v>335717.67</v>
      </c>
      <c r="AT396" s="52">
        <v>327092.03999999998</v>
      </c>
      <c r="AU396" s="52">
        <v>317960.95</v>
      </c>
      <c r="AV396" s="52">
        <v>195343.67</v>
      </c>
      <c r="AW396" s="52">
        <v>461635.45</v>
      </c>
      <c r="AX396" s="52">
        <v>386466.48</v>
      </c>
      <c r="AY396" s="52">
        <v>172911.72</v>
      </c>
      <c r="AZ396" s="52">
        <v>36369.86</v>
      </c>
      <c r="BA396" s="52">
        <v>298509.11</v>
      </c>
      <c r="BB396" s="52">
        <v>39883.949999999997</v>
      </c>
      <c r="BC396" s="52">
        <v>164399.89000000001</v>
      </c>
      <c r="BD396" s="52">
        <v>240688.29</v>
      </c>
      <c r="BE396" s="52">
        <v>217888.8</v>
      </c>
      <c r="BF396" s="52">
        <v>257207.31</v>
      </c>
      <c r="BG396" s="52">
        <v>134071.12</v>
      </c>
      <c r="BH396" s="52">
        <v>242504.33</v>
      </c>
      <c r="BI396" s="52">
        <v>313486.96999999997</v>
      </c>
      <c r="BJ396" s="52">
        <v>338900.24</v>
      </c>
      <c r="BK396" s="52">
        <v>937270.41</v>
      </c>
      <c r="BL396" s="52">
        <v>177768.99</v>
      </c>
      <c r="BM396" s="52">
        <v>531605.23</v>
      </c>
      <c r="BN396" s="52">
        <v>248277.12</v>
      </c>
      <c r="BO396" s="52">
        <v>343538.97</v>
      </c>
      <c r="BP396" s="52">
        <v>364527.93</v>
      </c>
      <c r="BQ396" s="52">
        <v>356360.3</v>
      </c>
      <c r="BR396" s="52">
        <v>314100.19</v>
      </c>
      <c r="BS396" s="52">
        <v>356875.52000000002</v>
      </c>
      <c r="BT396" s="52">
        <v>-237242.75</v>
      </c>
      <c r="BU396" s="52">
        <v>256237.42</v>
      </c>
      <c r="BV396" s="52">
        <v>246948.52</v>
      </c>
      <c r="BW396" s="52">
        <v>372716.4</v>
      </c>
      <c r="BX396" s="52">
        <v>-46571.41</v>
      </c>
      <c r="BY396" s="52">
        <v>764964.42</v>
      </c>
      <c r="BZ396" s="52">
        <v>278736.42</v>
      </c>
      <c r="CA396" s="52">
        <v>230162.76</v>
      </c>
      <c r="CB396" s="52">
        <v>312740.11</v>
      </c>
      <c r="CC396" s="52">
        <v>228838.43</v>
      </c>
      <c r="CD396" s="52">
        <v>312119.86</v>
      </c>
      <c r="CE396" s="52">
        <v>214714.22</v>
      </c>
      <c r="CF396" s="52">
        <v>345903.41</v>
      </c>
      <c r="CG396" s="52">
        <v>503515.61</v>
      </c>
      <c r="CH396" s="52">
        <v>320124.3</v>
      </c>
      <c r="CI396" s="52">
        <v>482240.87</v>
      </c>
      <c r="CJ396" s="52">
        <v>186365.09</v>
      </c>
      <c r="CK396" s="52">
        <v>286372.7</v>
      </c>
      <c r="CL396" s="52">
        <v>472758.22</v>
      </c>
      <c r="CM396" s="52">
        <v>299226.93</v>
      </c>
      <c r="CN396" s="52">
        <v>408082.34</v>
      </c>
      <c r="CO396" s="52">
        <v>-98599.99</v>
      </c>
      <c r="CP396" s="52">
        <v>357778.66</v>
      </c>
      <c r="CQ396" s="52">
        <v>196131.78</v>
      </c>
      <c r="CR396" s="52">
        <v>-608284.18000000005</v>
      </c>
      <c r="CS396" s="52">
        <v>540696.63</v>
      </c>
      <c r="CT396" s="52">
        <v>594384.49</v>
      </c>
      <c r="CU396" s="52">
        <v>-103859.52</v>
      </c>
      <c r="CV396" s="430">
        <f t="shared" si="12"/>
        <v>2531053.15</v>
      </c>
    </row>
    <row r="397" spans="1:100">
      <c r="A397" s="540" t="str">
        <f t="shared" si="11"/>
        <v>8010405</v>
      </c>
      <c r="B397" s="541" t="s">
        <v>2184</v>
      </c>
      <c r="C397" s="463" t="s">
        <v>1737</v>
      </c>
      <c r="D397" s="426"/>
      <c r="E397" s="426"/>
      <c r="F397" s="426"/>
      <c r="G397" s="426"/>
      <c r="H397" s="426"/>
      <c r="I397" s="426"/>
      <c r="J397" s="426"/>
      <c r="K397" s="426"/>
      <c r="L397" s="426"/>
      <c r="M397" s="426"/>
      <c r="N397" s="426"/>
      <c r="O397" s="427"/>
      <c r="P397" s="52"/>
      <c r="Q397" s="52"/>
      <c r="R397" s="52"/>
      <c r="S397" s="52"/>
      <c r="T397" s="52"/>
      <c r="U397" s="52"/>
      <c r="V397" s="52"/>
      <c r="W397" s="52"/>
      <c r="X397" s="52"/>
      <c r="Y397" s="52"/>
      <c r="Z397" s="52"/>
      <c r="AA397" s="52"/>
      <c r="AB397" s="52"/>
      <c r="AC397" s="52"/>
      <c r="AD397" s="52"/>
      <c r="AE397" s="52"/>
      <c r="AF397" s="52"/>
      <c r="AG397" s="52"/>
      <c r="AH397" s="52"/>
      <c r="AI397" s="52"/>
      <c r="AJ397" s="52"/>
      <c r="AK397" s="52">
        <v>0</v>
      </c>
      <c r="AL397" s="52">
        <v>0</v>
      </c>
      <c r="AM397" s="52">
        <v>-1.05</v>
      </c>
      <c r="AN397" s="52">
        <v>0</v>
      </c>
      <c r="AO397" s="52">
        <v>0</v>
      </c>
      <c r="AP397" s="52">
        <v>1.05</v>
      </c>
      <c r="AQ397" s="52">
        <v>0</v>
      </c>
      <c r="AR397" s="52">
        <v>0</v>
      </c>
      <c r="AS397" s="52">
        <v>0</v>
      </c>
      <c r="AT397" s="52">
        <v>0</v>
      </c>
      <c r="AU397" s="52">
        <v>0</v>
      </c>
      <c r="AV397" s="52">
        <v>0</v>
      </c>
      <c r="AW397" s="52">
        <v>3.13</v>
      </c>
      <c r="AX397" s="52">
        <v>-3.13</v>
      </c>
      <c r="AY397" s="52">
        <v>0</v>
      </c>
      <c r="AZ397" s="52">
        <v>0</v>
      </c>
      <c r="BA397" s="52">
        <v>0</v>
      </c>
      <c r="BB397" s="52">
        <v>0</v>
      </c>
      <c r="BC397" s="52">
        <v>0</v>
      </c>
      <c r="BD397" s="52">
        <v>0</v>
      </c>
      <c r="BE397" s="52">
        <v>0</v>
      </c>
      <c r="BF397" s="52">
        <v>0</v>
      </c>
      <c r="BG397" s="52">
        <v>0</v>
      </c>
      <c r="BH397" s="52">
        <v>0</v>
      </c>
      <c r="BI397" s="52">
        <v>0</v>
      </c>
      <c r="BJ397" s="52">
        <v>0</v>
      </c>
      <c r="BK397" s="52">
        <v>0</v>
      </c>
      <c r="BL397" s="52">
        <v>0</v>
      </c>
      <c r="BM397" s="52">
        <v>0</v>
      </c>
      <c r="BN397" s="52">
        <v>0</v>
      </c>
      <c r="BO397" s="52">
        <v>0</v>
      </c>
      <c r="BP397" s="52">
        <v>0</v>
      </c>
      <c r="BQ397" s="52">
        <v>0</v>
      </c>
      <c r="BR397" s="52">
        <v>0</v>
      </c>
      <c r="BS397" s="52">
        <v>0</v>
      </c>
      <c r="BT397" s="52">
        <v>0</v>
      </c>
      <c r="BU397" s="52">
        <v>0</v>
      </c>
      <c r="BV397" s="52">
        <v>0</v>
      </c>
      <c r="BW397" s="52">
        <v>0</v>
      </c>
      <c r="BX397" s="52">
        <v>0</v>
      </c>
      <c r="BY397" s="52">
        <v>0</v>
      </c>
      <c r="BZ397" s="52">
        <v>0</v>
      </c>
      <c r="CA397" s="52">
        <v>0</v>
      </c>
      <c r="CB397" s="52">
        <v>0</v>
      </c>
      <c r="CC397" s="52">
        <v>0</v>
      </c>
      <c r="CD397" s="52">
        <v>0</v>
      </c>
      <c r="CE397" s="52">
        <v>0</v>
      </c>
      <c r="CF397" s="52">
        <v>0</v>
      </c>
      <c r="CG397" s="52">
        <v>0</v>
      </c>
      <c r="CH397" s="52">
        <v>0</v>
      </c>
      <c r="CI397" s="52">
        <v>0</v>
      </c>
      <c r="CJ397" s="52">
        <v>0</v>
      </c>
      <c r="CK397" s="52">
        <v>0</v>
      </c>
      <c r="CL397" s="52">
        <v>0</v>
      </c>
      <c r="CM397" s="52">
        <v>0</v>
      </c>
      <c r="CN397" s="52">
        <v>0</v>
      </c>
      <c r="CO397" s="52">
        <v>0</v>
      </c>
      <c r="CP397" s="52">
        <v>0</v>
      </c>
      <c r="CQ397" s="52">
        <v>0</v>
      </c>
      <c r="CR397" s="52">
        <v>0</v>
      </c>
      <c r="CS397" s="52">
        <v>0</v>
      </c>
      <c r="CT397" s="52">
        <v>0</v>
      </c>
      <c r="CU397" s="52">
        <v>0</v>
      </c>
      <c r="CV397" s="430">
        <f t="shared" si="12"/>
        <v>0</v>
      </c>
    </row>
    <row r="398" spans="1:100">
      <c r="A398" s="540" t="str">
        <f t="shared" si="11"/>
        <v>8010600</v>
      </c>
      <c r="B398" s="541" t="s">
        <v>2183</v>
      </c>
      <c r="C398" s="463" t="s">
        <v>1258</v>
      </c>
      <c r="D398" s="426">
        <v>0</v>
      </c>
      <c r="E398" s="426">
        <v>0</v>
      </c>
      <c r="F398" s="426">
        <v>0</v>
      </c>
      <c r="G398" s="426">
        <v>0</v>
      </c>
      <c r="H398" s="426">
        <v>0</v>
      </c>
      <c r="I398" s="426">
        <v>0</v>
      </c>
      <c r="J398" s="426">
        <v>0</v>
      </c>
      <c r="K398" s="426">
        <v>0</v>
      </c>
      <c r="L398" s="426">
        <v>0</v>
      </c>
      <c r="M398" s="426">
        <v>0</v>
      </c>
      <c r="N398" s="426">
        <v>0</v>
      </c>
      <c r="O398" s="427">
        <v>0</v>
      </c>
      <c r="P398" s="52">
        <v>0</v>
      </c>
      <c r="Q398" s="52">
        <v>0</v>
      </c>
      <c r="R398" s="52">
        <v>0</v>
      </c>
      <c r="S398" s="52">
        <v>0</v>
      </c>
      <c r="T398" s="52">
        <v>0</v>
      </c>
      <c r="U398" s="52">
        <v>0</v>
      </c>
      <c r="V398" s="52">
        <v>0</v>
      </c>
      <c r="W398" s="52">
        <v>0</v>
      </c>
      <c r="X398" s="52">
        <v>0</v>
      </c>
      <c r="Y398" s="52">
        <v>0</v>
      </c>
      <c r="Z398" s="52">
        <v>0</v>
      </c>
      <c r="AA398" s="52">
        <v>0</v>
      </c>
      <c r="AB398" s="52">
        <v>1</v>
      </c>
      <c r="AC398" s="52">
        <v>2</v>
      </c>
      <c r="AD398" s="52">
        <v>3</v>
      </c>
      <c r="AE398" s="52">
        <v>0</v>
      </c>
      <c r="AF398" s="52">
        <v>0</v>
      </c>
      <c r="AG398" s="52">
        <v>0</v>
      </c>
      <c r="AH398" s="52">
        <v>0</v>
      </c>
      <c r="AI398" s="52">
        <v>0</v>
      </c>
      <c r="AJ398" s="52">
        <v>0</v>
      </c>
      <c r="AK398" s="52">
        <v>0</v>
      </c>
      <c r="AL398" s="52">
        <v>0</v>
      </c>
      <c r="AM398" s="52">
        <v>0</v>
      </c>
      <c r="AN398" s="52">
        <v>0</v>
      </c>
      <c r="AO398" s="52">
        <v>0</v>
      </c>
      <c r="AP398" s="52">
        <v>0</v>
      </c>
      <c r="AQ398" s="52">
        <v>0</v>
      </c>
      <c r="AR398" s="52">
        <v>0</v>
      </c>
      <c r="AS398" s="52">
        <v>0</v>
      </c>
      <c r="AT398" s="52">
        <v>0</v>
      </c>
      <c r="AU398" s="52">
        <v>0</v>
      </c>
      <c r="AV398" s="52">
        <v>0</v>
      </c>
      <c r="AW398" s="52">
        <v>0</v>
      </c>
      <c r="AX398" s="52">
        <v>0</v>
      </c>
      <c r="AY398" s="52">
        <v>0</v>
      </c>
      <c r="AZ398" s="52">
        <v>0</v>
      </c>
      <c r="BA398" s="52">
        <v>0</v>
      </c>
      <c r="BB398" s="52">
        <v>0</v>
      </c>
      <c r="BC398" s="52">
        <v>0</v>
      </c>
      <c r="BD398" s="52">
        <v>0</v>
      </c>
      <c r="BE398" s="52">
        <v>0</v>
      </c>
      <c r="BF398" s="52">
        <v>0</v>
      </c>
      <c r="BG398" s="52">
        <v>0</v>
      </c>
      <c r="BH398" s="52">
        <v>0</v>
      </c>
      <c r="BI398" s="52">
        <v>0</v>
      </c>
      <c r="BJ398" s="52">
        <v>0</v>
      </c>
      <c r="BK398" s="52">
        <v>0</v>
      </c>
      <c r="BL398" s="52">
        <v>0</v>
      </c>
      <c r="BM398" s="52">
        <v>0</v>
      </c>
      <c r="BN398" s="52">
        <v>0</v>
      </c>
      <c r="BO398" s="52">
        <v>0</v>
      </c>
      <c r="BP398" s="52">
        <v>0</v>
      </c>
      <c r="BQ398" s="52">
        <v>0</v>
      </c>
      <c r="BR398" s="52">
        <v>0</v>
      </c>
      <c r="BS398" s="52">
        <v>0</v>
      </c>
      <c r="BT398" s="52">
        <v>0</v>
      </c>
      <c r="BU398" s="52">
        <v>0</v>
      </c>
      <c r="BV398" s="52">
        <v>0</v>
      </c>
      <c r="BW398" s="52">
        <v>0</v>
      </c>
      <c r="BX398" s="52">
        <v>0</v>
      </c>
      <c r="BY398" s="52">
        <v>0</v>
      </c>
      <c r="BZ398" s="52">
        <v>0</v>
      </c>
      <c r="CA398" s="52">
        <v>0</v>
      </c>
      <c r="CB398" s="52">
        <v>0</v>
      </c>
      <c r="CC398" s="52">
        <v>0</v>
      </c>
      <c r="CD398" s="52">
        <v>0</v>
      </c>
      <c r="CE398" s="52">
        <v>0</v>
      </c>
      <c r="CF398" s="52">
        <v>0</v>
      </c>
      <c r="CG398" s="52">
        <v>0</v>
      </c>
      <c r="CH398" s="52">
        <v>0</v>
      </c>
      <c r="CI398" s="52">
        <v>0</v>
      </c>
      <c r="CJ398" s="52">
        <v>0</v>
      </c>
      <c r="CK398" s="52">
        <v>0</v>
      </c>
      <c r="CL398" s="52">
        <v>0</v>
      </c>
      <c r="CM398" s="52">
        <v>0</v>
      </c>
      <c r="CN398" s="52">
        <v>0</v>
      </c>
      <c r="CO398" s="52">
        <v>0</v>
      </c>
      <c r="CP398" s="52">
        <v>0</v>
      </c>
      <c r="CQ398" s="52">
        <v>0</v>
      </c>
      <c r="CR398" s="52">
        <v>0</v>
      </c>
      <c r="CS398" s="52">
        <v>0</v>
      </c>
      <c r="CT398" s="52">
        <v>0</v>
      </c>
      <c r="CU398" s="52">
        <v>0</v>
      </c>
      <c r="CV398" s="430">
        <f t="shared" si="12"/>
        <v>0</v>
      </c>
    </row>
    <row r="399" spans="1:100">
      <c r="A399" s="540" t="str">
        <f t="shared" si="11"/>
        <v>8900140</v>
      </c>
      <c r="B399" s="541" t="s">
        <v>2185</v>
      </c>
      <c r="C399" s="463" t="s">
        <v>1259</v>
      </c>
      <c r="D399" s="426">
        <v>393529.14</v>
      </c>
      <c r="E399" s="426">
        <v>364102.51</v>
      </c>
      <c r="F399" s="426">
        <v>430194.33</v>
      </c>
      <c r="G399" s="426">
        <v>432200.27</v>
      </c>
      <c r="H399" s="426">
        <v>384387.02</v>
      </c>
      <c r="I399" s="426">
        <v>383213.38</v>
      </c>
      <c r="J399" s="426">
        <v>257877.04</v>
      </c>
      <c r="K399" s="426">
        <v>354853.12</v>
      </c>
      <c r="L399" s="426">
        <v>302593.39</v>
      </c>
      <c r="M399" s="426">
        <v>19615.43</v>
      </c>
      <c r="N399" s="426">
        <v>218344.53</v>
      </c>
      <c r="O399" s="427">
        <v>292732.93</v>
      </c>
      <c r="P399" s="52">
        <v>290768.96000000002</v>
      </c>
      <c r="Q399" s="52">
        <v>258758.54</v>
      </c>
      <c r="R399" s="52">
        <v>362326.81</v>
      </c>
      <c r="S399" s="52">
        <v>179762.18</v>
      </c>
      <c r="T399" s="52">
        <v>-90169.47</v>
      </c>
      <c r="U399" s="52">
        <v>261459.69</v>
      </c>
      <c r="V399" s="52">
        <v>197119.3</v>
      </c>
      <c r="W399" s="52">
        <v>198094.14</v>
      </c>
      <c r="X399" s="52">
        <v>194922.45</v>
      </c>
      <c r="Y399" s="52">
        <v>191913.13</v>
      </c>
      <c r="Z399" s="52">
        <v>180576.23</v>
      </c>
      <c r="AA399" s="52">
        <v>224267.16</v>
      </c>
      <c r="AB399" s="52">
        <v>110534.95</v>
      </c>
      <c r="AC399" s="52">
        <v>75394.14</v>
      </c>
      <c r="AD399" s="52">
        <v>-45526.62</v>
      </c>
      <c r="AE399" s="52">
        <v>42171.68</v>
      </c>
      <c r="AF399" s="52">
        <v>30295.98</v>
      </c>
      <c r="AG399" s="52">
        <v>3909.26</v>
      </c>
      <c r="AH399" s="52">
        <v>34897.360000000001</v>
      </c>
      <c r="AI399" s="52">
        <v>-19185.560000000001</v>
      </c>
      <c r="AJ399" s="52">
        <v>47052.63</v>
      </c>
      <c r="AK399" s="52">
        <v>57779.38</v>
      </c>
      <c r="AL399" s="52">
        <v>17244.41</v>
      </c>
      <c r="AM399" s="52">
        <v>107574.45</v>
      </c>
      <c r="AN399" s="52">
        <v>228601.52</v>
      </c>
      <c r="AO399" s="52">
        <v>475045.16</v>
      </c>
      <c r="AP399" s="52">
        <v>514588.37</v>
      </c>
      <c r="AQ399" s="52">
        <v>656471.39</v>
      </c>
      <c r="AR399" s="52">
        <v>753287.3</v>
      </c>
      <c r="AS399" s="52">
        <v>922885.54</v>
      </c>
      <c r="AT399" s="52">
        <v>709726.93</v>
      </c>
      <c r="AU399" s="52">
        <v>792943.58</v>
      </c>
      <c r="AV399" s="52">
        <v>601588.66</v>
      </c>
      <c r="AW399" s="52">
        <v>711156.65</v>
      </c>
      <c r="AX399" s="52">
        <v>698473.73</v>
      </c>
      <c r="AY399" s="52">
        <v>829090.79</v>
      </c>
      <c r="AZ399" s="52">
        <v>819332.05</v>
      </c>
      <c r="BA399" s="52">
        <v>668461.92000000004</v>
      </c>
      <c r="BB399" s="52">
        <v>758312.57</v>
      </c>
      <c r="BC399" s="52">
        <v>705479.92</v>
      </c>
      <c r="BD399" s="52">
        <v>880272.38</v>
      </c>
      <c r="BE399" s="52">
        <v>908809.61</v>
      </c>
      <c r="BF399" s="52">
        <v>699624.9</v>
      </c>
      <c r="BG399" s="52">
        <v>640161.49</v>
      </c>
      <c r="BH399" s="52">
        <v>761466.62</v>
      </c>
      <c r="BI399" s="52">
        <v>850861.15</v>
      </c>
      <c r="BJ399" s="52">
        <v>941999.13</v>
      </c>
      <c r="BK399" s="52">
        <v>807324.87</v>
      </c>
      <c r="BL399" s="52">
        <v>862521.07</v>
      </c>
      <c r="BM399" s="52">
        <v>850520.63</v>
      </c>
      <c r="BN399" s="52">
        <v>805015.77</v>
      </c>
      <c r="BO399" s="52">
        <v>772959.79</v>
      </c>
      <c r="BP399" s="52">
        <v>1025152.62</v>
      </c>
      <c r="BQ399" s="52">
        <v>762339.03</v>
      </c>
      <c r="BR399" s="52">
        <v>731046.56</v>
      </c>
      <c r="BS399" s="52">
        <v>1002291.65</v>
      </c>
      <c r="BT399" s="52">
        <v>732021.42</v>
      </c>
      <c r="BU399" s="52">
        <v>793222.97</v>
      </c>
      <c r="BV399" s="52">
        <v>763597.07</v>
      </c>
      <c r="BW399" s="52">
        <v>623950.51</v>
      </c>
      <c r="BX399" s="52">
        <v>962402.5</v>
      </c>
      <c r="BY399" s="52">
        <v>956670.89</v>
      </c>
      <c r="BZ399" s="52">
        <v>1122609.94</v>
      </c>
      <c r="CA399" s="52">
        <v>1076871.1599999999</v>
      </c>
      <c r="CB399" s="52">
        <v>1127941.67</v>
      </c>
      <c r="CC399" s="52">
        <v>996251.95</v>
      </c>
      <c r="CD399" s="52">
        <v>1185348.46</v>
      </c>
      <c r="CE399" s="52">
        <v>963314.53</v>
      </c>
      <c r="CF399" s="52">
        <v>1019287.67</v>
      </c>
      <c r="CG399" s="52">
        <v>1030500.31</v>
      </c>
      <c r="CH399" s="52">
        <v>912276.58</v>
      </c>
      <c r="CI399" s="52">
        <v>1044707.78</v>
      </c>
      <c r="CJ399" s="52">
        <v>911555.88</v>
      </c>
      <c r="CK399" s="52">
        <v>853051.48</v>
      </c>
      <c r="CL399" s="52">
        <v>920678.08</v>
      </c>
      <c r="CM399" s="52">
        <v>923277.43</v>
      </c>
      <c r="CN399" s="52">
        <v>891553.5</v>
      </c>
      <c r="CO399" s="52">
        <v>1161890.75</v>
      </c>
      <c r="CP399" s="52">
        <v>1084462.8700000001</v>
      </c>
      <c r="CQ399" s="52">
        <v>1011842.14</v>
      </c>
      <c r="CR399" s="52">
        <v>948515.42</v>
      </c>
      <c r="CS399" s="52">
        <v>904534.92</v>
      </c>
      <c r="CT399" s="52">
        <v>1109844.1499999999</v>
      </c>
      <c r="CU399" s="52">
        <v>1123805.72</v>
      </c>
      <c r="CV399" s="430">
        <f t="shared" si="12"/>
        <v>11845012.340000002</v>
      </c>
    </row>
    <row r="400" spans="1:100">
      <c r="A400" s="540" t="str">
        <f t="shared" si="11"/>
        <v>8900141</v>
      </c>
      <c r="B400" s="541" t="s">
        <v>2186</v>
      </c>
      <c r="C400" s="463" t="s">
        <v>1440</v>
      </c>
      <c r="D400" s="426"/>
      <c r="E400" s="426"/>
      <c r="F400" s="426"/>
      <c r="G400" s="426"/>
      <c r="H400" s="426"/>
      <c r="I400" s="426"/>
      <c r="J400" s="426"/>
      <c r="K400" s="426"/>
      <c r="L400" s="426"/>
      <c r="M400" s="426"/>
      <c r="N400" s="426"/>
      <c r="O400" s="427"/>
      <c r="P400" s="52"/>
      <c r="Q400" s="52"/>
      <c r="R400" s="52"/>
      <c r="S400" s="52"/>
      <c r="T400" s="52"/>
      <c r="U400" s="52"/>
      <c r="V400" s="52"/>
      <c r="W400" s="52"/>
      <c r="X400" s="52"/>
      <c r="Y400" s="52"/>
      <c r="Z400" s="52"/>
      <c r="AA400" s="52"/>
      <c r="AB400" s="52"/>
      <c r="AC400" s="52"/>
      <c r="AD400" s="52"/>
      <c r="AE400" s="52">
        <v>102020.69</v>
      </c>
      <c r="AF400" s="52">
        <v>79772.45</v>
      </c>
      <c r="AG400" s="52">
        <v>83380.350000000006</v>
      </c>
      <c r="AH400" s="52">
        <v>82422.69</v>
      </c>
      <c r="AI400" s="52">
        <v>95192.41</v>
      </c>
      <c r="AJ400" s="52">
        <v>94678.95</v>
      </c>
      <c r="AK400" s="52">
        <v>100885.88</v>
      </c>
      <c r="AL400" s="52">
        <v>119591.64</v>
      </c>
      <c r="AM400" s="52">
        <v>109692.98</v>
      </c>
      <c r="AN400" s="52">
        <v>130857.54</v>
      </c>
      <c r="AO400" s="52">
        <v>117175.82</v>
      </c>
      <c r="AP400" s="52">
        <v>139071.47</v>
      </c>
      <c r="AQ400" s="52">
        <v>151231.37</v>
      </c>
      <c r="AR400" s="52">
        <v>181194.37</v>
      </c>
      <c r="AS400" s="52">
        <v>176409.58</v>
      </c>
      <c r="AT400" s="52">
        <v>172869.43</v>
      </c>
      <c r="AU400" s="52">
        <v>184099.76</v>
      </c>
      <c r="AV400" s="52">
        <v>144770.89000000001</v>
      </c>
      <c r="AW400" s="52">
        <v>-27153.72</v>
      </c>
      <c r="AX400" s="52">
        <v>139592.91</v>
      </c>
      <c r="AY400" s="52">
        <v>135716.62</v>
      </c>
      <c r="AZ400" s="52">
        <v>144059.82999999999</v>
      </c>
      <c r="BA400" s="52">
        <v>133089.49</v>
      </c>
      <c r="BB400" s="52">
        <v>117978.01</v>
      </c>
      <c r="BC400" s="52">
        <v>123566.49</v>
      </c>
      <c r="BD400" s="52">
        <v>138861.49</v>
      </c>
      <c r="BE400" s="52">
        <v>132391.41</v>
      </c>
      <c r="BF400" s="52">
        <v>124505.63</v>
      </c>
      <c r="BG400" s="52">
        <v>123041.9</v>
      </c>
      <c r="BH400" s="52">
        <v>101616.02</v>
      </c>
      <c r="BI400" s="52">
        <v>131302.64000000001</v>
      </c>
      <c r="BJ400" s="52">
        <v>112293.18</v>
      </c>
      <c r="BK400" s="52">
        <v>109457.15</v>
      </c>
      <c r="BL400" s="52">
        <v>141982.32</v>
      </c>
      <c r="BM400" s="52">
        <v>147055.82</v>
      </c>
      <c r="BN400" s="52">
        <v>157622.89000000001</v>
      </c>
      <c r="BO400" s="52">
        <v>117473.99</v>
      </c>
      <c r="BP400" s="52">
        <v>141300.13</v>
      </c>
      <c r="BQ400" s="52">
        <v>125462.25</v>
      </c>
      <c r="BR400" s="52">
        <v>178955.98</v>
      </c>
      <c r="BS400" s="52">
        <v>148865.56</v>
      </c>
      <c r="BT400" s="52">
        <v>132142.18</v>
      </c>
      <c r="BU400" s="52">
        <v>179993.05</v>
      </c>
      <c r="BV400" s="52">
        <v>158930.79999999999</v>
      </c>
      <c r="BW400" s="52">
        <v>161557.9</v>
      </c>
      <c r="BX400" s="52">
        <v>0</v>
      </c>
      <c r="BY400" s="52">
        <v>0</v>
      </c>
      <c r="BZ400" s="52">
        <v>0</v>
      </c>
      <c r="CA400" s="52">
        <v>0</v>
      </c>
      <c r="CB400" s="52">
        <v>0</v>
      </c>
      <c r="CC400" s="52">
        <v>0</v>
      </c>
      <c r="CD400" s="52">
        <v>0</v>
      </c>
      <c r="CE400" s="52">
        <v>0</v>
      </c>
      <c r="CF400" s="52">
        <v>0</v>
      </c>
      <c r="CG400" s="52">
        <v>0</v>
      </c>
      <c r="CH400" s="52">
        <v>0</v>
      </c>
      <c r="CI400" s="52">
        <v>0</v>
      </c>
      <c r="CJ400" s="52">
        <v>0</v>
      </c>
      <c r="CK400" s="52">
        <v>47486.85</v>
      </c>
      <c r="CL400" s="52">
        <v>3258.53</v>
      </c>
      <c r="CM400" s="52">
        <v>0</v>
      </c>
      <c r="CN400" s="52">
        <v>0</v>
      </c>
      <c r="CO400" s="52">
        <v>0</v>
      </c>
      <c r="CP400" s="52">
        <v>0</v>
      </c>
      <c r="CQ400" s="52">
        <v>0</v>
      </c>
      <c r="CR400" s="52">
        <v>0</v>
      </c>
      <c r="CS400" s="52">
        <v>0</v>
      </c>
      <c r="CT400" s="52">
        <v>0</v>
      </c>
      <c r="CU400" s="52">
        <v>0</v>
      </c>
      <c r="CV400" s="430">
        <f t="shared" si="12"/>
        <v>50745.38</v>
      </c>
    </row>
    <row r="401" spans="1:100">
      <c r="A401" s="540" t="str">
        <f t="shared" si="11"/>
        <v>8900170</v>
      </c>
      <c r="B401" s="541" t="s">
        <v>2187</v>
      </c>
      <c r="C401" s="463" t="s">
        <v>1260</v>
      </c>
      <c r="D401" s="426">
        <v>0</v>
      </c>
      <c r="E401" s="426">
        <v>0</v>
      </c>
      <c r="F401" s="426">
        <v>0</v>
      </c>
      <c r="G401" s="426">
        <v>0</v>
      </c>
      <c r="H401" s="426">
        <v>0</v>
      </c>
      <c r="I401" s="426">
        <v>0</v>
      </c>
      <c r="J401" s="426">
        <v>0</v>
      </c>
      <c r="K401" s="426">
        <v>0</v>
      </c>
      <c r="L401" s="426">
        <v>0</v>
      </c>
      <c r="M401" s="426">
        <v>0</v>
      </c>
      <c r="N401" s="426">
        <v>-11.36</v>
      </c>
      <c r="O401" s="427">
        <v>0</v>
      </c>
      <c r="P401" s="52">
        <v>0</v>
      </c>
      <c r="Q401" s="52">
        <v>0</v>
      </c>
      <c r="R401" s="52">
        <v>0</v>
      </c>
      <c r="S401" s="52">
        <v>0</v>
      </c>
      <c r="T401" s="52">
        <v>0</v>
      </c>
      <c r="U401" s="52">
        <v>0.83</v>
      </c>
      <c r="V401" s="52">
        <v>0</v>
      </c>
      <c r="W401" s="52">
        <v>0</v>
      </c>
      <c r="X401" s="52">
        <v>0</v>
      </c>
      <c r="Y401" s="52">
        <v>0</v>
      </c>
      <c r="Z401" s="52">
        <v>0</v>
      </c>
      <c r="AA401" s="52">
        <v>0</v>
      </c>
      <c r="AB401" s="52">
        <v>0</v>
      </c>
      <c r="AC401" s="52">
        <v>0</v>
      </c>
      <c r="AD401" s="52">
        <v>1.1399999999999999</v>
      </c>
      <c r="AE401" s="52">
        <v>0</v>
      </c>
      <c r="AF401" s="52">
        <v>0</v>
      </c>
      <c r="AG401" s="52">
        <v>0</v>
      </c>
      <c r="AH401" s="52">
        <v>0</v>
      </c>
      <c r="AI401" s="52">
        <v>1.82</v>
      </c>
      <c r="AJ401" s="52">
        <v>0</v>
      </c>
      <c r="AK401" s="52">
        <v>0</v>
      </c>
      <c r="AL401" s="52">
        <v>0</v>
      </c>
      <c r="AM401" s="52">
        <v>0</v>
      </c>
      <c r="AN401" s="52">
        <v>1.19</v>
      </c>
      <c r="AO401" s="52">
        <v>0</v>
      </c>
      <c r="AP401" s="52">
        <v>0</v>
      </c>
      <c r="AQ401" s="52">
        <v>0</v>
      </c>
      <c r="AR401" s="52">
        <v>0</v>
      </c>
      <c r="AS401" s="52">
        <v>0</v>
      </c>
      <c r="AT401" s="52">
        <v>0</v>
      </c>
      <c r="AU401" s="52">
        <v>0</v>
      </c>
      <c r="AV401" s="52">
        <v>0</v>
      </c>
      <c r="AW401" s="52">
        <v>0</v>
      </c>
      <c r="AX401" s="52">
        <v>3.75</v>
      </c>
      <c r="AY401" s="52">
        <v>0</v>
      </c>
      <c r="AZ401" s="52">
        <v>0</v>
      </c>
      <c r="BA401" s="52">
        <v>0</v>
      </c>
      <c r="BB401" s="52">
        <v>0</v>
      </c>
      <c r="BC401" s="52">
        <v>0</v>
      </c>
      <c r="BD401" s="52">
        <v>0</v>
      </c>
      <c r="BE401" s="52">
        <v>3.59</v>
      </c>
      <c r="BF401" s="52">
        <v>-124.9</v>
      </c>
      <c r="BG401" s="52">
        <v>0</v>
      </c>
      <c r="BH401" s="52">
        <v>0</v>
      </c>
      <c r="BI401" s="52">
        <v>0</v>
      </c>
      <c r="BJ401" s="52">
        <v>0</v>
      </c>
      <c r="BK401" s="52">
        <v>-245.62</v>
      </c>
      <c r="BL401" s="52">
        <v>0</v>
      </c>
      <c r="BM401" s="52">
        <v>0</v>
      </c>
      <c r="BN401" s="52">
        <v>0</v>
      </c>
      <c r="BO401" s="52">
        <v>0</v>
      </c>
      <c r="BP401" s="52">
        <v>0</v>
      </c>
      <c r="BQ401" s="52">
        <v>0</v>
      </c>
      <c r="BR401" s="52">
        <v>0</v>
      </c>
      <c r="BS401" s="52">
        <v>0</v>
      </c>
      <c r="BT401" s="52">
        <v>9.7799999999999994</v>
      </c>
      <c r="BU401" s="52">
        <v>13.51</v>
      </c>
      <c r="BV401" s="52">
        <v>3.26</v>
      </c>
      <c r="BW401" s="52">
        <v>3.26</v>
      </c>
      <c r="BX401" s="52">
        <v>12.7</v>
      </c>
      <c r="BY401" s="52">
        <v>-529.36</v>
      </c>
      <c r="BZ401" s="52">
        <v>535.11</v>
      </c>
      <c r="CA401" s="52">
        <v>0</v>
      </c>
      <c r="CB401" s="52">
        <v>0</v>
      </c>
      <c r="CC401" s="52">
        <v>0</v>
      </c>
      <c r="CD401" s="52">
        <v>228.76</v>
      </c>
      <c r="CE401" s="52">
        <v>0</v>
      </c>
      <c r="CF401" s="52">
        <v>0</v>
      </c>
      <c r="CG401" s="52">
        <v>2.17</v>
      </c>
      <c r="CH401" s="52">
        <v>0</v>
      </c>
      <c r="CI401" s="52">
        <v>1968.22</v>
      </c>
      <c r="CJ401" s="52">
        <v>0</v>
      </c>
      <c r="CK401" s="52">
        <v>0</v>
      </c>
      <c r="CL401" s="52">
        <v>0</v>
      </c>
      <c r="CM401" s="52">
        <v>1038.8399999999999</v>
      </c>
      <c r="CN401" s="52">
        <v>273.81</v>
      </c>
      <c r="CO401" s="52">
        <v>329.37</v>
      </c>
      <c r="CP401" s="52">
        <v>134.88999999999999</v>
      </c>
      <c r="CQ401" s="52">
        <v>-829.96</v>
      </c>
      <c r="CR401" s="52">
        <v>0</v>
      </c>
      <c r="CS401" s="52">
        <v>0</v>
      </c>
      <c r="CT401" s="52">
        <v>-22.15</v>
      </c>
      <c r="CU401" s="52">
        <v>565.77</v>
      </c>
      <c r="CV401" s="430">
        <f t="shared" si="12"/>
        <v>1490.5699999999997</v>
      </c>
    </row>
    <row r="402" spans="1:100">
      <c r="A402" s="540" t="str">
        <f t="shared" si="11"/>
        <v>8900180</v>
      </c>
      <c r="B402" s="541" t="s">
        <v>2188</v>
      </c>
      <c r="C402" s="463" t="s">
        <v>1261</v>
      </c>
      <c r="D402" s="428">
        <v>48</v>
      </c>
      <c r="E402" s="428">
        <v>47</v>
      </c>
      <c r="F402" s="428">
        <v>46</v>
      </c>
      <c r="G402" s="428">
        <v>46</v>
      </c>
      <c r="H402" s="428">
        <v>68</v>
      </c>
      <c r="I402" s="428">
        <v>43</v>
      </c>
      <c r="J402" s="428">
        <v>43</v>
      </c>
      <c r="K402" s="428">
        <v>44</v>
      </c>
      <c r="L402" s="428">
        <v>46</v>
      </c>
      <c r="M402" s="428">
        <v>75</v>
      </c>
      <c r="N402" s="428">
        <v>50</v>
      </c>
      <c r="O402" s="429">
        <v>50</v>
      </c>
      <c r="P402" s="52">
        <v>0</v>
      </c>
      <c r="Q402" s="52">
        <v>0</v>
      </c>
      <c r="R402" s="52">
        <v>0</v>
      </c>
      <c r="S402" s="52">
        <v>0</v>
      </c>
      <c r="T402" s="52">
        <v>0</v>
      </c>
      <c r="U402" s="52">
        <v>0</v>
      </c>
      <c r="V402" s="52">
        <v>0</v>
      </c>
      <c r="W402" s="52">
        <v>0</v>
      </c>
      <c r="X402" s="52">
        <v>0</v>
      </c>
      <c r="Y402" s="52">
        <v>0</v>
      </c>
      <c r="Z402" s="52">
        <v>0</v>
      </c>
      <c r="AA402" s="52">
        <v>0</v>
      </c>
      <c r="AB402" s="52">
        <v>0</v>
      </c>
      <c r="AC402" s="52">
        <v>0</v>
      </c>
      <c r="AD402" s="52">
        <v>0</v>
      </c>
      <c r="AE402" s="52">
        <v>0</v>
      </c>
      <c r="AF402" s="52">
        <v>0</v>
      </c>
      <c r="AG402" s="52">
        <v>0</v>
      </c>
      <c r="AH402" s="52">
        <v>0</v>
      </c>
      <c r="AI402" s="52">
        <v>0</v>
      </c>
      <c r="AJ402" s="52">
        <v>0</v>
      </c>
      <c r="AK402" s="52">
        <v>0</v>
      </c>
      <c r="AL402" s="52">
        <v>0</v>
      </c>
      <c r="AM402" s="52">
        <v>0</v>
      </c>
      <c r="AN402" s="52">
        <v>0</v>
      </c>
      <c r="AO402" s="52">
        <v>0</v>
      </c>
      <c r="AP402" s="52">
        <v>109.88</v>
      </c>
      <c r="AQ402" s="52">
        <v>0</v>
      </c>
      <c r="AR402" s="52">
        <v>0</v>
      </c>
      <c r="AS402" s="52">
        <v>0</v>
      </c>
      <c r="AT402" s="52">
        <v>0</v>
      </c>
      <c r="AU402" s="52">
        <v>0</v>
      </c>
      <c r="AV402" s="52">
        <v>0</v>
      </c>
      <c r="AW402" s="52">
        <v>0</v>
      </c>
      <c r="AX402" s="52">
        <v>0</v>
      </c>
      <c r="AY402" s="52">
        <v>0</v>
      </c>
      <c r="AZ402" s="52">
        <v>0</v>
      </c>
      <c r="BA402" s="52">
        <v>0</v>
      </c>
      <c r="BB402" s="52">
        <v>0</v>
      </c>
      <c r="BC402" s="52">
        <v>0</v>
      </c>
      <c r="BD402" s="52">
        <v>0</v>
      </c>
      <c r="BE402" s="52">
        <v>0</v>
      </c>
      <c r="BF402" s="52">
        <v>0</v>
      </c>
      <c r="BG402" s="52">
        <v>0</v>
      </c>
      <c r="BH402" s="52">
        <v>0</v>
      </c>
      <c r="BI402" s="52">
        <v>0</v>
      </c>
      <c r="BJ402" s="52">
        <v>0</v>
      </c>
      <c r="BK402" s="52">
        <v>0</v>
      </c>
      <c r="BL402" s="52">
        <v>0</v>
      </c>
      <c r="BM402" s="52">
        <v>0</v>
      </c>
      <c r="BN402" s="52">
        <v>0</v>
      </c>
      <c r="BO402" s="52">
        <v>0</v>
      </c>
      <c r="BP402" s="52">
        <v>0</v>
      </c>
      <c r="BQ402" s="52">
        <v>0</v>
      </c>
      <c r="BR402" s="52">
        <v>0</v>
      </c>
      <c r="BS402" s="52">
        <v>0</v>
      </c>
      <c r="BT402" s="52">
        <v>0</v>
      </c>
      <c r="BU402" s="52">
        <v>0</v>
      </c>
      <c r="BV402" s="52">
        <v>0</v>
      </c>
      <c r="BW402" s="52">
        <v>-2368.0700000000002</v>
      </c>
      <c r="BX402" s="52">
        <v>2368.0700000000002</v>
      </c>
      <c r="BY402" s="52">
        <v>0</v>
      </c>
      <c r="BZ402" s="52">
        <v>0</v>
      </c>
      <c r="CA402" s="52">
        <v>0</v>
      </c>
      <c r="CB402" s="52">
        <v>0</v>
      </c>
      <c r="CC402" s="52">
        <v>0</v>
      </c>
      <c r="CD402" s="52">
        <v>0</v>
      </c>
      <c r="CE402" s="52">
        <v>0</v>
      </c>
      <c r="CF402" s="52">
        <v>0</v>
      </c>
      <c r="CG402" s="52">
        <v>-15987.2</v>
      </c>
      <c r="CH402" s="52">
        <v>0</v>
      </c>
      <c r="CI402" s="52">
        <v>-18543.73</v>
      </c>
      <c r="CJ402" s="52">
        <v>-3808.97</v>
      </c>
      <c r="CK402" s="52">
        <v>0</v>
      </c>
      <c r="CL402" s="52">
        <v>0</v>
      </c>
      <c r="CM402" s="52">
        <v>-14680.09</v>
      </c>
      <c r="CN402" s="52">
        <v>0</v>
      </c>
      <c r="CO402" s="52">
        <v>0</v>
      </c>
      <c r="CP402" s="52">
        <v>-15915.37</v>
      </c>
      <c r="CQ402" s="52">
        <v>0</v>
      </c>
      <c r="CR402" s="52">
        <v>0</v>
      </c>
      <c r="CS402" s="52">
        <v>0</v>
      </c>
      <c r="CT402" s="52">
        <v>0</v>
      </c>
      <c r="CU402" s="52">
        <v>-15600.05</v>
      </c>
      <c r="CV402" s="430">
        <f t="shared" si="12"/>
        <v>-50004.479999999996</v>
      </c>
    </row>
    <row r="403" spans="1:100">
      <c r="A403" s="540" t="str">
        <f t="shared" si="11"/>
        <v>8903001</v>
      </c>
      <c r="B403" s="541" t="s">
        <v>2189</v>
      </c>
      <c r="C403" s="463" t="s">
        <v>1399</v>
      </c>
      <c r="D403" s="428"/>
      <c r="E403" s="428"/>
      <c r="F403" s="428"/>
      <c r="G403" s="428"/>
      <c r="H403" s="428"/>
      <c r="I403" s="428"/>
      <c r="J403" s="428"/>
      <c r="K403" s="428"/>
      <c r="L403" s="428"/>
      <c r="M403" s="428"/>
      <c r="N403" s="428"/>
      <c r="O403" s="429"/>
      <c r="P403" s="52"/>
      <c r="Q403" s="52"/>
      <c r="R403" s="52"/>
      <c r="S403" s="52"/>
      <c r="T403" s="52"/>
      <c r="U403" s="52">
        <v>340196.87</v>
      </c>
      <c r="V403" s="52">
        <v>360376.11</v>
      </c>
      <c r="W403" s="52">
        <v>327688.73</v>
      </c>
      <c r="X403" s="52">
        <v>505130.44</v>
      </c>
      <c r="Y403" s="52">
        <v>293423.52</v>
      </c>
      <c r="Z403" s="52">
        <v>468968.19</v>
      </c>
      <c r="AA403" s="52">
        <v>456157.34</v>
      </c>
      <c r="AB403" s="52">
        <v>0</v>
      </c>
      <c r="AC403" s="52">
        <v>338795.02</v>
      </c>
      <c r="AD403" s="52">
        <v>433172.44</v>
      </c>
      <c r="AE403" s="52">
        <v>406311.65</v>
      </c>
      <c r="AF403" s="52">
        <v>399331.56</v>
      </c>
      <c r="AG403" s="52">
        <v>425226.31</v>
      </c>
      <c r="AH403" s="52">
        <v>312733.27</v>
      </c>
      <c r="AI403" s="52">
        <v>332500.53000000003</v>
      </c>
      <c r="AJ403" s="52">
        <v>258087.24</v>
      </c>
      <c r="AK403" s="52">
        <v>284161.68</v>
      </c>
      <c r="AL403" s="52">
        <v>541638.15</v>
      </c>
      <c r="AM403" s="52">
        <v>364706.15</v>
      </c>
      <c r="AN403" s="52">
        <v>318617.2</v>
      </c>
      <c r="AO403" s="52">
        <v>256325.83</v>
      </c>
      <c r="AP403" s="52">
        <v>335185.86</v>
      </c>
      <c r="AQ403" s="52">
        <v>294080.78999999998</v>
      </c>
      <c r="AR403" s="52">
        <v>317315.45</v>
      </c>
      <c r="AS403" s="52">
        <v>322341.21000000002</v>
      </c>
      <c r="AT403" s="52">
        <v>296908.77</v>
      </c>
      <c r="AU403" s="52">
        <v>299947.23</v>
      </c>
      <c r="AV403" s="52">
        <v>291944.32000000001</v>
      </c>
      <c r="AW403" s="52">
        <v>346645.64</v>
      </c>
      <c r="AX403" s="52">
        <v>372342.85</v>
      </c>
      <c r="AY403" s="52">
        <v>335426.77</v>
      </c>
      <c r="AZ403" s="52">
        <v>285286.28999999998</v>
      </c>
      <c r="BA403" s="52">
        <v>288474.98</v>
      </c>
      <c r="BB403" s="52">
        <v>311128.25</v>
      </c>
      <c r="BC403" s="52">
        <v>227439.51</v>
      </c>
      <c r="BD403" s="52">
        <v>253752.7</v>
      </c>
      <c r="BE403" s="52">
        <v>435277.96</v>
      </c>
      <c r="BF403" s="52">
        <v>312911.90000000002</v>
      </c>
      <c r="BG403" s="52">
        <v>301242.5</v>
      </c>
      <c r="BH403" s="52">
        <v>448803.56</v>
      </c>
      <c r="BI403" s="52">
        <v>289028.31</v>
      </c>
      <c r="BJ403" s="52">
        <v>284723.36</v>
      </c>
      <c r="BK403" s="52">
        <v>302852.33</v>
      </c>
      <c r="BL403" s="52">
        <v>250241.38</v>
      </c>
      <c r="BM403" s="52">
        <v>232073.1</v>
      </c>
      <c r="BN403" s="52">
        <v>438540.3</v>
      </c>
      <c r="BO403" s="52">
        <v>257556.94</v>
      </c>
      <c r="BP403" s="52">
        <v>253883.5</v>
      </c>
      <c r="BQ403" s="52">
        <v>442260.9</v>
      </c>
      <c r="BR403" s="52">
        <v>226936.25</v>
      </c>
      <c r="BS403" s="52">
        <v>295136.09999999998</v>
      </c>
      <c r="BT403" s="52">
        <v>490284.52</v>
      </c>
      <c r="BU403" s="52">
        <v>229520.12</v>
      </c>
      <c r="BV403" s="52">
        <v>192411.81</v>
      </c>
      <c r="BW403" s="52">
        <v>161287.59</v>
      </c>
      <c r="BX403" s="52">
        <v>254518.65</v>
      </c>
      <c r="BY403" s="52">
        <v>213109.5</v>
      </c>
      <c r="BZ403" s="52">
        <v>387030.9</v>
      </c>
      <c r="CA403" s="52">
        <v>237745.08</v>
      </c>
      <c r="CB403" s="52">
        <v>245899.26</v>
      </c>
      <c r="CC403" s="52">
        <v>195432.38</v>
      </c>
      <c r="CD403" s="52">
        <v>230578.63</v>
      </c>
      <c r="CE403" s="52">
        <v>239354.88</v>
      </c>
      <c r="CF403" s="52">
        <v>340346.17</v>
      </c>
      <c r="CG403" s="52">
        <v>240802.1</v>
      </c>
      <c r="CH403" s="52">
        <v>225389.75</v>
      </c>
      <c r="CI403" s="52">
        <v>700086.58</v>
      </c>
      <c r="CJ403" s="52">
        <v>249019.84</v>
      </c>
      <c r="CK403" s="52">
        <v>281366.49</v>
      </c>
      <c r="CL403" s="52">
        <v>430920.98</v>
      </c>
      <c r="CM403" s="52">
        <v>-9331.7099999999991</v>
      </c>
      <c r="CN403" s="52">
        <v>266496.43</v>
      </c>
      <c r="CO403" s="52">
        <v>348330.4</v>
      </c>
      <c r="CP403" s="52">
        <v>219276.46</v>
      </c>
      <c r="CQ403" s="52">
        <v>255022.12</v>
      </c>
      <c r="CR403" s="52">
        <v>279980.31</v>
      </c>
      <c r="CS403" s="52">
        <v>314206.28000000003</v>
      </c>
      <c r="CT403" s="52">
        <v>221002.93</v>
      </c>
      <c r="CU403" s="52">
        <v>362370.75</v>
      </c>
      <c r="CV403" s="430">
        <f t="shared" si="12"/>
        <v>3218661.2800000007</v>
      </c>
    </row>
    <row r="404" spans="1:100">
      <c r="A404" s="540" t="str">
        <f t="shared" si="11"/>
        <v>8903002</v>
      </c>
      <c r="B404" s="541" t="s">
        <v>2190</v>
      </c>
      <c r="C404" s="463" t="s">
        <v>1262</v>
      </c>
      <c r="D404" s="426">
        <v>424221</v>
      </c>
      <c r="E404" s="426">
        <v>424221</v>
      </c>
      <c r="F404" s="426">
        <v>424221</v>
      </c>
      <c r="G404" s="426">
        <v>424221</v>
      </c>
      <c r="H404" s="426">
        <v>424221</v>
      </c>
      <c r="I404" s="426">
        <v>424221</v>
      </c>
      <c r="J404" s="426">
        <v>424221</v>
      </c>
      <c r="K404" s="426">
        <v>424221</v>
      </c>
      <c r="L404" s="426">
        <v>424221</v>
      </c>
      <c r="M404" s="426">
        <v>424221</v>
      </c>
      <c r="N404" s="426">
        <v>424221</v>
      </c>
      <c r="O404" s="427">
        <v>424221</v>
      </c>
      <c r="P404" s="52">
        <v>424155.2</v>
      </c>
      <c r="Q404" s="52">
        <v>327099.78999999998</v>
      </c>
      <c r="R404" s="52">
        <v>421274.65</v>
      </c>
      <c r="S404" s="52">
        <v>378032.96</v>
      </c>
      <c r="T404" s="52">
        <v>294047.57</v>
      </c>
      <c r="U404" s="52">
        <v>144014.47</v>
      </c>
      <c r="V404" s="52">
        <v>304923.39</v>
      </c>
      <c r="W404" s="52">
        <v>289482.02</v>
      </c>
      <c r="X404" s="52">
        <v>331747.06</v>
      </c>
      <c r="Y404" s="52">
        <v>332773.44</v>
      </c>
      <c r="Z404" s="52">
        <v>294761.93</v>
      </c>
      <c r="AA404" s="52">
        <v>344128.6</v>
      </c>
      <c r="AB404" s="52">
        <v>0</v>
      </c>
      <c r="AC404" s="52">
        <v>292110.84999999998</v>
      </c>
      <c r="AD404" s="52">
        <v>319408.75</v>
      </c>
      <c r="AE404" s="52">
        <v>275386.3</v>
      </c>
      <c r="AF404" s="52">
        <v>320715.5</v>
      </c>
      <c r="AG404" s="52">
        <v>359381.2</v>
      </c>
      <c r="AH404" s="52">
        <v>317105.73</v>
      </c>
      <c r="AI404" s="52">
        <v>343186.27</v>
      </c>
      <c r="AJ404" s="52">
        <v>445149.53</v>
      </c>
      <c r="AK404" s="52">
        <v>349927.55</v>
      </c>
      <c r="AL404" s="52">
        <v>335463.05</v>
      </c>
      <c r="AM404" s="52">
        <v>419663.69</v>
      </c>
      <c r="AN404" s="52">
        <v>311669.56</v>
      </c>
      <c r="AO404" s="52">
        <v>290150.83</v>
      </c>
      <c r="AP404" s="52">
        <v>317972.55</v>
      </c>
      <c r="AQ404" s="52">
        <v>341123.9</v>
      </c>
      <c r="AR404" s="52">
        <v>354119.67999999999</v>
      </c>
      <c r="AS404" s="52">
        <v>333432.05</v>
      </c>
      <c r="AT404" s="52">
        <v>309489.93</v>
      </c>
      <c r="AU404" s="52">
        <v>335198.09000000003</v>
      </c>
      <c r="AV404" s="52">
        <v>306947.74</v>
      </c>
      <c r="AW404" s="52">
        <v>189630.55</v>
      </c>
      <c r="AX404" s="52">
        <v>321312.67</v>
      </c>
      <c r="AY404" s="52">
        <v>352512.35</v>
      </c>
      <c r="AZ404" s="52">
        <v>387840.64</v>
      </c>
      <c r="BA404" s="52">
        <v>316583.2</v>
      </c>
      <c r="BB404" s="52">
        <v>365942.81</v>
      </c>
      <c r="BC404" s="52">
        <v>386747.22</v>
      </c>
      <c r="BD404" s="52">
        <v>368870.35</v>
      </c>
      <c r="BE404" s="52">
        <v>351690.97</v>
      </c>
      <c r="BF404" s="52">
        <v>360390.84</v>
      </c>
      <c r="BG404" s="52">
        <v>343200.77</v>
      </c>
      <c r="BH404" s="52">
        <v>331496.37</v>
      </c>
      <c r="BI404" s="52">
        <v>339238.56</v>
      </c>
      <c r="BJ404" s="52">
        <v>307777.8</v>
      </c>
      <c r="BK404" s="52">
        <v>327964.99</v>
      </c>
      <c r="BL404" s="52">
        <v>426770.16</v>
      </c>
      <c r="BM404" s="52">
        <v>331421.03000000003</v>
      </c>
      <c r="BN404" s="52">
        <v>360030.75</v>
      </c>
      <c r="BO404" s="52">
        <v>366193.13</v>
      </c>
      <c r="BP404" s="52">
        <v>386179.49</v>
      </c>
      <c r="BQ404" s="52">
        <v>350585.92</v>
      </c>
      <c r="BR404" s="52">
        <v>375243.15</v>
      </c>
      <c r="BS404" s="52">
        <v>359640.56</v>
      </c>
      <c r="BT404" s="52">
        <v>350024.43</v>
      </c>
      <c r="BU404" s="52">
        <v>355093.56</v>
      </c>
      <c r="BV404" s="52">
        <v>350550.81</v>
      </c>
      <c r="BW404" s="52">
        <v>406541.66</v>
      </c>
      <c r="BX404" s="52">
        <v>333936.81</v>
      </c>
      <c r="BY404" s="52">
        <v>446855.16</v>
      </c>
      <c r="BZ404" s="52">
        <v>430343.53</v>
      </c>
      <c r="CA404" s="52">
        <v>468903.4</v>
      </c>
      <c r="CB404" s="52">
        <v>416845.71</v>
      </c>
      <c r="CC404" s="52">
        <v>529473.76</v>
      </c>
      <c r="CD404" s="52">
        <v>373551.56</v>
      </c>
      <c r="CE404" s="52">
        <v>437686.36</v>
      </c>
      <c r="CF404" s="52">
        <v>351217</v>
      </c>
      <c r="CG404" s="52">
        <v>379249.53</v>
      </c>
      <c r="CH404" s="52">
        <v>380499.79</v>
      </c>
      <c r="CI404" s="52">
        <v>395882.03</v>
      </c>
      <c r="CJ404" s="52">
        <v>483012.97</v>
      </c>
      <c r="CK404" s="52">
        <v>417643.07</v>
      </c>
      <c r="CL404" s="52">
        <v>467471.86</v>
      </c>
      <c r="CM404" s="52">
        <v>317307.38</v>
      </c>
      <c r="CN404" s="52">
        <v>467802.1</v>
      </c>
      <c r="CO404" s="52">
        <v>509544.15</v>
      </c>
      <c r="CP404" s="52">
        <v>478566.07</v>
      </c>
      <c r="CQ404" s="52">
        <v>481610.43</v>
      </c>
      <c r="CR404" s="52">
        <v>471861.06</v>
      </c>
      <c r="CS404" s="52">
        <v>399353.38</v>
      </c>
      <c r="CT404" s="52">
        <v>570928.18999999994</v>
      </c>
      <c r="CU404" s="52">
        <v>585398.79</v>
      </c>
      <c r="CV404" s="430">
        <f t="shared" si="12"/>
        <v>5650499.4500000002</v>
      </c>
    </row>
    <row r="405" spans="1:100">
      <c r="A405" s="540" t="str">
        <f t="shared" si="11"/>
        <v>8903003</v>
      </c>
      <c r="B405" s="541" t="s">
        <v>2192</v>
      </c>
      <c r="C405" s="463" t="s">
        <v>1263</v>
      </c>
      <c r="D405" s="428">
        <v>27867</v>
      </c>
      <c r="E405" s="428">
        <v>27867</v>
      </c>
      <c r="F405" s="428">
        <v>27867</v>
      </c>
      <c r="G405" s="428">
        <v>27867</v>
      </c>
      <c r="H405" s="428">
        <v>27867</v>
      </c>
      <c r="I405" s="428">
        <v>27867</v>
      </c>
      <c r="J405" s="428">
        <v>27867</v>
      </c>
      <c r="K405" s="428">
        <v>27867</v>
      </c>
      <c r="L405" s="428">
        <v>27867</v>
      </c>
      <c r="M405" s="428">
        <v>27867</v>
      </c>
      <c r="N405" s="428">
        <v>27867</v>
      </c>
      <c r="O405" s="429">
        <v>27867</v>
      </c>
      <c r="P405" s="52">
        <v>25309</v>
      </c>
      <c r="Q405" s="52">
        <v>25309</v>
      </c>
      <c r="R405" s="52">
        <v>25309</v>
      </c>
      <c r="S405" s="52">
        <v>25309</v>
      </c>
      <c r="T405" s="52">
        <v>25309</v>
      </c>
      <c r="U405" s="52">
        <v>25309</v>
      </c>
      <c r="V405" s="52">
        <v>25309</v>
      </c>
      <c r="W405" s="52">
        <v>25309</v>
      </c>
      <c r="X405" s="52">
        <v>25309</v>
      </c>
      <c r="Y405" s="52">
        <v>25309</v>
      </c>
      <c r="Z405" s="52">
        <v>25309</v>
      </c>
      <c r="AA405" s="52">
        <v>25309</v>
      </c>
      <c r="AB405" s="52">
        <v>28453</v>
      </c>
      <c r="AC405" s="52">
        <v>28453</v>
      </c>
      <c r="AD405" s="52">
        <v>28453</v>
      </c>
      <c r="AE405" s="52">
        <v>28453</v>
      </c>
      <c r="AF405" s="52">
        <v>28453</v>
      </c>
      <c r="AG405" s="52">
        <v>28453</v>
      </c>
      <c r="AH405" s="52">
        <v>28453</v>
      </c>
      <c r="AI405" s="52">
        <v>28453</v>
      </c>
      <c r="AJ405" s="52">
        <v>28453</v>
      </c>
      <c r="AK405" s="52">
        <v>28453</v>
      </c>
      <c r="AL405" s="52">
        <v>28453</v>
      </c>
      <c r="AM405" s="52">
        <v>28453</v>
      </c>
      <c r="AN405" s="52">
        <v>22238</v>
      </c>
      <c r="AO405" s="52">
        <v>22238</v>
      </c>
      <c r="AP405" s="52">
        <v>22238</v>
      </c>
      <c r="AQ405" s="52">
        <v>22238</v>
      </c>
      <c r="AR405" s="52">
        <v>22238</v>
      </c>
      <c r="AS405" s="52">
        <v>22238</v>
      </c>
      <c r="AT405" s="52">
        <v>22238</v>
      </c>
      <c r="AU405" s="52">
        <v>22238</v>
      </c>
      <c r="AV405" s="52">
        <v>22238</v>
      </c>
      <c r="AW405" s="52">
        <v>22238</v>
      </c>
      <c r="AX405" s="52">
        <v>22238</v>
      </c>
      <c r="AY405" s="52">
        <v>22238</v>
      </c>
      <c r="AZ405" s="52">
        <v>22306</v>
      </c>
      <c r="BA405" s="52">
        <v>22306</v>
      </c>
      <c r="BB405" s="52">
        <v>22306</v>
      </c>
      <c r="BC405" s="52">
        <v>22306</v>
      </c>
      <c r="BD405" s="52">
        <v>22306</v>
      </c>
      <c r="BE405" s="52">
        <v>22306</v>
      </c>
      <c r="BF405" s="52">
        <v>22306</v>
      </c>
      <c r="BG405" s="52">
        <v>22306</v>
      </c>
      <c r="BH405" s="52">
        <v>22306</v>
      </c>
      <c r="BI405" s="52">
        <v>22306</v>
      </c>
      <c r="BJ405" s="52">
        <v>22306</v>
      </c>
      <c r="BK405" s="52">
        <v>22306</v>
      </c>
      <c r="BL405" s="52">
        <v>19953</v>
      </c>
      <c r="BM405" s="52">
        <v>19953</v>
      </c>
      <c r="BN405" s="52">
        <v>19953</v>
      </c>
      <c r="BO405" s="52">
        <v>19953</v>
      </c>
      <c r="BP405" s="52">
        <v>19953</v>
      </c>
      <c r="BQ405" s="52">
        <v>19953</v>
      </c>
      <c r="BR405" s="52">
        <v>19953</v>
      </c>
      <c r="BS405" s="52">
        <v>19953</v>
      </c>
      <c r="BT405" s="52">
        <v>19953</v>
      </c>
      <c r="BU405" s="52">
        <v>19953</v>
      </c>
      <c r="BV405" s="52">
        <v>19953</v>
      </c>
      <c r="BW405" s="52">
        <v>19953</v>
      </c>
      <c r="BX405" s="52">
        <v>28789</v>
      </c>
      <c r="BY405" s="52">
        <v>28789</v>
      </c>
      <c r="BZ405" s="52">
        <v>28789</v>
      </c>
      <c r="CA405" s="52">
        <v>28789</v>
      </c>
      <c r="CB405" s="52">
        <v>28789</v>
      </c>
      <c r="CC405" s="52">
        <v>28789</v>
      </c>
      <c r="CD405" s="52">
        <v>28789</v>
      </c>
      <c r="CE405" s="52">
        <v>28789</v>
      </c>
      <c r="CF405" s="52">
        <v>28789</v>
      </c>
      <c r="CG405" s="52">
        <v>28789</v>
      </c>
      <c r="CH405" s="52">
        <v>28789</v>
      </c>
      <c r="CI405" s="52">
        <v>28789</v>
      </c>
      <c r="CJ405" s="52">
        <v>32821</v>
      </c>
      <c r="CK405" s="52">
        <v>32821</v>
      </c>
      <c r="CL405" s="52">
        <v>32821</v>
      </c>
      <c r="CM405" s="52">
        <v>32821</v>
      </c>
      <c r="CN405" s="52">
        <v>32821</v>
      </c>
      <c r="CO405" s="52">
        <v>32821</v>
      </c>
      <c r="CP405" s="52">
        <v>32821</v>
      </c>
      <c r="CQ405" s="52">
        <v>32821</v>
      </c>
      <c r="CR405" s="52">
        <v>32821</v>
      </c>
      <c r="CS405" s="52">
        <v>32821</v>
      </c>
      <c r="CT405" s="52">
        <v>32821</v>
      </c>
      <c r="CU405" s="52">
        <v>32821</v>
      </c>
      <c r="CV405" s="430">
        <f t="shared" si="12"/>
        <v>393852</v>
      </c>
    </row>
    <row r="406" spans="1:100">
      <c r="A406" s="540" t="str">
        <f t="shared" si="11"/>
        <v>8903004</v>
      </c>
      <c r="B406" s="541" t="s">
        <v>2191</v>
      </c>
      <c r="C406" s="463" t="s">
        <v>1264</v>
      </c>
      <c r="D406" s="428">
        <v>17754</v>
      </c>
      <c r="E406" s="428">
        <v>17754</v>
      </c>
      <c r="F406" s="428">
        <v>17754</v>
      </c>
      <c r="G406" s="428">
        <v>17754</v>
      </c>
      <c r="H406" s="428">
        <v>17754</v>
      </c>
      <c r="I406" s="428">
        <v>17754</v>
      </c>
      <c r="J406" s="428">
        <v>17754</v>
      </c>
      <c r="K406" s="428">
        <v>17754</v>
      </c>
      <c r="L406" s="428">
        <v>17754</v>
      </c>
      <c r="M406" s="428">
        <v>17754</v>
      </c>
      <c r="N406" s="428">
        <v>17754</v>
      </c>
      <c r="O406" s="429">
        <v>17754</v>
      </c>
      <c r="P406" s="52">
        <v>15703</v>
      </c>
      <c r="Q406" s="52">
        <v>15703</v>
      </c>
      <c r="R406" s="52">
        <v>16120</v>
      </c>
      <c r="S406" s="52">
        <v>16120</v>
      </c>
      <c r="T406" s="52">
        <v>16120</v>
      </c>
      <c r="U406" s="52">
        <v>16120</v>
      </c>
      <c r="V406" s="52">
        <v>16120</v>
      </c>
      <c r="W406" s="52">
        <v>16120</v>
      </c>
      <c r="X406" s="52">
        <v>16475</v>
      </c>
      <c r="Y406" s="52">
        <v>16475</v>
      </c>
      <c r="Z406" s="52">
        <v>16475</v>
      </c>
      <c r="AA406" s="52">
        <v>16475</v>
      </c>
      <c r="AB406" s="52">
        <v>16500</v>
      </c>
      <c r="AC406" s="52">
        <v>16500</v>
      </c>
      <c r="AD406" s="52">
        <v>16500</v>
      </c>
      <c r="AE406" s="52">
        <v>16500</v>
      </c>
      <c r="AF406" s="52">
        <v>16500</v>
      </c>
      <c r="AG406" s="52">
        <v>16500</v>
      </c>
      <c r="AH406" s="52">
        <v>16500</v>
      </c>
      <c r="AI406" s="52">
        <v>16500</v>
      </c>
      <c r="AJ406" s="52">
        <v>16500</v>
      </c>
      <c r="AK406" s="52">
        <v>16500</v>
      </c>
      <c r="AL406" s="52">
        <v>16500</v>
      </c>
      <c r="AM406" s="52">
        <v>16500</v>
      </c>
      <c r="AN406" s="52">
        <v>18845</v>
      </c>
      <c r="AO406" s="52">
        <v>18845</v>
      </c>
      <c r="AP406" s="52">
        <v>18845</v>
      </c>
      <c r="AQ406" s="52">
        <v>18845</v>
      </c>
      <c r="AR406" s="52">
        <v>18845</v>
      </c>
      <c r="AS406" s="52">
        <v>18845</v>
      </c>
      <c r="AT406" s="52">
        <v>18845</v>
      </c>
      <c r="AU406" s="52">
        <v>18845</v>
      </c>
      <c r="AV406" s="52">
        <v>18845</v>
      </c>
      <c r="AW406" s="52">
        <v>18845</v>
      </c>
      <c r="AX406" s="52">
        <v>18845</v>
      </c>
      <c r="AY406" s="52">
        <v>18845</v>
      </c>
      <c r="AZ406" s="52">
        <v>17454</v>
      </c>
      <c r="BA406" s="52">
        <v>17454</v>
      </c>
      <c r="BB406" s="52">
        <v>17454</v>
      </c>
      <c r="BC406" s="52">
        <v>17454</v>
      </c>
      <c r="BD406" s="52">
        <v>17454</v>
      </c>
      <c r="BE406" s="52">
        <v>17454</v>
      </c>
      <c r="BF406" s="52">
        <v>17454</v>
      </c>
      <c r="BG406" s="52">
        <v>17454</v>
      </c>
      <c r="BH406" s="52">
        <v>17454</v>
      </c>
      <c r="BI406" s="52">
        <v>17454</v>
      </c>
      <c r="BJ406" s="52">
        <v>17454</v>
      </c>
      <c r="BK406" s="52">
        <v>17454</v>
      </c>
      <c r="BL406" s="52">
        <v>18029</v>
      </c>
      <c r="BM406" s="52">
        <v>18029</v>
      </c>
      <c r="BN406" s="52">
        <v>18029</v>
      </c>
      <c r="BO406" s="52">
        <v>18029</v>
      </c>
      <c r="BP406" s="52">
        <v>18029</v>
      </c>
      <c r="BQ406" s="52">
        <v>18029</v>
      </c>
      <c r="BR406" s="52">
        <v>18029</v>
      </c>
      <c r="BS406" s="52">
        <v>18029</v>
      </c>
      <c r="BT406" s="52">
        <v>18029</v>
      </c>
      <c r="BU406" s="52">
        <v>18029</v>
      </c>
      <c r="BV406" s="52">
        <v>18029</v>
      </c>
      <c r="BW406" s="52">
        <v>18029</v>
      </c>
      <c r="BX406" s="52">
        <v>18029</v>
      </c>
      <c r="BY406" s="52">
        <v>18029</v>
      </c>
      <c r="BZ406" s="52">
        <v>31637</v>
      </c>
      <c r="CA406" s="52">
        <v>22565</v>
      </c>
      <c r="CB406" s="52">
        <v>22565</v>
      </c>
      <c r="CC406" s="52">
        <v>22565</v>
      </c>
      <c r="CD406" s="52">
        <v>22565</v>
      </c>
      <c r="CE406" s="52">
        <v>22565</v>
      </c>
      <c r="CF406" s="52">
        <v>22565</v>
      </c>
      <c r="CG406" s="52">
        <v>22565</v>
      </c>
      <c r="CH406" s="52">
        <v>22565</v>
      </c>
      <c r="CI406" s="52">
        <v>22565</v>
      </c>
      <c r="CJ406" s="52">
        <v>23105</v>
      </c>
      <c r="CK406" s="52">
        <v>23105</v>
      </c>
      <c r="CL406" s="52">
        <v>23105</v>
      </c>
      <c r="CM406" s="52">
        <v>23105</v>
      </c>
      <c r="CN406" s="52">
        <v>23105</v>
      </c>
      <c r="CO406" s="52">
        <v>23105</v>
      </c>
      <c r="CP406" s="52">
        <v>23105</v>
      </c>
      <c r="CQ406" s="52">
        <v>23105</v>
      </c>
      <c r="CR406" s="52">
        <v>23105</v>
      </c>
      <c r="CS406" s="52">
        <v>23105</v>
      </c>
      <c r="CT406" s="52">
        <v>23105</v>
      </c>
      <c r="CU406" s="52">
        <v>23105</v>
      </c>
      <c r="CV406" s="430">
        <f t="shared" si="12"/>
        <v>277260</v>
      </c>
    </row>
    <row r="407" spans="1:100">
      <c r="A407" s="540" t="str">
        <f t="shared" si="11"/>
        <v>8903005</v>
      </c>
      <c r="B407" s="541" t="s">
        <v>2193</v>
      </c>
      <c r="C407" s="463" t="s">
        <v>1395</v>
      </c>
      <c r="D407" s="428"/>
      <c r="E407" s="428"/>
      <c r="F407" s="428"/>
      <c r="G407" s="428"/>
      <c r="H407" s="428"/>
      <c r="I407" s="428"/>
      <c r="J407" s="428"/>
      <c r="K407" s="428"/>
      <c r="L407" s="428"/>
      <c r="M407" s="428"/>
      <c r="N407" s="428"/>
      <c r="O407" s="429"/>
      <c r="P407" s="52"/>
      <c r="Q407" s="52"/>
      <c r="R407" s="52"/>
      <c r="S407" s="52"/>
      <c r="T407" s="52"/>
      <c r="U407" s="52">
        <v>85760.81</v>
      </c>
      <c r="V407" s="52">
        <v>90159.16</v>
      </c>
      <c r="W407" s="52">
        <v>80768.160000000003</v>
      </c>
      <c r="X407" s="52">
        <v>90866.57</v>
      </c>
      <c r="Y407" s="52">
        <v>103440.16</v>
      </c>
      <c r="Z407" s="52">
        <v>88746.31</v>
      </c>
      <c r="AA407" s="52">
        <v>104819.93</v>
      </c>
      <c r="AB407" s="52">
        <v>0</v>
      </c>
      <c r="AC407" s="52">
        <v>73062.45</v>
      </c>
      <c r="AD407" s="52">
        <v>73223.259999999995</v>
      </c>
      <c r="AE407" s="52">
        <v>71389.490000000005</v>
      </c>
      <c r="AF407" s="52">
        <v>89389.08</v>
      </c>
      <c r="AG407" s="52">
        <v>89274.559999999998</v>
      </c>
      <c r="AH407" s="52">
        <v>74569.009999999995</v>
      </c>
      <c r="AI407" s="52">
        <v>83909.26</v>
      </c>
      <c r="AJ407" s="52">
        <v>84209.1</v>
      </c>
      <c r="AK407" s="52">
        <v>91039.35</v>
      </c>
      <c r="AL407" s="52">
        <v>81827.72</v>
      </c>
      <c r="AM407" s="52">
        <v>86445.759999999995</v>
      </c>
      <c r="AN407" s="52">
        <v>95929.86</v>
      </c>
      <c r="AO407" s="52">
        <v>79350.47</v>
      </c>
      <c r="AP407" s="52">
        <v>94323.54</v>
      </c>
      <c r="AQ407" s="52">
        <v>82555.100000000006</v>
      </c>
      <c r="AR407" s="52">
        <v>95321.61</v>
      </c>
      <c r="AS407" s="52">
        <v>85947.18</v>
      </c>
      <c r="AT407" s="52">
        <v>87441.94</v>
      </c>
      <c r="AU407" s="52">
        <v>90868.67</v>
      </c>
      <c r="AV407" s="52">
        <v>70182.570000000007</v>
      </c>
      <c r="AW407" s="52">
        <v>95036.160000000003</v>
      </c>
      <c r="AX407" s="52">
        <v>89726.24</v>
      </c>
      <c r="AY407" s="52">
        <v>98071.28</v>
      </c>
      <c r="AZ407" s="52">
        <v>92665.61</v>
      </c>
      <c r="BA407" s="52">
        <v>80515.41</v>
      </c>
      <c r="BB407" s="52">
        <v>84523.1</v>
      </c>
      <c r="BC407" s="52">
        <v>81407.92</v>
      </c>
      <c r="BD407" s="52">
        <v>90525.57</v>
      </c>
      <c r="BE407" s="52">
        <v>88380.46</v>
      </c>
      <c r="BF407" s="52">
        <v>104011.1</v>
      </c>
      <c r="BG407" s="52">
        <v>100437.01</v>
      </c>
      <c r="BH407" s="52">
        <v>73367.3</v>
      </c>
      <c r="BI407" s="52">
        <v>95991.33</v>
      </c>
      <c r="BJ407" s="52">
        <v>77875.13</v>
      </c>
      <c r="BK407" s="52">
        <v>84686.77</v>
      </c>
      <c r="BL407" s="52">
        <v>125623.97</v>
      </c>
      <c r="BM407" s="52">
        <v>84449.69</v>
      </c>
      <c r="BN407" s="52">
        <v>80829.72</v>
      </c>
      <c r="BO407" s="52">
        <v>95087.69</v>
      </c>
      <c r="BP407" s="52">
        <v>113772.2</v>
      </c>
      <c r="BQ407" s="52">
        <v>81659.5</v>
      </c>
      <c r="BR407" s="52">
        <v>114949.88</v>
      </c>
      <c r="BS407" s="52">
        <v>92982.720000000001</v>
      </c>
      <c r="BT407" s="52">
        <v>83564.98</v>
      </c>
      <c r="BU407" s="52">
        <v>111986.15</v>
      </c>
      <c r="BV407" s="52">
        <v>87999.53</v>
      </c>
      <c r="BW407" s="52">
        <v>85150.37</v>
      </c>
      <c r="BX407" s="52">
        <v>32007.93</v>
      </c>
      <c r="BY407" s="52">
        <v>36681.71</v>
      </c>
      <c r="BZ407" s="52">
        <v>40159.870000000003</v>
      </c>
      <c r="CA407" s="52">
        <v>30514.66</v>
      </c>
      <c r="CB407" s="52">
        <v>30054.080000000002</v>
      </c>
      <c r="CC407" s="52">
        <v>34975.82</v>
      </c>
      <c r="CD407" s="52">
        <v>32789.11</v>
      </c>
      <c r="CE407" s="52">
        <v>81941.17</v>
      </c>
      <c r="CF407" s="52">
        <v>40009.129999999997</v>
      </c>
      <c r="CG407" s="52">
        <v>39860.519999999997</v>
      </c>
      <c r="CH407" s="52">
        <v>32728.05</v>
      </c>
      <c r="CI407" s="52">
        <v>46945.93</v>
      </c>
      <c r="CJ407" s="52">
        <v>42984.85</v>
      </c>
      <c r="CK407" s="52">
        <v>37043.730000000003</v>
      </c>
      <c r="CL407" s="52">
        <v>54834.12</v>
      </c>
      <c r="CM407" s="52">
        <v>40207.879999999997</v>
      </c>
      <c r="CN407" s="52">
        <v>33240.28</v>
      </c>
      <c r="CO407" s="52">
        <v>36320.730000000003</v>
      </c>
      <c r="CP407" s="52">
        <v>40421.32</v>
      </c>
      <c r="CQ407" s="52">
        <v>35796.050000000003</v>
      </c>
      <c r="CR407" s="52">
        <v>-94258.08</v>
      </c>
      <c r="CS407" s="52">
        <v>166216.37</v>
      </c>
      <c r="CT407" s="52">
        <v>32248.73</v>
      </c>
      <c r="CU407" s="52">
        <v>55637.65</v>
      </c>
      <c r="CV407" s="430">
        <f t="shared" si="12"/>
        <v>480693.63</v>
      </c>
    </row>
    <row r="408" spans="1:100">
      <c r="A408" s="540" t="str">
        <f t="shared" si="11"/>
        <v>8903006</v>
      </c>
      <c r="B408" s="541" t="s">
        <v>2194</v>
      </c>
      <c r="C408" s="463" t="s">
        <v>1396</v>
      </c>
      <c r="D408" s="428"/>
      <c r="E408" s="428"/>
      <c r="F408" s="428"/>
      <c r="G408" s="428"/>
      <c r="H408" s="428"/>
      <c r="I408" s="428"/>
      <c r="J408" s="428"/>
      <c r="K408" s="428"/>
      <c r="L408" s="428"/>
      <c r="M408" s="428"/>
      <c r="N408" s="428"/>
      <c r="O408" s="429"/>
      <c r="P408" s="52"/>
      <c r="Q408" s="52"/>
      <c r="R408" s="52"/>
      <c r="S408" s="52"/>
      <c r="T408" s="52"/>
      <c r="U408" s="52">
        <v>100475.17</v>
      </c>
      <c r="V408" s="52">
        <v>97087.31</v>
      </c>
      <c r="W408" s="52">
        <v>73487.210000000006</v>
      </c>
      <c r="X408" s="52">
        <v>80931.48</v>
      </c>
      <c r="Y408" s="52">
        <v>89464.24</v>
      </c>
      <c r="Z408" s="52">
        <v>88024.81</v>
      </c>
      <c r="AA408" s="52">
        <v>116094.95</v>
      </c>
      <c r="AB408" s="52">
        <v>0</v>
      </c>
      <c r="AC408" s="52">
        <v>92711.46</v>
      </c>
      <c r="AD408" s="52">
        <v>91299.35</v>
      </c>
      <c r="AE408" s="52">
        <v>81697.62</v>
      </c>
      <c r="AF408" s="52">
        <v>79615.539999999994</v>
      </c>
      <c r="AG408" s="52">
        <v>104116.01</v>
      </c>
      <c r="AH408" s="52">
        <v>80993.460000000006</v>
      </c>
      <c r="AI408" s="52">
        <v>81907.78</v>
      </c>
      <c r="AJ408" s="52">
        <v>84418.76</v>
      </c>
      <c r="AK408" s="52">
        <v>76760.97</v>
      </c>
      <c r="AL408" s="52">
        <v>79988.06</v>
      </c>
      <c r="AM408" s="52">
        <v>103823.46</v>
      </c>
      <c r="AN408" s="52">
        <v>120560.04</v>
      </c>
      <c r="AO408" s="52">
        <v>98375.81</v>
      </c>
      <c r="AP408" s="52">
        <v>105639</v>
      </c>
      <c r="AQ408" s="52">
        <v>97639.07</v>
      </c>
      <c r="AR408" s="52">
        <v>113440.9</v>
      </c>
      <c r="AS408" s="52">
        <v>104385.03</v>
      </c>
      <c r="AT408" s="52">
        <v>114813.36</v>
      </c>
      <c r="AU408" s="52">
        <v>102024.82</v>
      </c>
      <c r="AV408" s="52">
        <v>76536.83</v>
      </c>
      <c r="AW408" s="52">
        <v>97494.080000000002</v>
      </c>
      <c r="AX408" s="52">
        <v>103745.11</v>
      </c>
      <c r="AY408" s="52">
        <v>112520.95</v>
      </c>
      <c r="AZ408" s="52">
        <v>137549.57999999999</v>
      </c>
      <c r="BA408" s="52">
        <v>108888.12</v>
      </c>
      <c r="BB408" s="52">
        <v>100677.68</v>
      </c>
      <c r="BC408" s="52">
        <v>99067.83</v>
      </c>
      <c r="BD408" s="52">
        <v>110689</v>
      </c>
      <c r="BE408" s="52">
        <v>93634.15</v>
      </c>
      <c r="BF408" s="52">
        <v>123646.2</v>
      </c>
      <c r="BG408" s="52">
        <v>115074.35</v>
      </c>
      <c r="BH408" s="52">
        <v>101084.5</v>
      </c>
      <c r="BI408" s="52">
        <v>109584.67</v>
      </c>
      <c r="BJ408" s="52">
        <v>97280.65</v>
      </c>
      <c r="BK408" s="52">
        <v>106368.46</v>
      </c>
      <c r="BL408" s="52">
        <v>150916.1</v>
      </c>
      <c r="BM408" s="52">
        <v>119408.59</v>
      </c>
      <c r="BN408" s="52">
        <v>104945.94</v>
      </c>
      <c r="BO408" s="52">
        <v>121039.01</v>
      </c>
      <c r="BP408" s="52">
        <v>127988.52</v>
      </c>
      <c r="BQ408" s="52">
        <v>102346.61</v>
      </c>
      <c r="BR408" s="52">
        <v>117822.09</v>
      </c>
      <c r="BS408" s="52">
        <v>133237.03</v>
      </c>
      <c r="BT408" s="52">
        <v>105059.23</v>
      </c>
      <c r="BU408" s="52">
        <v>116122.33</v>
      </c>
      <c r="BV408" s="52">
        <v>116040.35</v>
      </c>
      <c r="BW408" s="52">
        <v>157339.75</v>
      </c>
      <c r="BX408" s="52">
        <v>27006.58</v>
      </c>
      <c r="BY408" s="52">
        <v>27655.48</v>
      </c>
      <c r="BZ408" s="52">
        <v>33150.42</v>
      </c>
      <c r="CA408" s="52">
        <v>27372.76</v>
      </c>
      <c r="CB408" s="52">
        <v>26392.14</v>
      </c>
      <c r="CC408" s="52">
        <v>28484.69</v>
      </c>
      <c r="CD408" s="52">
        <v>29205.62</v>
      </c>
      <c r="CE408" s="52">
        <v>27259.05</v>
      </c>
      <c r="CF408" s="52">
        <v>27130.639999999999</v>
      </c>
      <c r="CG408" s="52">
        <v>28920.23</v>
      </c>
      <c r="CH408" s="52">
        <v>24122.79</v>
      </c>
      <c r="CI408" s="52">
        <v>26665.42</v>
      </c>
      <c r="CJ408" s="52">
        <v>33223.449999999997</v>
      </c>
      <c r="CK408" s="52">
        <v>25041.439999999999</v>
      </c>
      <c r="CL408" s="52">
        <v>27185.85</v>
      </c>
      <c r="CM408" s="52">
        <v>29632.79</v>
      </c>
      <c r="CN408" s="52">
        <v>30314.03</v>
      </c>
      <c r="CO408" s="52">
        <v>27119.82</v>
      </c>
      <c r="CP408" s="52">
        <v>26431.57</v>
      </c>
      <c r="CQ408" s="52">
        <v>32422.91</v>
      </c>
      <c r="CR408" s="52">
        <v>29700.560000000001</v>
      </c>
      <c r="CS408" s="52">
        <v>27113.61</v>
      </c>
      <c r="CT408" s="52">
        <v>29365.02</v>
      </c>
      <c r="CU408" s="52">
        <v>30175.37</v>
      </c>
      <c r="CV408" s="430">
        <f t="shared" si="12"/>
        <v>347726.42000000004</v>
      </c>
    </row>
    <row r="409" spans="1:100">
      <c r="A409" s="540" t="str">
        <f t="shared" si="11"/>
        <v>8903007</v>
      </c>
      <c r="B409" s="541" t="s">
        <v>2195</v>
      </c>
      <c r="C409" s="463" t="s">
        <v>1397</v>
      </c>
      <c r="D409" s="428"/>
      <c r="E409" s="428"/>
      <c r="F409" s="428"/>
      <c r="G409" s="428"/>
      <c r="H409" s="428"/>
      <c r="I409" s="428"/>
      <c r="J409" s="428"/>
      <c r="K409" s="428"/>
      <c r="L409" s="428"/>
      <c r="M409" s="428"/>
      <c r="N409" s="428"/>
      <c r="O409" s="429"/>
      <c r="P409" s="52"/>
      <c r="Q409" s="52"/>
      <c r="R409" s="52"/>
      <c r="S409" s="52"/>
      <c r="T409" s="52"/>
      <c r="U409" s="52">
        <v>46422.5</v>
      </c>
      <c r="V409" s="52">
        <v>46455.29</v>
      </c>
      <c r="W409" s="52">
        <v>43385</v>
      </c>
      <c r="X409" s="52">
        <v>46087.19</v>
      </c>
      <c r="Y409" s="52">
        <v>48134.239999999998</v>
      </c>
      <c r="Z409" s="52">
        <v>43888.49</v>
      </c>
      <c r="AA409" s="52">
        <v>53478.21</v>
      </c>
      <c r="AB409" s="52">
        <v>0</v>
      </c>
      <c r="AC409" s="52">
        <v>45177.5</v>
      </c>
      <c r="AD409" s="52">
        <v>49269.18</v>
      </c>
      <c r="AE409" s="52">
        <v>44401.760000000002</v>
      </c>
      <c r="AF409" s="52">
        <v>44918.7</v>
      </c>
      <c r="AG409" s="52">
        <v>49305.52</v>
      </c>
      <c r="AH409" s="52">
        <v>44798.12</v>
      </c>
      <c r="AI409" s="52">
        <v>45078.37</v>
      </c>
      <c r="AJ409" s="52">
        <v>45100.29</v>
      </c>
      <c r="AK409" s="52">
        <v>43681.85</v>
      </c>
      <c r="AL409" s="52">
        <v>44560.05</v>
      </c>
      <c r="AM409" s="52">
        <v>51895.26</v>
      </c>
      <c r="AN409" s="52">
        <v>48290.18</v>
      </c>
      <c r="AO409" s="52">
        <v>46370.6</v>
      </c>
      <c r="AP409" s="52">
        <v>51857.9</v>
      </c>
      <c r="AQ409" s="52">
        <v>45894.28</v>
      </c>
      <c r="AR409" s="52">
        <v>48890.29</v>
      </c>
      <c r="AS409" s="52">
        <v>47940.24</v>
      </c>
      <c r="AT409" s="52">
        <v>45835.22</v>
      </c>
      <c r="AU409" s="52">
        <v>55730.46</v>
      </c>
      <c r="AV409" s="52">
        <v>39225.379999999997</v>
      </c>
      <c r="AW409" s="52">
        <v>47093.88</v>
      </c>
      <c r="AX409" s="52">
        <v>48977.65</v>
      </c>
      <c r="AY409" s="52">
        <v>45916.75</v>
      </c>
      <c r="AZ409" s="52">
        <v>55552.4</v>
      </c>
      <c r="BA409" s="52">
        <v>50463.57</v>
      </c>
      <c r="BB409" s="52">
        <v>54320.78</v>
      </c>
      <c r="BC409" s="52">
        <v>46800.44</v>
      </c>
      <c r="BD409" s="52">
        <v>53282.89</v>
      </c>
      <c r="BE409" s="52">
        <v>48976.49</v>
      </c>
      <c r="BF409" s="52">
        <v>54864.81</v>
      </c>
      <c r="BG409" s="52">
        <v>53569.14</v>
      </c>
      <c r="BH409" s="52">
        <v>48489.71</v>
      </c>
      <c r="BI409" s="52">
        <v>52913.8</v>
      </c>
      <c r="BJ409" s="52">
        <v>50753.35</v>
      </c>
      <c r="BK409" s="52">
        <v>49921.96</v>
      </c>
      <c r="BL409" s="52">
        <v>67813.259999999995</v>
      </c>
      <c r="BM409" s="52">
        <v>58988.58</v>
      </c>
      <c r="BN409" s="52">
        <v>60003.63</v>
      </c>
      <c r="BO409" s="52">
        <v>63545.760000000002</v>
      </c>
      <c r="BP409" s="52">
        <v>70011.839999999997</v>
      </c>
      <c r="BQ409" s="52">
        <v>57839.12</v>
      </c>
      <c r="BR409" s="52">
        <v>64378.720000000001</v>
      </c>
      <c r="BS409" s="52">
        <v>61318.49</v>
      </c>
      <c r="BT409" s="52">
        <v>53879.14</v>
      </c>
      <c r="BU409" s="52">
        <v>80807.740000000005</v>
      </c>
      <c r="BV409" s="52">
        <v>55151.79</v>
      </c>
      <c r="BW409" s="52">
        <v>60953.88</v>
      </c>
      <c r="BX409" s="52">
        <v>58092.93</v>
      </c>
      <c r="BY409" s="52">
        <v>55786.31</v>
      </c>
      <c r="BZ409" s="52">
        <v>62386.01</v>
      </c>
      <c r="CA409" s="52">
        <v>61288</v>
      </c>
      <c r="CB409" s="52">
        <v>50979.43</v>
      </c>
      <c r="CC409" s="52">
        <v>57751.040000000001</v>
      </c>
      <c r="CD409" s="52">
        <v>59407.17</v>
      </c>
      <c r="CE409" s="52">
        <v>45017.7</v>
      </c>
      <c r="CF409" s="52">
        <v>60127.02</v>
      </c>
      <c r="CG409" s="52">
        <v>55390.38</v>
      </c>
      <c r="CH409" s="52">
        <v>57884.87</v>
      </c>
      <c r="CI409" s="52">
        <v>67681.19</v>
      </c>
      <c r="CJ409" s="52">
        <v>71463.210000000006</v>
      </c>
      <c r="CK409" s="52">
        <v>62139.11</v>
      </c>
      <c r="CL409" s="52">
        <v>68326.92</v>
      </c>
      <c r="CM409" s="52">
        <v>62333.22</v>
      </c>
      <c r="CN409" s="52">
        <v>63059.3</v>
      </c>
      <c r="CO409" s="52">
        <v>69369.61</v>
      </c>
      <c r="CP409" s="52">
        <v>71376.98</v>
      </c>
      <c r="CQ409" s="52">
        <v>67862.899999999994</v>
      </c>
      <c r="CR409" s="52">
        <v>69128.91</v>
      </c>
      <c r="CS409" s="52">
        <v>70004.47</v>
      </c>
      <c r="CT409" s="52">
        <v>71057.429999999993</v>
      </c>
      <c r="CU409" s="52">
        <v>76350.23</v>
      </c>
      <c r="CV409" s="430">
        <f t="shared" si="12"/>
        <v>822472.2899999998</v>
      </c>
    </row>
    <row r="410" spans="1:100">
      <c r="A410" s="540" t="str">
        <f>+B410</f>
        <v>8903008</v>
      </c>
      <c r="B410" s="541" t="s">
        <v>2448</v>
      </c>
      <c r="C410" s="463" t="s">
        <v>2449</v>
      </c>
      <c r="D410" s="428"/>
      <c r="E410" s="428"/>
      <c r="F410" s="428"/>
      <c r="G410" s="428"/>
      <c r="H410" s="428"/>
      <c r="I410" s="428"/>
      <c r="J410" s="428"/>
      <c r="K410" s="428"/>
      <c r="L410" s="428"/>
      <c r="M410" s="428"/>
      <c r="N410" s="428"/>
      <c r="O410" s="429"/>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v>69676.479999999996</v>
      </c>
      <c r="BY410" s="52">
        <v>63791.99</v>
      </c>
      <c r="BZ410" s="52">
        <v>72689.23</v>
      </c>
      <c r="CA410" s="52">
        <v>51769.83</v>
      </c>
      <c r="CB410" s="52">
        <v>36018.269999999997</v>
      </c>
      <c r="CC410" s="52">
        <v>107477.14</v>
      </c>
      <c r="CD410" s="52">
        <v>67810.899999999994</v>
      </c>
      <c r="CE410" s="52">
        <v>-14656.01</v>
      </c>
      <c r="CF410" s="52">
        <v>48986.37</v>
      </c>
      <c r="CG410" s="52">
        <v>47404.81</v>
      </c>
      <c r="CH410" s="52">
        <v>32032.93</v>
      </c>
      <c r="CI410" s="52">
        <v>50338.94</v>
      </c>
      <c r="CJ410" s="52">
        <v>43070.54</v>
      </c>
      <c r="CK410" s="52">
        <v>32904.04</v>
      </c>
      <c r="CL410" s="52">
        <v>35779.839999999997</v>
      </c>
      <c r="CM410" s="52">
        <v>46205.09</v>
      </c>
      <c r="CN410" s="52">
        <v>37742.239999999998</v>
      </c>
      <c r="CO410" s="52">
        <v>43489.1</v>
      </c>
      <c r="CP410" s="52">
        <v>33599.65</v>
      </c>
      <c r="CQ410" s="52">
        <v>47414.75</v>
      </c>
      <c r="CR410" s="52">
        <v>39211.86</v>
      </c>
      <c r="CS410" s="52">
        <v>30765.89</v>
      </c>
      <c r="CT410" s="52">
        <v>32228.74</v>
      </c>
      <c r="CU410" s="52">
        <v>36650.21</v>
      </c>
      <c r="CV410" s="430">
        <f t="shared" si="12"/>
        <v>459061.95</v>
      </c>
    </row>
    <row r="411" spans="1:100">
      <c r="A411" s="540" t="str">
        <f>+B411</f>
        <v>8903009</v>
      </c>
      <c r="B411" s="541" t="s">
        <v>2450</v>
      </c>
      <c r="C411" s="463" t="s">
        <v>2454</v>
      </c>
      <c r="D411" s="428"/>
      <c r="E411" s="428"/>
      <c r="F411" s="428"/>
      <c r="G411" s="428"/>
      <c r="H411" s="428"/>
      <c r="I411" s="428"/>
      <c r="J411" s="428"/>
      <c r="K411" s="428"/>
      <c r="L411" s="428"/>
      <c r="M411" s="428"/>
      <c r="N411" s="428"/>
      <c r="O411" s="429"/>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v>10501.5</v>
      </c>
      <c r="BY411" s="52">
        <v>6035.67</v>
      </c>
      <c r="BZ411" s="52">
        <v>7728.33</v>
      </c>
      <c r="CA411" s="52">
        <v>14038.45</v>
      </c>
      <c r="CB411" s="52">
        <v>6038.49</v>
      </c>
      <c r="CC411" s="52">
        <v>6564.1</v>
      </c>
      <c r="CD411" s="52">
        <v>7270.66</v>
      </c>
      <c r="CE411" s="52">
        <v>7242.92</v>
      </c>
      <c r="CF411" s="52">
        <v>6244.52</v>
      </c>
      <c r="CG411" s="52">
        <v>6065.88</v>
      </c>
      <c r="CH411" s="52">
        <v>6078.21</v>
      </c>
      <c r="CI411" s="52">
        <v>5899.17</v>
      </c>
      <c r="CJ411" s="52">
        <v>11340.66</v>
      </c>
      <c r="CK411" s="52">
        <v>14157.05</v>
      </c>
      <c r="CL411" s="52">
        <v>7435.59</v>
      </c>
      <c r="CM411" s="52">
        <v>7240.72</v>
      </c>
      <c r="CN411" s="52">
        <v>7136.07</v>
      </c>
      <c r="CO411" s="52">
        <v>7306.08</v>
      </c>
      <c r="CP411" s="52">
        <v>6358.42</v>
      </c>
      <c r="CQ411" s="52">
        <v>11816.95</v>
      </c>
      <c r="CR411" s="52">
        <v>7512.92</v>
      </c>
      <c r="CS411" s="52">
        <v>7387.39</v>
      </c>
      <c r="CT411" s="52">
        <v>7661.94</v>
      </c>
      <c r="CU411" s="52">
        <v>3624.46</v>
      </c>
      <c r="CV411" s="430">
        <f t="shared" si="12"/>
        <v>98978.250000000015</v>
      </c>
    </row>
    <row r="412" spans="1:100">
      <c r="A412" s="540" t="str">
        <f>+B412</f>
        <v>8903010</v>
      </c>
      <c r="B412" s="541" t="s">
        <v>2451</v>
      </c>
      <c r="C412" s="463" t="s">
        <v>2455</v>
      </c>
      <c r="D412" s="428"/>
      <c r="E412" s="428"/>
      <c r="F412" s="428"/>
      <c r="G412" s="428"/>
      <c r="H412" s="428"/>
      <c r="I412" s="428"/>
      <c r="J412" s="428"/>
      <c r="K412" s="428"/>
      <c r="L412" s="428"/>
      <c r="M412" s="428"/>
      <c r="N412" s="428"/>
      <c r="O412" s="429"/>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v>17308.490000000002</v>
      </c>
      <c r="BY412" s="52">
        <v>40628.129999999997</v>
      </c>
      <c r="BZ412" s="52">
        <v>41140.54</v>
      </c>
      <c r="CA412" s="52">
        <v>36654.57</v>
      </c>
      <c r="CB412" s="52">
        <v>40525.599999999999</v>
      </c>
      <c r="CC412" s="52">
        <v>101951.35</v>
      </c>
      <c r="CD412" s="52">
        <v>60120</v>
      </c>
      <c r="CE412" s="52">
        <v>47392.05</v>
      </c>
      <c r="CF412" s="52">
        <v>74892.62</v>
      </c>
      <c r="CG412" s="52">
        <v>49937.81</v>
      </c>
      <c r="CH412" s="52">
        <v>49990.080000000002</v>
      </c>
      <c r="CI412" s="52">
        <v>65647.67</v>
      </c>
      <c r="CJ412" s="52">
        <v>37962.76</v>
      </c>
      <c r="CK412" s="52">
        <v>34850.239999999998</v>
      </c>
      <c r="CL412" s="52">
        <v>45163.6</v>
      </c>
      <c r="CM412" s="52">
        <v>37496.410000000003</v>
      </c>
      <c r="CN412" s="52">
        <v>43946.14</v>
      </c>
      <c r="CO412" s="52">
        <v>45511.37</v>
      </c>
      <c r="CP412" s="52">
        <v>41512.480000000003</v>
      </c>
      <c r="CQ412" s="52">
        <v>40012.18</v>
      </c>
      <c r="CR412" s="52">
        <v>35265.449999999997</v>
      </c>
      <c r="CS412" s="52">
        <v>37907.199999999997</v>
      </c>
      <c r="CT412" s="52">
        <v>38112.15</v>
      </c>
      <c r="CU412" s="52">
        <v>54419.78</v>
      </c>
      <c r="CV412" s="430">
        <f t="shared" si="12"/>
        <v>492159.76</v>
      </c>
    </row>
    <row r="413" spans="1:100">
      <c r="A413" s="540" t="str">
        <f>+B413</f>
        <v>8903011</v>
      </c>
      <c r="B413" s="541" t="s">
        <v>2452</v>
      </c>
      <c r="C413" s="463" t="s">
        <v>2456</v>
      </c>
      <c r="D413" s="428"/>
      <c r="E413" s="428"/>
      <c r="F413" s="428"/>
      <c r="G413" s="428"/>
      <c r="H413" s="428"/>
      <c r="I413" s="428"/>
      <c r="J413" s="428"/>
      <c r="K413" s="428"/>
      <c r="L413" s="428"/>
      <c r="M413" s="428"/>
      <c r="N413" s="428"/>
      <c r="O413" s="429"/>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v>29321.34</v>
      </c>
      <c r="BY413" s="52">
        <v>23465.9</v>
      </c>
      <c r="BZ413" s="52">
        <v>28829.52</v>
      </c>
      <c r="CA413" s="52">
        <v>26703.19</v>
      </c>
      <c r="CB413" s="52">
        <v>24467.439999999999</v>
      </c>
      <c r="CC413" s="52">
        <v>24704.7</v>
      </c>
      <c r="CD413" s="52">
        <v>26771</v>
      </c>
      <c r="CE413" s="52">
        <v>24617.599999999999</v>
      </c>
      <c r="CF413" s="52">
        <v>25660.22</v>
      </c>
      <c r="CG413" s="52">
        <v>26223.09</v>
      </c>
      <c r="CH413" s="52">
        <v>23599.24</v>
      </c>
      <c r="CI413" s="52">
        <v>30382.59</v>
      </c>
      <c r="CJ413" s="52">
        <v>31059.54</v>
      </c>
      <c r="CK413" s="52">
        <v>31505.69</v>
      </c>
      <c r="CL413" s="52">
        <v>35831.839999999997</v>
      </c>
      <c r="CM413" s="52">
        <v>35104.82</v>
      </c>
      <c r="CN413" s="52">
        <v>34791.31</v>
      </c>
      <c r="CO413" s="52">
        <v>38751.06</v>
      </c>
      <c r="CP413" s="52">
        <v>45526.93</v>
      </c>
      <c r="CQ413" s="52">
        <v>35769.660000000003</v>
      </c>
      <c r="CR413" s="52">
        <v>36028.69</v>
      </c>
      <c r="CS413" s="52">
        <v>0</v>
      </c>
      <c r="CT413" s="52">
        <v>0</v>
      </c>
      <c r="CU413" s="52">
        <v>128192.9</v>
      </c>
      <c r="CV413" s="430">
        <f t="shared" si="12"/>
        <v>452562.43999999994</v>
      </c>
    </row>
    <row r="414" spans="1:100">
      <c r="A414" s="540" t="str">
        <f>+B414</f>
        <v>8903012</v>
      </c>
      <c r="B414" s="541" t="s">
        <v>2453</v>
      </c>
      <c r="C414" s="463" t="s">
        <v>2457</v>
      </c>
      <c r="D414" s="428"/>
      <c r="E414" s="428"/>
      <c r="F414" s="428"/>
      <c r="G414" s="428"/>
      <c r="H414" s="428"/>
      <c r="I414" s="428"/>
      <c r="J414" s="428"/>
      <c r="K414" s="428"/>
      <c r="L414" s="428"/>
      <c r="M414" s="428"/>
      <c r="N414" s="428"/>
      <c r="O414" s="429"/>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v>96590.01</v>
      </c>
      <c r="BY414" s="52">
        <v>28834.63</v>
      </c>
      <c r="BZ414" s="52">
        <v>39380.35</v>
      </c>
      <c r="CA414" s="52">
        <v>31410.17</v>
      </c>
      <c r="CB414" s="52">
        <v>30151.71</v>
      </c>
      <c r="CC414" s="52">
        <v>31439.26</v>
      </c>
      <c r="CD414" s="52">
        <v>33396.5</v>
      </c>
      <c r="CE414" s="52">
        <v>29919.02</v>
      </c>
      <c r="CF414" s="52">
        <v>31615.040000000001</v>
      </c>
      <c r="CG414" s="52">
        <v>31013.39</v>
      </c>
      <c r="CH414" s="52">
        <v>29157.19</v>
      </c>
      <c r="CI414" s="52">
        <v>32891.32</v>
      </c>
      <c r="CJ414" s="52">
        <v>114624.06</v>
      </c>
      <c r="CK414" s="52">
        <v>-21790.74</v>
      </c>
      <c r="CL414" s="52">
        <v>46755.53</v>
      </c>
      <c r="CM414" s="52">
        <v>43038.559999999998</v>
      </c>
      <c r="CN414" s="52">
        <v>38165.83</v>
      </c>
      <c r="CO414" s="52">
        <v>32853.120000000003</v>
      </c>
      <c r="CP414" s="52">
        <v>44543.27</v>
      </c>
      <c r="CQ414" s="52">
        <v>39437.97</v>
      </c>
      <c r="CR414" s="52">
        <v>39118.089999999997</v>
      </c>
      <c r="CS414" s="52">
        <v>31728.240000000002</v>
      </c>
      <c r="CT414" s="52">
        <v>45164.47</v>
      </c>
      <c r="CU414" s="52">
        <v>41109.14</v>
      </c>
      <c r="CV414" s="430">
        <f t="shared" si="12"/>
        <v>494747.53999999992</v>
      </c>
    </row>
    <row r="415" spans="1:100">
      <c r="A415" s="540" t="str">
        <f t="shared" si="11"/>
        <v>8903100</v>
      </c>
      <c r="B415" s="541" t="s">
        <v>2196</v>
      </c>
      <c r="C415" s="463" t="s">
        <v>1398</v>
      </c>
      <c r="D415" s="428"/>
      <c r="E415" s="428"/>
      <c r="F415" s="428"/>
      <c r="G415" s="428"/>
      <c r="H415" s="428"/>
      <c r="I415" s="428"/>
      <c r="J415" s="428"/>
      <c r="K415" s="428"/>
      <c r="L415" s="428"/>
      <c r="M415" s="428"/>
      <c r="N415" s="428"/>
      <c r="O415" s="429"/>
      <c r="P415" s="52"/>
      <c r="Q415" s="52"/>
      <c r="R415" s="52"/>
      <c r="S415" s="52"/>
      <c r="T415" s="52"/>
      <c r="U415" s="52">
        <v>-14502.81</v>
      </c>
      <c r="V415" s="52">
        <v>-19583.3</v>
      </c>
      <c r="W415" s="52">
        <v>-2733</v>
      </c>
      <c r="X415" s="52">
        <v>-41427.71</v>
      </c>
      <c r="Y415" s="52">
        <v>-19095.740000000002</v>
      </c>
      <c r="Z415" s="52">
        <v>-59526.38</v>
      </c>
      <c r="AA415" s="52">
        <v>-47562.22</v>
      </c>
      <c r="AB415" s="52">
        <v>0</v>
      </c>
      <c r="AC415" s="52">
        <v>8007.07</v>
      </c>
      <c r="AD415" s="52">
        <v>20510.61</v>
      </c>
      <c r="AE415" s="52">
        <v>8858.57</v>
      </c>
      <c r="AF415" s="52">
        <v>5304.18</v>
      </c>
      <c r="AG415" s="52">
        <v>22000.57</v>
      </c>
      <c r="AH415" s="52">
        <v>21356.69</v>
      </c>
      <c r="AI415" s="52">
        <v>3157.7</v>
      </c>
      <c r="AJ415" s="52">
        <v>2104.58</v>
      </c>
      <c r="AK415" s="52">
        <v>6158.65</v>
      </c>
      <c r="AL415" s="52">
        <v>7324.83</v>
      </c>
      <c r="AM415" s="52">
        <v>7128.4</v>
      </c>
      <c r="AN415" s="52">
        <v>3416.85</v>
      </c>
      <c r="AO415" s="52">
        <v>6576.02</v>
      </c>
      <c r="AP415" s="52">
        <v>2900.04</v>
      </c>
      <c r="AQ415" s="52">
        <v>112.17</v>
      </c>
      <c r="AR415" s="52">
        <v>10912.3</v>
      </c>
      <c r="AS415" s="52">
        <v>4043.72</v>
      </c>
      <c r="AT415" s="52">
        <v>5305.79</v>
      </c>
      <c r="AU415" s="52">
        <v>4728.67</v>
      </c>
      <c r="AV415" s="52">
        <v>14364.27</v>
      </c>
      <c r="AW415" s="52">
        <v>16508.47</v>
      </c>
      <c r="AX415" s="52">
        <v>8787.82</v>
      </c>
      <c r="AY415" s="52">
        <v>11286.25</v>
      </c>
      <c r="AZ415" s="52">
        <v>25831.16</v>
      </c>
      <c r="BA415" s="52">
        <v>30008.63</v>
      </c>
      <c r="BB415" s="52">
        <v>45293.87</v>
      </c>
      <c r="BC415" s="52">
        <v>42111.41</v>
      </c>
      <c r="BD415" s="52">
        <v>36318.32</v>
      </c>
      <c r="BE415" s="52">
        <v>41362.68</v>
      </c>
      <c r="BF415" s="52">
        <v>51961.25</v>
      </c>
      <c r="BG415" s="52">
        <v>63976.21</v>
      </c>
      <c r="BH415" s="52">
        <v>70044.23</v>
      </c>
      <c r="BI415" s="52">
        <v>87887.76</v>
      </c>
      <c r="BJ415" s="52">
        <v>90977.07</v>
      </c>
      <c r="BK415" s="52">
        <v>148825.29999999999</v>
      </c>
      <c r="BL415" s="52">
        <v>91991.86</v>
      </c>
      <c r="BM415" s="52">
        <v>73523.990000000005</v>
      </c>
      <c r="BN415" s="52">
        <v>65113.62</v>
      </c>
      <c r="BO415" s="52">
        <v>67375.94</v>
      </c>
      <c r="BP415" s="52">
        <v>70973.240000000005</v>
      </c>
      <c r="BQ415" s="52">
        <v>61015.34</v>
      </c>
      <c r="BR415" s="52">
        <v>61102.23</v>
      </c>
      <c r="BS415" s="52">
        <v>67805.45</v>
      </c>
      <c r="BT415" s="52">
        <v>73825.850000000006</v>
      </c>
      <c r="BU415" s="52">
        <v>57799.55</v>
      </c>
      <c r="BV415" s="52">
        <v>56142.5</v>
      </c>
      <c r="BW415" s="52">
        <v>51836.24</v>
      </c>
      <c r="BX415" s="52">
        <v>0</v>
      </c>
      <c r="BY415" s="52">
        <v>0</v>
      </c>
      <c r="BZ415" s="52">
        <v>0</v>
      </c>
      <c r="CA415" s="52">
        <v>0</v>
      </c>
      <c r="CB415" s="52">
        <v>0</v>
      </c>
      <c r="CC415" s="52">
        <v>0</v>
      </c>
      <c r="CD415" s="52">
        <v>0</v>
      </c>
      <c r="CE415" s="52">
        <v>0</v>
      </c>
      <c r="CF415" s="52">
        <v>0</v>
      </c>
      <c r="CG415" s="52">
        <v>0</v>
      </c>
      <c r="CH415" s="52">
        <v>0</v>
      </c>
      <c r="CI415" s="52">
        <v>0</v>
      </c>
      <c r="CJ415" s="52">
        <v>0</v>
      </c>
      <c r="CK415" s="52">
        <v>0</v>
      </c>
      <c r="CL415" s="52">
        <v>0</v>
      </c>
      <c r="CM415" s="52">
        <v>0</v>
      </c>
      <c r="CN415" s="52">
        <v>0</v>
      </c>
      <c r="CO415" s="52">
        <v>0</v>
      </c>
      <c r="CP415" s="52">
        <v>0</v>
      </c>
      <c r="CQ415" s="52">
        <v>0</v>
      </c>
      <c r="CR415" s="52">
        <v>0</v>
      </c>
      <c r="CS415" s="52">
        <v>0</v>
      </c>
      <c r="CT415" s="52">
        <v>0</v>
      </c>
      <c r="CU415" s="52">
        <v>0</v>
      </c>
      <c r="CV415" s="430">
        <f t="shared" si="12"/>
        <v>0</v>
      </c>
    </row>
    <row r="416" spans="1:100">
      <c r="A416" s="540" t="str">
        <f t="shared" si="11"/>
        <v>8999998</v>
      </c>
      <c r="B416" s="541" t="s">
        <v>2197</v>
      </c>
      <c r="C416" s="463" t="s">
        <v>1265</v>
      </c>
      <c r="D416" s="426">
        <v>7357286.6799999997</v>
      </c>
      <c r="E416" s="426">
        <v>0</v>
      </c>
      <c r="F416" s="426">
        <v>0</v>
      </c>
      <c r="G416" s="426">
        <v>11948603.68</v>
      </c>
      <c r="H416" s="426">
        <v>0</v>
      </c>
      <c r="I416" s="426">
        <v>0</v>
      </c>
      <c r="J416" s="426">
        <v>9971893.4700000007</v>
      </c>
      <c r="K416" s="426">
        <v>0</v>
      </c>
      <c r="L416" s="426">
        <v>0</v>
      </c>
      <c r="M416" s="426">
        <v>5874136.4699999997</v>
      </c>
      <c r="N416" s="426">
        <v>0</v>
      </c>
      <c r="O416" s="427">
        <v>0</v>
      </c>
      <c r="P416" s="52">
        <v>0</v>
      </c>
      <c r="Q416" s="52">
        <v>6579361.9699999997</v>
      </c>
      <c r="R416" s="52">
        <v>0</v>
      </c>
      <c r="S416" s="52">
        <v>14236193.27</v>
      </c>
      <c r="T416" s="52">
        <v>0</v>
      </c>
      <c r="U416" s="52">
        <v>0</v>
      </c>
      <c r="V416" s="52">
        <v>8836348.5500000007</v>
      </c>
      <c r="W416" s="52">
        <v>0</v>
      </c>
      <c r="X416" s="52">
        <v>0</v>
      </c>
      <c r="Y416" s="52">
        <v>0</v>
      </c>
      <c r="Z416" s="52">
        <v>7141083.0599999996</v>
      </c>
      <c r="AA416" s="52">
        <v>0</v>
      </c>
      <c r="AB416" s="52">
        <v>0</v>
      </c>
      <c r="AC416" s="52">
        <v>5832498.4000000004</v>
      </c>
      <c r="AD416" s="52">
        <v>0</v>
      </c>
      <c r="AE416" s="52">
        <v>0</v>
      </c>
      <c r="AF416" s="52">
        <v>13698517.41</v>
      </c>
      <c r="AG416" s="52">
        <v>8092257.4400000004</v>
      </c>
      <c r="AH416" s="52">
        <v>0</v>
      </c>
      <c r="AI416" s="52">
        <v>0</v>
      </c>
      <c r="AJ416" s="52">
        <v>0</v>
      </c>
      <c r="AK416" s="52">
        <v>0</v>
      </c>
      <c r="AL416" s="52">
        <v>5958301.9699999997</v>
      </c>
      <c r="AM416" s="52">
        <v>0</v>
      </c>
      <c r="AN416" s="52">
        <v>0</v>
      </c>
      <c r="AO416" s="52">
        <v>8007312.5300000003</v>
      </c>
      <c r="AP416" s="52">
        <v>0</v>
      </c>
      <c r="AQ416" s="52">
        <v>0</v>
      </c>
      <c r="AR416" s="52">
        <v>11289288.970000001</v>
      </c>
      <c r="AS416" s="52">
        <v>0</v>
      </c>
      <c r="AT416" s="52">
        <v>0</v>
      </c>
      <c r="AU416" s="52">
        <v>12086132.140000001</v>
      </c>
      <c r="AV416" s="52">
        <v>0</v>
      </c>
      <c r="AW416" s="52">
        <v>0</v>
      </c>
      <c r="AX416" s="52">
        <v>7337410.4100000001</v>
      </c>
      <c r="AY416" s="52">
        <v>0</v>
      </c>
      <c r="AZ416" s="52">
        <v>0</v>
      </c>
      <c r="BA416" s="52">
        <v>14365517.640000001</v>
      </c>
      <c r="BB416" s="52">
        <v>0</v>
      </c>
      <c r="BC416" s="52">
        <v>0</v>
      </c>
      <c r="BD416" s="52">
        <v>15456143.34</v>
      </c>
      <c r="BE416" s="52">
        <v>0</v>
      </c>
      <c r="BF416" s="52">
        <v>0</v>
      </c>
      <c r="BG416" s="52">
        <v>11089440.68</v>
      </c>
      <c r="BH416" s="52">
        <v>0</v>
      </c>
      <c r="BI416" s="52">
        <v>0</v>
      </c>
      <c r="BJ416" s="52">
        <v>9335324.0299999993</v>
      </c>
      <c r="BK416" s="52">
        <v>0</v>
      </c>
      <c r="BL416" s="52">
        <v>0</v>
      </c>
      <c r="BM416" s="52">
        <v>11818492.35</v>
      </c>
      <c r="BN416" s="52">
        <v>0</v>
      </c>
      <c r="BO416" s="52">
        <v>0</v>
      </c>
      <c r="BP416" s="52">
        <v>17980658.050000001</v>
      </c>
      <c r="BQ416" s="52">
        <v>0</v>
      </c>
      <c r="BR416" s="52">
        <v>0</v>
      </c>
      <c r="BS416" s="52">
        <v>13575264.68</v>
      </c>
      <c r="BT416" s="52">
        <v>0</v>
      </c>
      <c r="BU416" s="52">
        <v>0</v>
      </c>
      <c r="BV416" s="52">
        <v>10584558</v>
      </c>
      <c r="BW416" s="52">
        <v>0</v>
      </c>
      <c r="BX416" s="52">
        <v>0</v>
      </c>
      <c r="BY416" s="52">
        <v>11888651</v>
      </c>
      <c r="BZ416" s="52">
        <v>0</v>
      </c>
      <c r="CA416" s="52">
        <v>0</v>
      </c>
      <c r="CB416" s="52">
        <v>18460868</v>
      </c>
      <c r="CC416" s="52">
        <v>0</v>
      </c>
      <c r="CD416" s="52">
        <v>0</v>
      </c>
      <c r="CE416" s="52">
        <v>10528868</v>
      </c>
      <c r="CF416" s="52">
        <v>0</v>
      </c>
      <c r="CG416" s="52">
        <v>0</v>
      </c>
      <c r="CH416" s="52">
        <v>10269314</v>
      </c>
      <c r="CI416" s="52">
        <v>0</v>
      </c>
      <c r="CJ416" s="52">
        <v>0</v>
      </c>
      <c r="CK416" s="52">
        <v>12656339</v>
      </c>
      <c r="CL416" s="52">
        <v>0</v>
      </c>
      <c r="CM416" s="52">
        <v>27095926</v>
      </c>
      <c r="CN416" s="52">
        <v>0</v>
      </c>
      <c r="CO416" s="52">
        <v>0</v>
      </c>
      <c r="CP416" s="52">
        <v>0</v>
      </c>
      <c r="CQ416" s="52">
        <v>18659773</v>
      </c>
      <c r="CR416" s="52">
        <v>0</v>
      </c>
      <c r="CS416" s="52">
        <v>0</v>
      </c>
      <c r="CT416" s="52">
        <v>14758057</v>
      </c>
      <c r="CU416" s="52">
        <v>0</v>
      </c>
      <c r="CV416" s="430">
        <f t="shared" si="12"/>
        <v>73170095</v>
      </c>
    </row>
    <row r="417" spans="1:100">
      <c r="A417" s="414" t="str">
        <f t="shared" si="11"/>
        <v>8999999</v>
      </c>
      <c r="B417" s="541" t="s">
        <v>2198</v>
      </c>
      <c r="C417" s="463" t="s">
        <v>1266</v>
      </c>
      <c r="D417" s="428">
        <v>-2181090.04</v>
      </c>
      <c r="E417" s="428">
        <v>4502626.84</v>
      </c>
      <c r="F417" s="428">
        <v>4881883.5599999996</v>
      </c>
      <c r="G417" s="428">
        <v>-8672808.1699999999</v>
      </c>
      <c r="H417" s="428">
        <v>1814214.4</v>
      </c>
      <c r="I417" s="428">
        <v>2478542.08</v>
      </c>
      <c r="J417" s="428">
        <v>-8287360.1799999997</v>
      </c>
      <c r="K417" s="428">
        <v>1711061.1</v>
      </c>
      <c r="L417" s="428">
        <v>1334666.74</v>
      </c>
      <c r="M417" s="428">
        <v>-3454548.84</v>
      </c>
      <c r="N417" s="428">
        <v>2825107.6</v>
      </c>
      <c r="O417" s="429">
        <v>3729886.48</v>
      </c>
      <c r="P417" s="52">
        <v>5545677.0499999998</v>
      </c>
      <c r="Q417" s="52">
        <v>-1618732.23</v>
      </c>
      <c r="R417" s="52">
        <v>4121482.69</v>
      </c>
      <c r="S417" s="52">
        <v>-11865145.140000001</v>
      </c>
      <c r="T417" s="52">
        <v>2343817.73</v>
      </c>
      <c r="U417" s="52">
        <v>2795820.78</v>
      </c>
      <c r="V417" s="52">
        <v>-7002762.9199999999</v>
      </c>
      <c r="W417" s="52">
        <v>2511676.65</v>
      </c>
      <c r="X417" s="52">
        <v>1860447.41</v>
      </c>
      <c r="Y417" s="52">
        <v>2165009.88</v>
      </c>
      <c r="Z417" s="52">
        <v>-5334041.95</v>
      </c>
      <c r="AA417" s="52">
        <v>2949033.29</v>
      </c>
      <c r="AB417" s="52">
        <v>5297380.29</v>
      </c>
      <c r="AC417" s="52">
        <v>-380394.57</v>
      </c>
      <c r="AD417" s="52">
        <v>2373165.4700000002</v>
      </c>
      <c r="AE417" s="52">
        <v>2946014.46</v>
      </c>
      <c r="AF417" s="52">
        <v>-10925439.9</v>
      </c>
      <c r="AG417" s="52">
        <v>-6769928.9000000004</v>
      </c>
      <c r="AH417" s="52">
        <v>2616097.65</v>
      </c>
      <c r="AI417" s="52">
        <v>2019875.78</v>
      </c>
      <c r="AJ417" s="52">
        <v>1958976.08</v>
      </c>
      <c r="AK417" s="52">
        <v>2943980.86</v>
      </c>
      <c r="AL417" s="52">
        <v>-2853946.38</v>
      </c>
      <c r="AM417" s="52">
        <v>2053249.05</v>
      </c>
      <c r="AN417" s="52">
        <v>5364828.88</v>
      </c>
      <c r="AO417" s="52">
        <v>-4136101.49</v>
      </c>
      <c r="AP417" s="52">
        <v>4536791.43</v>
      </c>
      <c r="AQ417" s="52">
        <v>3830968.03</v>
      </c>
      <c r="AR417" s="52">
        <v>-7570916.29</v>
      </c>
      <c r="AS417" s="52">
        <v>2081619.07</v>
      </c>
      <c r="AT417" s="52">
        <v>2758883.76</v>
      </c>
      <c r="AU417" s="52">
        <v>-9589224.5600000005</v>
      </c>
      <c r="AV417" s="52">
        <v>2707918.43</v>
      </c>
      <c r="AW417" s="52">
        <v>2630149.91</v>
      </c>
      <c r="AX417" s="52">
        <v>-3894080.18</v>
      </c>
      <c r="AY417" s="52">
        <v>5584119.0700000003</v>
      </c>
      <c r="AZ417" s="52">
        <v>9302106.2899999991</v>
      </c>
      <c r="BA417" s="52">
        <v>-9862049.3100000005</v>
      </c>
      <c r="BB417" s="52">
        <v>1650568.72</v>
      </c>
      <c r="BC417" s="52">
        <v>5304901.6399999997</v>
      </c>
      <c r="BD417" s="52">
        <v>-12767979.300000001</v>
      </c>
      <c r="BE417" s="52">
        <v>3096375</v>
      </c>
      <c r="BF417" s="52">
        <v>3105270.2</v>
      </c>
      <c r="BG417" s="52">
        <v>-8557337.3599999994</v>
      </c>
      <c r="BH417" s="52">
        <v>3697950.51</v>
      </c>
      <c r="BI417" s="52">
        <v>2803273.23</v>
      </c>
      <c r="BJ417" s="52">
        <v>-5813460.6699999999</v>
      </c>
      <c r="BK417" s="52">
        <v>5493355.7599999998</v>
      </c>
      <c r="BL417" s="52">
        <v>6617945.8899999997</v>
      </c>
      <c r="BM417" s="52">
        <v>-5951830.5</v>
      </c>
      <c r="BN417" s="52">
        <v>5496050.3099999996</v>
      </c>
      <c r="BO417" s="52">
        <v>5226930.1900000004</v>
      </c>
      <c r="BP417" s="52">
        <v>-13397496.93</v>
      </c>
      <c r="BQ417" s="52">
        <v>3765173.37</v>
      </c>
      <c r="BR417" s="52">
        <v>3058815.38</v>
      </c>
      <c r="BS417" s="52">
        <v>-9733380.8399999999</v>
      </c>
      <c r="BT417" s="52">
        <v>3683859.63</v>
      </c>
      <c r="BU417" s="52">
        <v>3425609.09</v>
      </c>
      <c r="BV417" s="52">
        <v>-6182919.29</v>
      </c>
      <c r="BW417" s="52">
        <v>4061403.69</v>
      </c>
      <c r="BX417" s="52">
        <v>7675617.6200000001</v>
      </c>
      <c r="BY417" s="52">
        <v>-5948184.0800000001</v>
      </c>
      <c r="BZ417" s="52">
        <v>4844783.18</v>
      </c>
      <c r="CA417" s="52">
        <v>3710728.28</v>
      </c>
      <c r="CB417" s="52">
        <v>-14852521.16</v>
      </c>
      <c r="CC417" s="52">
        <v>3209793.14</v>
      </c>
      <c r="CD417" s="52">
        <v>3096133.42</v>
      </c>
      <c r="CE417" s="52">
        <v>-6771045.1500000004</v>
      </c>
      <c r="CF417" s="52">
        <v>3415357.65</v>
      </c>
      <c r="CG417" s="52">
        <v>2946877.3</v>
      </c>
      <c r="CH417" s="52">
        <v>-5179416.92</v>
      </c>
      <c r="CI417" s="52">
        <v>4619564.9800000004</v>
      </c>
      <c r="CJ417" s="52">
        <v>11395487.33</v>
      </c>
      <c r="CK417" s="52">
        <v>-4646700.9000000004</v>
      </c>
      <c r="CL417" s="52">
        <v>7690800.4699999997</v>
      </c>
      <c r="CM417" s="52">
        <v>-19402192.890000001</v>
      </c>
      <c r="CN417" s="52">
        <v>5523422.1399999997</v>
      </c>
      <c r="CO417" s="52">
        <v>5442618.1799999997</v>
      </c>
      <c r="CP417" s="52">
        <v>4434602.46</v>
      </c>
      <c r="CQ417" s="52">
        <v>-13892246.57</v>
      </c>
      <c r="CR417" s="52">
        <v>5555927.8700000001</v>
      </c>
      <c r="CS417" s="52">
        <v>5105687.1500000004</v>
      </c>
      <c r="CT417" s="52">
        <v>-8957171.2300000004</v>
      </c>
      <c r="CU417" s="52">
        <v>5862599.79</v>
      </c>
      <c r="CV417" s="430">
        <f t="shared" si="12"/>
        <v>4112833.799999997</v>
      </c>
    </row>
    <row r="418" spans="1:100">
      <c r="A418" s="1162"/>
      <c r="B418" s="1162"/>
      <c r="C418" s="1162"/>
      <c r="D418" s="1163"/>
      <c r="E418" s="1163"/>
      <c r="F418" s="1163"/>
      <c r="G418" s="1163"/>
      <c r="H418" s="1163"/>
      <c r="I418" s="1163"/>
      <c r="J418" s="1163"/>
      <c r="K418" s="1163"/>
      <c r="L418" s="1163"/>
      <c r="M418" s="1163"/>
      <c r="N418" s="1163"/>
      <c r="O418" s="1163"/>
      <c r="P418" s="1164"/>
      <c r="Q418" s="1164"/>
      <c r="R418" s="1164"/>
      <c r="S418" s="1164"/>
      <c r="T418" s="1164"/>
      <c r="U418" s="1164"/>
      <c r="V418" s="1164"/>
      <c r="W418" s="1164"/>
      <c r="X418" s="1164"/>
      <c r="Y418" s="1164"/>
      <c r="Z418" s="1164"/>
      <c r="AA418" s="1164"/>
      <c r="AB418" s="1164"/>
      <c r="AC418" s="1164"/>
      <c r="AD418" s="1164"/>
      <c r="AE418" s="1164"/>
      <c r="AF418" s="1164"/>
      <c r="AG418" s="1164"/>
      <c r="AH418" s="1164"/>
      <c r="AI418" s="1164"/>
      <c r="AJ418" s="1164"/>
      <c r="AK418" s="1164">
        <v>0</v>
      </c>
      <c r="AL418" s="1164">
        <v>7.9162418842315674E-9</v>
      </c>
      <c r="AM418" s="1164">
        <v>0</v>
      </c>
      <c r="AN418" s="1164">
        <f t="shared" ref="AN418:BZ418" si="13">SUM(AN5:AN416)+AN417</f>
        <v>0</v>
      </c>
      <c r="AO418" s="1164">
        <f t="shared" si="13"/>
        <v>1.3969838619232178E-8</v>
      </c>
      <c r="AP418" s="1164">
        <f t="shared" si="13"/>
        <v>7.4505805969238281E-9</v>
      </c>
      <c r="AQ418" s="1164">
        <f t="shared" si="13"/>
        <v>6.0535967350006104E-9</v>
      </c>
      <c r="AR418" s="1164">
        <f t="shared" si="13"/>
        <v>0</v>
      </c>
      <c r="AS418" s="1164">
        <f t="shared" si="13"/>
        <v>1.280568540096283E-8</v>
      </c>
      <c r="AT418" s="1164">
        <f t="shared" si="13"/>
        <v>-5.1222741603851318E-9</v>
      </c>
      <c r="AU418" s="1164">
        <f t="shared" si="13"/>
        <v>0</v>
      </c>
      <c r="AV418" s="1164">
        <f t="shared" si="13"/>
        <v>0</v>
      </c>
      <c r="AW418" s="1164">
        <f t="shared" si="13"/>
        <v>5.5879354476928711E-9</v>
      </c>
      <c r="AX418" s="1164">
        <f t="shared" si="13"/>
        <v>-2.0954757928848267E-8</v>
      </c>
      <c r="AY418" s="1164">
        <f t="shared" si="13"/>
        <v>0</v>
      </c>
      <c r="AZ418" s="1164">
        <f t="shared" si="13"/>
        <v>-1.6763806343078613E-8</v>
      </c>
      <c r="BA418" s="1164">
        <f t="shared" si="13"/>
        <v>2.4214386940002441E-8</v>
      </c>
      <c r="BB418" s="1164">
        <f t="shared" si="13"/>
        <v>6.7520886659622192E-9</v>
      </c>
      <c r="BC418" s="1164">
        <f t="shared" si="13"/>
        <v>0</v>
      </c>
      <c r="BD418" s="1164">
        <f t="shared" si="13"/>
        <v>0</v>
      </c>
      <c r="BE418" s="1164">
        <f t="shared" si="13"/>
        <v>0</v>
      </c>
      <c r="BF418" s="1164">
        <f t="shared" si="13"/>
        <v>-3.7252902984619141E-9</v>
      </c>
      <c r="BG418" s="1164">
        <f t="shared" si="13"/>
        <v>1638.5</v>
      </c>
      <c r="BH418" s="1164">
        <f t="shared" si="13"/>
        <v>-1638.5000000386499</v>
      </c>
      <c r="BI418" s="1164">
        <f t="shared" si="13"/>
        <v>5.1688402891159058E-8</v>
      </c>
      <c r="BJ418" s="1164">
        <f t="shared" si="13"/>
        <v>162.000000028871</v>
      </c>
      <c r="BK418" s="1164">
        <f t="shared" si="13"/>
        <v>-162.00000004377216</v>
      </c>
      <c r="BL418" s="1164">
        <f t="shared" si="13"/>
        <v>2.7939677238464355E-8</v>
      </c>
      <c r="BM418" s="1164">
        <f t="shared" si="13"/>
        <v>1.9557774066925049E-8</v>
      </c>
      <c r="BN418" s="1164">
        <f t="shared" si="13"/>
        <v>1.3969838619232178E-8</v>
      </c>
      <c r="BO418" s="1164">
        <f t="shared" si="13"/>
        <v>0</v>
      </c>
      <c r="BP418" s="1164">
        <f t="shared" si="13"/>
        <v>0</v>
      </c>
      <c r="BQ418" s="1164">
        <f t="shared" si="13"/>
        <v>-7.9162418842315674E-9</v>
      </c>
      <c r="BR418" s="1164">
        <f t="shared" si="13"/>
        <v>9.3132257461547852E-9</v>
      </c>
      <c r="BS418" s="1164">
        <f t="shared" si="13"/>
        <v>0</v>
      </c>
      <c r="BT418" s="1164">
        <f t="shared" si="13"/>
        <v>4.1909515857696533E-9</v>
      </c>
      <c r="BU418" s="1164">
        <f t="shared" si="13"/>
        <v>1.2107193470001221E-8</v>
      </c>
      <c r="BV418" s="1164">
        <f t="shared" si="13"/>
        <v>0</v>
      </c>
      <c r="BW418" s="1164">
        <f t="shared" si="13"/>
        <v>1.909211277961731E-8</v>
      </c>
      <c r="BX418" s="1164">
        <f t="shared" si="13"/>
        <v>9.3132257461547852E-9</v>
      </c>
      <c r="BY418" s="1164">
        <f t="shared" si="13"/>
        <v>0</v>
      </c>
      <c r="BZ418" s="1164">
        <f t="shared" si="13"/>
        <v>-7.4505805969238281E-9</v>
      </c>
      <c r="CA418" s="1164">
        <f t="shared" ref="CA418:CF418" si="14">SUM(CA5:CA416)+CA417</f>
        <v>7.4505805969238281E-9</v>
      </c>
      <c r="CB418" s="1164">
        <f t="shared" si="14"/>
        <v>0</v>
      </c>
      <c r="CC418" s="1164">
        <f t="shared" si="14"/>
        <v>-1.0244548320770264E-8</v>
      </c>
      <c r="CD418" s="1164">
        <f t="shared" si="14"/>
        <v>1.5366822481155396E-8</v>
      </c>
      <c r="CE418" s="1164">
        <f t="shared" si="14"/>
        <v>9.3132257461547852E-9</v>
      </c>
      <c r="CF418" s="1164">
        <f t="shared" si="14"/>
        <v>-1.1641532182693481E-8</v>
      </c>
      <c r="CG418" s="1164">
        <f t="shared" ref="CG418:CL418" si="15">SUM(CG5:CG416)+CG417</f>
        <v>0</v>
      </c>
      <c r="CH418" s="1164">
        <f t="shared" si="15"/>
        <v>0</v>
      </c>
      <c r="CI418" s="1164">
        <f t="shared" si="15"/>
        <v>-1.7695128917694092E-8</v>
      </c>
      <c r="CJ418" s="1164">
        <f t="shared" si="15"/>
        <v>-2.2351741790771484E-8</v>
      </c>
      <c r="CK418" s="1164">
        <f t="shared" si="15"/>
        <v>8.3819031715393066E-9</v>
      </c>
      <c r="CL418" s="1164">
        <f t="shared" si="15"/>
        <v>-2.4214386940002441E-8</v>
      </c>
      <c r="CM418" s="1164">
        <f>SUM(CM5:CM416)+CM417</f>
        <v>-2.9802322387695313E-8</v>
      </c>
      <c r="CN418" s="1164">
        <f>SUM(CN5:CN416)+CN417</f>
        <v>0</v>
      </c>
      <c r="CO418" s="1164">
        <f>SUM(CO5:CO416)+CO417</f>
        <v>0</v>
      </c>
      <c r="CP418" s="1164">
        <v>1.0244548320770264E-8</v>
      </c>
      <c r="CQ418" s="1164">
        <v>0</v>
      </c>
      <c r="CR418" s="1164">
        <v>-1.3038516044616699E-8</v>
      </c>
      <c r="CS418" s="1164">
        <f>SUM(CS5:CS416)+CS417</f>
        <v>3.2596290111541748E-8</v>
      </c>
      <c r="CT418" s="1164">
        <f>SUM(CT5:CT416)+CT417</f>
        <v>0</v>
      </c>
      <c r="CU418" s="1164">
        <f>SUM(CU5:CU416)+CU417</f>
        <v>0</v>
      </c>
    </row>
    <row r="419" spans="1:100">
      <c r="A419" s="1161" t="s">
        <v>573</v>
      </c>
      <c r="B419" s="1161" t="s">
        <v>1267</v>
      </c>
      <c r="C419" s="1161" t="s">
        <v>575</v>
      </c>
      <c r="D419" s="394" t="str">
        <f>+D$4</f>
        <v>JAN 2014  Activity</v>
      </c>
      <c r="E419" s="394" t="str">
        <f t="shared" ref="E419:BU419" si="16">+E$4</f>
        <v>FEB 2014  Activity</v>
      </c>
      <c r="F419" s="394" t="str">
        <f t="shared" si="16"/>
        <v>MAR 2014  Activity</v>
      </c>
      <c r="G419" s="394" t="str">
        <f t="shared" si="16"/>
        <v>APR 2014  Activity</v>
      </c>
      <c r="H419" s="394" t="str">
        <f t="shared" si="16"/>
        <v>MAY 2014  Activity</v>
      </c>
      <c r="I419" s="394" t="str">
        <f t="shared" si="16"/>
        <v>JUN 2014  Activity</v>
      </c>
      <c r="J419" s="394" t="str">
        <f t="shared" si="16"/>
        <v>JUL 2014  Activity</v>
      </c>
      <c r="K419" s="394" t="str">
        <f t="shared" si="16"/>
        <v>AUG 2014  Activity</v>
      </c>
      <c r="L419" s="394" t="str">
        <f t="shared" si="16"/>
        <v>SEP 2014  Activity</v>
      </c>
      <c r="M419" s="394" t="str">
        <f t="shared" si="16"/>
        <v>OCT 2014  Activity</v>
      </c>
      <c r="N419" s="394" t="str">
        <f t="shared" si="16"/>
        <v>NOV 2014  Activity</v>
      </c>
      <c r="O419" s="394" t="str">
        <f t="shared" si="16"/>
        <v>DEC 2014  Activity</v>
      </c>
      <c r="P419" s="394" t="str">
        <f t="shared" si="16"/>
        <v>JAN 2015  Activity</v>
      </c>
      <c r="Q419" s="394" t="str">
        <f t="shared" si="16"/>
        <v>FEB 2015  Activity</v>
      </c>
      <c r="R419" s="394" t="str">
        <f t="shared" si="16"/>
        <v>MAR 2015  Activity</v>
      </c>
      <c r="S419" s="394" t="str">
        <f t="shared" si="16"/>
        <v>APR 2015  Activity</v>
      </c>
      <c r="T419" s="394" t="s">
        <v>1386</v>
      </c>
      <c r="U419" s="394" t="s">
        <v>1387</v>
      </c>
      <c r="V419" s="394" t="s">
        <v>1400</v>
      </c>
      <c r="W419" s="394" t="s">
        <v>1401</v>
      </c>
      <c r="X419" s="394" t="s">
        <v>1402</v>
      </c>
      <c r="Y419" s="394" t="s">
        <v>1409</v>
      </c>
      <c r="Z419" s="394" t="s">
        <v>1410</v>
      </c>
      <c r="AA419" s="394" t="s">
        <v>1411</v>
      </c>
      <c r="AB419" s="394" t="s">
        <v>1427</v>
      </c>
      <c r="AC419" s="394" t="s">
        <v>1428</v>
      </c>
      <c r="AD419" s="394" t="s">
        <v>1429</v>
      </c>
      <c r="AE419" s="394" t="str">
        <f t="shared" si="16"/>
        <v>APR 2016  Activity</v>
      </c>
      <c r="AF419" s="394" t="str">
        <f t="shared" si="16"/>
        <v>MAY 2016  Activity</v>
      </c>
      <c r="AG419" s="394" t="str">
        <f t="shared" si="16"/>
        <v>JUN 2016  Activity</v>
      </c>
      <c r="AH419" s="394" t="str">
        <f t="shared" si="16"/>
        <v>JUL 2016  Activity</v>
      </c>
      <c r="AI419" s="394" t="str">
        <f t="shared" si="16"/>
        <v>AUG 2016  Activity</v>
      </c>
      <c r="AJ419" s="394" t="str">
        <f t="shared" si="16"/>
        <v>SEP 2016  Activity</v>
      </c>
      <c r="AK419" s="394" t="s">
        <v>1711</v>
      </c>
      <c r="AL419" s="394" t="s">
        <v>1712</v>
      </c>
      <c r="AM419" s="394" t="s">
        <v>1713</v>
      </c>
      <c r="AN419" s="394" t="str">
        <f t="shared" si="16"/>
        <v>JAN 2017  Activity</v>
      </c>
      <c r="AO419" s="394" t="str">
        <f t="shared" si="16"/>
        <v>FEB 2017  Activity</v>
      </c>
      <c r="AP419" s="394" t="str">
        <f t="shared" si="16"/>
        <v>MAR 2017  Activity</v>
      </c>
      <c r="AQ419" s="394" t="s">
        <v>1815</v>
      </c>
      <c r="AR419" s="394" t="s">
        <v>1816</v>
      </c>
      <c r="AS419" s="394" t="s">
        <v>1817</v>
      </c>
      <c r="AT419" s="394" t="str">
        <f t="shared" si="16"/>
        <v>JUL 2017  Activity</v>
      </c>
      <c r="AU419" s="394" t="str">
        <f t="shared" si="16"/>
        <v>AUG 2017  Activity</v>
      </c>
      <c r="AV419" s="394" t="str">
        <f t="shared" si="16"/>
        <v>SEP 2017  Activity</v>
      </c>
      <c r="AW419" s="394" t="str">
        <f t="shared" si="16"/>
        <v>OCT 2017  Activity</v>
      </c>
      <c r="AX419" s="394" t="str">
        <f t="shared" si="16"/>
        <v>NOV 2017  Activity</v>
      </c>
      <c r="AY419" s="394" t="str">
        <f t="shared" si="16"/>
        <v>DEC 2017  Activity</v>
      </c>
      <c r="AZ419" s="394" t="str">
        <f t="shared" si="16"/>
        <v>JAN 2018  Activity</v>
      </c>
      <c r="BA419" s="394" t="str">
        <f t="shared" si="16"/>
        <v>FEB 2018  Activity</v>
      </c>
      <c r="BB419" s="394" t="str">
        <f t="shared" si="16"/>
        <v>MAR 2018  Activity</v>
      </c>
      <c r="BC419" s="394" t="str">
        <f t="shared" si="16"/>
        <v>APR 2018  Activity</v>
      </c>
      <c r="BD419" s="394" t="str">
        <f t="shared" si="16"/>
        <v>MAY 2018  Activity</v>
      </c>
      <c r="BE419" s="394" t="str">
        <f t="shared" si="16"/>
        <v>JUN 2018  Activity</v>
      </c>
      <c r="BF419" s="394" t="str">
        <f t="shared" si="16"/>
        <v>JUL 2018  Activity</v>
      </c>
      <c r="BG419" s="394" t="str">
        <f t="shared" si="16"/>
        <v>AUG 2018  Activity</v>
      </c>
      <c r="BH419" s="394" t="str">
        <f t="shared" si="16"/>
        <v>SEP 2018  Activity</v>
      </c>
      <c r="BI419" s="394" t="str">
        <f t="shared" si="16"/>
        <v>OCT 2018  Activity</v>
      </c>
      <c r="BJ419" s="394" t="str">
        <f t="shared" si="16"/>
        <v>NOV 2018  Activity</v>
      </c>
      <c r="BK419" s="394" t="str">
        <f t="shared" si="16"/>
        <v>DEC 2018  Activity</v>
      </c>
      <c r="BL419" s="394" t="str">
        <f t="shared" si="16"/>
        <v>JAN 2019  Activity</v>
      </c>
      <c r="BM419" s="394" t="str">
        <f t="shared" si="16"/>
        <v>FEB 2019  Activity</v>
      </c>
      <c r="BN419" s="394" t="str">
        <f t="shared" si="16"/>
        <v>MAR 2019  Activity</v>
      </c>
      <c r="BO419" s="394" t="str">
        <f t="shared" si="16"/>
        <v>APR 2019  Activity</v>
      </c>
      <c r="BP419" s="394" t="str">
        <f t="shared" si="16"/>
        <v>MAY 2019  Activity</v>
      </c>
      <c r="BQ419" s="394" t="str">
        <f t="shared" si="16"/>
        <v>JUN 2019  Activity</v>
      </c>
      <c r="BR419" s="394" t="str">
        <f t="shared" si="16"/>
        <v>JUL 2019  Activity</v>
      </c>
      <c r="BS419" s="394" t="str">
        <f t="shared" si="16"/>
        <v>AUG 2019  Activity</v>
      </c>
      <c r="BT419" s="394" t="str">
        <f t="shared" si="16"/>
        <v>SEP 2019  Activity</v>
      </c>
      <c r="BU419" s="394" t="str">
        <f t="shared" si="16"/>
        <v>OCT 2019  Activity</v>
      </c>
      <c r="BV419" s="394" t="str">
        <f t="shared" ref="BV419:CU419" si="17">+BV$4</f>
        <v>NOV 2019  Activity</v>
      </c>
      <c r="BW419" s="394" t="str">
        <f t="shared" si="17"/>
        <v>DEC 2019  Activity</v>
      </c>
      <c r="BX419" s="1160" t="str">
        <f t="shared" si="17"/>
        <v>JAN 2020  Activity</v>
      </c>
      <c r="BY419" s="1160" t="str">
        <f t="shared" si="17"/>
        <v>FEB 2020  Activity</v>
      </c>
      <c r="BZ419" s="1160" t="str">
        <f t="shared" si="17"/>
        <v>MAR 2020  Activity</v>
      </c>
      <c r="CA419" s="1160" t="str">
        <f t="shared" si="17"/>
        <v>APR 2020  Activity</v>
      </c>
      <c r="CB419" s="1160" t="str">
        <f t="shared" si="17"/>
        <v>MAY 2020  Activity</v>
      </c>
      <c r="CC419" s="1160" t="str">
        <f t="shared" si="17"/>
        <v>JUN 2020  Activity</v>
      </c>
      <c r="CD419" s="1160" t="str">
        <f t="shared" si="17"/>
        <v>JUL 2020  Activity</v>
      </c>
      <c r="CE419" s="1160" t="str">
        <f t="shared" si="17"/>
        <v>AUG 2020  Activity</v>
      </c>
      <c r="CF419" s="1160" t="str">
        <f t="shared" si="17"/>
        <v>SEP 2020  Activity</v>
      </c>
      <c r="CG419" s="1160" t="str">
        <f t="shared" si="17"/>
        <v>OCT 2020  Activity</v>
      </c>
      <c r="CH419" s="1160" t="str">
        <f t="shared" si="17"/>
        <v>NOV 2020  Activity</v>
      </c>
      <c r="CI419" s="1160" t="str">
        <f t="shared" si="17"/>
        <v>DEC 2020  Activity</v>
      </c>
      <c r="CJ419" s="1160" t="str">
        <f t="shared" si="17"/>
        <v>JAN 2021  Activity</v>
      </c>
      <c r="CK419" s="1160" t="str">
        <f t="shared" si="17"/>
        <v>FEB 2021  Activity</v>
      </c>
      <c r="CL419" s="1160" t="str">
        <f t="shared" si="17"/>
        <v>MAR 2021  Activity</v>
      </c>
      <c r="CM419" s="1160" t="str">
        <f t="shared" si="17"/>
        <v>APR 2021  Activity</v>
      </c>
      <c r="CN419" s="1160" t="str">
        <f t="shared" si="17"/>
        <v>MAY 2021  Activity</v>
      </c>
      <c r="CO419" s="1160" t="str">
        <f t="shared" si="17"/>
        <v>JUN 2021  Activity</v>
      </c>
      <c r="CP419" s="1160" t="s">
        <v>2708</v>
      </c>
      <c r="CQ419" s="1160" t="s">
        <v>2709</v>
      </c>
      <c r="CR419" s="1160" t="s">
        <v>2710</v>
      </c>
      <c r="CS419" s="1160" t="str">
        <f t="shared" si="17"/>
        <v>OCT 2021  Activity</v>
      </c>
      <c r="CT419" s="1160" t="str">
        <f t="shared" si="17"/>
        <v>NOV 2021  Activity</v>
      </c>
      <c r="CU419" s="1160" t="str">
        <f t="shared" si="17"/>
        <v>DEC 2021  Activity</v>
      </c>
    </row>
    <row r="420" spans="1:100">
      <c r="A420" s="407" t="s">
        <v>1277</v>
      </c>
      <c r="D420" s="430">
        <v>4245161.26</v>
      </c>
      <c r="E420" s="430">
        <v>4207119.1399999997</v>
      </c>
      <c r="F420" s="430">
        <v>4214231.42</v>
      </c>
      <c r="G420" s="430">
        <v>4222479.62</v>
      </c>
      <c r="H420" s="430">
        <v>4241082.46</v>
      </c>
      <c r="I420" s="430">
        <v>4251586.87</v>
      </c>
      <c r="J420" s="430">
        <v>4262005.4800000004</v>
      </c>
      <c r="K420" s="430">
        <v>4298136.43</v>
      </c>
      <c r="L420" s="430">
        <v>4316386.4000000004</v>
      </c>
      <c r="M420" s="430">
        <v>4334447.7300000004</v>
      </c>
      <c r="N420" s="430">
        <v>4365072.1100000003</v>
      </c>
      <c r="O420" s="430">
        <v>4384360.91</v>
      </c>
      <c r="P420" s="52">
        <v>4407098.71</v>
      </c>
      <c r="Q420" s="52">
        <v>4425417.41</v>
      </c>
      <c r="R420" s="52">
        <v>4431232.5199999996</v>
      </c>
      <c r="S420" s="52">
        <v>4446182.9000000004</v>
      </c>
      <c r="T420" s="52">
        <v>4467479.41</v>
      </c>
      <c r="U420" s="52">
        <v>4488665.9000000004</v>
      </c>
      <c r="V420" s="52">
        <v>4538000.74</v>
      </c>
      <c r="W420" s="52">
        <v>4550526.09</v>
      </c>
      <c r="X420" s="52">
        <v>4562763.3</v>
      </c>
      <c r="Y420" s="52">
        <v>4584730.0999999996</v>
      </c>
      <c r="Z420" s="52">
        <v>4603963.09</v>
      </c>
      <c r="AA420" s="52">
        <v>4631851.5</v>
      </c>
      <c r="AB420" s="52">
        <v>4667147.76</v>
      </c>
      <c r="AC420" s="52">
        <v>4704864.67</v>
      </c>
      <c r="AD420" s="52">
        <v>4723345.3099999996</v>
      </c>
      <c r="AE420" s="52">
        <v>4743484.2699999996</v>
      </c>
      <c r="AF420" s="52">
        <v>4763746.34</v>
      </c>
      <c r="AG420" s="52">
        <v>4777464.88</v>
      </c>
      <c r="AH420" s="52">
        <v>4959441.68</v>
      </c>
      <c r="AI420" s="52">
        <v>4837445.83</v>
      </c>
      <c r="AJ420" s="52">
        <v>4938910.2699999996</v>
      </c>
      <c r="AK420" s="52">
        <v>4949351.38</v>
      </c>
      <c r="AL420" s="52">
        <v>5002328.6399999997</v>
      </c>
      <c r="AM420" s="52">
        <v>-11678706.08</v>
      </c>
      <c r="AN420" s="52">
        <v>3595775.31</v>
      </c>
      <c r="AO420" s="52">
        <v>3616299.31</v>
      </c>
      <c r="AP420" s="52">
        <v>3633375.89</v>
      </c>
      <c r="AQ420" s="52">
        <v>3642311.28</v>
      </c>
      <c r="AR420" s="52">
        <v>3646711.86</v>
      </c>
      <c r="AS420" s="52">
        <v>3664703.01</v>
      </c>
      <c r="AT420" s="52">
        <v>3681094.35</v>
      </c>
      <c r="AU420" s="52">
        <v>3699572.6</v>
      </c>
      <c r="AV420" s="52">
        <v>3720976.73</v>
      </c>
      <c r="AW420" s="52">
        <v>3759140.47</v>
      </c>
      <c r="AX420" s="52">
        <v>3784764.26</v>
      </c>
      <c r="AY420" s="52">
        <v>3802460.82</v>
      </c>
      <c r="AZ420" s="52">
        <v>3828881.35</v>
      </c>
      <c r="BA420" s="52">
        <v>3858918.81</v>
      </c>
      <c r="BB420" s="52">
        <v>3877230.57</v>
      </c>
      <c r="BC420" s="52">
        <v>3905747.53</v>
      </c>
      <c r="BD420" s="52">
        <v>3922730.34</v>
      </c>
      <c r="BE420" s="52">
        <v>3962454.71</v>
      </c>
      <c r="BF420" s="52">
        <v>3982806.7</v>
      </c>
      <c r="BG420" s="52">
        <v>4002276.8</v>
      </c>
      <c r="BH420" s="52">
        <v>4045105.27</v>
      </c>
      <c r="BI420" s="52">
        <v>4031307.23</v>
      </c>
      <c r="BJ420" s="52">
        <v>4072746.98</v>
      </c>
      <c r="BK420" s="52">
        <v>4134643.13</v>
      </c>
      <c r="BL420" s="52">
        <v>3107962.62</v>
      </c>
      <c r="BM420" s="52">
        <v>3127764.88</v>
      </c>
      <c r="BN420" s="52">
        <v>3164395.09</v>
      </c>
      <c r="BO420" s="52">
        <v>3192930.59</v>
      </c>
      <c r="BP420" s="52">
        <v>3215751.7</v>
      </c>
      <c r="BQ420" s="52">
        <v>3240566.32</v>
      </c>
      <c r="BR420" s="52">
        <v>3269450.45</v>
      </c>
      <c r="BS420" s="52">
        <v>3291399.24</v>
      </c>
      <c r="BT420" s="52">
        <v>3306879.04</v>
      </c>
      <c r="BU420" s="52">
        <v>3343583.3</v>
      </c>
      <c r="BV420" s="52">
        <v>3354950.57</v>
      </c>
      <c r="BW420" s="52">
        <v>3395513.35</v>
      </c>
      <c r="BX420" s="52">
        <v>3428541.86</v>
      </c>
      <c r="BY420" s="52">
        <v>3444795.37</v>
      </c>
      <c r="BZ420" s="52">
        <v>3482418.96</v>
      </c>
      <c r="CA420" s="52">
        <v>3513602.62</v>
      </c>
      <c r="CB420" s="52">
        <v>3534644.66</v>
      </c>
      <c r="CC420" s="52">
        <v>3555660.03</v>
      </c>
      <c r="CD420" s="52">
        <v>3580039.27</v>
      </c>
      <c r="CE420" s="52">
        <v>3598451.29</v>
      </c>
      <c r="CF420" s="52">
        <v>3632403.4</v>
      </c>
      <c r="CG420" s="52">
        <v>3656996.48</v>
      </c>
      <c r="CH420" s="52">
        <v>3752982.95</v>
      </c>
      <c r="CI420" s="52">
        <v>3789137.69</v>
      </c>
      <c r="CJ420" s="52">
        <v>4058861.98</v>
      </c>
      <c r="CK420" s="52">
        <v>4092393.43</v>
      </c>
      <c r="CL420" s="52">
        <v>4088038.85</v>
      </c>
      <c r="CM420" s="52">
        <v>4119088.03</v>
      </c>
      <c r="CN420" s="52">
        <v>4253544.55</v>
      </c>
      <c r="CO420" s="52">
        <v>4279271.59</v>
      </c>
      <c r="CP420" s="52">
        <v>4304775.75</v>
      </c>
      <c r="CQ420" s="52">
        <v>4323312.1900000004</v>
      </c>
      <c r="CR420" s="52">
        <v>4344549.92</v>
      </c>
      <c r="CS420" s="52">
        <v>4358337.1100000003</v>
      </c>
      <c r="CT420" s="52">
        <v>4383559.29</v>
      </c>
      <c r="CU420" s="52">
        <v>4514855.82</v>
      </c>
      <c r="CV420" s="430">
        <f t="shared" ref="CV420:CV483" si="18">SUM(CJ420:CU420)</f>
        <v>51120588.509999998</v>
      </c>
    </row>
    <row r="421" spans="1:100">
      <c r="A421" s="392" t="s">
        <v>1278</v>
      </c>
      <c r="D421" s="430">
        <v>147191.46</v>
      </c>
      <c r="E421" s="430">
        <v>150189.5</v>
      </c>
      <c r="F421" s="430">
        <v>150194.57999999999</v>
      </c>
      <c r="G421" s="430">
        <v>150194.63</v>
      </c>
      <c r="H421" s="430">
        <v>150484.89000000001</v>
      </c>
      <c r="I421" s="430">
        <v>150486.68</v>
      </c>
      <c r="J421" s="430">
        <v>150488.16</v>
      </c>
      <c r="K421" s="430">
        <v>148336.57999999999</v>
      </c>
      <c r="L421" s="430">
        <v>154584.12</v>
      </c>
      <c r="M421" s="430">
        <v>154782.59</v>
      </c>
      <c r="N421" s="430">
        <v>154803.57999999999</v>
      </c>
      <c r="O421" s="430">
        <v>154804.53</v>
      </c>
      <c r="P421" s="52">
        <v>154806.53</v>
      </c>
      <c r="Q421" s="52">
        <v>154806.63</v>
      </c>
      <c r="R421" s="52">
        <v>134962.85</v>
      </c>
      <c r="S421" s="52">
        <v>135733.29</v>
      </c>
      <c r="T421" s="52">
        <v>147032.15</v>
      </c>
      <c r="U421" s="52">
        <v>146988.38</v>
      </c>
      <c r="V421" s="52">
        <v>147053.41</v>
      </c>
      <c r="W421" s="52">
        <v>148150.35999999999</v>
      </c>
      <c r="X421" s="52">
        <v>148668.26999999999</v>
      </c>
      <c r="Y421" s="52">
        <v>149307.07999999999</v>
      </c>
      <c r="Z421" s="52">
        <v>148928.76</v>
      </c>
      <c r="AA421" s="52">
        <v>149025.72</v>
      </c>
      <c r="AB421" s="52">
        <v>149157.06</v>
      </c>
      <c r="AC421" s="52">
        <v>149157.44</v>
      </c>
      <c r="AD421" s="52">
        <v>149159.98000000001</v>
      </c>
      <c r="AE421" s="52">
        <v>149093.32999999999</v>
      </c>
      <c r="AF421" s="52">
        <v>149095.4</v>
      </c>
      <c r="AG421" s="52">
        <v>149095.99</v>
      </c>
      <c r="AH421" s="52">
        <v>151055.9</v>
      </c>
      <c r="AI421" s="52">
        <v>158659.17000000001</v>
      </c>
      <c r="AJ421" s="52">
        <v>158665.84</v>
      </c>
      <c r="AK421" s="52">
        <v>158827.91</v>
      </c>
      <c r="AL421" s="52">
        <v>160395.59</v>
      </c>
      <c r="AM421" s="52">
        <v>160906.1</v>
      </c>
      <c r="AN421" s="52">
        <v>155958.22</v>
      </c>
      <c r="AO421" s="52">
        <v>155958.41</v>
      </c>
      <c r="AP421" s="52">
        <v>155959.65</v>
      </c>
      <c r="AQ421" s="52">
        <v>158368.13</v>
      </c>
      <c r="AR421" s="52">
        <v>157782.47</v>
      </c>
      <c r="AS421" s="52">
        <v>157809.01999999999</v>
      </c>
      <c r="AT421" s="52">
        <v>158117.35999999999</v>
      </c>
      <c r="AU421" s="52">
        <v>158131.23000000001</v>
      </c>
      <c r="AV421" s="52">
        <v>158476.85</v>
      </c>
      <c r="AW421" s="52">
        <v>158503.75</v>
      </c>
      <c r="AX421" s="52">
        <v>158595.5</v>
      </c>
      <c r="AY421" s="52">
        <v>158595.15</v>
      </c>
      <c r="AZ421" s="52">
        <v>160184.29999999999</v>
      </c>
      <c r="BA421" s="52">
        <v>160187.41</v>
      </c>
      <c r="BB421" s="52">
        <v>160210.32999999999</v>
      </c>
      <c r="BC421" s="52">
        <v>161347.1</v>
      </c>
      <c r="BD421" s="52">
        <v>161706.65</v>
      </c>
      <c r="BE421" s="52">
        <v>161723.91</v>
      </c>
      <c r="BF421" s="52">
        <v>161648.19</v>
      </c>
      <c r="BG421" s="52">
        <v>163599.94</v>
      </c>
      <c r="BH421" s="52">
        <v>163761.54</v>
      </c>
      <c r="BI421" s="52">
        <v>163948.59</v>
      </c>
      <c r="BJ421" s="52">
        <v>168391.29</v>
      </c>
      <c r="BK421" s="52">
        <v>168590.2</v>
      </c>
      <c r="BL421" s="52">
        <v>175750.58</v>
      </c>
      <c r="BM421" s="52">
        <v>176244.21</v>
      </c>
      <c r="BN421" s="52">
        <v>176111.99</v>
      </c>
      <c r="BO421" s="52">
        <v>176101.6</v>
      </c>
      <c r="BP421" s="52">
        <v>176152.95</v>
      </c>
      <c r="BQ421" s="52">
        <v>172556.62</v>
      </c>
      <c r="BR421" s="52">
        <v>172563.25</v>
      </c>
      <c r="BS421" s="52">
        <v>172487.48</v>
      </c>
      <c r="BT421" s="52">
        <v>172554.12</v>
      </c>
      <c r="BU421" s="52">
        <v>178817.54</v>
      </c>
      <c r="BV421" s="52">
        <v>179457.42</v>
      </c>
      <c r="BW421" s="52">
        <v>180492.46</v>
      </c>
      <c r="BX421" s="52">
        <v>186368.99</v>
      </c>
      <c r="BY421" s="52">
        <v>184231.94</v>
      </c>
      <c r="BZ421" s="52">
        <v>185353.5</v>
      </c>
      <c r="CA421" s="52">
        <v>184520.25</v>
      </c>
      <c r="CB421" s="52">
        <v>184391.25</v>
      </c>
      <c r="CC421" s="52">
        <v>184507.58</v>
      </c>
      <c r="CD421" s="52">
        <v>185260.31</v>
      </c>
      <c r="CE421" s="52">
        <v>185376.15</v>
      </c>
      <c r="CF421" s="52">
        <v>183665.84</v>
      </c>
      <c r="CG421" s="52">
        <v>183812.57</v>
      </c>
      <c r="CH421" s="52">
        <v>274286.36</v>
      </c>
      <c r="CI421" s="52">
        <v>274706.28999999998</v>
      </c>
      <c r="CJ421" s="52">
        <v>270651.27</v>
      </c>
      <c r="CK421" s="52">
        <v>270886.17</v>
      </c>
      <c r="CL421" s="52">
        <v>271218.26</v>
      </c>
      <c r="CM421" s="52">
        <v>285406.7</v>
      </c>
      <c r="CN421" s="52">
        <v>301060.37</v>
      </c>
      <c r="CO421" s="52">
        <v>302455.27</v>
      </c>
      <c r="CP421" s="52">
        <v>303895.84999999998</v>
      </c>
      <c r="CQ421" s="52">
        <v>305319.11</v>
      </c>
      <c r="CR421" s="52">
        <v>305870.89</v>
      </c>
      <c r="CS421" s="52">
        <v>306026.75</v>
      </c>
      <c r="CT421" s="52">
        <v>306171.98</v>
      </c>
      <c r="CU421" s="52">
        <v>306369.34999999998</v>
      </c>
      <c r="CV421" s="430">
        <f t="shared" si="18"/>
        <v>3535331.97</v>
      </c>
    </row>
    <row r="422" spans="1:100">
      <c r="A422" s="392" t="s">
        <v>1279</v>
      </c>
      <c r="D422" s="430">
        <v>12428.82</v>
      </c>
      <c r="E422" s="430">
        <v>12428.82</v>
      </c>
      <c r="F422" s="430">
        <v>12428.82</v>
      </c>
      <c r="G422" s="430">
        <v>12428.82</v>
      </c>
      <c r="H422" s="430">
        <v>12428.82</v>
      </c>
      <c r="I422" s="430">
        <v>12428.82</v>
      </c>
      <c r="J422" s="430">
        <v>12428.82</v>
      </c>
      <c r="K422" s="430">
        <v>12428.82</v>
      </c>
      <c r="L422" s="430">
        <v>12428.82</v>
      </c>
      <c r="M422" s="430">
        <v>12428.82</v>
      </c>
      <c r="N422" s="430">
        <v>12428.82</v>
      </c>
      <c r="O422" s="430">
        <v>12428.82</v>
      </c>
      <c r="P422" s="52">
        <v>12428.82</v>
      </c>
      <c r="Q422" s="52">
        <v>12428.82</v>
      </c>
      <c r="R422" s="52">
        <v>12428.82</v>
      </c>
      <c r="S422" s="52">
        <v>12428.82</v>
      </c>
      <c r="T422" s="52">
        <v>12428.82</v>
      </c>
      <c r="U422" s="52">
        <v>12428.82</v>
      </c>
      <c r="V422" s="52">
        <v>12428.82</v>
      </c>
      <c r="W422" s="52">
        <v>12428.82</v>
      </c>
      <c r="X422" s="52">
        <v>12428.82</v>
      </c>
      <c r="Y422" s="52">
        <v>12428.82</v>
      </c>
      <c r="Z422" s="52">
        <v>12428.82</v>
      </c>
      <c r="AA422" s="52">
        <v>12428.82</v>
      </c>
      <c r="AB422" s="52">
        <v>12428.82</v>
      </c>
      <c r="AC422" s="52">
        <v>12428.82</v>
      </c>
      <c r="AD422" s="52">
        <v>12428.82</v>
      </c>
      <c r="AE422" s="52">
        <v>12428.82</v>
      </c>
      <c r="AF422" s="52">
        <v>12428.82</v>
      </c>
      <c r="AG422" s="52">
        <v>12428.82</v>
      </c>
      <c r="AH422" s="52">
        <v>12428.82</v>
      </c>
      <c r="AI422" s="52">
        <v>12428.82</v>
      </c>
      <c r="AJ422" s="52">
        <v>12428.82</v>
      </c>
      <c r="AK422" s="52">
        <v>12428.82</v>
      </c>
      <c r="AL422" s="52">
        <v>12428.82</v>
      </c>
      <c r="AM422" s="52">
        <v>12428.82</v>
      </c>
      <c r="AN422" s="52">
        <v>12428.82</v>
      </c>
      <c r="AO422" s="52">
        <v>12428.82</v>
      </c>
      <c r="AP422" s="52">
        <v>12428.82</v>
      </c>
      <c r="AQ422" s="52">
        <v>12428.82</v>
      </c>
      <c r="AR422" s="52">
        <v>12428.82</v>
      </c>
      <c r="AS422" s="52">
        <v>12428.82</v>
      </c>
      <c r="AT422" s="52">
        <v>12428.82</v>
      </c>
      <c r="AU422" s="52">
        <v>12428.82</v>
      </c>
      <c r="AV422" s="52">
        <v>12428.82</v>
      </c>
      <c r="AW422" s="52">
        <v>12428.82</v>
      </c>
      <c r="AX422" s="52">
        <v>12428.82</v>
      </c>
      <c r="AY422" s="52">
        <v>12428.82</v>
      </c>
      <c r="AZ422" s="52">
        <v>12428.82</v>
      </c>
      <c r="BA422" s="52">
        <v>12428.82</v>
      </c>
      <c r="BB422" s="52">
        <v>12428.82</v>
      </c>
      <c r="BC422" s="52">
        <v>12428.82</v>
      </c>
      <c r="BD422" s="52">
        <v>12428.82</v>
      </c>
      <c r="BE422" s="52">
        <v>12428.82</v>
      </c>
      <c r="BF422" s="52">
        <v>12428.82</v>
      </c>
      <c r="BG422" s="52">
        <v>12428.82</v>
      </c>
      <c r="BH422" s="52">
        <v>12428.82</v>
      </c>
      <c r="BI422" s="52">
        <v>12428.82</v>
      </c>
      <c r="BJ422" s="52">
        <v>12428.82</v>
      </c>
      <c r="BK422" s="52">
        <v>12428.82</v>
      </c>
      <c r="BL422" s="52">
        <v>12428.82</v>
      </c>
      <c r="BM422" s="52">
        <v>12428.82</v>
      </c>
      <c r="BN422" s="52">
        <v>12428.82</v>
      </c>
      <c r="BO422" s="52">
        <v>12428.82</v>
      </c>
      <c r="BP422" s="52">
        <v>12428.82</v>
      </c>
      <c r="BQ422" s="52">
        <v>12428.82</v>
      </c>
      <c r="BR422" s="52">
        <v>12428.82</v>
      </c>
      <c r="BS422" s="52">
        <v>12428.82</v>
      </c>
      <c r="BT422" s="52">
        <v>12428.82</v>
      </c>
      <c r="BU422" s="52">
        <v>12428.82</v>
      </c>
      <c r="BV422" s="52">
        <v>12428.82</v>
      </c>
      <c r="BW422" s="52">
        <v>12428.82</v>
      </c>
      <c r="BX422" s="52">
        <v>12428.82</v>
      </c>
      <c r="BY422" s="52">
        <v>12428.82</v>
      </c>
      <c r="BZ422" s="52">
        <v>12428.82</v>
      </c>
      <c r="CA422" s="52">
        <v>12428.82</v>
      </c>
      <c r="CB422" s="52">
        <v>12428.82</v>
      </c>
      <c r="CC422" s="52">
        <v>12428.82</v>
      </c>
      <c r="CD422" s="52">
        <v>12428.82</v>
      </c>
      <c r="CE422" s="52">
        <v>12428.82</v>
      </c>
      <c r="CF422" s="52">
        <v>12428.82</v>
      </c>
      <c r="CG422" s="52">
        <v>5949.73</v>
      </c>
      <c r="CH422" s="52">
        <v>5949.73</v>
      </c>
      <c r="CI422" s="52">
        <v>5949.73</v>
      </c>
      <c r="CJ422" s="52">
        <v>5949.73</v>
      </c>
      <c r="CK422" s="52">
        <v>5949.73</v>
      </c>
      <c r="CL422" s="52">
        <v>5949.73</v>
      </c>
      <c r="CM422" s="52">
        <v>5949.73</v>
      </c>
      <c r="CN422" s="52">
        <v>5949.73</v>
      </c>
      <c r="CO422" s="52">
        <v>5949.73</v>
      </c>
      <c r="CP422" s="52">
        <v>5949.73</v>
      </c>
      <c r="CQ422" s="52">
        <v>-687.37</v>
      </c>
      <c r="CR422" s="52">
        <v>0</v>
      </c>
      <c r="CS422" s="52">
        <v>0</v>
      </c>
      <c r="CT422" s="52">
        <v>0</v>
      </c>
      <c r="CU422" s="52">
        <v>0</v>
      </c>
      <c r="CV422" s="430">
        <f t="shared" si="18"/>
        <v>40960.74</v>
      </c>
    </row>
    <row r="423" spans="1:100">
      <c r="A423" s="392" t="s">
        <v>1280</v>
      </c>
      <c r="D423" s="430">
        <v>692732</v>
      </c>
      <c r="E423" s="430">
        <v>1004123</v>
      </c>
      <c r="F423" s="430">
        <v>735084</v>
      </c>
      <c r="G423" s="430">
        <v>458589</v>
      </c>
      <c r="H423" s="430">
        <v>191456</v>
      </c>
      <c r="I423" s="430">
        <v>155589</v>
      </c>
      <c r="J423" s="430">
        <v>53333</v>
      </c>
      <c r="K423" s="430">
        <v>53333</v>
      </c>
      <c r="L423" s="430">
        <v>53333</v>
      </c>
      <c r="M423" s="430">
        <v>53333</v>
      </c>
      <c r="N423" s="430">
        <v>83411</v>
      </c>
      <c r="O423" s="430">
        <v>606127</v>
      </c>
      <c r="P423" s="52">
        <v>640463</v>
      </c>
      <c r="Q423" s="52">
        <v>1044195.45</v>
      </c>
      <c r="R423" s="52">
        <v>767964.41</v>
      </c>
      <c r="S423" s="52">
        <v>517228.68</v>
      </c>
      <c r="T423" s="52">
        <v>53155</v>
      </c>
      <c r="U423" s="52">
        <v>117676</v>
      </c>
      <c r="V423" s="52">
        <v>53333</v>
      </c>
      <c r="W423" s="52">
        <v>564537</v>
      </c>
      <c r="X423" s="52">
        <v>53333</v>
      </c>
      <c r="Y423" s="52">
        <v>53333</v>
      </c>
      <c r="Z423" s="52">
        <v>232559</v>
      </c>
      <c r="AA423" s="52">
        <v>449762</v>
      </c>
      <c r="AB423" s="52">
        <v>514421.52</v>
      </c>
      <c r="AC423" s="52">
        <v>816086</v>
      </c>
      <c r="AD423" s="52">
        <v>467539</v>
      </c>
      <c r="AE423" s="52">
        <v>356640</v>
      </c>
      <c r="AF423" s="52">
        <v>53197</v>
      </c>
      <c r="AG423" s="52">
        <v>-8011.48</v>
      </c>
      <c r="AH423" s="52">
        <v>53333</v>
      </c>
      <c r="AI423" s="52">
        <v>53333</v>
      </c>
      <c r="AJ423" s="52">
        <v>53333</v>
      </c>
      <c r="AK423" s="52">
        <v>53333</v>
      </c>
      <c r="AL423" s="52">
        <v>209703</v>
      </c>
      <c r="AM423" s="52">
        <v>16053333</v>
      </c>
      <c r="AN423" s="52">
        <v>1431292</v>
      </c>
      <c r="AO423" s="52">
        <v>1020414</v>
      </c>
      <c r="AP423" s="52">
        <v>760824</v>
      </c>
      <c r="AQ423" s="52">
        <v>753237</v>
      </c>
      <c r="AR423" s="52">
        <v>485801</v>
      </c>
      <c r="AS423" s="52">
        <v>485801</v>
      </c>
      <c r="AT423" s="52">
        <v>485801</v>
      </c>
      <c r="AU423" s="52">
        <v>485801</v>
      </c>
      <c r="AV423" s="52">
        <v>485801</v>
      </c>
      <c r="AW423" s="52">
        <v>485801</v>
      </c>
      <c r="AX423" s="52">
        <v>485801</v>
      </c>
      <c r="AY423" s="52">
        <v>-613552</v>
      </c>
      <c r="AZ423" s="52">
        <v>1523673</v>
      </c>
      <c r="BA423" s="52">
        <v>2748713.34</v>
      </c>
      <c r="BB423" s="52">
        <v>4446076.68</v>
      </c>
      <c r="BC423" s="52">
        <v>1578070</v>
      </c>
      <c r="BD423" s="52">
        <v>911765</v>
      </c>
      <c r="BE423" s="52">
        <v>860609</v>
      </c>
      <c r="BF423" s="52">
        <v>932571</v>
      </c>
      <c r="BG423" s="52">
        <v>921234</v>
      </c>
      <c r="BH423" s="52">
        <v>733299</v>
      </c>
      <c r="BI423" s="52">
        <v>684719</v>
      </c>
      <c r="BJ423" s="52">
        <v>684719</v>
      </c>
      <c r="BK423" s="52">
        <v>266083</v>
      </c>
      <c r="BL423" s="52">
        <v>773967</v>
      </c>
      <c r="BM423" s="52">
        <v>1622841</v>
      </c>
      <c r="BN423" s="52">
        <v>771740</v>
      </c>
      <c r="BO423" s="52">
        <v>251810</v>
      </c>
      <c r="BP423" s="52">
        <v>366029</v>
      </c>
      <c r="BQ423" s="52">
        <v>119556</v>
      </c>
      <c r="BR423" s="52">
        <v>119556</v>
      </c>
      <c r="BS423" s="52">
        <v>119556</v>
      </c>
      <c r="BT423" s="52">
        <v>201614</v>
      </c>
      <c r="BU423" s="52">
        <v>144133</v>
      </c>
      <c r="BV423" s="52">
        <v>119556</v>
      </c>
      <c r="BW423" s="52">
        <v>350140</v>
      </c>
      <c r="BX423" s="52">
        <v>1045771</v>
      </c>
      <c r="BY423" s="52">
        <v>1486794</v>
      </c>
      <c r="BZ423" s="52">
        <v>1242135</v>
      </c>
      <c r="CA423" s="52">
        <v>409329</v>
      </c>
      <c r="CB423" s="52">
        <v>409329</v>
      </c>
      <c r="CC423" s="52">
        <v>409329</v>
      </c>
      <c r="CD423" s="52">
        <v>409329</v>
      </c>
      <c r="CE423" s="52">
        <v>409329</v>
      </c>
      <c r="CF423" s="52">
        <v>409329</v>
      </c>
      <c r="CG423" s="52">
        <v>409329</v>
      </c>
      <c r="CH423" s="52">
        <v>409329</v>
      </c>
      <c r="CI423" s="52">
        <v>567204</v>
      </c>
      <c r="CJ423" s="52">
        <v>1732592.33</v>
      </c>
      <c r="CK423" s="52">
        <v>892693.33</v>
      </c>
      <c r="CL423" s="52">
        <v>713190.33</v>
      </c>
      <c r="CM423" s="52">
        <v>794950.33</v>
      </c>
      <c r="CN423" s="52">
        <v>524590.32999999996</v>
      </c>
      <c r="CO423" s="52">
        <v>514587.33</v>
      </c>
      <c r="CP423" s="52">
        <v>514587.33</v>
      </c>
      <c r="CQ423" s="52">
        <v>568195.32999999996</v>
      </c>
      <c r="CR423" s="52">
        <v>1235910</v>
      </c>
      <c r="CS423" s="52">
        <v>483183.82</v>
      </c>
      <c r="CT423" s="52">
        <v>581072.93999999994</v>
      </c>
      <c r="CU423" s="52">
        <v>721825.45</v>
      </c>
      <c r="CV423" s="430">
        <f t="shared" si="18"/>
        <v>9277378.8499999996</v>
      </c>
    </row>
    <row r="424" spans="1:100">
      <c r="A424" s="392" t="s">
        <v>1281</v>
      </c>
      <c r="D424" s="430">
        <v>-449</v>
      </c>
      <c r="E424" s="430">
        <v>0</v>
      </c>
      <c r="F424" s="430">
        <v>0</v>
      </c>
      <c r="G424" s="430">
        <v>120</v>
      </c>
      <c r="H424" s="430">
        <v>0</v>
      </c>
      <c r="I424" s="430">
        <v>-16168</v>
      </c>
      <c r="J424" s="430">
        <v>-551337</v>
      </c>
      <c r="K424" s="430">
        <v>-267863</v>
      </c>
      <c r="L424" s="430">
        <v>-361503</v>
      </c>
      <c r="M424" s="430">
        <v>-187139</v>
      </c>
      <c r="N424" s="430">
        <v>-71943</v>
      </c>
      <c r="O424" s="430">
        <v>-30478</v>
      </c>
      <c r="P424" s="52">
        <v>-26117</v>
      </c>
      <c r="Q424" s="52">
        <v>-25795</v>
      </c>
      <c r="R424" s="52">
        <v>-25795</v>
      </c>
      <c r="S424" s="52">
        <v>-25795</v>
      </c>
      <c r="T424" s="52">
        <v>-139270.35999999999</v>
      </c>
      <c r="U424" s="52">
        <v>-78805.63</v>
      </c>
      <c r="V424" s="52">
        <v>-130640.69</v>
      </c>
      <c r="W424" s="52">
        <v>-323064.52</v>
      </c>
      <c r="X424" s="52">
        <v>-218469.72</v>
      </c>
      <c r="Y424" s="52">
        <v>-509248.91</v>
      </c>
      <c r="Z424" s="52">
        <v>-116856.32000000001</v>
      </c>
      <c r="AA424" s="52">
        <v>-86845.91</v>
      </c>
      <c r="AB424" s="52">
        <v>-178474</v>
      </c>
      <c r="AC424" s="52">
        <v>-178038</v>
      </c>
      <c r="AD424" s="52">
        <v>-178038</v>
      </c>
      <c r="AE424" s="186">
        <v>-178038</v>
      </c>
      <c r="AF424" s="186">
        <v>-349720</v>
      </c>
      <c r="AG424" s="186">
        <v>-447541</v>
      </c>
      <c r="AH424" s="186">
        <v>-408543</v>
      </c>
      <c r="AI424" s="186">
        <v>-935390</v>
      </c>
      <c r="AJ424" s="186">
        <v>-344140</v>
      </c>
      <c r="AK424" s="186">
        <v>-782161</v>
      </c>
      <c r="AL424" s="186">
        <v>-306546</v>
      </c>
      <c r="AM424" s="186">
        <v>-341795</v>
      </c>
      <c r="AN424" s="186">
        <v>-59322</v>
      </c>
      <c r="AO424" s="186">
        <v>-45253</v>
      </c>
      <c r="AP424" s="186">
        <v>-109905</v>
      </c>
      <c r="AQ424" s="186">
        <v>-137919</v>
      </c>
      <c r="AR424" s="186">
        <v>-668825</v>
      </c>
      <c r="AS424" s="186">
        <v>-899674</v>
      </c>
      <c r="AT424" s="186">
        <v>-968188</v>
      </c>
      <c r="AU424" s="186">
        <v>-1159101</v>
      </c>
      <c r="AV424" s="186">
        <v>-713056</v>
      </c>
      <c r="AW424" s="186">
        <v>-1567703</v>
      </c>
      <c r="AX424" s="186">
        <v>-723534</v>
      </c>
      <c r="AY424" s="186">
        <v>-337518</v>
      </c>
      <c r="AZ424" s="186">
        <v>0</v>
      </c>
      <c r="BA424" s="186">
        <v>0</v>
      </c>
      <c r="BB424" s="186">
        <v>-472880</v>
      </c>
      <c r="BC424" s="186">
        <v>-1178357</v>
      </c>
      <c r="BD424" s="186">
        <v>0</v>
      </c>
      <c r="BE424" s="186">
        <v>-141955</v>
      </c>
      <c r="BF424" s="186">
        <v>-1404380</v>
      </c>
      <c r="BG424" s="186">
        <v>-891247</v>
      </c>
      <c r="BH424" s="186">
        <v>-148132</v>
      </c>
      <c r="BI424" s="186">
        <v>-1477193</v>
      </c>
      <c r="BJ424" s="186">
        <v>-268461</v>
      </c>
      <c r="BK424" s="186">
        <v>-7586</v>
      </c>
      <c r="BL424" s="186">
        <v>-119764</v>
      </c>
      <c r="BM424" s="186">
        <v>-174835</v>
      </c>
      <c r="BN424" s="186">
        <v>-119764</v>
      </c>
      <c r="BO424" s="186">
        <v>-119764</v>
      </c>
      <c r="BP424" s="186">
        <v>-237165</v>
      </c>
      <c r="BQ424" s="186">
        <v>-1073082</v>
      </c>
      <c r="BR424" s="186">
        <v>-1564647</v>
      </c>
      <c r="BS424" s="186">
        <v>-865141</v>
      </c>
      <c r="BT424" s="186">
        <v>-517878</v>
      </c>
      <c r="BU424" s="186">
        <v>-1033944.21</v>
      </c>
      <c r="BV424" s="186">
        <v>-734848.79</v>
      </c>
      <c r="BW424" s="186">
        <v>-519278</v>
      </c>
      <c r="BX424" s="186">
        <v>0</v>
      </c>
      <c r="BY424" s="186">
        <v>0</v>
      </c>
      <c r="BZ424" s="186">
        <v>0</v>
      </c>
      <c r="CA424" s="186">
        <v>-541125</v>
      </c>
      <c r="CB424" s="186">
        <v>-713524</v>
      </c>
      <c r="CC424" s="186">
        <v>-799801</v>
      </c>
      <c r="CD424" s="186">
        <v>-880400</v>
      </c>
      <c r="CE424" s="186">
        <v>-1147999</v>
      </c>
      <c r="CF424" s="186">
        <v>-1478348</v>
      </c>
      <c r="CG424" s="186">
        <v>-1540208</v>
      </c>
      <c r="CH424" s="186">
        <v>-607047</v>
      </c>
      <c r="CI424" s="186">
        <v>-115872</v>
      </c>
      <c r="CJ424" s="186">
        <v>0</v>
      </c>
      <c r="CK424" s="186">
        <v>0</v>
      </c>
      <c r="CL424" s="186">
        <v>0</v>
      </c>
      <c r="CM424" s="186">
        <v>1900</v>
      </c>
      <c r="CN424" s="186">
        <v>-8166</v>
      </c>
      <c r="CO424" s="186">
        <v>-65264</v>
      </c>
      <c r="CP424" s="186">
        <v>-383487</v>
      </c>
      <c r="CQ424" s="186">
        <v>-133213</v>
      </c>
      <c r="CR424" s="186">
        <v>-633481</v>
      </c>
      <c r="CS424" s="186">
        <v>-559659</v>
      </c>
      <c r="CT424" s="186">
        <v>-279446</v>
      </c>
      <c r="CU424" s="186">
        <v>-61927</v>
      </c>
      <c r="CV424" s="430">
        <f t="shared" si="18"/>
        <v>-2122743</v>
      </c>
    </row>
    <row r="425" spans="1:100">
      <c r="A425" s="392" t="s">
        <v>1282</v>
      </c>
      <c r="D425" s="430">
        <v>3900728.63</v>
      </c>
      <c r="E425" s="430">
        <v>3576790.95</v>
      </c>
      <c r="F425" s="430">
        <v>3236058.27</v>
      </c>
      <c r="G425" s="430">
        <v>3026048.36</v>
      </c>
      <c r="H425" s="430">
        <v>2806888.43</v>
      </c>
      <c r="I425" s="430">
        <v>2620717.92</v>
      </c>
      <c r="J425" s="430">
        <v>2518056.41</v>
      </c>
      <c r="K425" s="430">
        <v>2150955.4900000002</v>
      </c>
      <c r="L425" s="430">
        <v>2559103.38</v>
      </c>
      <c r="M425" s="430">
        <v>2601447.5099999998</v>
      </c>
      <c r="N425" s="430">
        <v>2764179.48</v>
      </c>
      <c r="O425" s="430">
        <v>3351238.9</v>
      </c>
      <c r="P425" s="52">
        <v>3516551.96</v>
      </c>
      <c r="Q425" s="52">
        <v>3692989.66</v>
      </c>
      <c r="R425" s="52">
        <v>3508343.87</v>
      </c>
      <c r="S425" s="52">
        <v>3029851.64</v>
      </c>
      <c r="T425" s="52">
        <v>2658287.17</v>
      </c>
      <c r="U425" s="52">
        <v>2703167.19</v>
      </c>
      <c r="V425" s="52">
        <v>3008899.7</v>
      </c>
      <c r="W425" s="52">
        <v>1966851.14</v>
      </c>
      <c r="X425" s="52">
        <v>2595616.34</v>
      </c>
      <c r="Y425" s="52">
        <v>2716940.84</v>
      </c>
      <c r="Z425" s="52">
        <v>2810517.19</v>
      </c>
      <c r="AA425" s="52">
        <v>3136601.07</v>
      </c>
      <c r="AB425" s="52">
        <v>3699068.84</v>
      </c>
      <c r="AC425" s="52">
        <v>3886626.27</v>
      </c>
      <c r="AD425" s="52">
        <v>3544103.31</v>
      </c>
      <c r="AE425" s="186">
        <v>3090934.6</v>
      </c>
      <c r="AF425" s="186">
        <v>2977110.5</v>
      </c>
      <c r="AG425" s="186">
        <v>2761534.17</v>
      </c>
      <c r="AH425" s="186">
        <v>2721572.76</v>
      </c>
      <c r="AI425" s="186">
        <v>2646289.21</v>
      </c>
      <c r="AJ425" s="186">
        <v>2754142.86</v>
      </c>
      <c r="AK425" s="186">
        <v>2661219.9300000002</v>
      </c>
      <c r="AL425" s="186">
        <v>2430568.36</v>
      </c>
      <c r="AM425" s="186">
        <v>3139624.19</v>
      </c>
      <c r="AN425" s="186">
        <v>3585184.72</v>
      </c>
      <c r="AO425" s="186">
        <v>3442063.32</v>
      </c>
      <c r="AP425" s="186">
        <v>3377076.84</v>
      </c>
      <c r="AQ425" s="186">
        <v>3283577.51</v>
      </c>
      <c r="AR425" s="186">
        <v>2774403.19</v>
      </c>
      <c r="AS425" s="186">
        <v>2695535.35</v>
      </c>
      <c r="AT425" s="186">
        <v>2572142.87</v>
      </c>
      <c r="AU425" s="186">
        <v>2627913.4</v>
      </c>
      <c r="AV425" s="186">
        <v>2578610.96</v>
      </c>
      <c r="AW425" s="186">
        <v>2756832.45</v>
      </c>
      <c r="AX425" s="186">
        <v>2674039.12</v>
      </c>
      <c r="AY425" s="186">
        <v>3520899.82</v>
      </c>
      <c r="AZ425" s="186">
        <v>4334596.51</v>
      </c>
      <c r="BA425" s="186">
        <v>4015312.02</v>
      </c>
      <c r="BB425" s="186">
        <v>3337124.2</v>
      </c>
      <c r="BC425" s="186">
        <v>3589495.24</v>
      </c>
      <c r="BD425" s="186">
        <v>3221215.62</v>
      </c>
      <c r="BE425" s="186">
        <v>3014361.48</v>
      </c>
      <c r="BF425" s="186">
        <v>2936582.3</v>
      </c>
      <c r="BG425" s="186">
        <v>2981647.76</v>
      </c>
      <c r="BH425" s="186">
        <v>2925509</v>
      </c>
      <c r="BI425" s="186">
        <v>2877123.16</v>
      </c>
      <c r="BJ425" s="186">
        <v>2540050.87</v>
      </c>
      <c r="BK425" s="186">
        <v>3556648.52</v>
      </c>
      <c r="BL425" s="186">
        <v>4307739.33</v>
      </c>
      <c r="BM425" s="186">
        <v>4173065.52</v>
      </c>
      <c r="BN425" s="186">
        <v>3738381.25</v>
      </c>
      <c r="BO425" s="186">
        <v>3495798.49</v>
      </c>
      <c r="BP425" s="186">
        <v>3411019.13</v>
      </c>
      <c r="BQ425" s="186">
        <v>3099423.36</v>
      </c>
      <c r="BR425" s="186">
        <v>3149256.73</v>
      </c>
      <c r="BS425" s="186">
        <v>2655880.29</v>
      </c>
      <c r="BT425" s="186">
        <v>2933410.13</v>
      </c>
      <c r="BU425" s="186">
        <v>3022627.73</v>
      </c>
      <c r="BV425" s="186">
        <v>3338463.86</v>
      </c>
      <c r="BW425" s="186">
        <v>3904465.91</v>
      </c>
      <c r="BX425" s="186">
        <v>4250408.28</v>
      </c>
      <c r="BY425" s="186">
        <v>4388338.07</v>
      </c>
      <c r="BZ425" s="186">
        <v>3828557.5</v>
      </c>
      <c r="CA425" s="186">
        <v>3446284.32</v>
      </c>
      <c r="CB425" s="186">
        <v>3239483.55</v>
      </c>
      <c r="CC425" s="186">
        <v>3047965.42</v>
      </c>
      <c r="CD425" s="186">
        <v>3230459.86</v>
      </c>
      <c r="CE425" s="186">
        <v>3169729.55</v>
      </c>
      <c r="CF425" s="186">
        <v>2793302.48</v>
      </c>
      <c r="CG425" s="186">
        <v>3215027.13</v>
      </c>
      <c r="CH425" s="186">
        <v>2972960.48</v>
      </c>
      <c r="CI425" s="186">
        <v>3310526.72</v>
      </c>
      <c r="CJ425" s="186">
        <v>4930150.0999999996</v>
      </c>
      <c r="CK425" s="186">
        <v>4622177.08</v>
      </c>
      <c r="CL425" s="186">
        <v>4266596.8600000003</v>
      </c>
      <c r="CM425" s="186">
        <v>4290323.0599999996</v>
      </c>
      <c r="CN425" s="186">
        <v>4348543.2699999996</v>
      </c>
      <c r="CO425" s="186">
        <v>3105990.25</v>
      </c>
      <c r="CP425" s="186">
        <v>3879599.44</v>
      </c>
      <c r="CQ425" s="186">
        <v>3558072.92</v>
      </c>
      <c r="CR425" s="186">
        <v>2843876.53</v>
      </c>
      <c r="CS425" s="186">
        <v>3600052.09</v>
      </c>
      <c r="CT425" s="186">
        <v>3884712.46</v>
      </c>
      <c r="CU425" s="186">
        <v>4388583.91</v>
      </c>
      <c r="CV425" s="430">
        <f t="shared" si="18"/>
        <v>47718677.969999999</v>
      </c>
    </row>
    <row r="426" spans="1:100">
      <c r="A426" s="392" t="s">
        <v>1283</v>
      </c>
      <c r="D426" s="430">
        <v>2311322.62</v>
      </c>
      <c r="E426" s="430">
        <v>2902688.25</v>
      </c>
      <c r="F426" s="430">
        <v>3077094.1</v>
      </c>
      <c r="G426" s="430">
        <v>1559304.35</v>
      </c>
      <c r="H426" s="430">
        <v>1500195.37</v>
      </c>
      <c r="I426" s="430">
        <v>1028903.32</v>
      </c>
      <c r="J426" s="430">
        <v>586512.91</v>
      </c>
      <c r="K426" s="430">
        <v>295040.34000000003</v>
      </c>
      <c r="L426" s="430">
        <v>-1531844.39</v>
      </c>
      <c r="M426" s="430">
        <v>1706364.14</v>
      </c>
      <c r="N426" s="430">
        <v>-1391789.68</v>
      </c>
      <c r="O426" s="430">
        <v>-6024753.6500000004</v>
      </c>
      <c r="P426" s="52">
        <v>3511605.82</v>
      </c>
      <c r="Q426" s="52">
        <v>1486957.79</v>
      </c>
      <c r="R426" s="52">
        <v>2754928.81</v>
      </c>
      <c r="S426" s="52">
        <v>1145289.07</v>
      </c>
      <c r="T426" s="52">
        <v>967601.02</v>
      </c>
      <c r="U426" s="52">
        <v>1453873.02</v>
      </c>
      <c r="V426" s="52">
        <v>1108703.04</v>
      </c>
      <c r="W426" s="52">
        <v>1119369.74</v>
      </c>
      <c r="X426" s="52">
        <v>-302940.55</v>
      </c>
      <c r="Y426" s="52">
        <v>-363891.14</v>
      </c>
      <c r="Z426" s="52">
        <v>-260495.75</v>
      </c>
      <c r="AA426" s="52">
        <v>-9712054.75</v>
      </c>
      <c r="AB426" s="52">
        <v>2228737.0299999998</v>
      </c>
      <c r="AC426" s="52">
        <v>2924935.11</v>
      </c>
      <c r="AD426" s="52">
        <v>1094866.82</v>
      </c>
      <c r="AE426" s="186">
        <v>558731.92000000004</v>
      </c>
      <c r="AF426" s="186">
        <v>197956.07</v>
      </c>
      <c r="AG426" s="186">
        <v>155411.68</v>
      </c>
      <c r="AH426" s="186">
        <v>265820.09999999998</v>
      </c>
      <c r="AI426" s="186">
        <v>-930761.12</v>
      </c>
      <c r="AJ426" s="186">
        <v>1072918.4099999999</v>
      </c>
      <c r="AK426" s="186">
        <v>-760549.82</v>
      </c>
      <c r="AL426" s="186">
        <v>-261599.67</v>
      </c>
      <c r="AM426" s="186">
        <v>546673.78</v>
      </c>
      <c r="AN426" s="186">
        <v>2040825.61</v>
      </c>
      <c r="AO426" s="186">
        <v>-631584.13</v>
      </c>
      <c r="AP426" s="186">
        <v>194813.43</v>
      </c>
      <c r="AQ426" s="186">
        <v>511396.46</v>
      </c>
      <c r="AR426" s="186">
        <v>-842268.7</v>
      </c>
      <c r="AS426" s="186">
        <v>-962104.34</v>
      </c>
      <c r="AT426" s="186">
        <v>-972907</v>
      </c>
      <c r="AU426" s="186">
        <v>-1022100.66</v>
      </c>
      <c r="AV426" s="186">
        <v>1584073.3</v>
      </c>
      <c r="AW426" s="186">
        <v>-2008499.03</v>
      </c>
      <c r="AX426" s="186">
        <v>-1017595.27</v>
      </c>
      <c r="AY426" s="186">
        <v>5725359.7400000002</v>
      </c>
      <c r="AZ426" s="186">
        <v>3172840.78</v>
      </c>
      <c r="BA426" s="186">
        <v>342951.69</v>
      </c>
      <c r="BB426" s="186">
        <v>895317.01</v>
      </c>
      <c r="BC426" s="186">
        <v>1259189.22</v>
      </c>
      <c r="BD426" s="186">
        <v>205117.85</v>
      </c>
      <c r="BE426" s="186">
        <v>492073.16</v>
      </c>
      <c r="BF426" s="186">
        <v>166344.88</v>
      </c>
      <c r="BG426" s="186">
        <v>-879336.49</v>
      </c>
      <c r="BH426" s="186">
        <v>432770.52</v>
      </c>
      <c r="BI426" s="186">
        <v>-353761.9</v>
      </c>
      <c r="BJ426" s="186">
        <v>-3383402.33</v>
      </c>
      <c r="BK426" s="186">
        <v>1424397.97</v>
      </c>
      <c r="BL426" s="186">
        <v>1898229.81</v>
      </c>
      <c r="BM426" s="186">
        <v>-87759.87</v>
      </c>
      <c r="BN426" s="186">
        <v>1161289.22</v>
      </c>
      <c r="BO426" s="186">
        <v>559174.94999999995</v>
      </c>
      <c r="BP426" s="186">
        <v>280899.64</v>
      </c>
      <c r="BQ426" s="186">
        <v>192965.77</v>
      </c>
      <c r="BR426" s="186">
        <v>-11924.53</v>
      </c>
      <c r="BS426" s="186">
        <v>-33331.160000000003</v>
      </c>
      <c r="BT426" s="186">
        <v>122357.41</v>
      </c>
      <c r="BU426" s="186">
        <v>114338.06</v>
      </c>
      <c r="BV426" s="186">
        <v>482314.44</v>
      </c>
      <c r="BW426" s="186">
        <v>85023.62</v>
      </c>
      <c r="BX426" s="186">
        <v>3049614.09</v>
      </c>
      <c r="BY426" s="186">
        <v>-2074721.21</v>
      </c>
      <c r="BZ426" s="186">
        <v>458500.76</v>
      </c>
      <c r="CA426" s="186">
        <v>139401.47</v>
      </c>
      <c r="CB426" s="186">
        <v>-398549.92</v>
      </c>
      <c r="CC426" s="186">
        <v>-17852.25</v>
      </c>
      <c r="CD426" s="186">
        <v>-500016.4</v>
      </c>
      <c r="CE426" s="186">
        <v>-116709.75999999999</v>
      </c>
      <c r="CF426" s="186">
        <v>120395.35</v>
      </c>
      <c r="CG426" s="186">
        <v>-1700886.66</v>
      </c>
      <c r="CH426" s="186">
        <v>157810.87</v>
      </c>
      <c r="CI426" s="186">
        <v>323552.88</v>
      </c>
      <c r="CJ426" s="186">
        <v>2773724.39</v>
      </c>
      <c r="CK426" s="186">
        <v>1074495.75</v>
      </c>
      <c r="CL426" s="186">
        <v>-504079.37</v>
      </c>
      <c r="CM426" s="186">
        <v>954143.7</v>
      </c>
      <c r="CN426" s="186">
        <v>-330815.38</v>
      </c>
      <c r="CO426" s="186">
        <v>1955989.38</v>
      </c>
      <c r="CP426" s="186">
        <v>-376170.8</v>
      </c>
      <c r="CQ426" s="186">
        <v>581226.12</v>
      </c>
      <c r="CR426" s="186">
        <v>1483442.87</v>
      </c>
      <c r="CS426" s="186">
        <v>-1692496.25</v>
      </c>
      <c r="CT426" s="186">
        <v>-1659190.4</v>
      </c>
      <c r="CU426" s="186">
        <v>3978282.47</v>
      </c>
      <c r="CV426" s="430">
        <f t="shared" si="18"/>
        <v>8238552.4800000004</v>
      </c>
    </row>
    <row r="427" spans="1:100">
      <c r="A427" s="463" t="s">
        <v>1284</v>
      </c>
      <c r="B427" s="56"/>
      <c r="C427" s="56"/>
      <c r="D427" s="430">
        <v>11805.59</v>
      </c>
      <c r="E427" s="430">
        <v>29501.11</v>
      </c>
      <c r="F427" s="430">
        <v>-4315.67</v>
      </c>
      <c r="G427" s="430">
        <v>69773.03</v>
      </c>
      <c r="H427" s="430">
        <v>-88174.27</v>
      </c>
      <c r="I427" s="430">
        <v>6021.9</v>
      </c>
      <c r="J427" s="430">
        <v>-30264.81</v>
      </c>
      <c r="K427" s="430">
        <v>-205.56</v>
      </c>
      <c r="L427" s="430">
        <v>12789.06</v>
      </c>
      <c r="M427" s="430">
        <v>3687.56</v>
      </c>
      <c r="N427" s="430">
        <v>-1884</v>
      </c>
      <c r="O427" s="430">
        <v>-73481.48</v>
      </c>
      <c r="P427" s="52">
        <v>6276.79</v>
      </c>
      <c r="Q427" s="52">
        <v>-4135.96</v>
      </c>
      <c r="R427" s="52">
        <v>-19752.57</v>
      </c>
      <c r="S427" s="52">
        <v>-16626.43</v>
      </c>
      <c r="T427" s="52">
        <v>10034.24</v>
      </c>
      <c r="U427" s="52">
        <v>63832.62</v>
      </c>
      <c r="V427" s="52">
        <v>-6916.4</v>
      </c>
      <c r="W427" s="52">
        <v>686.37</v>
      </c>
      <c r="X427" s="52">
        <v>-55098.3</v>
      </c>
      <c r="Y427" s="52">
        <v>-1190.26</v>
      </c>
      <c r="Z427" s="52">
        <v>2078.04</v>
      </c>
      <c r="AA427" s="52">
        <v>200747.01</v>
      </c>
      <c r="AB427" s="52">
        <v>-4410.3599999999997</v>
      </c>
      <c r="AC427" s="52">
        <v>17900.09</v>
      </c>
      <c r="AD427" s="52">
        <v>-9925.41</v>
      </c>
      <c r="AE427" s="186">
        <v>4342.6499999999996</v>
      </c>
      <c r="AF427" s="186">
        <v>4499.7</v>
      </c>
      <c r="AG427" s="186">
        <v>-14942.42</v>
      </c>
      <c r="AH427" s="186">
        <v>83453.100000000006</v>
      </c>
      <c r="AI427" s="186">
        <v>158199.67000000001</v>
      </c>
      <c r="AJ427" s="186">
        <v>293901.32</v>
      </c>
      <c r="AK427" s="186">
        <v>348928.49</v>
      </c>
      <c r="AL427" s="186">
        <v>73327.27</v>
      </c>
      <c r="AM427" s="186">
        <v>-649371.51</v>
      </c>
      <c r="AN427" s="186">
        <v>108287.96</v>
      </c>
      <c r="AO427" s="186">
        <v>77885.19</v>
      </c>
      <c r="AP427" s="186">
        <v>-82968.27</v>
      </c>
      <c r="AQ427" s="186">
        <v>71306.460000000006</v>
      </c>
      <c r="AR427" s="186">
        <v>69687.77</v>
      </c>
      <c r="AS427" s="186">
        <v>-197242.61</v>
      </c>
      <c r="AT427" s="186">
        <v>58077.54</v>
      </c>
      <c r="AU427" s="186">
        <v>62267.25</v>
      </c>
      <c r="AV427" s="186">
        <v>-158640.4</v>
      </c>
      <c r="AW427" s="186">
        <v>64185.54</v>
      </c>
      <c r="AX427" s="186">
        <v>65028.5</v>
      </c>
      <c r="AY427" s="186">
        <v>-132944.51999999999</v>
      </c>
      <c r="AZ427" s="186">
        <v>47044.19</v>
      </c>
      <c r="BA427" s="186">
        <v>47958.5</v>
      </c>
      <c r="BB427" s="186">
        <v>-72836.14</v>
      </c>
      <c r="BC427" s="186">
        <v>25831.03</v>
      </c>
      <c r="BD427" s="186">
        <v>40255.230000000003</v>
      </c>
      <c r="BE427" s="186">
        <v>-82719.839999999997</v>
      </c>
      <c r="BF427" s="186">
        <v>45225.96</v>
      </c>
      <c r="BG427" s="186">
        <v>41191.99</v>
      </c>
      <c r="BH427" s="186">
        <v>-97983.62</v>
      </c>
      <c r="BI427" s="186">
        <v>31369.27</v>
      </c>
      <c r="BJ427" s="186">
        <v>32532.19</v>
      </c>
      <c r="BK427" s="186">
        <v>-136153.24</v>
      </c>
      <c r="BL427" s="186">
        <v>40657.57</v>
      </c>
      <c r="BM427" s="186">
        <v>43483.19</v>
      </c>
      <c r="BN427" s="186">
        <v>-37189.61</v>
      </c>
      <c r="BO427" s="186">
        <v>45595.25</v>
      </c>
      <c r="BP427" s="186">
        <v>39314.68</v>
      </c>
      <c r="BQ427" s="186">
        <v>-83908.9</v>
      </c>
      <c r="BR427" s="186">
        <v>46381.39</v>
      </c>
      <c r="BS427" s="186">
        <v>77824.55</v>
      </c>
      <c r="BT427" s="186">
        <v>-85861.440000000002</v>
      </c>
      <c r="BU427" s="186">
        <v>59880.27</v>
      </c>
      <c r="BV427" s="186">
        <v>57044</v>
      </c>
      <c r="BW427" s="186">
        <v>-129185.48</v>
      </c>
      <c r="BX427" s="186">
        <v>74900.95</v>
      </c>
      <c r="BY427" s="186">
        <v>67533.11</v>
      </c>
      <c r="BZ427" s="186">
        <v>-83639</v>
      </c>
      <c r="CA427" s="186">
        <v>80390.73</v>
      </c>
      <c r="CB427" s="186">
        <v>87099.11</v>
      </c>
      <c r="CC427" s="186">
        <v>94208.05</v>
      </c>
      <c r="CD427" s="186">
        <v>80852.38</v>
      </c>
      <c r="CE427" s="186">
        <v>87255.46</v>
      </c>
      <c r="CF427" s="186">
        <v>-317165.2</v>
      </c>
      <c r="CG427" s="186">
        <v>67378.92</v>
      </c>
      <c r="CH427" s="186">
        <v>50946.69</v>
      </c>
      <c r="CI427" s="186">
        <v>-410525.51</v>
      </c>
      <c r="CJ427" s="186">
        <v>73434.78</v>
      </c>
      <c r="CK427" s="186">
        <v>79044.53</v>
      </c>
      <c r="CL427" s="186">
        <v>-85309.56</v>
      </c>
      <c r="CM427" s="186">
        <v>75487.13</v>
      </c>
      <c r="CN427" s="186">
        <v>51845.84</v>
      </c>
      <c r="CO427" s="186">
        <v>-102745.14</v>
      </c>
      <c r="CP427" s="186">
        <v>57603.41</v>
      </c>
      <c r="CQ427" s="186">
        <v>63536.03</v>
      </c>
      <c r="CR427" s="186">
        <v>-88413.01</v>
      </c>
      <c r="CS427" s="186">
        <v>72742.33</v>
      </c>
      <c r="CT427" s="186">
        <v>24007.59</v>
      </c>
      <c r="CU427" s="186">
        <v>-97575.82</v>
      </c>
      <c r="CV427" s="430">
        <f t="shared" si="18"/>
        <v>123658.10999999999</v>
      </c>
    </row>
    <row r="428" spans="1:100" s="56" customFormat="1">
      <c r="A428" s="463" t="s">
        <v>1285</v>
      </c>
      <c r="D428" s="430">
        <v>797790.57</v>
      </c>
      <c r="E428" s="430">
        <v>-300304.7</v>
      </c>
      <c r="F428" s="430">
        <v>-113876.48</v>
      </c>
      <c r="G428" s="430">
        <v>259025.67</v>
      </c>
      <c r="H428" s="430">
        <v>-374515.85</v>
      </c>
      <c r="I428" s="430">
        <v>364456.3</v>
      </c>
      <c r="J428" s="430">
        <v>386811.22</v>
      </c>
      <c r="K428" s="430">
        <v>663651.21</v>
      </c>
      <c r="L428" s="430">
        <v>2342998.9900000002</v>
      </c>
      <c r="M428" s="430">
        <v>-366429.53</v>
      </c>
      <c r="N428" s="430">
        <v>3069502.86</v>
      </c>
      <c r="O428" s="430">
        <v>8336921.8700000001</v>
      </c>
      <c r="P428" s="52">
        <v>-275913.05</v>
      </c>
      <c r="Q428" s="52">
        <v>1517705.04</v>
      </c>
      <c r="R428" s="52">
        <v>-229143.11</v>
      </c>
      <c r="S428" s="52">
        <v>308339.71999999997</v>
      </c>
      <c r="T428" s="52">
        <v>364626.14</v>
      </c>
      <c r="U428" s="52">
        <v>113882.78</v>
      </c>
      <c r="V428" s="52">
        <v>-29699.14</v>
      </c>
      <c r="W428" s="52">
        <v>-151948.79999999999</v>
      </c>
      <c r="X428" s="52">
        <v>1417199.94</v>
      </c>
      <c r="Y428" s="52">
        <v>1646764.96</v>
      </c>
      <c r="Z428" s="52">
        <v>1290361.8700000001</v>
      </c>
      <c r="AA428" s="52">
        <v>10961767.789999999</v>
      </c>
      <c r="AB428" s="52">
        <v>923774.88</v>
      </c>
      <c r="AC428" s="52">
        <v>268317.09000000003</v>
      </c>
      <c r="AD428" s="52">
        <v>990508.94</v>
      </c>
      <c r="AE428" s="186">
        <v>1224181.94</v>
      </c>
      <c r="AF428" s="186">
        <v>1369396.56</v>
      </c>
      <c r="AG428" s="186">
        <v>715535.25</v>
      </c>
      <c r="AH428" s="186">
        <v>1172591.31</v>
      </c>
      <c r="AI428" s="186">
        <v>1298883.51</v>
      </c>
      <c r="AJ428" s="186">
        <v>-130656.15</v>
      </c>
      <c r="AK428" s="186">
        <v>1792223.13</v>
      </c>
      <c r="AL428" s="186">
        <v>2025072.31</v>
      </c>
      <c r="AM428" s="186">
        <v>1276761.0900000001</v>
      </c>
      <c r="AN428" s="186">
        <v>1007791.66</v>
      </c>
      <c r="AO428" s="186">
        <v>2803153.57</v>
      </c>
      <c r="AP428" s="186">
        <v>2561252.83</v>
      </c>
      <c r="AQ428" s="186">
        <v>1745517.27</v>
      </c>
      <c r="AR428" s="186">
        <v>2904990.24</v>
      </c>
      <c r="AS428" s="186">
        <v>2569026.12</v>
      </c>
      <c r="AT428" s="186">
        <v>2508529.0099999998</v>
      </c>
      <c r="AU428" s="186">
        <v>2444486.59</v>
      </c>
      <c r="AV428" s="186">
        <v>102029.45</v>
      </c>
      <c r="AW428" s="186">
        <v>3452167.27</v>
      </c>
      <c r="AX428" s="186">
        <v>2924959.95</v>
      </c>
      <c r="AY428" s="186">
        <v>-2419811.6800000002</v>
      </c>
      <c r="AZ428" s="186">
        <v>-424489.68</v>
      </c>
      <c r="BA428" s="186">
        <v>784354.58</v>
      </c>
      <c r="BB428" s="186">
        <v>-231493.34</v>
      </c>
      <c r="BC428" s="186">
        <v>224730.79</v>
      </c>
      <c r="BD428" s="186">
        <v>919013.52</v>
      </c>
      <c r="BE428" s="186">
        <v>539752.36</v>
      </c>
      <c r="BF428" s="186">
        <v>720939.07</v>
      </c>
      <c r="BG428" s="186">
        <v>1619453.58</v>
      </c>
      <c r="BH428" s="186">
        <v>836429.1</v>
      </c>
      <c r="BI428" s="186">
        <v>1163529.56</v>
      </c>
      <c r="BJ428" s="186">
        <v>4457679.3600000003</v>
      </c>
      <c r="BK428" s="186">
        <v>113328.6</v>
      </c>
      <c r="BL428" s="186">
        <v>246440.66</v>
      </c>
      <c r="BM428" s="186">
        <v>2016465.43</v>
      </c>
      <c r="BN428" s="186">
        <v>641096.55000000005</v>
      </c>
      <c r="BO428" s="186">
        <v>1080080.19</v>
      </c>
      <c r="BP428" s="186">
        <v>1176801.29</v>
      </c>
      <c r="BQ428" s="186">
        <v>1139163.42</v>
      </c>
      <c r="BR428" s="186">
        <v>944421.19</v>
      </c>
      <c r="BS428" s="186">
        <v>1173908.4099999999</v>
      </c>
      <c r="BT428" s="186">
        <v>599012.24</v>
      </c>
      <c r="BU428" s="186">
        <v>909892.55</v>
      </c>
      <c r="BV428" s="186">
        <v>858821.24</v>
      </c>
      <c r="BW428" s="186">
        <v>1452272.21</v>
      </c>
      <c r="BX428" s="186">
        <v>-678148.9</v>
      </c>
      <c r="BY428" s="186">
        <v>3783401.71</v>
      </c>
      <c r="BZ428" s="186">
        <v>983157.33</v>
      </c>
      <c r="CA428" s="186">
        <v>840155.65</v>
      </c>
      <c r="CB428" s="186">
        <v>1294461.54</v>
      </c>
      <c r="CC428" s="186">
        <v>911790.04</v>
      </c>
      <c r="CD428" s="186">
        <v>1291428.43</v>
      </c>
      <c r="CE428" s="186">
        <v>1019109.73</v>
      </c>
      <c r="CF428" s="186">
        <v>1259997.56</v>
      </c>
      <c r="CG428" s="186">
        <v>1943284.86</v>
      </c>
      <c r="CH428" s="186">
        <v>1351955.5</v>
      </c>
      <c r="CI428" s="186">
        <v>1079410.44</v>
      </c>
      <c r="CJ428" s="186">
        <v>675422.61</v>
      </c>
      <c r="CK428" s="186">
        <v>1189381.5</v>
      </c>
      <c r="CL428" s="186">
        <v>2754279.95</v>
      </c>
      <c r="CM428" s="186">
        <v>1355641.68</v>
      </c>
      <c r="CN428" s="186">
        <v>1901529.35</v>
      </c>
      <c r="CO428" s="186">
        <v>-395914.15</v>
      </c>
      <c r="CP428" s="186">
        <v>1617623.67</v>
      </c>
      <c r="CQ428" s="186">
        <v>729649.99</v>
      </c>
      <c r="CR428" s="186">
        <v>-747066.9</v>
      </c>
      <c r="CS428" s="186">
        <v>3026643.52</v>
      </c>
      <c r="CT428" s="186">
        <v>3801132.44</v>
      </c>
      <c r="CU428" s="186">
        <v>-2616528.1</v>
      </c>
      <c r="CV428" s="430">
        <f t="shared" si="18"/>
        <v>13291795.559999999</v>
      </c>
    </row>
    <row r="429" spans="1:100" s="56" customFormat="1">
      <c r="A429" s="463" t="s">
        <v>1738</v>
      </c>
      <c r="D429" s="430"/>
      <c r="E429" s="430"/>
      <c r="F429" s="430"/>
      <c r="G429" s="430"/>
      <c r="H429" s="430"/>
      <c r="I429" s="430"/>
      <c r="J429" s="430"/>
      <c r="K429" s="430"/>
      <c r="L429" s="430"/>
      <c r="M429" s="430"/>
      <c r="N429" s="430"/>
      <c r="O429" s="430"/>
      <c r="P429" s="52"/>
      <c r="Q429" s="52"/>
      <c r="R429" s="52"/>
      <c r="S429" s="52"/>
      <c r="T429" s="52"/>
      <c r="U429" s="52"/>
      <c r="V429" s="52"/>
      <c r="W429" s="52"/>
      <c r="X429" s="52"/>
      <c r="Y429" s="52"/>
      <c r="Z429" s="52"/>
      <c r="AA429" s="52"/>
      <c r="AB429" s="52"/>
      <c r="AC429" s="52"/>
      <c r="AD429" s="52"/>
      <c r="AE429" s="186"/>
      <c r="AF429" s="186"/>
      <c r="AG429" s="186"/>
      <c r="AH429" s="186"/>
      <c r="AI429" s="186"/>
      <c r="AJ429" s="186"/>
      <c r="AK429" s="186">
        <v>0</v>
      </c>
      <c r="AL429" s="186">
        <v>0</v>
      </c>
      <c r="AM429" s="186">
        <v>-7.37</v>
      </c>
      <c r="AN429" s="186">
        <v>0</v>
      </c>
      <c r="AO429" s="186">
        <v>0</v>
      </c>
      <c r="AP429" s="186">
        <v>7.37</v>
      </c>
      <c r="AQ429" s="186">
        <v>0</v>
      </c>
      <c r="AR429" s="186">
        <v>0</v>
      </c>
      <c r="AS429" s="186">
        <v>0</v>
      </c>
      <c r="AT429" s="186">
        <v>0</v>
      </c>
      <c r="AU429" s="186">
        <v>0</v>
      </c>
      <c r="AV429" s="186">
        <v>0</v>
      </c>
      <c r="AW429" s="186">
        <v>21.93</v>
      </c>
      <c r="AX429" s="186">
        <v>-21.93</v>
      </c>
      <c r="AY429" s="186">
        <v>0</v>
      </c>
      <c r="AZ429" s="186">
        <v>0</v>
      </c>
      <c r="BA429" s="186">
        <v>0</v>
      </c>
      <c r="BB429" s="186">
        <v>0</v>
      </c>
      <c r="BC429" s="186">
        <v>0</v>
      </c>
      <c r="BD429" s="186">
        <v>0</v>
      </c>
      <c r="BE429" s="186">
        <v>20.91</v>
      </c>
      <c r="BF429" s="186">
        <v>309.99</v>
      </c>
      <c r="BG429" s="186">
        <v>-69.38</v>
      </c>
      <c r="BH429" s="186">
        <v>339.16</v>
      </c>
      <c r="BI429" s="186">
        <v>-482.03</v>
      </c>
      <c r="BJ429" s="186">
        <v>-301.77999999999997</v>
      </c>
      <c r="BK429" s="186">
        <v>-585.22</v>
      </c>
      <c r="BL429" s="186">
        <v>806.18</v>
      </c>
      <c r="BM429" s="186">
        <v>-78.36</v>
      </c>
      <c r="BN429" s="186">
        <v>0</v>
      </c>
      <c r="BO429" s="186">
        <v>-1210.69</v>
      </c>
      <c r="BP429" s="186">
        <v>-477.01</v>
      </c>
      <c r="BQ429" s="186">
        <v>1425.55</v>
      </c>
      <c r="BR429" s="186">
        <v>1192.77</v>
      </c>
      <c r="BS429" s="186">
        <v>-885.14</v>
      </c>
      <c r="BT429" s="186">
        <v>-14.88</v>
      </c>
      <c r="BU429" s="186">
        <v>-39.35</v>
      </c>
      <c r="BV429" s="186">
        <v>82.34</v>
      </c>
      <c r="BW429" s="186">
        <v>14.49</v>
      </c>
      <c r="BX429" s="186">
        <v>0</v>
      </c>
      <c r="BY429" s="186">
        <v>0</v>
      </c>
      <c r="BZ429" s="186">
        <v>0</v>
      </c>
      <c r="CA429" s="186">
        <v>0</v>
      </c>
      <c r="CB429" s="186">
        <v>0</v>
      </c>
      <c r="CC429" s="186">
        <v>0</v>
      </c>
      <c r="CD429" s="186">
        <v>0</v>
      </c>
      <c r="CE429" s="186">
        <v>0</v>
      </c>
      <c r="CF429" s="186">
        <v>0</v>
      </c>
      <c r="CG429" s="186">
        <v>0</v>
      </c>
      <c r="CH429" s="186">
        <v>0</v>
      </c>
      <c r="CI429" s="186">
        <v>0</v>
      </c>
      <c r="CJ429" s="186">
        <v>0</v>
      </c>
      <c r="CK429" s="186">
        <v>0</v>
      </c>
      <c r="CL429" s="186">
        <v>0</v>
      </c>
      <c r="CM429" s="186">
        <v>0</v>
      </c>
      <c r="CN429" s="186">
        <v>0</v>
      </c>
      <c r="CO429" s="186">
        <v>0</v>
      </c>
      <c r="CP429" s="186">
        <v>0</v>
      </c>
      <c r="CQ429" s="186">
        <v>0</v>
      </c>
      <c r="CR429" s="186">
        <v>0</v>
      </c>
      <c r="CS429" s="186">
        <v>0</v>
      </c>
      <c r="CT429" s="186">
        <v>0</v>
      </c>
      <c r="CU429" s="186">
        <v>0</v>
      </c>
      <c r="CV429" s="430">
        <f t="shared" si="18"/>
        <v>0</v>
      </c>
    </row>
    <row r="430" spans="1:100" s="56" customFormat="1">
      <c r="A430" s="540" t="s">
        <v>1433</v>
      </c>
      <c r="D430" s="430"/>
      <c r="E430" s="430"/>
      <c r="F430" s="430"/>
      <c r="G430" s="430"/>
      <c r="H430" s="430"/>
      <c r="I430" s="430"/>
      <c r="J430" s="430"/>
      <c r="K430" s="430"/>
      <c r="L430" s="430"/>
      <c r="M430" s="430"/>
      <c r="N430" s="430"/>
      <c r="O430" s="430"/>
      <c r="P430" s="52"/>
      <c r="Q430" s="52"/>
      <c r="R430" s="52"/>
      <c r="S430" s="52"/>
      <c r="T430" s="52"/>
      <c r="U430" s="52"/>
      <c r="V430" s="52"/>
      <c r="W430" s="52"/>
      <c r="X430" s="52"/>
      <c r="Y430" s="52"/>
      <c r="Z430" s="52"/>
      <c r="AA430" s="52"/>
      <c r="AB430" s="52"/>
      <c r="AC430" s="52"/>
      <c r="AD430" s="52"/>
      <c r="AE430" s="186">
        <v>0</v>
      </c>
      <c r="AF430" s="527">
        <v>-235245.67</v>
      </c>
      <c r="AG430" s="527">
        <v>-84738.62</v>
      </c>
      <c r="AH430" s="527">
        <v>-84738.62</v>
      </c>
      <c r="AI430" s="527">
        <v>-84738.62</v>
      </c>
      <c r="AJ430" s="527">
        <v>-84738.62</v>
      </c>
      <c r="AK430" s="527">
        <v>-106698.62</v>
      </c>
      <c r="AL430" s="527">
        <v>-106698.62</v>
      </c>
      <c r="AM430" s="527">
        <v>-106698.62</v>
      </c>
      <c r="AN430" s="527">
        <v>-106698.62</v>
      </c>
      <c r="AO430" s="527">
        <v>-106698.62</v>
      </c>
      <c r="AP430" s="527">
        <v>-106735.81</v>
      </c>
      <c r="AQ430" s="527">
        <v>-193421.26</v>
      </c>
      <c r="AR430" s="527">
        <v>-193458.45</v>
      </c>
      <c r="AS430" s="527">
        <v>-193458.45</v>
      </c>
      <c r="AT430" s="527">
        <v>-193458.45</v>
      </c>
      <c r="AU430" s="527">
        <v>-193458.45</v>
      </c>
      <c r="AV430" s="527">
        <v>-193458.45</v>
      </c>
      <c r="AW430" s="527">
        <v>-223789.45</v>
      </c>
      <c r="AX430" s="527">
        <v>-223789.45</v>
      </c>
      <c r="AY430" s="527">
        <v>-223789.45</v>
      </c>
      <c r="AZ430" s="527">
        <v>-223789.45</v>
      </c>
      <c r="BA430" s="527">
        <v>-223789.45</v>
      </c>
      <c r="BB430" s="527">
        <v>-223789.45</v>
      </c>
      <c r="BC430" s="527">
        <v>-223789.45</v>
      </c>
      <c r="BD430" s="527">
        <v>-223789.45</v>
      </c>
      <c r="BE430" s="527">
        <v>-223789.45</v>
      </c>
      <c r="BF430" s="527">
        <v>-223789.45</v>
      </c>
      <c r="BG430" s="527">
        <v>-223789.45</v>
      </c>
      <c r="BH430" s="527">
        <v>-223789.45</v>
      </c>
      <c r="BI430" s="527">
        <v>-223789.45</v>
      </c>
      <c r="BJ430" s="527">
        <v>-223789.45</v>
      </c>
      <c r="BK430" s="527">
        <v>-223789.45</v>
      </c>
      <c r="BL430" s="527">
        <v>-223789.45</v>
      </c>
      <c r="BM430" s="527">
        <v>-223789.45</v>
      </c>
      <c r="BN430" s="527">
        <v>-255542.13</v>
      </c>
      <c r="BO430" s="527">
        <v>-239665.79</v>
      </c>
      <c r="BP430" s="527">
        <v>-239665.79</v>
      </c>
      <c r="BQ430" s="527">
        <v>-239665.79</v>
      </c>
      <c r="BR430" s="527">
        <v>-239665.79</v>
      </c>
      <c r="BS430" s="527">
        <v>-239665.79</v>
      </c>
      <c r="BT430" s="527">
        <v>-239665.79</v>
      </c>
      <c r="BU430" s="527">
        <v>-239665.79</v>
      </c>
      <c r="BV430" s="527">
        <v>-239665.79</v>
      </c>
      <c r="BW430" s="527">
        <v>-239665.79</v>
      </c>
      <c r="BX430" s="527">
        <v>-239665.79</v>
      </c>
      <c r="BY430" s="527">
        <v>-239665.79</v>
      </c>
      <c r="BZ430" s="527">
        <v>-239665.79</v>
      </c>
      <c r="CA430" s="527">
        <v>-239665.79</v>
      </c>
      <c r="CB430" s="527">
        <v>-191777.77</v>
      </c>
      <c r="CC430" s="527">
        <v>-215721.78</v>
      </c>
      <c r="CD430" s="527">
        <v>-215721.78</v>
      </c>
      <c r="CE430" s="527">
        <v>-215721.78</v>
      </c>
      <c r="CF430" s="527">
        <v>-215721.78</v>
      </c>
      <c r="CG430" s="527">
        <v>-207350.78</v>
      </c>
      <c r="CH430" s="527">
        <v>-207350.78</v>
      </c>
      <c r="CI430" s="527">
        <v>-207350.78</v>
      </c>
      <c r="CJ430" s="527">
        <v>-207350.78</v>
      </c>
      <c r="CK430" s="527">
        <v>-207350.78</v>
      </c>
      <c r="CL430" s="527">
        <v>-207350.78</v>
      </c>
      <c r="CM430" s="527">
        <v>-207350.78</v>
      </c>
      <c r="CN430" s="527">
        <v>-207350.78</v>
      </c>
      <c r="CO430" s="527">
        <v>-207350.78</v>
      </c>
      <c r="CP430" s="527">
        <v>-207350.78</v>
      </c>
      <c r="CQ430" s="527">
        <v>-207350.78</v>
      </c>
      <c r="CR430" s="527">
        <v>-207350.78</v>
      </c>
      <c r="CS430" s="527">
        <v>-207350.78</v>
      </c>
      <c r="CT430" s="527">
        <v>-207350.78</v>
      </c>
      <c r="CU430" s="527">
        <v>-207350.78</v>
      </c>
      <c r="CV430" s="430">
        <f t="shared" si="18"/>
        <v>-2488209.36</v>
      </c>
    </row>
    <row r="431" spans="1:100" s="56" customFormat="1">
      <c r="A431" s="540" t="s">
        <v>1434</v>
      </c>
      <c r="D431" s="430"/>
      <c r="E431" s="430"/>
      <c r="F431" s="430"/>
      <c r="G431" s="430"/>
      <c r="H431" s="430"/>
      <c r="I431" s="430"/>
      <c r="J431" s="430"/>
      <c r="K431" s="430"/>
      <c r="L431" s="430"/>
      <c r="M431" s="430"/>
      <c r="N431" s="430"/>
      <c r="O431" s="430"/>
      <c r="P431" s="52"/>
      <c r="Q431" s="52"/>
      <c r="R431" s="52"/>
      <c r="S431" s="52"/>
      <c r="T431" s="52"/>
      <c r="U431" s="52"/>
      <c r="V431" s="52"/>
      <c r="W431" s="52"/>
      <c r="X431" s="52"/>
      <c r="Y431" s="52"/>
      <c r="Z431" s="52"/>
      <c r="AA431" s="52"/>
      <c r="AB431" s="52"/>
      <c r="AC431" s="52"/>
      <c r="AD431" s="52"/>
      <c r="AE431" s="186">
        <v>0</v>
      </c>
      <c r="AF431" s="504">
        <v>59935.28</v>
      </c>
      <c r="AG431" s="504">
        <v>29792.75</v>
      </c>
      <c r="AH431" s="504">
        <v>26012.6</v>
      </c>
      <c r="AI431" s="504">
        <v>0</v>
      </c>
      <c r="AJ431" s="504">
        <v>26012.6</v>
      </c>
      <c r="AK431" s="504">
        <v>29621.89</v>
      </c>
      <c r="AL431" s="504">
        <v>28176.42</v>
      </c>
      <c r="AM431" s="504">
        <v>63769.66</v>
      </c>
      <c r="AN431" s="504">
        <v>34276.04</v>
      </c>
      <c r="AO431" s="504">
        <v>2574.23</v>
      </c>
      <c r="AP431" s="504">
        <v>67540.070000000007</v>
      </c>
      <c r="AQ431" s="504">
        <v>94223.15</v>
      </c>
      <c r="AR431" s="504">
        <v>-54538.32</v>
      </c>
      <c r="AS431" s="504">
        <v>109525.14</v>
      </c>
      <c r="AT431" s="504">
        <v>889.54</v>
      </c>
      <c r="AU431" s="504">
        <v>6512.74</v>
      </c>
      <c r="AV431" s="504">
        <v>144.33000000000001</v>
      </c>
      <c r="AW431" s="504">
        <v>277739.28000000003</v>
      </c>
      <c r="AX431" s="504">
        <v>78537.850000000006</v>
      </c>
      <c r="AY431" s="504">
        <v>92366.75</v>
      </c>
      <c r="AZ431" s="504">
        <v>81461.37</v>
      </c>
      <c r="BA431" s="504">
        <v>-83106.259999999995</v>
      </c>
      <c r="BB431" s="504">
        <v>229286.68</v>
      </c>
      <c r="BC431" s="504">
        <v>73789.39</v>
      </c>
      <c r="BD431" s="504">
        <v>75324.44</v>
      </c>
      <c r="BE431" s="504">
        <v>77558.559999999998</v>
      </c>
      <c r="BF431" s="504">
        <v>77403.22</v>
      </c>
      <c r="BG431" s="504">
        <v>157507.70000000001</v>
      </c>
      <c r="BH431" s="504">
        <v>80487.7</v>
      </c>
      <c r="BI431" s="504">
        <v>80153.58</v>
      </c>
      <c r="BJ431" s="504">
        <v>77357.2</v>
      </c>
      <c r="BK431" s="504">
        <v>60033.36</v>
      </c>
      <c r="BL431" s="504">
        <v>75108.36</v>
      </c>
      <c r="BM431" s="504">
        <v>75647.7</v>
      </c>
      <c r="BN431" s="504">
        <v>80738.600000000006</v>
      </c>
      <c r="BO431" s="504">
        <v>75403.45</v>
      </c>
      <c r="BP431" s="504">
        <v>75166.86</v>
      </c>
      <c r="BQ431" s="504">
        <v>77013.210000000006</v>
      </c>
      <c r="BR431" s="504">
        <v>74658.36</v>
      </c>
      <c r="BS431" s="504">
        <v>77510.62</v>
      </c>
      <c r="BT431" s="504">
        <v>75736.929999999993</v>
      </c>
      <c r="BU431" s="504">
        <v>76206.86</v>
      </c>
      <c r="BV431" s="504">
        <v>75323</v>
      </c>
      <c r="BW431" s="504">
        <v>76159.63</v>
      </c>
      <c r="BX431" s="504">
        <v>76488.67</v>
      </c>
      <c r="BY431" s="504">
        <v>75613.899999999994</v>
      </c>
      <c r="BZ431" s="504">
        <v>74868.460000000006</v>
      </c>
      <c r="CA431" s="504">
        <v>75878.070000000007</v>
      </c>
      <c r="CB431" s="504">
        <v>76544.67</v>
      </c>
      <c r="CC431" s="504">
        <v>68725.490000000005</v>
      </c>
      <c r="CD431" s="504">
        <v>49440.9</v>
      </c>
      <c r="CE431" s="504">
        <v>66950.42</v>
      </c>
      <c r="CF431" s="504">
        <v>66531.509999999995</v>
      </c>
      <c r="CG431" s="504">
        <v>62960.08</v>
      </c>
      <c r="CH431" s="504">
        <v>7368.81</v>
      </c>
      <c r="CI431" s="504">
        <v>126476.23</v>
      </c>
      <c r="CJ431" s="504">
        <v>63222.29</v>
      </c>
      <c r="CK431" s="504">
        <v>62731.43</v>
      </c>
      <c r="CL431" s="504">
        <v>66923.62</v>
      </c>
      <c r="CM431" s="504">
        <v>62796.1</v>
      </c>
      <c r="CN431" s="504">
        <v>66674.960000000006</v>
      </c>
      <c r="CO431" s="504">
        <v>63362.68</v>
      </c>
      <c r="CP431" s="504">
        <v>65617.02</v>
      </c>
      <c r="CQ431" s="504">
        <v>62590.45</v>
      </c>
      <c r="CR431" s="504">
        <v>63359.73</v>
      </c>
      <c r="CS431" s="504">
        <v>63379.74</v>
      </c>
      <c r="CT431" s="504">
        <v>61543.93</v>
      </c>
      <c r="CU431" s="504">
        <v>100866.23</v>
      </c>
      <c r="CV431" s="430">
        <f t="shared" si="18"/>
        <v>803068.18</v>
      </c>
    </row>
    <row r="432" spans="1:100" s="56" customFormat="1">
      <c r="A432" s="540" t="s">
        <v>1286</v>
      </c>
      <c r="D432" s="430">
        <v>-1875</v>
      </c>
      <c r="E432" s="430">
        <v>3655</v>
      </c>
      <c r="F432" s="430">
        <v>-1145</v>
      </c>
      <c r="G432" s="430">
        <v>-10415</v>
      </c>
      <c r="H432" s="430">
        <v>1325</v>
      </c>
      <c r="I432" s="430">
        <v>-1560</v>
      </c>
      <c r="J432" s="430">
        <v>-1000</v>
      </c>
      <c r="K432" s="430">
        <v>-42.5</v>
      </c>
      <c r="L432" s="430">
        <v>-2900</v>
      </c>
      <c r="M432" s="430">
        <v>-468</v>
      </c>
      <c r="N432" s="430">
        <v>965.5</v>
      </c>
      <c r="O432" s="430">
        <v>-75</v>
      </c>
      <c r="P432" s="52">
        <v>-9126</v>
      </c>
      <c r="Q432" s="52">
        <v>5641.39</v>
      </c>
      <c r="R432" s="52">
        <v>-70</v>
      </c>
      <c r="S432" s="52">
        <v>-73</v>
      </c>
      <c r="T432" s="52">
        <v>-3135</v>
      </c>
      <c r="U432" s="52">
        <v>1385</v>
      </c>
      <c r="V432" s="52">
        <v>-455</v>
      </c>
      <c r="W432" s="52">
        <v>-780</v>
      </c>
      <c r="X432" s="52">
        <v>-1772</v>
      </c>
      <c r="Y432" s="52">
        <v>-640</v>
      </c>
      <c r="Z432" s="52">
        <v>-75</v>
      </c>
      <c r="AA432" s="52">
        <v>-1222</v>
      </c>
      <c r="AB432" s="52">
        <v>-255</v>
      </c>
      <c r="AC432" s="52">
        <v>-850</v>
      </c>
      <c r="AD432" s="52">
        <v>-585</v>
      </c>
      <c r="AE432" s="186">
        <v>-510</v>
      </c>
      <c r="AF432" s="186">
        <v>-2080</v>
      </c>
      <c r="AG432" s="186">
        <v>-5455</v>
      </c>
      <c r="AH432" s="186">
        <v>-875</v>
      </c>
      <c r="AI432" s="186">
        <v>-810</v>
      </c>
      <c r="AJ432" s="186">
        <v>125.77</v>
      </c>
      <c r="AK432" s="186">
        <v>-4210</v>
      </c>
      <c r="AL432" s="186">
        <v>0</v>
      </c>
      <c r="AM432" s="186">
        <v>2335</v>
      </c>
      <c r="AN432" s="186">
        <v>0</v>
      </c>
      <c r="AO432" s="186">
        <v>0</v>
      </c>
      <c r="AP432" s="186">
        <v>0</v>
      </c>
      <c r="AQ432" s="186">
        <v>0</v>
      </c>
      <c r="AR432" s="186">
        <v>0</v>
      </c>
      <c r="AS432" s="186">
        <v>-260</v>
      </c>
      <c r="AT432" s="186">
        <v>0</v>
      </c>
      <c r="AU432" s="186">
        <v>-140</v>
      </c>
      <c r="AV432" s="186">
        <v>0</v>
      </c>
      <c r="AW432" s="186">
        <v>0</v>
      </c>
      <c r="AX432" s="186">
        <v>0</v>
      </c>
      <c r="AY432" s="186">
        <v>0</v>
      </c>
      <c r="AZ432" s="186">
        <v>0</v>
      </c>
      <c r="BA432" s="186">
        <v>0</v>
      </c>
      <c r="BB432" s="186">
        <v>0</v>
      </c>
      <c r="BC432" s="186">
        <v>0</v>
      </c>
      <c r="BD432" s="186">
        <v>0</v>
      </c>
      <c r="BE432" s="186">
        <v>0</v>
      </c>
      <c r="BF432" s="186">
        <v>0</v>
      </c>
      <c r="BG432" s="186">
        <v>0</v>
      </c>
      <c r="BH432" s="186">
        <v>0</v>
      </c>
      <c r="BI432" s="186">
        <v>0</v>
      </c>
      <c r="BJ432" s="186">
        <v>0</v>
      </c>
      <c r="BK432" s="186">
        <v>0</v>
      </c>
      <c r="BL432" s="186">
        <v>0</v>
      </c>
      <c r="BM432" s="186">
        <v>0</v>
      </c>
      <c r="BN432" s="186">
        <v>0</v>
      </c>
      <c r="BO432" s="186">
        <v>0</v>
      </c>
      <c r="BP432" s="186">
        <v>0</v>
      </c>
      <c r="BQ432" s="186">
        <v>0</v>
      </c>
      <c r="BR432" s="186">
        <v>0</v>
      </c>
      <c r="BS432" s="186">
        <v>0</v>
      </c>
      <c r="BT432" s="186">
        <v>1564.43</v>
      </c>
      <c r="BU432" s="186">
        <v>0</v>
      </c>
      <c r="BV432" s="186">
        <v>1112.5899999999999</v>
      </c>
      <c r="BW432" s="186">
        <v>-1895.21</v>
      </c>
      <c r="BX432" s="186">
        <v>-271.35000000000002</v>
      </c>
      <c r="BY432" s="186">
        <v>-4107.51</v>
      </c>
      <c r="BZ432" s="186">
        <v>319.36</v>
      </c>
      <c r="CA432" s="186">
        <v>-4678.4799999999996</v>
      </c>
      <c r="CB432" s="186">
        <v>-121.46</v>
      </c>
      <c r="CC432" s="186">
        <v>0</v>
      </c>
      <c r="CD432" s="186">
        <v>406.16</v>
      </c>
      <c r="CE432" s="186">
        <v>-6245.23</v>
      </c>
      <c r="CF432" s="186">
        <v>297.63</v>
      </c>
      <c r="CG432" s="186">
        <v>16055.95</v>
      </c>
      <c r="CH432" s="186">
        <v>262.72000000000003</v>
      </c>
      <c r="CI432" s="186">
        <v>209.41</v>
      </c>
      <c r="CJ432" s="186">
        <v>0</v>
      </c>
      <c r="CK432" s="186">
        <v>0</v>
      </c>
      <c r="CL432" s="186">
        <v>560.01</v>
      </c>
      <c r="CM432" s="186">
        <v>389.45</v>
      </c>
      <c r="CN432" s="186">
        <v>366.93</v>
      </c>
      <c r="CO432" s="186">
        <v>405.87</v>
      </c>
      <c r="CP432" s="186">
        <v>251.35</v>
      </c>
      <c r="CQ432" s="186">
        <v>723.79</v>
      </c>
      <c r="CR432" s="186">
        <v>332.88</v>
      </c>
      <c r="CS432" s="186">
        <v>0</v>
      </c>
      <c r="CT432" s="186">
        <v>647.57000000000005</v>
      </c>
      <c r="CU432" s="186">
        <v>228.43</v>
      </c>
      <c r="CV432" s="430">
        <f t="shared" si="18"/>
        <v>3906.28</v>
      </c>
    </row>
    <row r="433" spans="1:100" s="56" customFormat="1">
      <c r="A433" s="463" t="s">
        <v>1287</v>
      </c>
      <c r="D433" s="430">
        <v>3539.47</v>
      </c>
      <c r="E433" s="430">
        <v>-16307.33</v>
      </c>
      <c r="F433" s="430">
        <v>14206.66</v>
      </c>
      <c r="G433" s="430">
        <v>14234.5</v>
      </c>
      <c r="H433" s="430">
        <v>9754.2800000000007</v>
      </c>
      <c r="I433" s="430">
        <v>4514.58</v>
      </c>
      <c r="J433" s="430">
        <v>10090.469999999999</v>
      </c>
      <c r="K433" s="430">
        <v>-9600.18</v>
      </c>
      <c r="L433" s="430">
        <v>-7703.73</v>
      </c>
      <c r="M433" s="430">
        <v>-2399.52</v>
      </c>
      <c r="N433" s="430">
        <v>394.72</v>
      </c>
      <c r="O433" s="430">
        <v>124374.7</v>
      </c>
      <c r="P433" s="52">
        <v>2229.9299999999998</v>
      </c>
      <c r="Q433" s="52">
        <v>2334.5100000000002</v>
      </c>
      <c r="R433" s="52">
        <v>-5763.95</v>
      </c>
      <c r="S433" s="52">
        <v>-4675.8900000000003</v>
      </c>
      <c r="T433" s="52">
        <v>1634.73</v>
      </c>
      <c r="U433" s="52">
        <v>2942.74</v>
      </c>
      <c r="V433" s="52">
        <v>-18335.62</v>
      </c>
      <c r="W433" s="52">
        <v>1029.46</v>
      </c>
      <c r="X433" s="52">
        <v>1176.81</v>
      </c>
      <c r="Y433" s="52">
        <v>-3342.67</v>
      </c>
      <c r="Z433" s="52">
        <v>-16837.87</v>
      </c>
      <c r="AA433" s="52">
        <v>92205.06</v>
      </c>
      <c r="AB433" s="52">
        <v>1042.7</v>
      </c>
      <c r="AC433" s="52">
        <v>1131.72</v>
      </c>
      <c r="AD433" s="52">
        <v>-12506.92</v>
      </c>
      <c r="AE433" s="186">
        <v>-1657.83</v>
      </c>
      <c r="AF433" s="186">
        <v>0</v>
      </c>
      <c r="AG433" s="186">
        <v>-400</v>
      </c>
      <c r="AH433" s="186">
        <v>-1908.52</v>
      </c>
      <c r="AI433" s="186">
        <v>882.52</v>
      </c>
      <c r="AJ433" s="186">
        <v>95.73</v>
      </c>
      <c r="AK433" s="186">
        <v>0</v>
      </c>
      <c r="AL433" s="186">
        <v>400.81</v>
      </c>
      <c r="AM433" s="186">
        <v>63620</v>
      </c>
      <c r="AN433" s="186">
        <v>-125</v>
      </c>
      <c r="AO433" s="186">
        <v>0</v>
      </c>
      <c r="AP433" s="186">
        <v>-26689.71</v>
      </c>
      <c r="AQ433" s="186">
        <v>0</v>
      </c>
      <c r="AR433" s="186">
        <v>0</v>
      </c>
      <c r="AS433" s="186">
        <v>-3879.98</v>
      </c>
      <c r="AT433" s="186">
        <v>764.25</v>
      </c>
      <c r="AU433" s="186">
        <v>249.83</v>
      </c>
      <c r="AV433" s="186">
        <v>44.61</v>
      </c>
      <c r="AW433" s="186">
        <v>28.42</v>
      </c>
      <c r="AX433" s="186">
        <v>710.23</v>
      </c>
      <c r="AY433" s="186">
        <v>-37947</v>
      </c>
      <c r="AZ433" s="186">
        <v>36.43</v>
      </c>
      <c r="BA433" s="186">
        <v>-14279.87</v>
      </c>
      <c r="BB433" s="186">
        <v>-2460.94</v>
      </c>
      <c r="BC433" s="186">
        <v>-22589.25</v>
      </c>
      <c r="BD433" s="186">
        <v>32.590000000000003</v>
      </c>
      <c r="BE433" s="186">
        <v>-3943.19</v>
      </c>
      <c r="BF433" s="186">
        <v>-5781.88</v>
      </c>
      <c r="BG433" s="186">
        <v>-7777.3</v>
      </c>
      <c r="BH433" s="186">
        <v>-5393.89</v>
      </c>
      <c r="BI433" s="186">
        <v>239.08</v>
      </c>
      <c r="BJ433" s="186">
        <v>218.27</v>
      </c>
      <c r="BK433" s="186">
        <v>316.47000000000003</v>
      </c>
      <c r="BL433" s="186">
        <v>753.97</v>
      </c>
      <c r="BM433" s="186">
        <v>-3809.22</v>
      </c>
      <c r="BN433" s="186">
        <v>115.45</v>
      </c>
      <c r="BO433" s="186">
        <v>145.88999999999999</v>
      </c>
      <c r="BP433" s="186">
        <v>-5830.38</v>
      </c>
      <c r="BQ433" s="186">
        <v>128.44</v>
      </c>
      <c r="BR433" s="186">
        <v>275.52</v>
      </c>
      <c r="BS433" s="186">
        <v>-571.84</v>
      </c>
      <c r="BT433" s="186">
        <v>156.44</v>
      </c>
      <c r="BU433" s="186">
        <v>-3437.29</v>
      </c>
      <c r="BV433" s="186">
        <v>375.27</v>
      </c>
      <c r="BW433" s="186">
        <v>186.41</v>
      </c>
      <c r="BX433" s="186">
        <v>573.27</v>
      </c>
      <c r="BY433" s="186">
        <v>1194.47</v>
      </c>
      <c r="BZ433" s="186">
        <v>516.41999999999996</v>
      </c>
      <c r="CA433" s="186">
        <v>471.07</v>
      </c>
      <c r="CB433" s="186">
        <v>2559.56</v>
      </c>
      <c r="CC433" s="186">
        <v>-3701.68</v>
      </c>
      <c r="CD433" s="186">
        <v>221.82</v>
      </c>
      <c r="CE433" s="186">
        <v>272.27</v>
      </c>
      <c r="CF433" s="186">
        <v>381.97</v>
      </c>
      <c r="CG433" s="186">
        <v>962.02</v>
      </c>
      <c r="CH433" s="186">
        <v>602.87</v>
      </c>
      <c r="CI433" s="186">
        <v>3886.81</v>
      </c>
      <c r="CJ433" s="186">
        <v>2667.96</v>
      </c>
      <c r="CK433" s="186">
        <v>2689.41</v>
      </c>
      <c r="CL433" s="186">
        <v>1819.43</v>
      </c>
      <c r="CM433" s="186">
        <v>-6854.96</v>
      </c>
      <c r="CN433" s="186">
        <v>225.86</v>
      </c>
      <c r="CO433" s="186">
        <v>1238.1600000000001</v>
      </c>
      <c r="CP433" s="186">
        <v>1080.22</v>
      </c>
      <c r="CQ433" s="186">
        <v>932.52</v>
      </c>
      <c r="CR433" s="186">
        <v>2309.46</v>
      </c>
      <c r="CS433" s="186">
        <v>1974.72</v>
      </c>
      <c r="CT433" s="186">
        <v>2411.87</v>
      </c>
      <c r="CU433" s="186">
        <v>2038.32</v>
      </c>
      <c r="CV433" s="430">
        <f t="shared" si="18"/>
        <v>12532.97</v>
      </c>
    </row>
    <row r="434" spans="1:100">
      <c r="A434" s="463" t="s">
        <v>1288</v>
      </c>
      <c r="B434" s="56"/>
      <c r="C434" s="56"/>
      <c r="D434" s="430">
        <v>-214296.28</v>
      </c>
      <c r="E434" s="430">
        <v>-330590.94</v>
      </c>
      <c r="F434" s="430">
        <v>-206491.26</v>
      </c>
      <c r="G434" s="430">
        <v>-280856.64</v>
      </c>
      <c r="H434" s="430">
        <v>-178527.23</v>
      </c>
      <c r="I434" s="430">
        <v>-262447.71999999997</v>
      </c>
      <c r="J434" s="430">
        <v>-240575.55</v>
      </c>
      <c r="K434" s="430">
        <v>-197832.04</v>
      </c>
      <c r="L434" s="430">
        <v>-68753.320000000007</v>
      </c>
      <c r="M434" s="430">
        <v>-294246.26</v>
      </c>
      <c r="N434" s="430">
        <v>-168347.11</v>
      </c>
      <c r="O434" s="430">
        <v>-192880.57</v>
      </c>
      <c r="P434" s="52">
        <v>-390775.07</v>
      </c>
      <c r="Q434" s="52">
        <v>-210884.69</v>
      </c>
      <c r="R434" s="52">
        <v>-150763.29</v>
      </c>
      <c r="S434" s="52">
        <v>-117072.92</v>
      </c>
      <c r="T434" s="52">
        <v>-224359.7</v>
      </c>
      <c r="U434" s="52">
        <v>-216294.17</v>
      </c>
      <c r="V434" s="52">
        <v>-152920.16</v>
      </c>
      <c r="W434" s="52">
        <v>-171043.58</v>
      </c>
      <c r="X434" s="52">
        <v>-223338.23999999999</v>
      </c>
      <c r="Y434" s="52">
        <v>-130233.48</v>
      </c>
      <c r="Z434" s="52">
        <v>-190346.84</v>
      </c>
      <c r="AA434" s="52">
        <v>-703834.01</v>
      </c>
      <c r="AB434" s="52">
        <v>-296280.46000000002</v>
      </c>
      <c r="AC434" s="52">
        <v>-362928.71</v>
      </c>
      <c r="AD434" s="52">
        <v>-102655.97</v>
      </c>
      <c r="AE434" s="186">
        <v>-122065.81</v>
      </c>
      <c r="AF434" s="186">
        <v>-290536.36</v>
      </c>
      <c r="AG434" s="186">
        <v>-148831.98000000001</v>
      </c>
      <c r="AH434" s="186">
        <v>-214871.25</v>
      </c>
      <c r="AI434" s="186">
        <v>-277765.40000000002</v>
      </c>
      <c r="AJ434" s="186">
        <v>-180270.99</v>
      </c>
      <c r="AK434" s="186">
        <v>-769396.37</v>
      </c>
      <c r="AL434" s="186">
        <v>-202984.49</v>
      </c>
      <c r="AM434" s="186">
        <v>-221317.04</v>
      </c>
      <c r="AN434" s="186">
        <v>-353932.4</v>
      </c>
      <c r="AO434" s="186">
        <v>-308136.26</v>
      </c>
      <c r="AP434" s="186">
        <v>-287169.15000000002</v>
      </c>
      <c r="AQ434" s="186">
        <v>-146968.54999999999</v>
      </c>
      <c r="AR434" s="186">
        <v>-331963.59000000003</v>
      </c>
      <c r="AS434" s="186">
        <v>153361.17000000001</v>
      </c>
      <c r="AT434" s="186">
        <v>-293256.39</v>
      </c>
      <c r="AU434" s="186">
        <v>-142790.04999999999</v>
      </c>
      <c r="AV434" s="186">
        <v>-297970.53000000003</v>
      </c>
      <c r="AW434" s="186">
        <v>-245610.76</v>
      </c>
      <c r="AX434" s="186">
        <v>-341556.85</v>
      </c>
      <c r="AY434" s="186">
        <v>-549068.92000000004</v>
      </c>
      <c r="AZ434" s="186">
        <v>-427265.75</v>
      </c>
      <c r="BA434" s="186">
        <v>-414555.12</v>
      </c>
      <c r="BB434" s="186">
        <v>-112602.5</v>
      </c>
      <c r="BC434" s="186">
        <v>-506278.72</v>
      </c>
      <c r="BD434" s="186">
        <v>-262049.55</v>
      </c>
      <c r="BE434" s="186">
        <v>-222660.19</v>
      </c>
      <c r="BF434" s="186">
        <v>-289543.83</v>
      </c>
      <c r="BG434" s="186">
        <v>-189620.79</v>
      </c>
      <c r="BH434" s="186">
        <v>-174472.46</v>
      </c>
      <c r="BI434" s="186">
        <v>-253677.03</v>
      </c>
      <c r="BJ434" s="186">
        <v>-242731.81</v>
      </c>
      <c r="BK434" s="186">
        <v>-417337.17</v>
      </c>
      <c r="BL434" s="186">
        <v>-256648.59</v>
      </c>
      <c r="BM434" s="186">
        <v>-285523.38</v>
      </c>
      <c r="BN434" s="186">
        <v>-461128.74</v>
      </c>
      <c r="BO434" s="186">
        <v>-417107.02</v>
      </c>
      <c r="BP434" s="186">
        <v>-323818.81</v>
      </c>
      <c r="BQ434" s="186">
        <v>-234534.32</v>
      </c>
      <c r="BR434" s="186">
        <v>-338930.12</v>
      </c>
      <c r="BS434" s="186">
        <v>-459463.36</v>
      </c>
      <c r="BT434" s="186">
        <v>-219164.33</v>
      </c>
      <c r="BU434" s="186">
        <v>-197590.86</v>
      </c>
      <c r="BV434" s="186">
        <v>-194188.46</v>
      </c>
      <c r="BW434" s="186">
        <v>-228792.44</v>
      </c>
      <c r="BX434" s="186">
        <v>-126272.64</v>
      </c>
      <c r="BY434" s="186">
        <v>-424898.82</v>
      </c>
      <c r="BZ434" s="186">
        <v>-93899.42</v>
      </c>
      <c r="CA434" s="186">
        <v>-334447.24</v>
      </c>
      <c r="CB434" s="186">
        <v>-410336.04</v>
      </c>
      <c r="CC434" s="186">
        <v>-224341.44</v>
      </c>
      <c r="CD434" s="186">
        <v>-188439.92</v>
      </c>
      <c r="CE434" s="186">
        <v>-311341.21000000002</v>
      </c>
      <c r="CF434" s="186">
        <v>-239230.3</v>
      </c>
      <c r="CG434" s="186">
        <v>-350793.42</v>
      </c>
      <c r="CH434" s="186">
        <v>-209032.59</v>
      </c>
      <c r="CI434" s="186">
        <v>-367048.31</v>
      </c>
      <c r="CJ434" s="186">
        <v>-334134.96999999997</v>
      </c>
      <c r="CK434" s="186">
        <v>-387862.25</v>
      </c>
      <c r="CL434" s="186">
        <v>-275361.32</v>
      </c>
      <c r="CM434" s="186">
        <v>-331471.51</v>
      </c>
      <c r="CN434" s="186">
        <v>-390513.08</v>
      </c>
      <c r="CO434" s="186">
        <v>-271490.58</v>
      </c>
      <c r="CP434" s="186">
        <v>-274120.75</v>
      </c>
      <c r="CQ434" s="186">
        <v>-337068.29</v>
      </c>
      <c r="CR434" s="186">
        <v>-295827.65000000002</v>
      </c>
      <c r="CS434" s="186">
        <v>-313747.78000000003</v>
      </c>
      <c r="CT434" s="186">
        <v>-273112.37</v>
      </c>
      <c r="CU434" s="186">
        <v>-159444.92000000001</v>
      </c>
      <c r="CV434" s="430">
        <f t="shared" si="18"/>
        <v>-3644155.4699999997</v>
      </c>
    </row>
    <row r="435" spans="1:100">
      <c r="A435" s="463" t="s">
        <v>1289</v>
      </c>
      <c r="B435" s="56"/>
      <c r="C435" s="56"/>
      <c r="D435" s="430">
        <v>-33105.9</v>
      </c>
      <c r="E435" s="430">
        <v>-60160.57</v>
      </c>
      <c r="F435" s="430">
        <v>-16942.79</v>
      </c>
      <c r="G435" s="430">
        <v>-13700.03</v>
      </c>
      <c r="H435" s="430">
        <v>-22433.86</v>
      </c>
      <c r="I435" s="430">
        <v>-34601</v>
      </c>
      <c r="J435" s="430">
        <v>-13577.67</v>
      </c>
      <c r="K435" s="430">
        <v>-15638</v>
      </c>
      <c r="L435" s="430">
        <v>-15354.58</v>
      </c>
      <c r="M435" s="430">
        <v>-17160.03</v>
      </c>
      <c r="N435" s="430">
        <v>-11242.67</v>
      </c>
      <c r="O435" s="430">
        <v>-30143.55</v>
      </c>
      <c r="P435" s="52">
        <v>-25287.87</v>
      </c>
      <c r="Q435" s="52">
        <v>-18621.48</v>
      </c>
      <c r="R435" s="52">
        <v>-20659.18</v>
      </c>
      <c r="S435" s="52">
        <v>-25139.11</v>
      </c>
      <c r="T435" s="52">
        <v>-45226.83</v>
      </c>
      <c r="U435" s="52">
        <v>-46562.080000000002</v>
      </c>
      <c r="V435" s="52">
        <v>-13445.99</v>
      </c>
      <c r="W435" s="52">
        <v>-21691.13</v>
      </c>
      <c r="X435" s="52">
        <v>-16325.54</v>
      </c>
      <c r="Y435" s="52">
        <v>-18294.91</v>
      </c>
      <c r="Z435" s="52">
        <v>-24058.92</v>
      </c>
      <c r="AA435" s="52">
        <v>-21149.64</v>
      </c>
      <c r="AB435" s="52">
        <v>-17840.47</v>
      </c>
      <c r="AC435" s="52">
        <v>-68388.09</v>
      </c>
      <c r="AD435" s="52">
        <v>-25117.439999999999</v>
      </c>
      <c r="AE435" s="186">
        <v>-36773.22</v>
      </c>
      <c r="AF435" s="186">
        <v>-38605.68</v>
      </c>
      <c r="AG435" s="186">
        <v>-48091.37</v>
      </c>
      <c r="AH435" s="186">
        <v>-53566.52</v>
      </c>
      <c r="AI435" s="186">
        <v>-41569.760000000002</v>
      </c>
      <c r="AJ435" s="186">
        <v>-29858.92</v>
      </c>
      <c r="AK435" s="186">
        <v>-24046.71</v>
      </c>
      <c r="AL435" s="186">
        <v>-34613.72</v>
      </c>
      <c r="AM435" s="186">
        <v>-41797.339999999997</v>
      </c>
      <c r="AN435" s="186">
        <v>-28006.81</v>
      </c>
      <c r="AO435" s="186">
        <v>-37984.57</v>
      </c>
      <c r="AP435" s="186">
        <v>-31193.17</v>
      </c>
      <c r="AQ435" s="186">
        <v>-30066.84</v>
      </c>
      <c r="AR435" s="186">
        <v>-9809.65</v>
      </c>
      <c r="AS435" s="186">
        <v>-20994.17</v>
      </c>
      <c r="AT435" s="186">
        <v>-1754.21</v>
      </c>
      <c r="AU435" s="186">
        <v>-5124.66</v>
      </c>
      <c r="AV435" s="186">
        <v>-1872.7</v>
      </c>
      <c r="AW435" s="186">
        <v>-2250.67</v>
      </c>
      <c r="AX435" s="186">
        <v>-653.58000000000004</v>
      </c>
      <c r="AY435" s="186">
        <v>-722.53</v>
      </c>
      <c r="AZ435" s="186">
        <v>-5980.14</v>
      </c>
      <c r="BA435" s="186">
        <v>-683.95</v>
      </c>
      <c r="BB435" s="186">
        <v>-593.34</v>
      </c>
      <c r="BC435" s="186">
        <v>-1242.23</v>
      </c>
      <c r="BD435" s="186">
        <v>-3325.19</v>
      </c>
      <c r="BE435" s="186">
        <v>-823.95</v>
      </c>
      <c r="BF435" s="186">
        <v>61.04</v>
      </c>
      <c r="BG435" s="186">
        <v>-774.42</v>
      </c>
      <c r="BH435" s="186">
        <v>-869.08</v>
      </c>
      <c r="BI435" s="186">
        <v>123.42</v>
      </c>
      <c r="BJ435" s="186">
        <v>-859.74</v>
      </c>
      <c r="BK435" s="186">
        <v>-1245.73</v>
      </c>
      <c r="BL435" s="186">
        <v>-1386.14</v>
      </c>
      <c r="BM435" s="186">
        <v>-1039.8</v>
      </c>
      <c r="BN435" s="186">
        <v>-926.46</v>
      </c>
      <c r="BO435" s="186">
        <v>-955.99</v>
      </c>
      <c r="BP435" s="186">
        <v>-1150.17</v>
      </c>
      <c r="BQ435" s="186">
        <v>-3577.39</v>
      </c>
      <c r="BR435" s="186">
        <v>-3981.29</v>
      </c>
      <c r="BS435" s="186">
        <v>-3921.99</v>
      </c>
      <c r="BT435" s="186">
        <v>-3048.89</v>
      </c>
      <c r="BU435" s="186">
        <v>-21.6</v>
      </c>
      <c r="BV435" s="186">
        <v>-5046.87</v>
      </c>
      <c r="BW435" s="186">
        <v>-1393.46</v>
      </c>
      <c r="BX435" s="186">
        <v>-5829.61</v>
      </c>
      <c r="BY435" s="186">
        <v>-5336.06</v>
      </c>
      <c r="BZ435" s="186">
        <v>-13624.8</v>
      </c>
      <c r="CA435" s="186">
        <v>-48706.879999999997</v>
      </c>
      <c r="CB435" s="186">
        <v>-1187.4000000000001</v>
      </c>
      <c r="CC435" s="186">
        <v>-991.75</v>
      </c>
      <c r="CD435" s="186">
        <v>-897.63</v>
      </c>
      <c r="CE435" s="186">
        <v>-1009.82</v>
      </c>
      <c r="CF435" s="186">
        <v>-815.56</v>
      </c>
      <c r="CG435" s="186">
        <v>-749.87</v>
      </c>
      <c r="CH435" s="186">
        <v>-902.24</v>
      </c>
      <c r="CI435" s="186">
        <v>-992.81</v>
      </c>
      <c r="CJ435" s="186">
        <v>-10589.77</v>
      </c>
      <c r="CK435" s="186">
        <v>-10135.75</v>
      </c>
      <c r="CL435" s="186">
        <v>-9969.0400000000009</v>
      </c>
      <c r="CM435" s="186">
        <v>-9850.0300000000007</v>
      </c>
      <c r="CN435" s="186">
        <v>-14402.36</v>
      </c>
      <c r="CO435" s="186">
        <v>-5189.09</v>
      </c>
      <c r="CP435" s="186">
        <v>-3312.69</v>
      </c>
      <c r="CQ435" s="186">
        <v>-3259.81</v>
      </c>
      <c r="CR435" s="186">
        <v>-2984.07</v>
      </c>
      <c r="CS435" s="186">
        <v>-3102.86</v>
      </c>
      <c r="CT435" s="186">
        <v>-3158.87</v>
      </c>
      <c r="CU435" s="186">
        <v>-3669.28</v>
      </c>
      <c r="CV435" s="430">
        <f t="shared" si="18"/>
        <v>-79623.62000000001</v>
      </c>
    </row>
    <row r="436" spans="1:100">
      <c r="A436" s="540" t="s">
        <v>2336</v>
      </c>
      <c r="B436" s="56"/>
      <c r="C436" s="56"/>
      <c r="D436" s="430"/>
      <c r="E436" s="430"/>
      <c r="F436" s="430"/>
      <c r="G436" s="430"/>
      <c r="H436" s="430"/>
      <c r="I436" s="430"/>
      <c r="J436" s="430"/>
      <c r="K436" s="430"/>
      <c r="L436" s="430"/>
      <c r="M436" s="430"/>
      <c r="N436" s="430"/>
      <c r="O436" s="430"/>
      <c r="P436" s="52"/>
      <c r="Q436" s="52"/>
      <c r="R436" s="52"/>
      <c r="S436" s="52"/>
      <c r="T436" s="52"/>
      <c r="U436" s="52"/>
      <c r="V436" s="52"/>
      <c r="W436" s="52"/>
      <c r="X436" s="52"/>
      <c r="Y436" s="52"/>
      <c r="Z436" s="52"/>
      <c r="AA436" s="52"/>
      <c r="AB436" s="52"/>
      <c r="AC436" s="52"/>
      <c r="AD436" s="52"/>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86"/>
      <c r="BI436" s="186"/>
      <c r="BJ436" s="186"/>
      <c r="BK436" s="186"/>
      <c r="BL436" s="186"/>
      <c r="BM436" s="186"/>
      <c r="BN436" s="186"/>
      <c r="BO436" s="186"/>
      <c r="BP436" s="186"/>
      <c r="BQ436" s="186"/>
      <c r="BR436" s="186">
        <v>0</v>
      </c>
      <c r="BS436" s="186">
        <v>0</v>
      </c>
      <c r="BT436" s="186">
        <v>-88143.23</v>
      </c>
      <c r="BU436" s="186">
        <v>-205245.14</v>
      </c>
      <c r="BV436" s="186">
        <v>-78293.710000000006</v>
      </c>
      <c r="BW436" s="186">
        <v>-98731.87</v>
      </c>
      <c r="BX436" s="186">
        <v>-128109.59</v>
      </c>
      <c r="BY436" s="186">
        <v>-160068.20000000001</v>
      </c>
      <c r="BZ436" s="186">
        <v>-187039.09</v>
      </c>
      <c r="CA436" s="186">
        <v>-212810.96</v>
      </c>
      <c r="CB436" s="186">
        <v>-258036.43</v>
      </c>
      <c r="CC436" s="186">
        <v>-295038.21000000002</v>
      </c>
      <c r="CD436" s="186">
        <v>-317432.21000000002</v>
      </c>
      <c r="CE436" s="186">
        <v>-354208</v>
      </c>
      <c r="CF436" s="186">
        <v>-396170.73</v>
      </c>
      <c r="CG436" s="186">
        <v>-313400.96999999997</v>
      </c>
      <c r="CH436" s="186">
        <v>-231389.87</v>
      </c>
      <c r="CI436" s="186">
        <v>-267899.33</v>
      </c>
      <c r="CJ436" s="186">
        <v>-304757.78999999998</v>
      </c>
      <c r="CK436" s="186">
        <v>-370593.85</v>
      </c>
      <c r="CL436" s="186">
        <v>-389947.17</v>
      </c>
      <c r="CM436" s="186">
        <v>-326242.06</v>
      </c>
      <c r="CN436" s="186">
        <v>-221915.58</v>
      </c>
      <c r="CO436" s="186">
        <v>-230325.17</v>
      </c>
      <c r="CP436" s="186">
        <v>-249458.15</v>
      </c>
      <c r="CQ436" s="186">
        <v>-280763.06</v>
      </c>
      <c r="CR436" s="186">
        <v>-307772.68</v>
      </c>
      <c r="CS436" s="186">
        <v>-330307.34000000003</v>
      </c>
      <c r="CT436" s="186">
        <v>-118962.32</v>
      </c>
      <c r="CU436" s="186">
        <v>-163717.22</v>
      </c>
      <c r="CV436" s="430">
        <f t="shared" si="18"/>
        <v>-3294762.3899999997</v>
      </c>
    </row>
    <row r="437" spans="1:100">
      <c r="A437" s="463" t="s">
        <v>1290</v>
      </c>
      <c r="B437" s="56"/>
      <c r="C437" s="56"/>
      <c r="D437" s="430">
        <v>-150</v>
      </c>
      <c r="E437" s="430">
        <v>-6994.39</v>
      </c>
      <c r="F437" s="430">
        <v>-60</v>
      </c>
      <c r="G437" s="430">
        <v>-168</v>
      </c>
      <c r="H437" s="430">
        <v>-158</v>
      </c>
      <c r="I437" s="430">
        <v>-120</v>
      </c>
      <c r="J437" s="430">
        <v>-142</v>
      </c>
      <c r="K437" s="430">
        <v>-138</v>
      </c>
      <c r="L437" s="430">
        <v>-136</v>
      </c>
      <c r="M437" s="430">
        <v>215.02</v>
      </c>
      <c r="N437" s="430">
        <v>-186</v>
      </c>
      <c r="O437" s="430">
        <v>-226</v>
      </c>
      <c r="P437" s="52">
        <v>-257</v>
      </c>
      <c r="Q437" s="52">
        <v>-244</v>
      </c>
      <c r="R437" s="52">
        <v>-191</v>
      </c>
      <c r="S437" s="52">
        <v>-177</v>
      </c>
      <c r="T437" s="52">
        <v>-232</v>
      </c>
      <c r="U437" s="52">
        <v>-203</v>
      </c>
      <c r="V437" s="52">
        <v>-200</v>
      </c>
      <c r="W437" s="52">
        <v>-223</v>
      </c>
      <c r="X437" s="52">
        <v>-246</v>
      </c>
      <c r="Y437" s="52">
        <v>-353</v>
      </c>
      <c r="Z437" s="52">
        <v>-672</v>
      </c>
      <c r="AA437" s="52">
        <v>-689484.31</v>
      </c>
      <c r="AB437" s="52">
        <v>-2208</v>
      </c>
      <c r="AC437" s="52">
        <v>-1354</v>
      </c>
      <c r="AD437" s="52">
        <v>-920</v>
      </c>
      <c r="AE437" s="186">
        <v>-839</v>
      </c>
      <c r="AF437" s="186">
        <v>-735</v>
      </c>
      <c r="AG437" s="186">
        <v>-784</v>
      </c>
      <c r="AH437" s="186">
        <v>-861</v>
      </c>
      <c r="AI437" s="186">
        <v>-215412</v>
      </c>
      <c r="AJ437" s="186">
        <v>-939</v>
      </c>
      <c r="AK437" s="186">
        <v>-733292.85</v>
      </c>
      <c r="AL437" s="186">
        <v>-1090</v>
      </c>
      <c r="AM437" s="186">
        <v>-1346.9</v>
      </c>
      <c r="AN437" s="186">
        <v>-1663</v>
      </c>
      <c r="AO437" s="186">
        <v>-1575</v>
      </c>
      <c r="AP437" s="186">
        <v>-1792.1</v>
      </c>
      <c r="AQ437" s="186">
        <v>-202</v>
      </c>
      <c r="AR437" s="186">
        <v>-3836</v>
      </c>
      <c r="AS437" s="186">
        <v>-2294</v>
      </c>
      <c r="AT437" s="186">
        <v>-2480</v>
      </c>
      <c r="AU437" s="186">
        <v>-2612</v>
      </c>
      <c r="AV437" s="186">
        <v>-2668</v>
      </c>
      <c r="AW437" s="186">
        <v>-4283.83</v>
      </c>
      <c r="AX437" s="186">
        <v>-8063.17</v>
      </c>
      <c r="AY437" s="186">
        <v>-9906</v>
      </c>
      <c r="AZ437" s="186">
        <v>-14551.86</v>
      </c>
      <c r="BA437" s="186">
        <v>-6591.1</v>
      </c>
      <c r="BB437" s="186">
        <v>-4896.34</v>
      </c>
      <c r="BC437" s="186">
        <v>31623.62</v>
      </c>
      <c r="BD437" s="186">
        <v>-7936.51</v>
      </c>
      <c r="BE437" s="186">
        <v>-9480.34</v>
      </c>
      <c r="BF437" s="186">
        <v>-10662.88</v>
      </c>
      <c r="BG437" s="186">
        <v>-10848.93</v>
      </c>
      <c r="BH437" s="186">
        <v>-18177.66</v>
      </c>
      <c r="BI437" s="186">
        <v>10056.18</v>
      </c>
      <c r="BJ437" s="186">
        <v>-15054.92</v>
      </c>
      <c r="BK437" s="186">
        <v>-2072.3200000000002</v>
      </c>
      <c r="BL437" s="186">
        <v>-24884.45</v>
      </c>
      <c r="BM437" s="186">
        <v>-12638.17</v>
      </c>
      <c r="BN437" s="186">
        <v>-11641.8</v>
      </c>
      <c r="BO437" s="186">
        <v>-13221.11</v>
      </c>
      <c r="BP437" s="186">
        <v>-8857.3700000000008</v>
      </c>
      <c r="BQ437" s="186">
        <v>32.21</v>
      </c>
      <c r="BR437" s="186">
        <v>-17147.310000000001</v>
      </c>
      <c r="BS437" s="186">
        <v>-7165.61</v>
      </c>
      <c r="BT437" s="186">
        <v>-11563.54</v>
      </c>
      <c r="BU437" s="186">
        <v>-9042.99</v>
      </c>
      <c r="BV437" s="186">
        <v>-9013.42</v>
      </c>
      <c r="BW437" s="186">
        <v>-8529.58</v>
      </c>
      <c r="BX437" s="186">
        <v>-4975.74</v>
      </c>
      <c r="BY437" s="186">
        <v>-4999.54</v>
      </c>
      <c r="BZ437" s="186">
        <v>-8703.32</v>
      </c>
      <c r="CA437" s="186">
        <v>4456.03</v>
      </c>
      <c r="CB437" s="186">
        <v>-44</v>
      </c>
      <c r="CC437" s="186">
        <v>-1660.18</v>
      </c>
      <c r="CD437" s="186">
        <v>384.92</v>
      </c>
      <c r="CE437" s="186">
        <v>-13641.89</v>
      </c>
      <c r="CF437" s="186">
        <v>-852.55</v>
      </c>
      <c r="CG437" s="186">
        <v>-2386.31</v>
      </c>
      <c r="CH437" s="186">
        <v>1094.53</v>
      </c>
      <c r="CI437" s="186">
        <v>-395.97</v>
      </c>
      <c r="CJ437" s="186">
        <v>-999.71</v>
      </c>
      <c r="CK437" s="186">
        <v>805.71</v>
      </c>
      <c r="CL437" s="186">
        <v>-64.64</v>
      </c>
      <c r="CM437" s="186">
        <v>-4013.08</v>
      </c>
      <c r="CN437" s="186">
        <v>-7</v>
      </c>
      <c r="CO437" s="186">
        <v>-2693.33</v>
      </c>
      <c r="CP437" s="186">
        <v>2444.14</v>
      </c>
      <c r="CQ437" s="186">
        <v>-113.74</v>
      </c>
      <c r="CR437" s="186">
        <v>-1434.45</v>
      </c>
      <c r="CS437" s="186">
        <v>1436.19</v>
      </c>
      <c r="CT437" s="186">
        <v>-3539.36</v>
      </c>
      <c r="CU437" s="186">
        <v>1551.62</v>
      </c>
      <c r="CV437" s="430">
        <f t="shared" si="18"/>
        <v>-6627.6500000000005</v>
      </c>
    </row>
    <row r="438" spans="1:100">
      <c r="A438" s="540" t="s">
        <v>1701</v>
      </c>
      <c r="B438" s="56"/>
      <c r="C438" s="56"/>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186">
        <v>-178382.13</v>
      </c>
      <c r="AI438" s="186">
        <v>-178382.13</v>
      </c>
      <c r="AJ438" s="186">
        <v>-178382.13</v>
      </c>
      <c r="AK438" s="186">
        <v>-178382.13</v>
      </c>
      <c r="AL438" s="186">
        <v>-178382.13</v>
      </c>
      <c r="AM438" s="186">
        <v>-178382.13</v>
      </c>
      <c r="AN438" s="186">
        <v>-178382.13</v>
      </c>
      <c r="AO438" s="186">
        <v>-178382.13</v>
      </c>
      <c r="AP438" s="186">
        <v>-178382.13</v>
      </c>
      <c r="AQ438" s="186">
        <v>-178382.13</v>
      </c>
      <c r="AR438" s="186">
        <v>-178382.13</v>
      </c>
      <c r="AS438" s="186">
        <v>-178382.13</v>
      </c>
      <c r="AT438" s="186">
        <v>-178382.13</v>
      </c>
      <c r="AU438" s="186">
        <v>-178382.13</v>
      </c>
      <c r="AV438" s="186">
        <v>-178382.13</v>
      </c>
      <c r="AW438" s="186">
        <v>-178382.13</v>
      </c>
      <c r="AX438" s="186">
        <v>-178382.13</v>
      </c>
      <c r="AY438" s="186">
        <v>-178382.13</v>
      </c>
      <c r="AZ438" s="186">
        <v>-178382.13</v>
      </c>
      <c r="BA438" s="186">
        <v>-178382.13</v>
      </c>
      <c r="BB438" s="186">
        <v>-178382.13</v>
      </c>
      <c r="BC438" s="186">
        <v>-178382.13</v>
      </c>
      <c r="BD438" s="186">
        <v>-178382.13</v>
      </c>
      <c r="BE438" s="186">
        <v>-178382.13</v>
      </c>
      <c r="BF438" s="186">
        <v>-178382.13</v>
      </c>
      <c r="BG438" s="186">
        <v>-178382.13</v>
      </c>
      <c r="BH438" s="186">
        <v>-178382.13</v>
      </c>
      <c r="BI438" s="186">
        <v>-178382.13</v>
      </c>
      <c r="BJ438" s="186">
        <v>-178382.13</v>
      </c>
      <c r="BK438" s="186">
        <v>-178382.13</v>
      </c>
      <c r="BL438" s="186">
        <v>-178382.13</v>
      </c>
      <c r="BM438" s="186">
        <v>-178382.13</v>
      </c>
      <c r="BN438" s="186">
        <v>-178382.13</v>
      </c>
      <c r="BO438" s="186">
        <v>-178382.13</v>
      </c>
      <c r="BP438" s="186">
        <v>-178382.13</v>
      </c>
      <c r="BQ438" s="186">
        <v>-178382.13</v>
      </c>
      <c r="BR438" s="186">
        <v>-178382.13</v>
      </c>
      <c r="BS438" s="186">
        <v>-178382.13</v>
      </c>
      <c r="BT438" s="186">
        <v>-178382.13</v>
      </c>
      <c r="BU438" s="186">
        <v>-178382.13</v>
      </c>
      <c r="BV438" s="186">
        <v>-178382.13</v>
      </c>
      <c r="BW438" s="186">
        <v>-178382.13</v>
      </c>
      <c r="BX438" s="186">
        <v>-178382.13</v>
      </c>
      <c r="BY438" s="186">
        <v>-178382.13</v>
      </c>
      <c r="BZ438" s="186">
        <v>-178382.13</v>
      </c>
      <c r="CA438" s="186">
        <v>-178382.13</v>
      </c>
      <c r="CB438" s="186">
        <v>-134554.43</v>
      </c>
      <c r="CC438" s="186">
        <v>-156002.03</v>
      </c>
      <c r="CD438" s="186">
        <v>-21447.55</v>
      </c>
      <c r="CE438" s="186">
        <v>0</v>
      </c>
      <c r="CF438" s="186">
        <v>0</v>
      </c>
      <c r="CG438" s="186">
        <v>0</v>
      </c>
      <c r="CH438" s="186">
        <v>0</v>
      </c>
      <c r="CI438" s="186">
        <v>0</v>
      </c>
      <c r="CJ438" s="186">
        <v>0</v>
      </c>
      <c r="CK438" s="186">
        <v>0</v>
      </c>
      <c r="CL438" s="186">
        <v>0</v>
      </c>
      <c r="CM438" s="186">
        <v>0</v>
      </c>
      <c r="CN438" s="186">
        <v>0</v>
      </c>
      <c r="CO438" s="186">
        <v>0</v>
      </c>
      <c r="CP438" s="186">
        <v>0</v>
      </c>
      <c r="CQ438" s="186">
        <v>0</v>
      </c>
      <c r="CR438" s="186">
        <v>0</v>
      </c>
      <c r="CS438" s="186">
        <v>0</v>
      </c>
      <c r="CT438" s="186">
        <v>0</v>
      </c>
      <c r="CU438" s="186">
        <v>0</v>
      </c>
      <c r="CV438" s="430">
        <f t="shared" si="18"/>
        <v>0</v>
      </c>
    </row>
    <row r="439" spans="1:100">
      <c r="A439" s="540" t="s">
        <v>2447</v>
      </c>
      <c r="B439" s="56"/>
      <c r="C439" s="56"/>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c r="BM439" s="186"/>
      <c r="BN439" s="186"/>
      <c r="BO439" s="186"/>
      <c r="BP439" s="186"/>
      <c r="BQ439" s="186"/>
      <c r="BR439" s="186"/>
      <c r="BS439" s="186"/>
      <c r="BT439" s="186"/>
      <c r="BU439" s="186"/>
      <c r="BV439" s="186"/>
      <c r="BW439" s="186"/>
      <c r="BX439" s="186">
        <v>0</v>
      </c>
      <c r="BY439" s="186">
        <v>0</v>
      </c>
      <c r="BZ439" s="186">
        <v>5165.29</v>
      </c>
      <c r="CA439" s="186">
        <v>5165.29</v>
      </c>
      <c r="CB439" s="186">
        <v>5165.29</v>
      </c>
      <c r="CC439" s="186">
        <v>5165.29</v>
      </c>
      <c r="CD439" s="186">
        <v>5165.29</v>
      </c>
      <c r="CE439" s="186">
        <v>5165.29</v>
      </c>
      <c r="CF439" s="186">
        <v>5165.29</v>
      </c>
      <c r="CG439" s="186">
        <v>5165.29</v>
      </c>
      <c r="CH439" s="186">
        <v>5165.29</v>
      </c>
      <c r="CI439" s="186">
        <v>5165.29</v>
      </c>
      <c r="CJ439" s="186">
        <v>5165.29</v>
      </c>
      <c r="CK439" s="186">
        <v>5165.29</v>
      </c>
      <c r="CL439" s="186">
        <v>5165.29</v>
      </c>
      <c r="CM439" s="186">
        <v>5165.29</v>
      </c>
      <c r="CN439" s="186">
        <v>5165.29</v>
      </c>
      <c r="CO439" s="186">
        <v>5165.29</v>
      </c>
      <c r="CP439" s="186">
        <v>5165.29</v>
      </c>
      <c r="CQ439" s="186">
        <v>5165.29</v>
      </c>
      <c r="CR439" s="186">
        <v>5165.29</v>
      </c>
      <c r="CS439" s="186">
        <v>5165.29</v>
      </c>
      <c r="CT439" s="186">
        <v>5165.29</v>
      </c>
      <c r="CU439" s="186">
        <v>5165.29</v>
      </c>
      <c r="CV439" s="430">
        <f t="shared" si="18"/>
        <v>61983.48</v>
      </c>
    </row>
    <row r="440" spans="1:100">
      <c r="A440" s="463" t="s">
        <v>1291</v>
      </c>
      <c r="B440" s="56"/>
      <c r="C440" s="56"/>
      <c r="D440" s="430">
        <v>9592.44</v>
      </c>
      <c r="E440" s="430">
        <v>13624.55</v>
      </c>
      <c r="F440" s="430">
        <v>38973.22</v>
      </c>
      <c r="G440" s="430">
        <v>5029.49</v>
      </c>
      <c r="H440" s="430">
        <v>31197.18</v>
      </c>
      <c r="I440" s="430">
        <v>17101.439999999999</v>
      </c>
      <c r="J440" s="430">
        <v>18584.96</v>
      </c>
      <c r="K440" s="430">
        <v>11886.14</v>
      </c>
      <c r="L440" s="430">
        <v>4447.22</v>
      </c>
      <c r="M440" s="430">
        <v>4817.4799999999996</v>
      </c>
      <c r="N440" s="430">
        <v>11142.36</v>
      </c>
      <c r="O440" s="430">
        <v>44282.16</v>
      </c>
      <c r="P440" s="52">
        <v>15506.55</v>
      </c>
      <c r="Q440" s="52">
        <v>13930.6</v>
      </c>
      <c r="R440" s="52">
        <v>49664.43</v>
      </c>
      <c r="S440" s="52">
        <v>46999.16</v>
      </c>
      <c r="T440" s="52">
        <v>13878.49</v>
      </c>
      <c r="U440" s="52">
        <v>16301.05</v>
      </c>
      <c r="V440" s="52">
        <v>27966.02</v>
      </c>
      <c r="W440" s="52">
        <v>12631.5</v>
      </c>
      <c r="X440" s="52">
        <v>16679.37</v>
      </c>
      <c r="Y440" s="52">
        <v>18539.5</v>
      </c>
      <c r="Z440" s="52">
        <v>4985.3599999999997</v>
      </c>
      <c r="AA440" s="52">
        <v>37666.269999999997</v>
      </c>
      <c r="AB440" s="52">
        <v>22213.35</v>
      </c>
      <c r="AC440" s="52">
        <v>12189.45</v>
      </c>
      <c r="AD440" s="52">
        <v>34690.93</v>
      </c>
      <c r="AE440" s="186">
        <v>20261.73</v>
      </c>
      <c r="AF440" s="186">
        <v>19974.55</v>
      </c>
      <c r="AG440" s="186">
        <v>73602.73</v>
      </c>
      <c r="AH440" s="186">
        <v>13181.29</v>
      </c>
      <c r="AI440" s="186">
        <v>17352.16</v>
      </c>
      <c r="AJ440" s="186">
        <v>27273.73</v>
      </c>
      <c r="AK440" s="186">
        <v>27983.200000000001</v>
      </c>
      <c r="AL440" s="186">
        <v>14492.4</v>
      </c>
      <c r="AM440" s="186">
        <v>59061.77</v>
      </c>
      <c r="AN440" s="186">
        <v>-17504.79</v>
      </c>
      <c r="AO440" s="186">
        <v>20036.939999999999</v>
      </c>
      <c r="AP440" s="186">
        <v>7494</v>
      </c>
      <c r="AQ440" s="186">
        <v>24842.06</v>
      </c>
      <c r="AR440" s="186">
        <v>15256.43</v>
      </c>
      <c r="AS440" s="186">
        <v>13760.13</v>
      </c>
      <c r="AT440" s="186">
        <v>31162.720000000001</v>
      </c>
      <c r="AU440" s="186">
        <v>24941.200000000001</v>
      </c>
      <c r="AV440" s="186">
        <v>36071.5</v>
      </c>
      <c r="AW440" s="186">
        <v>18645.54</v>
      </c>
      <c r="AX440" s="186">
        <v>18830.18</v>
      </c>
      <c r="AY440" s="186">
        <v>32557.69</v>
      </c>
      <c r="AZ440" s="186">
        <v>12466.08</v>
      </c>
      <c r="BA440" s="186">
        <v>15071.08</v>
      </c>
      <c r="BB440" s="186">
        <v>20708.099999999999</v>
      </c>
      <c r="BC440" s="186">
        <v>45994.63</v>
      </c>
      <c r="BD440" s="186">
        <v>30451.5</v>
      </c>
      <c r="BE440" s="186">
        <v>13366.28</v>
      </c>
      <c r="BF440" s="186">
        <v>7388.87</v>
      </c>
      <c r="BG440" s="186">
        <v>27186.62</v>
      </c>
      <c r="BH440" s="186">
        <v>14967.46</v>
      </c>
      <c r="BI440" s="186">
        <v>64456.99</v>
      </c>
      <c r="BJ440" s="186">
        <v>38901.300000000003</v>
      </c>
      <c r="BK440" s="186">
        <v>31195.23</v>
      </c>
      <c r="BL440" s="186">
        <v>34369.599999999999</v>
      </c>
      <c r="BM440" s="186">
        <v>19560</v>
      </c>
      <c r="BN440" s="186">
        <v>24488</v>
      </c>
      <c r="BO440" s="186">
        <v>18203.97</v>
      </c>
      <c r="BP440" s="186">
        <v>32038.52</v>
      </c>
      <c r="BQ440" s="186">
        <v>17468.5</v>
      </c>
      <c r="BR440" s="186">
        <v>10044.66</v>
      </c>
      <c r="BS440" s="186">
        <v>25738</v>
      </c>
      <c r="BT440" s="186">
        <v>71510.52</v>
      </c>
      <c r="BU440" s="186">
        <v>12717.33</v>
      </c>
      <c r="BV440" s="186">
        <v>38277.9</v>
      </c>
      <c r="BW440" s="186">
        <v>62477.48</v>
      </c>
      <c r="BX440" s="186">
        <v>8839</v>
      </c>
      <c r="BY440" s="186">
        <v>74718.399999999994</v>
      </c>
      <c r="BZ440" s="186">
        <v>40720.53</v>
      </c>
      <c r="CA440" s="186">
        <v>104506.58</v>
      </c>
      <c r="CB440" s="186">
        <v>30345.29</v>
      </c>
      <c r="CC440" s="186">
        <v>56278.77</v>
      </c>
      <c r="CD440" s="186">
        <v>1499</v>
      </c>
      <c r="CE440" s="186">
        <v>9139.7800000000007</v>
      </c>
      <c r="CF440" s="186">
        <v>4147.07</v>
      </c>
      <c r="CG440" s="186">
        <v>30031.98</v>
      </c>
      <c r="CH440" s="186">
        <v>17013.7</v>
      </c>
      <c r="CI440" s="186">
        <v>70637.98</v>
      </c>
      <c r="CJ440" s="186">
        <v>2361.58</v>
      </c>
      <c r="CK440" s="186">
        <v>44113.37</v>
      </c>
      <c r="CL440" s="186">
        <v>21018.38</v>
      </c>
      <c r="CM440" s="186">
        <v>19632.919999999998</v>
      </c>
      <c r="CN440" s="186">
        <v>9424.93</v>
      </c>
      <c r="CO440" s="186">
        <v>7376.06</v>
      </c>
      <c r="CP440" s="186">
        <v>5775.25</v>
      </c>
      <c r="CQ440" s="186">
        <v>27888.79</v>
      </c>
      <c r="CR440" s="186">
        <v>35987.75</v>
      </c>
      <c r="CS440" s="186">
        <v>12118.86</v>
      </c>
      <c r="CT440" s="186">
        <v>17192.990000000002</v>
      </c>
      <c r="CU440" s="186">
        <v>82041.02</v>
      </c>
      <c r="CV440" s="430">
        <f t="shared" si="18"/>
        <v>284931.90000000002</v>
      </c>
    </row>
    <row r="441" spans="1:100">
      <c r="A441" s="541" t="s">
        <v>1424</v>
      </c>
      <c r="B441" s="56"/>
      <c r="C441" s="56"/>
      <c r="D441" s="430"/>
      <c r="E441" s="430"/>
      <c r="F441" s="430"/>
      <c r="G441" s="430"/>
      <c r="H441" s="430"/>
      <c r="I441" s="430"/>
      <c r="J441" s="430"/>
      <c r="K441" s="430"/>
      <c r="L441" s="430"/>
      <c r="M441" s="430"/>
      <c r="N441" s="430"/>
      <c r="O441" s="430"/>
      <c r="P441" s="52"/>
      <c r="Q441" s="52"/>
      <c r="R441" s="52"/>
      <c r="S441" s="52"/>
      <c r="T441" s="52"/>
      <c r="U441" s="52"/>
      <c r="V441" s="52"/>
      <c r="W441" s="52"/>
      <c r="X441" s="52"/>
      <c r="Y441" s="52"/>
      <c r="Z441" s="52"/>
      <c r="AA441" s="52"/>
      <c r="AB441" s="52">
        <v>0</v>
      </c>
      <c r="AC441" s="52">
        <v>0</v>
      </c>
      <c r="AD441" s="486">
        <v>1000000</v>
      </c>
      <c r="AE441" s="505">
        <v>0</v>
      </c>
      <c r="AF441" s="505">
        <v>0</v>
      </c>
      <c r="AG441" s="505">
        <v>0</v>
      </c>
      <c r="AH441" s="505">
        <v>0</v>
      </c>
      <c r="AI441" s="505">
        <v>0</v>
      </c>
      <c r="AJ441" s="505">
        <v>0</v>
      </c>
      <c r="AK441" s="505">
        <v>0</v>
      </c>
      <c r="AL441" s="505">
        <v>0</v>
      </c>
      <c r="AM441" s="505">
        <v>0</v>
      </c>
      <c r="AN441" s="505">
        <v>0</v>
      </c>
      <c r="AO441" s="505">
        <v>0</v>
      </c>
      <c r="AP441" s="505">
        <v>0</v>
      </c>
      <c r="AQ441" s="505">
        <v>973.26</v>
      </c>
      <c r="AR441" s="505">
        <v>0</v>
      </c>
      <c r="AS441" s="505">
        <v>49.71</v>
      </c>
      <c r="AT441" s="505">
        <v>0</v>
      </c>
      <c r="AU441" s="505">
        <v>0</v>
      </c>
      <c r="AV441" s="505">
        <v>0</v>
      </c>
      <c r="AW441" s="505">
        <v>0</v>
      </c>
      <c r="AX441" s="505">
        <v>0</v>
      </c>
      <c r="AY441" s="505">
        <v>0</v>
      </c>
      <c r="AZ441" s="505">
        <v>0</v>
      </c>
      <c r="BA441" s="505">
        <v>692.94</v>
      </c>
      <c r="BB441" s="505">
        <v>0</v>
      </c>
      <c r="BC441" s="505">
        <v>0</v>
      </c>
      <c r="BD441" s="505">
        <v>0</v>
      </c>
      <c r="BE441" s="505">
        <v>0</v>
      </c>
      <c r="BF441" s="505">
        <v>0</v>
      </c>
      <c r="BG441" s="505">
        <v>0</v>
      </c>
      <c r="BH441" s="505">
        <v>0</v>
      </c>
      <c r="BI441" s="505">
        <v>500</v>
      </c>
      <c r="BJ441" s="505">
        <v>-500</v>
      </c>
      <c r="BK441" s="505">
        <v>0</v>
      </c>
      <c r="BL441" s="505">
        <v>0</v>
      </c>
      <c r="BM441" s="505">
        <v>0</v>
      </c>
      <c r="BN441" s="505">
        <v>0</v>
      </c>
      <c r="BO441" s="505">
        <v>0</v>
      </c>
      <c r="BP441" s="505">
        <v>0</v>
      </c>
      <c r="BQ441" s="505">
        <v>0</v>
      </c>
      <c r="BR441" s="505">
        <v>0</v>
      </c>
      <c r="BS441" s="505">
        <v>0</v>
      </c>
      <c r="BT441" s="505">
        <v>0</v>
      </c>
      <c r="BU441" s="505">
        <v>555.34</v>
      </c>
      <c r="BV441" s="505">
        <v>-441.91</v>
      </c>
      <c r="BW441" s="505">
        <v>0</v>
      </c>
      <c r="BX441" s="505">
        <v>0</v>
      </c>
      <c r="BY441" s="505">
        <v>0</v>
      </c>
      <c r="BZ441" s="505">
        <v>0</v>
      </c>
      <c r="CA441" s="505">
        <v>0</v>
      </c>
      <c r="CB441" s="505">
        <v>0</v>
      </c>
      <c r="CC441" s="505">
        <v>0</v>
      </c>
      <c r="CD441" s="505">
        <v>0</v>
      </c>
      <c r="CE441" s="505">
        <v>0</v>
      </c>
      <c r="CF441" s="505">
        <v>0</v>
      </c>
      <c r="CG441" s="505">
        <v>0</v>
      </c>
      <c r="CH441" s="505">
        <v>0</v>
      </c>
      <c r="CI441" s="505">
        <v>0</v>
      </c>
      <c r="CJ441" s="505">
        <v>0</v>
      </c>
      <c r="CK441" s="505">
        <v>0</v>
      </c>
      <c r="CL441" s="505">
        <v>0</v>
      </c>
      <c r="CM441" s="505">
        <v>0</v>
      </c>
      <c r="CN441" s="505">
        <v>0</v>
      </c>
      <c r="CO441" s="505">
        <v>0</v>
      </c>
      <c r="CP441" s="505">
        <v>0</v>
      </c>
      <c r="CQ441" s="505">
        <v>0</v>
      </c>
      <c r="CR441" s="505">
        <v>0</v>
      </c>
      <c r="CS441" s="505">
        <v>0</v>
      </c>
      <c r="CT441" s="505">
        <v>0</v>
      </c>
      <c r="CU441" s="505">
        <v>0</v>
      </c>
      <c r="CV441" s="430">
        <f t="shared" si="18"/>
        <v>0</v>
      </c>
    </row>
    <row r="442" spans="1:100">
      <c r="A442" s="463" t="s">
        <v>1292</v>
      </c>
      <c r="B442" s="56"/>
      <c r="C442" s="56"/>
      <c r="D442" s="430">
        <v>5336.66</v>
      </c>
      <c r="E442" s="430">
        <v>19982.07</v>
      </c>
      <c r="F442" s="430">
        <v>12992.5</v>
      </c>
      <c r="G442" s="430">
        <v>4646.66</v>
      </c>
      <c r="H442" s="430">
        <v>4166.66</v>
      </c>
      <c r="I442" s="430">
        <v>4166.66</v>
      </c>
      <c r="J442" s="430">
        <v>39806.230000000003</v>
      </c>
      <c r="K442" s="430">
        <v>4809.25</v>
      </c>
      <c r="L442" s="430">
        <v>4746.66</v>
      </c>
      <c r="M442" s="430">
        <v>4460.8599999999997</v>
      </c>
      <c r="N442" s="430">
        <v>4359.66</v>
      </c>
      <c r="O442" s="430">
        <v>8456.35</v>
      </c>
      <c r="P442" s="52">
        <v>4726.66</v>
      </c>
      <c r="Q442" s="52">
        <v>22120.65</v>
      </c>
      <c r="R442" s="52">
        <v>4166.66</v>
      </c>
      <c r="S442" s="52">
        <v>25536.68</v>
      </c>
      <c r="T442" s="52">
        <v>9805.07</v>
      </c>
      <c r="U442" s="52">
        <v>9698.48</v>
      </c>
      <c r="V442" s="52">
        <v>12232.5</v>
      </c>
      <c r="W442" s="52">
        <v>8333.32</v>
      </c>
      <c r="X442" s="52">
        <v>43370.65</v>
      </c>
      <c r="Y442" s="52">
        <v>8565.7900000000009</v>
      </c>
      <c r="Z442" s="52">
        <v>12692.73</v>
      </c>
      <c r="AA442" s="52">
        <v>42216.52</v>
      </c>
      <c r="AB442" s="52">
        <v>9583.32</v>
      </c>
      <c r="AC442" s="52">
        <v>14605.15</v>
      </c>
      <c r="AD442" s="52">
        <v>14969.82</v>
      </c>
      <c r="AE442" s="186">
        <v>10890.15</v>
      </c>
      <c r="AF442" s="186">
        <v>9833.32</v>
      </c>
      <c r="AG442" s="186">
        <v>74390.460000000006</v>
      </c>
      <c r="AH442" s="186">
        <v>11664.35</v>
      </c>
      <c r="AI442" s="186">
        <v>8764.39</v>
      </c>
      <c r="AJ442" s="186">
        <v>9668.32</v>
      </c>
      <c r="AK442" s="186">
        <v>10140.15</v>
      </c>
      <c r="AL442" s="186">
        <v>9718.32</v>
      </c>
      <c r="AM442" s="186">
        <v>10833.32</v>
      </c>
      <c r="AN442" s="186">
        <v>4166.66</v>
      </c>
      <c r="AO442" s="186">
        <v>-402.21</v>
      </c>
      <c r="AP442" s="186">
        <v>636.51</v>
      </c>
      <c r="AQ442" s="186">
        <v>3870.25</v>
      </c>
      <c r="AR442" s="186">
        <v>0</v>
      </c>
      <c r="AS442" s="186">
        <v>710</v>
      </c>
      <c r="AT442" s="186">
        <v>22100.25</v>
      </c>
      <c r="AU442" s="186">
        <v>0</v>
      </c>
      <c r="AV442" s="186">
        <v>4251.66</v>
      </c>
      <c r="AW442" s="186">
        <v>3570.25</v>
      </c>
      <c r="AX442" s="186">
        <v>0</v>
      </c>
      <c r="AY442" s="186">
        <v>1234</v>
      </c>
      <c r="AZ442" s="186">
        <v>1210</v>
      </c>
      <c r="BA442" s="186">
        <v>62950.93</v>
      </c>
      <c r="BB442" s="186">
        <v>0</v>
      </c>
      <c r="BC442" s="186">
        <v>10000</v>
      </c>
      <c r="BD442" s="186">
        <v>1909.13</v>
      </c>
      <c r="BE442" s="186">
        <v>0</v>
      </c>
      <c r="BF442" s="186">
        <v>3027.66</v>
      </c>
      <c r="BG442" s="186">
        <v>115</v>
      </c>
      <c r="BH442" s="186">
        <v>0</v>
      </c>
      <c r="BI442" s="186">
        <v>6504.13</v>
      </c>
      <c r="BJ442" s="186">
        <v>26000</v>
      </c>
      <c r="BK442" s="186">
        <v>2840</v>
      </c>
      <c r="BL442" s="186">
        <v>4250</v>
      </c>
      <c r="BM442" s="186">
        <v>4846.24</v>
      </c>
      <c r="BN442" s="186">
        <v>60493.8</v>
      </c>
      <c r="BO442" s="186">
        <v>11632.64</v>
      </c>
      <c r="BP442" s="186">
        <v>600</v>
      </c>
      <c r="BQ442" s="186">
        <v>675</v>
      </c>
      <c r="BR442" s="186">
        <v>4255.1400000000003</v>
      </c>
      <c r="BS442" s="186">
        <v>-530</v>
      </c>
      <c r="BT442" s="186">
        <v>4417.45</v>
      </c>
      <c r="BU442" s="186">
        <v>2012.64</v>
      </c>
      <c r="BV442" s="186">
        <v>1042.79</v>
      </c>
      <c r="BW442" s="186">
        <v>380</v>
      </c>
      <c r="BX442" s="186">
        <v>500</v>
      </c>
      <c r="BY442" s="186">
        <v>38414.83</v>
      </c>
      <c r="BZ442" s="186">
        <v>2000.6</v>
      </c>
      <c r="CA442" s="186">
        <v>3631.03</v>
      </c>
      <c r="CB442" s="186">
        <v>1650</v>
      </c>
      <c r="CC442" s="186">
        <v>0</v>
      </c>
      <c r="CD442" s="186">
        <v>4486.03</v>
      </c>
      <c r="CE442" s="186">
        <v>10125</v>
      </c>
      <c r="CF442" s="186">
        <v>0</v>
      </c>
      <c r="CG442" s="186">
        <v>8911.0300000000007</v>
      </c>
      <c r="CH442" s="186">
        <v>0</v>
      </c>
      <c r="CI442" s="186">
        <v>35</v>
      </c>
      <c r="CJ442" s="186">
        <v>38178.76</v>
      </c>
      <c r="CK442" s="186">
        <v>4022.71</v>
      </c>
      <c r="CL442" s="186">
        <v>11524.6</v>
      </c>
      <c r="CM442" s="186">
        <v>2141.14</v>
      </c>
      <c r="CN442" s="186">
        <v>1608.26</v>
      </c>
      <c r="CO442" s="186">
        <v>25611</v>
      </c>
      <c r="CP442" s="186">
        <v>21491.14</v>
      </c>
      <c r="CQ442" s="186">
        <v>0</v>
      </c>
      <c r="CR442" s="186">
        <v>340.75</v>
      </c>
      <c r="CS442" s="186">
        <v>2269.34</v>
      </c>
      <c r="CT442" s="186">
        <v>3250</v>
      </c>
      <c r="CU442" s="186">
        <v>50</v>
      </c>
      <c r="CV442" s="430">
        <f t="shared" si="18"/>
        <v>110487.7</v>
      </c>
    </row>
    <row r="443" spans="1:100">
      <c r="A443" s="463" t="s">
        <v>1739</v>
      </c>
      <c r="B443" s="56"/>
      <c r="C443" s="56"/>
      <c r="D443" s="430"/>
      <c r="E443" s="430"/>
      <c r="F443" s="430"/>
      <c r="G443" s="430"/>
      <c r="H443" s="430"/>
      <c r="I443" s="430"/>
      <c r="J443" s="430"/>
      <c r="K443" s="430"/>
      <c r="L443" s="430"/>
      <c r="M443" s="430"/>
      <c r="N443" s="430"/>
      <c r="O443" s="430"/>
      <c r="P443" s="52"/>
      <c r="Q443" s="52"/>
      <c r="R443" s="52"/>
      <c r="S443" s="52"/>
      <c r="T443" s="52"/>
      <c r="U443" s="52"/>
      <c r="V443" s="52"/>
      <c r="W443" s="52"/>
      <c r="X443" s="52"/>
      <c r="Y443" s="52"/>
      <c r="Z443" s="52"/>
      <c r="AA443" s="52"/>
      <c r="AB443" s="52"/>
      <c r="AC443" s="52"/>
      <c r="AD443" s="52"/>
      <c r="AE443" s="186"/>
      <c r="AF443" s="186"/>
      <c r="AG443" s="186"/>
      <c r="AH443" s="186"/>
      <c r="AI443" s="186"/>
      <c r="AJ443" s="186"/>
      <c r="AK443" s="186">
        <v>0</v>
      </c>
      <c r="AL443" s="186">
        <v>0</v>
      </c>
      <c r="AM443" s="186">
        <v>52212.5</v>
      </c>
      <c r="AN443" s="186">
        <v>0</v>
      </c>
      <c r="AO443" s="186">
        <v>0</v>
      </c>
      <c r="AP443" s="186">
        <v>0</v>
      </c>
      <c r="AQ443" s="186">
        <v>0</v>
      </c>
      <c r="AR443" s="186">
        <v>0</v>
      </c>
      <c r="AS443" s="186">
        <v>0</v>
      </c>
      <c r="AT443" s="186">
        <v>0</v>
      </c>
      <c r="AU443" s="186">
        <v>0</v>
      </c>
      <c r="AV443" s="186">
        <v>0</v>
      </c>
      <c r="AW443" s="186">
        <v>0</v>
      </c>
      <c r="AX443" s="186">
        <v>21.58</v>
      </c>
      <c r="AY443" s="186">
        <v>0</v>
      </c>
      <c r="AZ443" s="186">
        <v>322.72000000000003</v>
      </c>
      <c r="BA443" s="186">
        <v>-247.08</v>
      </c>
      <c r="BB443" s="186">
        <v>-60.48</v>
      </c>
      <c r="BC443" s="186">
        <v>168.26</v>
      </c>
      <c r="BD443" s="186">
        <v>39.76</v>
      </c>
      <c r="BE443" s="186">
        <v>0</v>
      </c>
      <c r="BF443" s="186">
        <v>680.92</v>
      </c>
      <c r="BG443" s="186">
        <v>594.04</v>
      </c>
      <c r="BH443" s="186">
        <v>1691.18</v>
      </c>
      <c r="BI443" s="186">
        <v>2427.79</v>
      </c>
      <c r="BJ443" s="186">
        <v>1877.73</v>
      </c>
      <c r="BK443" s="186">
        <v>3833.85</v>
      </c>
      <c r="BL443" s="186">
        <v>2573.54</v>
      </c>
      <c r="BM443" s="186">
        <v>1196.08</v>
      </c>
      <c r="BN443" s="186">
        <v>4236.67</v>
      </c>
      <c r="BO443" s="186">
        <v>-1004.36</v>
      </c>
      <c r="BP443" s="186">
        <v>2740.65</v>
      </c>
      <c r="BQ443" s="186">
        <v>-6969.4</v>
      </c>
      <c r="BR443" s="186">
        <v>674.95</v>
      </c>
      <c r="BS443" s="186">
        <v>-1987.58</v>
      </c>
      <c r="BT443" s="186">
        <v>1457.65</v>
      </c>
      <c r="BU443" s="186">
        <v>4000.18</v>
      </c>
      <c r="BV443" s="186">
        <v>2862.25</v>
      </c>
      <c r="BW443" s="186">
        <v>3333.09</v>
      </c>
      <c r="BX443" s="186">
        <v>1716.41</v>
      </c>
      <c r="BY443" s="186">
        <v>1328.04</v>
      </c>
      <c r="BZ443" s="186">
        <v>-4447.1899999999996</v>
      </c>
      <c r="CA443" s="186">
        <v>204.78</v>
      </c>
      <c r="CB443" s="186">
        <v>4210.97</v>
      </c>
      <c r="CC443" s="186">
        <v>5413.12</v>
      </c>
      <c r="CD443" s="186">
        <v>3425.2</v>
      </c>
      <c r="CE443" s="186">
        <v>1766.81</v>
      </c>
      <c r="CF443" s="186">
        <v>-74.09</v>
      </c>
      <c r="CG443" s="186">
        <v>3263.67</v>
      </c>
      <c r="CH443" s="186">
        <v>4171.8999999999996</v>
      </c>
      <c r="CI443" s="186">
        <v>4948.1000000000004</v>
      </c>
      <c r="CJ443" s="186">
        <v>4251.91</v>
      </c>
      <c r="CK443" s="186">
        <v>7938.42</v>
      </c>
      <c r="CL443" s="186">
        <v>3555.15</v>
      </c>
      <c r="CM443" s="186">
        <v>10664.77</v>
      </c>
      <c r="CN443" s="186">
        <v>6945.01</v>
      </c>
      <c r="CO443" s="186">
        <v>2773.41</v>
      </c>
      <c r="CP443" s="186">
        <v>561.66999999999996</v>
      </c>
      <c r="CQ443" s="186">
        <v>867.44</v>
      </c>
      <c r="CR443" s="186">
        <v>51757.39</v>
      </c>
      <c r="CS443" s="186">
        <v>21363.09</v>
      </c>
      <c r="CT443" s="186">
        <v>7515.07</v>
      </c>
      <c r="CU443" s="186">
        <v>13376.04</v>
      </c>
      <c r="CV443" s="430">
        <f t="shared" si="18"/>
        <v>131569.37</v>
      </c>
    </row>
    <row r="444" spans="1:100">
      <c r="A444" s="463" t="s">
        <v>1293</v>
      </c>
      <c r="B444" s="56"/>
      <c r="C444" s="56"/>
      <c r="D444" s="430">
        <v>997107.72</v>
      </c>
      <c r="E444" s="430">
        <v>997107.72</v>
      </c>
      <c r="F444" s="430">
        <v>997107.72</v>
      </c>
      <c r="G444" s="430">
        <v>997107.72</v>
      </c>
      <c r="H444" s="430">
        <v>1015232.72</v>
      </c>
      <c r="I444" s="430">
        <v>1033357.72</v>
      </c>
      <c r="J444" s="430">
        <v>1033357.72</v>
      </c>
      <c r="K444" s="430">
        <v>1033357.72</v>
      </c>
      <c r="L444" s="430">
        <v>1033357.72</v>
      </c>
      <c r="M444" s="430">
        <v>1033357.72</v>
      </c>
      <c r="N444" s="430">
        <v>1033357.72</v>
      </c>
      <c r="O444" s="430">
        <v>1033357.72</v>
      </c>
      <c r="P444" s="52">
        <v>1033357.72</v>
      </c>
      <c r="Q444" s="52">
        <v>1033357.73</v>
      </c>
      <c r="R444" s="52">
        <v>1033357.73</v>
      </c>
      <c r="S444" s="52">
        <v>1033357.73</v>
      </c>
      <c r="T444" s="52">
        <v>1033357.73</v>
      </c>
      <c r="U444" s="52">
        <v>1136024.3999999999</v>
      </c>
      <c r="V444" s="52">
        <v>1103357.73</v>
      </c>
      <c r="W444" s="52">
        <v>1103357.73</v>
      </c>
      <c r="X444" s="52">
        <v>1103357.73</v>
      </c>
      <c r="Y444" s="52">
        <v>1103357.73</v>
      </c>
      <c r="Z444" s="52">
        <v>1103357.73</v>
      </c>
      <c r="AA444" s="52">
        <v>1103357.73</v>
      </c>
      <c r="AB444" s="52">
        <v>1103357.73</v>
      </c>
      <c r="AC444" s="52">
        <v>1103357.73</v>
      </c>
      <c r="AD444" s="52">
        <v>1103357.73</v>
      </c>
      <c r="AE444" s="186">
        <v>1103357.73</v>
      </c>
      <c r="AF444" s="186">
        <v>1103357.73</v>
      </c>
      <c r="AG444" s="186">
        <v>1103357.73</v>
      </c>
      <c r="AH444" s="186">
        <v>1103357.73</v>
      </c>
      <c r="AI444" s="186">
        <v>1093107.73</v>
      </c>
      <c r="AJ444" s="186">
        <v>1103357.73</v>
      </c>
      <c r="AK444" s="186">
        <v>1103357.73</v>
      </c>
      <c r="AL444" s="186">
        <v>1103357.73</v>
      </c>
      <c r="AM444" s="186">
        <v>1103357.73</v>
      </c>
      <c r="AN444" s="186">
        <v>1103357.73</v>
      </c>
      <c r="AO444" s="186">
        <v>1103357.73</v>
      </c>
      <c r="AP444" s="186">
        <v>1103357.73</v>
      </c>
      <c r="AQ444" s="186">
        <v>1103357.73</v>
      </c>
      <c r="AR444" s="186">
        <v>1103357.73</v>
      </c>
      <c r="AS444" s="186">
        <v>1103357.73</v>
      </c>
      <c r="AT444" s="186">
        <v>1103357.73</v>
      </c>
      <c r="AU444" s="186">
        <v>1103357.73</v>
      </c>
      <c r="AV444" s="186">
        <v>1103357.73</v>
      </c>
      <c r="AW444" s="186">
        <v>1103357.73</v>
      </c>
      <c r="AX444" s="186">
        <v>1103357.73</v>
      </c>
      <c r="AY444" s="186">
        <v>1103357.73</v>
      </c>
      <c r="AZ444" s="186">
        <v>1103357.73</v>
      </c>
      <c r="BA444" s="186">
        <v>1103357.73</v>
      </c>
      <c r="BB444" s="186">
        <v>1103357.73</v>
      </c>
      <c r="BC444" s="186">
        <v>1103357.73</v>
      </c>
      <c r="BD444" s="186">
        <v>976274</v>
      </c>
      <c r="BE444" s="186">
        <v>1055232.6499999999</v>
      </c>
      <c r="BF444" s="186">
        <v>1117941.06</v>
      </c>
      <c r="BG444" s="186">
        <v>1117941.06</v>
      </c>
      <c r="BH444" s="186">
        <v>1117941.06</v>
      </c>
      <c r="BI444" s="186">
        <v>1198288.32</v>
      </c>
      <c r="BJ444" s="186">
        <v>1210649.3899999999</v>
      </c>
      <c r="BK444" s="186">
        <v>1210649.3899999999</v>
      </c>
      <c r="BL444" s="186">
        <v>1210649.3899999999</v>
      </c>
      <c r="BM444" s="186">
        <v>1210649.3899999999</v>
      </c>
      <c r="BN444" s="186">
        <v>1210649.3899999999</v>
      </c>
      <c r="BO444" s="186">
        <v>1210649.3899999999</v>
      </c>
      <c r="BP444" s="186">
        <v>1210649.3899999999</v>
      </c>
      <c r="BQ444" s="186">
        <v>1210649.3899999999</v>
      </c>
      <c r="BR444" s="186">
        <v>1230788.28</v>
      </c>
      <c r="BS444" s="186">
        <v>1286170.22</v>
      </c>
      <c r="BT444" s="186">
        <v>1286170.22</v>
      </c>
      <c r="BU444" s="186">
        <v>1286170.22</v>
      </c>
      <c r="BV444" s="186">
        <v>1286170.22</v>
      </c>
      <c r="BW444" s="186">
        <v>1286170.22</v>
      </c>
      <c r="BX444" s="186">
        <v>1286170.22</v>
      </c>
      <c r="BY444" s="186">
        <v>1286170.22</v>
      </c>
      <c r="BZ444" s="186">
        <v>1281135.51</v>
      </c>
      <c r="CA444" s="186">
        <v>1286170.22</v>
      </c>
      <c r="CB444" s="186">
        <v>1286170.22</v>
      </c>
      <c r="CC444" s="186">
        <v>1286170.22</v>
      </c>
      <c r="CD444" s="186">
        <v>1286170.22</v>
      </c>
      <c r="CE444" s="186">
        <v>1286170.22</v>
      </c>
      <c r="CF444" s="186">
        <v>1286170.22</v>
      </c>
      <c r="CG444" s="186">
        <v>1286170.22</v>
      </c>
      <c r="CH444" s="186">
        <v>1286170.22</v>
      </c>
      <c r="CI444" s="186">
        <v>1286170.22</v>
      </c>
      <c r="CJ444" s="186">
        <v>1286170.22</v>
      </c>
      <c r="CK444" s="186">
        <v>1286170.22</v>
      </c>
      <c r="CL444" s="186">
        <v>1603857.72</v>
      </c>
      <c r="CM444" s="186">
        <v>1846795.22</v>
      </c>
      <c r="CN444" s="186">
        <v>1636354.16</v>
      </c>
      <c r="CO444" s="186">
        <v>1741574.69</v>
      </c>
      <c r="CP444" s="186">
        <v>1636354.16</v>
      </c>
      <c r="CQ444" s="186">
        <v>1636354.16</v>
      </c>
      <c r="CR444" s="186">
        <v>1542916.66</v>
      </c>
      <c r="CS444" s="186">
        <v>1636354.16</v>
      </c>
      <c r="CT444" s="186">
        <v>1636354.16</v>
      </c>
      <c r="CU444" s="186">
        <v>1636354.16</v>
      </c>
      <c r="CV444" s="430">
        <f t="shared" si="18"/>
        <v>19125609.690000001</v>
      </c>
    </row>
    <row r="445" spans="1:100">
      <c r="A445" s="463" t="s">
        <v>1294</v>
      </c>
      <c r="B445" s="56"/>
      <c r="C445" s="56"/>
      <c r="D445" s="430">
        <v>45243.49</v>
      </c>
      <c r="E445" s="430">
        <v>45243.49</v>
      </c>
      <c r="F445" s="430">
        <v>45243.49</v>
      </c>
      <c r="G445" s="430">
        <v>45243.49</v>
      </c>
      <c r="H445" s="430">
        <v>45257.87</v>
      </c>
      <c r="I445" s="430">
        <v>45696.66</v>
      </c>
      <c r="J445" s="430">
        <v>45572.94</v>
      </c>
      <c r="K445" s="430">
        <v>45564.24</v>
      </c>
      <c r="L445" s="430">
        <v>45768.45</v>
      </c>
      <c r="M445" s="430">
        <v>45596.65</v>
      </c>
      <c r="N445" s="430">
        <v>45594.559999999998</v>
      </c>
      <c r="O445" s="430">
        <v>45594.559999999998</v>
      </c>
      <c r="P445" s="52">
        <v>45594.559999999998</v>
      </c>
      <c r="Q445" s="52">
        <v>45594.559999999998</v>
      </c>
      <c r="R445" s="52">
        <v>45594.559999999998</v>
      </c>
      <c r="S445" s="52">
        <v>45594.559999999998</v>
      </c>
      <c r="T445" s="52">
        <v>78261.23</v>
      </c>
      <c r="U445" s="52">
        <v>12648.48</v>
      </c>
      <c r="V445" s="52">
        <v>45320.55</v>
      </c>
      <c r="W445" s="52">
        <v>45317.25</v>
      </c>
      <c r="X445" s="52">
        <v>45428.37</v>
      </c>
      <c r="Y445" s="52">
        <v>45345.03</v>
      </c>
      <c r="Z445" s="52">
        <v>45344.32</v>
      </c>
      <c r="AA445" s="52">
        <v>45363.15</v>
      </c>
      <c r="AB445" s="52">
        <v>45345.03</v>
      </c>
      <c r="AC445" s="52">
        <v>45345.03</v>
      </c>
      <c r="AD445" s="52">
        <v>45345.03</v>
      </c>
      <c r="AE445" s="186">
        <v>45345.03</v>
      </c>
      <c r="AF445" s="186">
        <v>45345.03</v>
      </c>
      <c r="AG445" s="186">
        <v>45345.03</v>
      </c>
      <c r="AH445" s="186">
        <v>45345.03</v>
      </c>
      <c r="AI445" s="186">
        <v>45345.03</v>
      </c>
      <c r="AJ445" s="186">
        <v>45345.03</v>
      </c>
      <c r="AK445" s="186">
        <v>45345.03</v>
      </c>
      <c r="AL445" s="186">
        <v>45345.03</v>
      </c>
      <c r="AM445" s="186">
        <v>45345.03</v>
      </c>
      <c r="AN445" s="186">
        <v>45345.03</v>
      </c>
      <c r="AO445" s="186">
        <v>45345.03</v>
      </c>
      <c r="AP445" s="186">
        <v>45345.03</v>
      </c>
      <c r="AQ445" s="186">
        <v>45345.03</v>
      </c>
      <c r="AR445" s="186">
        <v>45345.03</v>
      </c>
      <c r="AS445" s="186">
        <v>45345.03</v>
      </c>
      <c r="AT445" s="186">
        <v>45345.03</v>
      </c>
      <c r="AU445" s="186">
        <v>45345.03</v>
      </c>
      <c r="AV445" s="186">
        <v>45345.03</v>
      </c>
      <c r="AW445" s="186">
        <v>45345.03</v>
      </c>
      <c r="AX445" s="186">
        <v>45345.03</v>
      </c>
      <c r="AY445" s="186">
        <v>45345.03</v>
      </c>
      <c r="AZ445" s="186">
        <v>45345.03</v>
      </c>
      <c r="BA445" s="186">
        <v>45345.03</v>
      </c>
      <c r="BB445" s="186">
        <v>45345.03</v>
      </c>
      <c r="BC445" s="186">
        <v>45345.03</v>
      </c>
      <c r="BD445" s="186">
        <v>27368.99</v>
      </c>
      <c r="BE445" s="186">
        <v>12617.1</v>
      </c>
      <c r="BF445" s="186">
        <v>12704.24</v>
      </c>
      <c r="BG445" s="186">
        <v>12706.38</v>
      </c>
      <c r="BH445" s="186">
        <v>13141.73</v>
      </c>
      <c r="BI445" s="186">
        <v>13803.91</v>
      </c>
      <c r="BJ445" s="186">
        <v>13829.09</v>
      </c>
      <c r="BK445" s="186">
        <v>13850.32</v>
      </c>
      <c r="BL445" s="186">
        <v>13822.88</v>
      </c>
      <c r="BM445" s="186">
        <v>13822.88</v>
      </c>
      <c r="BN445" s="186">
        <v>14052.4</v>
      </c>
      <c r="BO445" s="186">
        <v>13860.92</v>
      </c>
      <c r="BP445" s="186">
        <v>13860.92</v>
      </c>
      <c r="BQ445" s="186">
        <v>13860.92</v>
      </c>
      <c r="BR445" s="186">
        <v>13860.92</v>
      </c>
      <c r="BS445" s="186">
        <v>15398.62</v>
      </c>
      <c r="BT445" s="186">
        <v>15460.32</v>
      </c>
      <c r="BU445" s="186">
        <v>15429.82</v>
      </c>
      <c r="BV445" s="186">
        <v>15429.82</v>
      </c>
      <c r="BW445" s="186">
        <v>15628.22</v>
      </c>
      <c r="BX445" s="186">
        <v>15469.92</v>
      </c>
      <c r="BY445" s="186">
        <v>15469.92</v>
      </c>
      <c r="BZ445" s="186">
        <v>15481.28</v>
      </c>
      <c r="CA445" s="186">
        <v>15471.2</v>
      </c>
      <c r="CB445" s="186">
        <v>15471.2</v>
      </c>
      <c r="CC445" s="186">
        <v>15471.2</v>
      </c>
      <c r="CD445" s="186">
        <v>15471.2</v>
      </c>
      <c r="CE445" s="186">
        <v>15471.2</v>
      </c>
      <c r="CF445" s="186">
        <v>15471.2</v>
      </c>
      <c r="CG445" s="186">
        <v>15471.2</v>
      </c>
      <c r="CH445" s="186">
        <v>15471.2</v>
      </c>
      <c r="CI445" s="186">
        <v>15471.2</v>
      </c>
      <c r="CJ445" s="186">
        <v>15471.2</v>
      </c>
      <c r="CK445" s="186">
        <v>15471.2</v>
      </c>
      <c r="CL445" s="186">
        <v>28962.53</v>
      </c>
      <c r="CM445" s="186">
        <v>30345.65</v>
      </c>
      <c r="CN445" s="186">
        <v>32308.91</v>
      </c>
      <c r="CO445" s="186">
        <v>34366.57</v>
      </c>
      <c r="CP445" s="186">
        <v>31548.63</v>
      </c>
      <c r="CQ445" s="186">
        <v>31548.63</v>
      </c>
      <c r="CR445" s="186">
        <v>31548.63</v>
      </c>
      <c r="CS445" s="186">
        <v>31548.63</v>
      </c>
      <c r="CT445" s="186">
        <v>33014.53</v>
      </c>
      <c r="CU445" s="186">
        <v>31548.63</v>
      </c>
      <c r="CV445" s="430">
        <f t="shared" si="18"/>
        <v>347683.74</v>
      </c>
    </row>
    <row r="446" spans="1:100">
      <c r="A446" s="463" t="s">
        <v>1295</v>
      </c>
      <c r="B446" s="56"/>
      <c r="C446" s="550"/>
      <c r="D446" s="430">
        <v>91832.03</v>
      </c>
      <c r="E446" s="430">
        <v>86843.68</v>
      </c>
      <c r="F446" s="430">
        <v>83829.72</v>
      </c>
      <c r="G446" s="430">
        <v>82862.45</v>
      </c>
      <c r="H446" s="430">
        <v>83203.09</v>
      </c>
      <c r="I446" s="430">
        <v>83004.789999999994</v>
      </c>
      <c r="J446" s="430">
        <v>83313.78</v>
      </c>
      <c r="K446" s="430">
        <v>83772.83</v>
      </c>
      <c r="L446" s="430">
        <v>84826.76</v>
      </c>
      <c r="M446" s="430">
        <v>85140.56</v>
      </c>
      <c r="N446" s="430">
        <v>83829.83</v>
      </c>
      <c r="O446" s="430">
        <v>87042.3</v>
      </c>
      <c r="P446" s="52">
        <v>91779.17</v>
      </c>
      <c r="Q446" s="52">
        <v>87967.99</v>
      </c>
      <c r="R446" s="52">
        <v>88312.63</v>
      </c>
      <c r="S446" s="52">
        <v>84733.17</v>
      </c>
      <c r="T446" s="52">
        <v>85537.26</v>
      </c>
      <c r="U446" s="52">
        <v>85868.43</v>
      </c>
      <c r="V446" s="52">
        <v>86218.240000000005</v>
      </c>
      <c r="W446" s="52">
        <v>86523.16</v>
      </c>
      <c r="X446" s="52">
        <v>86793.2</v>
      </c>
      <c r="Y446" s="52">
        <v>86922.98</v>
      </c>
      <c r="Z446" s="52">
        <v>87199.89</v>
      </c>
      <c r="AA446" s="52">
        <v>87642.38</v>
      </c>
      <c r="AB446" s="52">
        <v>88204.160000000003</v>
      </c>
      <c r="AC446" s="52">
        <v>84916.01</v>
      </c>
      <c r="AD446" s="52">
        <v>83468.460000000006</v>
      </c>
      <c r="AE446" s="186">
        <v>81129.69</v>
      </c>
      <c r="AF446" s="186">
        <v>79572.649999999994</v>
      </c>
      <c r="AG446" s="186">
        <v>78527.350000000006</v>
      </c>
      <c r="AH446" s="186">
        <v>77711.679999999993</v>
      </c>
      <c r="AI446" s="186">
        <v>75873.56</v>
      </c>
      <c r="AJ446" s="186">
        <v>74486.52</v>
      </c>
      <c r="AK446" s="186">
        <v>69929.990000000005</v>
      </c>
      <c r="AL446" s="186">
        <v>71695.98</v>
      </c>
      <c r="AM446" s="186">
        <v>91083.1</v>
      </c>
      <c r="AN446" s="186">
        <v>106376.67</v>
      </c>
      <c r="AO446" s="186">
        <v>111197.64</v>
      </c>
      <c r="AP446" s="186">
        <v>115433.49</v>
      </c>
      <c r="AQ446" s="186">
        <v>119292.82</v>
      </c>
      <c r="AR446" s="186">
        <v>96273.49</v>
      </c>
      <c r="AS446" s="186">
        <v>107307.95</v>
      </c>
      <c r="AT446" s="186">
        <v>118182.64</v>
      </c>
      <c r="AU446" s="186">
        <v>121484.48</v>
      </c>
      <c r="AV446" s="186">
        <v>189046.07</v>
      </c>
      <c r="AW446" s="186">
        <v>179486.34</v>
      </c>
      <c r="AX446" s="186">
        <v>83473.97</v>
      </c>
      <c r="AY446" s="186">
        <v>93967.35</v>
      </c>
      <c r="AZ446" s="186">
        <v>54753.9</v>
      </c>
      <c r="BA446" s="186">
        <v>251500.86</v>
      </c>
      <c r="BB446" s="186">
        <v>-122647.52</v>
      </c>
      <c r="BC446" s="186">
        <v>67679.490000000005</v>
      </c>
      <c r="BD446" s="186">
        <v>131602.81</v>
      </c>
      <c r="BE446" s="186">
        <v>148650.22</v>
      </c>
      <c r="BF446" s="186">
        <v>83348.53</v>
      </c>
      <c r="BG446" s="186">
        <v>77093.279999999999</v>
      </c>
      <c r="BH446" s="186">
        <v>83054.06</v>
      </c>
      <c r="BI446" s="186">
        <v>88636.19</v>
      </c>
      <c r="BJ446" s="186">
        <v>112575.9</v>
      </c>
      <c r="BK446" s="186">
        <v>195317.3</v>
      </c>
      <c r="BL446" s="186">
        <v>270593.53999999998</v>
      </c>
      <c r="BM446" s="186">
        <v>254938.72</v>
      </c>
      <c r="BN446" s="186">
        <v>238517.44</v>
      </c>
      <c r="BO446" s="186">
        <v>228488.16</v>
      </c>
      <c r="BP446" s="186">
        <v>173371.21</v>
      </c>
      <c r="BQ446" s="186">
        <v>-46770.7</v>
      </c>
      <c r="BR446" s="186">
        <v>182601.9</v>
      </c>
      <c r="BS446" s="186">
        <v>166855.78</v>
      </c>
      <c r="BT446" s="186">
        <v>174900.04</v>
      </c>
      <c r="BU446" s="186">
        <v>183329.45</v>
      </c>
      <c r="BV446" s="186">
        <v>185761.31</v>
      </c>
      <c r="BW446" s="186">
        <v>228886.96</v>
      </c>
      <c r="BX446" s="186">
        <v>65193.35</v>
      </c>
      <c r="BY446" s="186">
        <v>69209.09</v>
      </c>
      <c r="BZ446" s="186">
        <v>75353.75</v>
      </c>
      <c r="CA446" s="186">
        <v>68080.61</v>
      </c>
      <c r="CB446" s="186">
        <v>55867.64</v>
      </c>
      <c r="CC446" s="186">
        <v>821110.09</v>
      </c>
      <c r="CD446" s="186">
        <v>163389</v>
      </c>
      <c r="CE446" s="186">
        <v>160022.69</v>
      </c>
      <c r="CF446" s="186">
        <v>155534.31</v>
      </c>
      <c r="CG446" s="186">
        <v>173753.4</v>
      </c>
      <c r="CH446" s="186">
        <v>188205.81</v>
      </c>
      <c r="CI446" s="186">
        <v>202881.97</v>
      </c>
      <c r="CJ446" s="186">
        <v>242829.99</v>
      </c>
      <c r="CK446" s="186">
        <v>236632.34</v>
      </c>
      <c r="CL446" s="186">
        <v>198773.55</v>
      </c>
      <c r="CM446" s="186">
        <v>61351.61</v>
      </c>
      <c r="CN446" s="186">
        <v>82179.83</v>
      </c>
      <c r="CO446" s="186">
        <v>125163.83</v>
      </c>
      <c r="CP446" s="186">
        <v>82024.320000000007</v>
      </c>
      <c r="CQ446" s="186">
        <v>85168.46</v>
      </c>
      <c r="CR446" s="186">
        <v>77517.289999999994</v>
      </c>
      <c r="CS446" s="186">
        <v>91095.42</v>
      </c>
      <c r="CT446" s="186">
        <v>92735.29</v>
      </c>
      <c r="CU446" s="186">
        <v>104432.07</v>
      </c>
      <c r="CV446" s="430">
        <f t="shared" si="18"/>
        <v>1479903.9999999998</v>
      </c>
    </row>
    <row r="447" spans="1:100">
      <c r="A447" s="540" t="s">
        <v>2337</v>
      </c>
      <c r="B447" s="56"/>
      <c r="C447" s="56"/>
      <c r="D447" s="430"/>
      <c r="E447" s="430"/>
      <c r="F447" s="430"/>
      <c r="G447" s="430"/>
      <c r="H447" s="430"/>
      <c r="I447" s="430"/>
      <c r="J447" s="430"/>
      <c r="K447" s="430"/>
      <c r="L447" s="430"/>
      <c r="M447" s="430"/>
      <c r="N447" s="430"/>
      <c r="O447" s="430"/>
      <c r="P447" s="52"/>
      <c r="Q447" s="52"/>
      <c r="R447" s="52"/>
      <c r="S447" s="52"/>
      <c r="T447" s="52"/>
      <c r="U447" s="52"/>
      <c r="V447" s="52"/>
      <c r="W447" s="52"/>
      <c r="X447" s="52"/>
      <c r="Y447" s="52"/>
      <c r="Z447" s="52"/>
      <c r="AA447" s="52"/>
      <c r="AB447" s="52"/>
      <c r="AC447" s="52"/>
      <c r="AD447" s="52"/>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c r="BM447" s="186"/>
      <c r="BN447" s="186"/>
      <c r="BO447" s="186"/>
      <c r="BP447" s="186"/>
      <c r="BQ447" s="186"/>
      <c r="BR447" s="186">
        <v>0</v>
      </c>
      <c r="BS447" s="186">
        <v>0</v>
      </c>
      <c r="BT447" s="186">
        <v>-28294.53</v>
      </c>
      <c r="BU447" s="186">
        <v>-65884.87</v>
      </c>
      <c r="BV447" s="186">
        <v>-25132.7</v>
      </c>
      <c r="BW447" s="186">
        <v>-31693.47</v>
      </c>
      <c r="BX447" s="186">
        <v>-41123.9</v>
      </c>
      <c r="BY447" s="186">
        <v>-51382.78</v>
      </c>
      <c r="BZ447" s="186">
        <v>-60040.59</v>
      </c>
      <c r="CA447" s="186">
        <v>-68313.5</v>
      </c>
      <c r="CB447" s="186">
        <v>-82831.14</v>
      </c>
      <c r="CC447" s="186">
        <v>-94708.89</v>
      </c>
      <c r="CD447" s="186">
        <v>-101897.5</v>
      </c>
      <c r="CE447" s="186">
        <v>-113702.74</v>
      </c>
      <c r="CF447" s="186">
        <v>-127173</v>
      </c>
      <c r="CG447" s="186">
        <v>-100603.36</v>
      </c>
      <c r="CH447" s="186">
        <v>-74277.42</v>
      </c>
      <c r="CI447" s="186">
        <v>-85997.18</v>
      </c>
      <c r="CJ447" s="186">
        <v>-97828.96</v>
      </c>
      <c r="CK447" s="186">
        <v>-118962.67</v>
      </c>
      <c r="CL447" s="186">
        <v>-125175.22</v>
      </c>
      <c r="CM447" s="186">
        <v>-101772.96</v>
      </c>
      <c r="CN447" s="186">
        <v>-70765.289999999994</v>
      </c>
      <c r="CO447" s="186">
        <v>-73446.960000000006</v>
      </c>
      <c r="CP447" s="186">
        <v>-79548.13</v>
      </c>
      <c r="CQ447" s="186">
        <v>-89530.79</v>
      </c>
      <c r="CR447" s="186">
        <v>-98143.71</v>
      </c>
      <c r="CS447" s="186">
        <v>-105329.65</v>
      </c>
      <c r="CT447" s="186">
        <v>-37935.15</v>
      </c>
      <c r="CU447" s="186">
        <v>-52206.77</v>
      </c>
      <c r="CV447" s="430">
        <f t="shared" si="18"/>
        <v>-1050646.26</v>
      </c>
    </row>
    <row r="448" spans="1:100">
      <c r="A448" s="463" t="s">
        <v>1296</v>
      </c>
      <c r="B448" s="56"/>
      <c r="C448" s="56"/>
      <c r="D448" s="430">
        <v>-2181090.04</v>
      </c>
      <c r="E448" s="430">
        <v>4502626.84</v>
      </c>
      <c r="F448" s="430">
        <v>4881883.5599999996</v>
      </c>
      <c r="G448" s="430">
        <v>-8672808.1699999999</v>
      </c>
      <c r="H448" s="430">
        <v>1814214.4</v>
      </c>
      <c r="I448" s="430">
        <v>2478542.08</v>
      </c>
      <c r="J448" s="430">
        <v>-8287360.1799999997</v>
      </c>
      <c r="K448" s="430">
        <v>1711061.1</v>
      </c>
      <c r="L448" s="430">
        <v>1334666.74</v>
      </c>
      <c r="M448" s="430">
        <v>-3454548.84</v>
      </c>
      <c r="N448" s="430">
        <v>2825107.6</v>
      </c>
      <c r="O448" s="430">
        <v>3729886.48</v>
      </c>
      <c r="P448" s="52">
        <v>5545677.0499999998</v>
      </c>
      <c r="Q448" s="52">
        <v>-1618732.23</v>
      </c>
      <c r="R448" s="52">
        <v>4121482.69</v>
      </c>
      <c r="S448" s="52">
        <v>-11865145.140000001</v>
      </c>
      <c r="T448" s="52">
        <v>2343817.73</v>
      </c>
      <c r="U448" s="52">
        <v>2795820.78</v>
      </c>
      <c r="V448" s="52">
        <v>-7002762.9199999999</v>
      </c>
      <c r="W448" s="52">
        <v>2511676.65</v>
      </c>
      <c r="X448" s="52">
        <v>1860447.41</v>
      </c>
      <c r="Y448" s="52">
        <v>2165009.88</v>
      </c>
      <c r="Z448" s="52">
        <v>-5334041.95</v>
      </c>
      <c r="AA448" s="52">
        <v>2949033.29</v>
      </c>
      <c r="AB448" s="52">
        <v>5297380.29</v>
      </c>
      <c r="AC448" s="52">
        <v>-380394.57</v>
      </c>
      <c r="AD448" s="52">
        <v>2373165.4700000002</v>
      </c>
      <c r="AE448" s="186">
        <v>2946014.46</v>
      </c>
      <c r="AF448" s="186">
        <v>-10925439.9</v>
      </c>
      <c r="AG448" s="186">
        <v>-6769928.9000000004</v>
      </c>
      <c r="AH448" s="186">
        <v>2616097.65</v>
      </c>
      <c r="AI448" s="186">
        <v>2019875.78</v>
      </c>
      <c r="AJ448" s="186">
        <v>1958976.08</v>
      </c>
      <c r="AK448" s="186">
        <v>2943980.86</v>
      </c>
      <c r="AL448" s="186">
        <v>-2853946.38</v>
      </c>
      <c r="AM448" s="186">
        <v>2053249.05</v>
      </c>
      <c r="AN448" s="186">
        <v>5364828.88</v>
      </c>
      <c r="AO448" s="186">
        <v>-4136101.49</v>
      </c>
      <c r="AP448" s="186">
        <v>4536791.43</v>
      </c>
      <c r="AQ448" s="186">
        <v>3830968.03</v>
      </c>
      <c r="AR448" s="186">
        <v>-7570916.29</v>
      </c>
      <c r="AS448" s="186">
        <v>2081619.07</v>
      </c>
      <c r="AT448" s="186">
        <v>2758883.76</v>
      </c>
      <c r="AU448" s="186">
        <v>-9589224.5600000005</v>
      </c>
      <c r="AV448" s="186">
        <v>2707918.43</v>
      </c>
      <c r="AW448" s="186">
        <v>2630149.91</v>
      </c>
      <c r="AX448" s="186">
        <v>-3894080.18</v>
      </c>
      <c r="AY448" s="186">
        <v>5584119.0700000003</v>
      </c>
      <c r="AZ448" s="186">
        <v>9302106.2899999991</v>
      </c>
      <c r="BA448" s="186">
        <v>-9862049.3100000005</v>
      </c>
      <c r="BB448" s="186">
        <v>1650568.72</v>
      </c>
      <c r="BC448" s="186">
        <v>5304901.6399999997</v>
      </c>
      <c r="BD448" s="186">
        <v>-12767979.300000001</v>
      </c>
      <c r="BE448" s="186">
        <v>3096375</v>
      </c>
      <c r="BF448" s="186">
        <v>3105270.2</v>
      </c>
      <c r="BG448" s="186">
        <v>-8557337.3599999994</v>
      </c>
      <c r="BH448" s="186">
        <v>3697950.51</v>
      </c>
      <c r="BI448" s="186">
        <v>2803273.23</v>
      </c>
      <c r="BJ448" s="186">
        <v>-5813460.6699999999</v>
      </c>
      <c r="BK448" s="186">
        <v>5493355.7599999998</v>
      </c>
      <c r="BL448" s="186">
        <v>6617945.8899999997</v>
      </c>
      <c r="BM448" s="186">
        <v>-5951830.5</v>
      </c>
      <c r="BN448" s="186">
        <v>5496050.3099999996</v>
      </c>
      <c r="BO448" s="186">
        <v>5226930.1900000004</v>
      </c>
      <c r="BP448" s="186">
        <v>-13397496.93</v>
      </c>
      <c r="BQ448" s="186">
        <v>3765173.37</v>
      </c>
      <c r="BR448" s="186">
        <v>3058815.38</v>
      </c>
      <c r="BS448" s="186">
        <v>-9733380.8399999999</v>
      </c>
      <c r="BT448" s="186">
        <v>3683859.63</v>
      </c>
      <c r="BU448" s="186">
        <v>3425609.09</v>
      </c>
      <c r="BV448" s="186">
        <v>-6182919.29</v>
      </c>
      <c r="BW448" s="186">
        <v>4061403.69</v>
      </c>
      <c r="BX448" s="186">
        <v>7675617.6200000001</v>
      </c>
      <c r="BY448" s="186">
        <v>-5948184.0800000001</v>
      </c>
      <c r="BZ448" s="186">
        <v>4844783.18</v>
      </c>
      <c r="CA448" s="186">
        <v>3710728.28</v>
      </c>
      <c r="CB448" s="186">
        <v>-14852521.16</v>
      </c>
      <c r="CC448" s="186">
        <v>3209793.14</v>
      </c>
      <c r="CD448" s="186">
        <v>3096133.42</v>
      </c>
      <c r="CE448" s="186">
        <v>-6771045.1500000004</v>
      </c>
      <c r="CF448" s="186">
        <v>3415357.65</v>
      </c>
      <c r="CG448" s="186">
        <v>2946877.3</v>
      </c>
      <c r="CH448" s="186">
        <v>-5179416.92</v>
      </c>
      <c r="CI448" s="186">
        <v>4619564.9800000004</v>
      </c>
      <c r="CJ448" s="186">
        <v>11395487.33</v>
      </c>
      <c r="CK448" s="186">
        <v>-4646700.9000000004</v>
      </c>
      <c r="CL448" s="186">
        <v>7690800.4699999997</v>
      </c>
      <c r="CM448" s="186">
        <v>-19402192.890000001</v>
      </c>
      <c r="CN448" s="186">
        <v>5523422.1399999997</v>
      </c>
      <c r="CO448" s="186">
        <v>5442618.1799999997</v>
      </c>
      <c r="CP448" s="186">
        <v>4434602.46</v>
      </c>
      <c r="CQ448" s="186">
        <v>-13892246.57</v>
      </c>
      <c r="CR448" s="186">
        <v>5555927.8700000001</v>
      </c>
      <c r="CS448" s="186">
        <v>5105687.1500000004</v>
      </c>
      <c r="CT448" s="186">
        <v>-8957171.2300000004</v>
      </c>
      <c r="CU448" s="186">
        <v>5862599.79</v>
      </c>
      <c r="CV448" s="430">
        <f t="shared" si="18"/>
        <v>4112833.799999997</v>
      </c>
    </row>
    <row r="449" spans="1:100">
      <c r="A449" s="463" t="s">
        <v>1297</v>
      </c>
      <c r="B449" s="56"/>
      <c r="C449" s="56"/>
      <c r="D449" s="430">
        <v>7357286.6799999997</v>
      </c>
      <c r="E449" s="430">
        <v>0</v>
      </c>
      <c r="F449" s="430">
        <v>0</v>
      </c>
      <c r="G449" s="430">
        <v>11948603.68</v>
      </c>
      <c r="H449" s="430">
        <v>0</v>
      </c>
      <c r="I449" s="430">
        <v>0</v>
      </c>
      <c r="J449" s="430">
        <v>9971893.4700000007</v>
      </c>
      <c r="K449" s="430">
        <v>0</v>
      </c>
      <c r="L449" s="430">
        <v>0</v>
      </c>
      <c r="M449" s="430">
        <v>5874136.4699999997</v>
      </c>
      <c r="N449" s="430">
        <v>0</v>
      </c>
      <c r="O449" s="430">
        <v>0</v>
      </c>
      <c r="P449" s="52">
        <v>0</v>
      </c>
      <c r="Q449" s="52">
        <v>6579361.9699999997</v>
      </c>
      <c r="R449" s="52">
        <v>0</v>
      </c>
      <c r="S449" s="52">
        <v>14236193.27</v>
      </c>
      <c r="T449" s="52">
        <v>0</v>
      </c>
      <c r="U449" s="52">
        <v>0</v>
      </c>
      <c r="V449" s="52">
        <v>8836348.5500000007</v>
      </c>
      <c r="W449" s="52">
        <v>0</v>
      </c>
      <c r="X449" s="52">
        <v>0</v>
      </c>
      <c r="Y449" s="52">
        <v>0</v>
      </c>
      <c r="Z449" s="52">
        <v>7141083.0599999996</v>
      </c>
      <c r="AA449" s="52">
        <v>0</v>
      </c>
      <c r="AB449" s="52">
        <v>0</v>
      </c>
      <c r="AC449" s="52">
        <v>5832498.4000000004</v>
      </c>
      <c r="AD449" s="52">
        <v>0</v>
      </c>
      <c r="AE449" s="186">
        <v>0</v>
      </c>
      <c r="AF449" s="186">
        <v>13698517.41</v>
      </c>
      <c r="AG449" s="186">
        <v>8092257.4400000004</v>
      </c>
      <c r="AH449" s="186">
        <v>0</v>
      </c>
      <c r="AI449" s="186">
        <v>0</v>
      </c>
      <c r="AJ449" s="186">
        <v>0</v>
      </c>
      <c r="AK449" s="186">
        <v>0</v>
      </c>
      <c r="AL449" s="186">
        <v>5958301.9699999997</v>
      </c>
      <c r="AM449" s="186">
        <v>0</v>
      </c>
      <c r="AN449" s="186">
        <v>0</v>
      </c>
      <c r="AO449" s="186">
        <v>8007312.5300000003</v>
      </c>
      <c r="AP449" s="186">
        <v>0</v>
      </c>
      <c r="AQ449" s="186">
        <v>0</v>
      </c>
      <c r="AR449" s="186">
        <v>11289288.970000001</v>
      </c>
      <c r="AS449" s="186">
        <v>0</v>
      </c>
      <c r="AT449" s="186">
        <v>0</v>
      </c>
      <c r="AU449" s="186">
        <v>12086132.140000001</v>
      </c>
      <c r="AV449" s="186">
        <v>0</v>
      </c>
      <c r="AW449" s="186">
        <v>0</v>
      </c>
      <c r="AX449" s="186">
        <v>7337410.4100000001</v>
      </c>
      <c r="AY449" s="186">
        <v>0</v>
      </c>
      <c r="AZ449" s="186">
        <v>0</v>
      </c>
      <c r="BA449" s="186">
        <v>14365517.640000001</v>
      </c>
      <c r="BB449" s="186">
        <v>0</v>
      </c>
      <c r="BC449" s="186">
        <v>0</v>
      </c>
      <c r="BD449" s="186">
        <v>15456143.34</v>
      </c>
      <c r="BE449" s="186">
        <v>0</v>
      </c>
      <c r="BF449" s="186">
        <v>0</v>
      </c>
      <c r="BG449" s="186">
        <v>11089440.68</v>
      </c>
      <c r="BH449" s="186">
        <v>0</v>
      </c>
      <c r="BI449" s="186">
        <v>0</v>
      </c>
      <c r="BJ449" s="186">
        <v>9335324.0299999993</v>
      </c>
      <c r="BK449" s="186">
        <v>0</v>
      </c>
      <c r="BL449" s="186">
        <v>0</v>
      </c>
      <c r="BM449" s="186">
        <v>11818492.35</v>
      </c>
      <c r="BN449" s="186">
        <v>0</v>
      </c>
      <c r="BO449" s="186">
        <v>0</v>
      </c>
      <c r="BP449" s="186">
        <v>17980658.050000001</v>
      </c>
      <c r="BQ449" s="186">
        <v>0</v>
      </c>
      <c r="BR449" s="186">
        <v>0</v>
      </c>
      <c r="BS449" s="186">
        <v>13575264.68</v>
      </c>
      <c r="BT449" s="186">
        <v>0</v>
      </c>
      <c r="BU449" s="186">
        <v>0</v>
      </c>
      <c r="BV449" s="186">
        <v>10584558</v>
      </c>
      <c r="BW449" s="186">
        <v>0</v>
      </c>
      <c r="BX449" s="186">
        <v>0</v>
      </c>
      <c r="BY449" s="186">
        <v>11888651</v>
      </c>
      <c r="BZ449" s="186">
        <v>0</v>
      </c>
      <c r="CA449" s="186">
        <v>0</v>
      </c>
      <c r="CB449" s="186">
        <v>18460868</v>
      </c>
      <c r="CC449" s="186">
        <v>0</v>
      </c>
      <c r="CD449" s="186">
        <v>0</v>
      </c>
      <c r="CE449" s="186">
        <v>10528868</v>
      </c>
      <c r="CF449" s="186">
        <v>0</v>
      </c>
      <c r="CG449" s="186">
        <v>0</v>
      </c>
      <c r="CH449" s="186">
        <v>10269314</v>
      </c>
      <c r="CI449" s="186">
        <v>0</v>
      </c>
      <c r="CJ449" s="186">
        <v>0</v>
      </c>
      <c r="CK449" s="186">
        <v>12656339</v>
      </c>
      <c r="CL449" s="186">
        <v>0</v>
      </c>
      <c r="CM449" s="186">
        <v>27095926</v>
      </c>
      <c r="CN449" s="186">
        <v>0</v>
      </c>
      <c r="CO449" s="186">
        <v>0</v>
      </c>
      <c r="CP449" s="186">
        <v>0</v>
      </c>
      <c r="CQ449" s="186">
        <v>18659773</v>
      </c>
      <c r="CR449" s="186">
        <v>0</v>
      </c>
      <c r="CS449" s="186">
        <v>0</v>
      </c>
      <c r="CT449" s="186">
        <v>14758057</v>
      </c>
      <c r="CU449" s="186">
        <v>0</v>
      </c>
      <c r="CV449" s="430">
        <f t="shared" si="18"/>
        <v>73170095</v>
      </c>
    </row>
    <row r="450" spans="1:100">
      <c r="A450" s="541" t="s">
        <v>1360</v>
      </c>
      <c r="B450" s="56"/>
      <c r="C450" s="56"/>
      <c r="D450" s="430">
        <v>0</v>
      </c>
      <c r="E450" s="430">
        <v>0</v>
      </c>
      <c r="F450" s="430">
        <v>0</v>
      </c>
      <c r="G450" s="430">
        <v>0</v>
      </c>
      <c r="H450" s="430">
        <v>0</v>
      </c>
      <c r="I450" s="430">
        <v>0</v>
      </c>
      <c r="J450" s="430">
        <v>0</v>
      </c>
      <c r="K450" s="430">
        <v>0</v>
      </c>
      <c r="L450" s="430">
        <v>0</v>
      </c>
      <c r="M450" s="430">
        <v>0</v>
      </c>
      <c r="N450" s="430">
        <v>0</v>
      </c>
      <c r="O450" s="430">
        <v>0</v>
      </c>
      <c r="P450" s="52"/>
      <c r="Q450" s="52"/>
      <c r="R450" s="52"/>
      <c r="S450" s="52"/>
      <c r="T450" s="52"/>
      <c r="U450" s="52"/>
      <c r="V450" s="52"/>
      <c r="W450" s="52"/>
      <c r="X450" s="52"/>
      <c r="Y450" s="52"/>
      <c r="Z450" s="52"/>
      <c r="AA450" s="52"/>
      <c r="AB450" s="52"/>
      <c r="AC450" s="52"/>
      <c r="AD450" s="52"/>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c r="BT450" s="186"/>
      <c r="BU450" s="186"/>
      <c r="BV450" s="186"/>
      <c r="BW450" s="186"/>
      <c r="BX450" s="186"/>
      <c r="BY450" s="186"/>
      <c r="BZ450" s="186"/>
      <c r="CA450" s="186"/>
      <c r="CB450" s="186"/>
      <c r="CC450" s="186"/>
      <c r="CD450" s="186"/>
      <c r="CE450" s="186"/>
      <c r="CF450" s="186"/>
      <c r="CG450" s="186"/>
      <c r="CH450" s="186"/>
      <c r="CI450" s="186"/>
      <c r="CJ450" s="186"/>
      <c r="CK450" s="186"/>
      <c r="CL450" s="186"/>
      <c r="CM450" s="186"/>
      <c r="CN450" s="186"/>
      <c r="CO450" s="186"/>
      <c r="CP450" s="186"/>
      <c r="CQ450" s="186"/>
      <c r="CR450" s="186"/>
      <c r="CS450" s="186"/>
      <c r="CT450" s="186"/>
      <c r="CU450" s="186"/>
      <c r="CV450" s="430">
        <f t="shared" si="18"/>
        <v>0</v>
      </c>
    </row>
    <row r="451" spans="1:100">
      <c r="A451" s="463" t="s">
        <v>1298</v>
      </c>
      <c r="B451" s="56"/>
      <c r="C451" s="56"/>
      <c r="D451" s="430">
        <v>-18789070.870000001</v>
      </c>
      <c r="E451" s="430">
        <v>-17974787.210000001</v>
      </c>
      <c r="F451" s="430">
        <v>-12072394.210000001</v>
      </c>
      <c r="G451" s="430">
        <v>-11512611.34</v>
      </c>
      <c r="H451" s="430">
        <v>-9204449.0899999999</v>
      </c>
      <c r="I451" s="430">
        <v>-9401415.9199999999</v>
      </c>
      <c r="J451" s="430">
        <v>-8616808.4900000002</v>
      </c>
      <c r="K451" s="430">
        <v>-8341471.8700000001</v>
      </c>
      <c r="L451" s="430">
        <v>-8876012.4299999997</v>
      </c>
      <c r="M451" s="430">
        <v>-9407334.7400000002</v>
      </c>
      <c r="N451" s="430">
        <v>-11392701.92</v>
      </c>
      <c r="O451" s="430">
        <v>-16023211.560000001</v>
      </c>
      <c r="P451" s="52">
        <v>-17146562.120000001</v>
      </c>
      <c r="Q451" s="52">
        <v>-16308098.98</v>
      </c>
      <c r="R451" s="52">
        <v>-14821418.9</v>
      </c>
      <c r="S451" s="52">
        <v>-9110900.8399999999</v>
      </c>
      <c r="T451" s="52">
        <v>-8985543.3499999996</v>
      </c>
      <c r="U451" s="52">
        <v>-9531636.3800000008</v>
      </c>
      <c r="V451" s="52">
        <v>-8548703.2799999993</v>
      </c>
      <c r="W451" s="52">
        <v>-8938662.9800000004</v>
      </c>
      <c r="X451" s="52">
        <v>-8913731.5299999993</v>
      </c>
      <c r="Y451" s="52">
        <v>-9314477.0199999996</v>
      </c>
      <c r="Z451" s="52">
        <v>-10620000.07</v>
      </c>
      <c r="AA451" s="52">
        <v>-12335179.560000001</v>
      </c>
      <c r="AB451" s="52">
        <v>-17160821.050000001</v>
      </c>
      <c r="AC451" s="52">
        <v>-18845612.18</v>
      </c>
      <c r="AD451" s="52">
        <v>-13444605.42</v>
      </c>
      <c r="AE451" s="186">
        <v>-10931467.970000001</v>
      </c>
      <c r="AF451" s="186">
        <v>-10047229.130000001</v>
      </c>
      <c r="AG451" s="186">
        <v>-8956120.2799999993</v>
      </c>
      <c r="AH451" s="186">
        <v>-8211620.5800000001</v>
      </c>
      <c r="AI451" s="186">
        <v>-8498263.0700000003</v>
      </c>
      <c r="AJ451" s="186">
        <v>-8749395.3100000005</v>
      </c>
      <c r="AK451" s="186">
        <v>-8862736.3000000007</v>
      </c>
      <c r="AL451" s="186">
        <v>-10510381.029999999</v>
      </c>
      <c r="AM451" s="186">
        <v>-12762491.27</v>
      </c>
      <c r="AN451" s="186">
        <v>-14720023.439999999</v>
      </c>
      <c r="AO451" s="186">
        <v>-13827429.51</v>
      </c>
      <c r="AP451" s="186">
        <v>-12172738.6</v>
      </c>
      <c r="AQ451" s="186">
        <v>-12116790.6</v>
      </c>
      <c r="AR451" s="186">
        <v>-9770434.3800000008</v>
      </c>
      <c r="AS451" s="186">
        <v>-8920686.9299999997</v>
      </c>
      <c r="AT451" s="186">
        <v>-8592431.6500000004</v>
      </c>
      <c r="AU451" s="186">
        <v>-8779572.8499999996</v>
      </c>
      <c r="AV451" s="186">
        <v>-10086790.9</v>
      </c>
      <c r="AW451" s="186">
        <v>-9764900.4399999995</v>
      </c>
      <c r="AX451" s="186">
        <v>-11846411.35</v>
      </c>
      <c r="AY451" s="186">
        <v>-14779023.710000001</v>
      </c>
      <c r="AZ451" s="186">
        <v>-25308184.75</v>
      </c>
      <c r="BA451" s="186">
        <v>-17174539</v>
      </c>
      <c r="BB451" s="186">
        <v>-11911371.42</v>
      </c>
      <c r="BC451" s="186">
        <v>-14470072</v>
      </c>
      <c r="BD451" s="186">
        <v>-10129247.9</v>
      </c>
      <c r="BE451" s="186">
        <v>-9704933.2200000007</v>
      </c>
      <c r="BF451" s="186">
        <v>-9559028.3399999999</v>
      </c>
      <c r="BG451" s="186">
        <v>-9282203.4399999995</v>
      </c>
      <c r="BH451" s="186">
        <v>-10118267.810000001</v>
      </c>
      <c r="BI451" s="186">
        <v>-9461613.5099999998</v>
      </c>
      <c r="BJ451" s="186">
        <v>-11331414.84</v>
      </c>
      <c r="BK451" s="186">
        <v>-15658973.699999999</v>
      </c>
      <c r="BL451" s="186">
        <v>-18509048.350000001</v>
      </c>
      <c r="BM451" s="186">
        <v>-16272346.470000001</v>
      </c>
      <c r="BN451" s="186">
        <v>-14136282.07</v>
      </c>
      <c r="BO451" s="186">
        <v>-14510060.26</v>
      </c>
      <c r="BP451" s="186">
        <v>-11453413.99</v>
      </c>
      <c r="BQ451" s="186">
        <v>-9741135.8399999999</v>
      </c>
      <c r="BR451" s="186">
        <v>-9869781.0299999993</v>
      </c>
      <c r="BS451" s="186">
        <v>-8973386.5399999991</v>
      </c>
      <c r="BT451" s="186">
        <v>-9873812.5700000003</v>
      </c>
      <c r="BU451" s="186">
        <v>-9662683.8300000001</v>
      </c>
      <c r="BV451" s="186">
        <v>-12129852.220000001</v>
      </c>
      <c r="BW451" s="186">
        <v>-16044610.1</v>
      </c>
      <c r="BX451" s="186">
        <v>-17619082.52</v>
      </c>
      <c r="BY451" s="186">
        <v>-15620600.68</v>
      </c>
      <c r="BZ451" s="186">
        <v>-13452666.41</v>
      </c>
      <c r="CA451" s="186">
        <v>-12722541.84</v>
      </c>
      <c r="CB451" s="186">
        <v>-11904847.33</v>
      </c>
      <c r="CC451" s="186">
        <v>-10926414.619999999</v>
      </c>
      <c r="CD451" s="186">
        <v>-9415780.2799999993</v>
      </c>
      <c r="CE451" s="186">
        <v>-9916007.6699999999</v>
      </c>
      <c r="CF451" s="186">
        <v>-9877256.0999999996</v>
      </c>
      <c r="CG451" s="186">
        <v>-10966189.01</v>
      </c>
      <c r="CH451" s="186">
        <v>-12940613.550000001</v>
      </c>
      <c r="CI451" s="186">
        <v>-19829450.940000001</v>
      </c>
      <c r="CJ451" s="186">
        <v>-26457420.960000001</v>
      </c>
      <c r="CK451" s="186">
        <v>-19184048.739999998</v>
      </c>
      <c r="CL451" s="186">
        <v>-20098401.280000001</v>
      </c>
      <c r="CM451" s="186">
        <v>-19209311.260000002</v>
      </c>
      <c r="CN451" s="186">
        <v>-14369600.52</v>
      </c>
      <c r="CO451" s="186">
        <v>-14243262.9</v>
      </c>
      <c r="CP451" s="186">
        <v>-13561702.66</v>
      </c>
      <c r="CQ451" s="186">
        <v>-13058455.18</v>
      </c>
      <c r="CR451" s="186">
        <v>-13931671.439999999</v>
      </c>
      <c r="CS451" s="186">
        <v>-14110256.74</v>
      </c>
      <c r="CT451" s="186">
        <v>-17172599.760000002</v>
      </c>
      <c r="CU451" s="186">
        <v>-22874214.050000001</v>
      </c>
      <c r="CV451" s="430">
        <f t="shared" si="18"/>
        <v>-208270945.49000001</v>
      </c>
    </row>
    <row r="452" spans="1:100">
      <c r="A452" s="463" t="s">
        <v>1299</v>
      </c>
      <c r="B452" s="56"/>
      <c r="C452" s="56"/>
      <c r="D452" s="430">
        <v>-9281661.2799999993</v>
      </c>
      <c r="E452" s="430">
        <v>-6942485.1799999997</v>
      </c>
      <c r="F452" s="430">
        <v>-6196518.0700000003</v>
      </c>
      <c r="G452" s="430">
        <v>-9812135.8399999999</v>
      </c>
      <c r="H452" s="430">
        <v>-4873328.57</v>
      </c>
      <c r="I452" s="430">
        <v>-4949811.8899999997</v>
      </c>
      <c r="J452" s="430">
        <v>-7088126.04</v>
      </c>
      <c r="K452" s="430">
        <v>-9144553</v>
      </c>
      <c r="L452" s="430">
        <v>-6028157.7400000002</v>
      </c>
      <c r="M452" s="430">
        <v>-6220286.9299999997</v>
      </c>
      <c r="N452" s="430">
        <v>-6167285.9199999999</v>
      </c>
      <c r="O452" s="430">
        <v>-6326820.54</v>
      </c>
      <c r="P452" s="52">
        <v>-7235355.2400000002</v>
      </c>
      <c r="Q452" s="52">
        <v>-7653264.3300000001</v>
      </c>
      <c r="R452" s="52">
        <v>-5861467.4100000001</v>
      </c>
      <c r="S452" s="52">
        <v>-8813333.6300000008</v>
      </c>
      <c r="T452" s="52">
        <v>-5914370.3399999999</v>
      </c>
      <c r="U452" s="52">
        <v>-9083584.1099999994</v>
      </c>
      <c r="V452" s="52">
        <v>-6001980.0499999998</v>
      </c>
      <c r="W452" s="52">
        <v>-8775359.1300000008</v>
      </c>
      <c r="X452" s="52">
        <v>-7151083.5800000001</v>
      </c>
      <c r="Y452" s="52">
        <v>-7412057.1299999999</v>
      </c>
      <c r="Z452" s="52">
        <v>-10373787.6</v>
      </c>
      <c r="AA452" s="52">
        <v>-5498301.5499999998</v>
      </c>
      <c r="AB452" s="52">
        <v>-8493884.5299999993</v>
      </c>
      <c r="AC452" s="52">
        <v>-8535137.2899999991</v>
      </c>
      <c r="AD452" s="52">
        <v>-8529452.0600000005</v>
      </c>
      <c r="AE452" s="186">
        <v>-10628465.720000001</v>
      </c>
      <c r="AF452" s="186">
        <v>-7450734.2300000004</v>
      </c>
      <c r="AG452" s="186">
        <v>-9214933.5999999996</v>
      </c>
      <c r="AH452" s="186">
        <v>-13243087.539999999</v>
      </c>
      <c r="AI452" s="186">
        <v>-12055907.91</v>
      </c>
      <c r="AJ452" s="186">
        <v>-10066072.119999999</v>
      </c>
      <c r="AK452" s="186">
        <v>-10467432.119999999</v>
      </c>
      <c r="AL452" s="186">
        <v>-5438106.2999999998</v>
      </c>
      <c r="AM452" s="186">
        <v>-6284243.4699999997</v>
      </c>
      <c r="AN452" s="186">
        <v>-7328944.2300000004</v>
      </c>
      <c r="AO452" s="186">
        <v>-6696487.6399999997</v>
      </c>
      <c r="AP452" s="186">
        <v>-6097147.2400000002</v>
      </c>
      <c r="AQ452" s="186">
        <v>-8729546.9499999993</v>
      </c>
      <c r="AR452" s="186">
        <v>-9438397.3599999994</v>
      </c>
      <c r="AS452" s="186">
        <v>-7262160.46</v>
      </c>
      <c r="AT452" s="186">
        <v>-9404221.8800000008</v>
      </c>
      <c r="AU452" s="186">
        <v>-14720457.949999999</v>
      </c>
      <c r="AV452" s="186">
        <v>-13025019.35</v>
      </c>
      <c r="AW452" s="186">
        <v>-7109268.5199999996</v>
      </c>
      <c r="AX452" s="186">
        <v>-7620892.0099999998</v>
      </c>
      <c r="AY452" s="186">
        <v>-10331192.130000001</v>
      </c>
      <c r="AZ452" s="186">
        <v>-13920525.58</v>
      </c>
      <c r="BA452" s="186">
        <v>-8284049.6500000004</v>
      </c>
      <c r="BB452" s="186">
        <v>-5770678.2300000004</v>
      </c>
      <c r="BC452" s="186">
        <v>-7147212.3600000003</v>
      </c>
      <c r="BD452" s="186">
        <v>-7933673.7999999998</v>
      </c>
      <c r="BE452" s="186">
        <v>-11029266.029999999</v>
      </c>
      <c r="BF452" s="186">
        <v>-12692018.039999999</v>
      </c>
      <c r="BG452" s="186">
        <v>-9600349.6199999992</v>
      </c>
      <c r="BH452" s="186">
        <v>-11244221.15</v>
      </c>
      <c r="BI452" s="186">
        <v>-13462137.279999999</v>
      </c>
      <c r="BJ452" s="186">
        <v>-9918969.3200000003</v>
      </c>
      <c r="BK452" s="186">
        <v>-8022036.0199999996</v>
      </c>
      <c r="BL452" s="186">
        <v>-9609637.7200000007</v>
      </c>
      <c r="BM452" s="186">
        <v>-6735495.1100000003</v>
      </c>
      <c r="BN452" s="186">
        <v>-7989982.2199999997</v>
      </c>
      <c r="BO452" s="186">
        <v>-7737686.0499999998</v>
      </c>
      <c r="BP452" s="186">
        <v>-9889265.2699999996</v>
      </c>
      <c r="BQ452" s="186">
        <v>-6775396.1900000004</v>
      </c>
      <c r="BR452" s="186">
        <v>-6673373.5599999996</v>
      </c>
      <c r="BS452" s="186">
        <v>-6442681.9199999999</v>
      </c>
      <c r="BT452" s="186">
        <v>-10078716.07</v>
      </c>
      <c r="BU452" s="186">
        <v>-8599046.7400000002</v>
      </c>
      <c r="BV452" s="186">
        <v>-7186578.8099999996</v>
      </c>
      <c r="BW452" s="186">
        <v>-7033282.6600000001</v>
      </c>
      <c r="BX452" s="186">
        <v>-8408399.2699999996</v>
      </c>
      <c r="BY452" s="186">
        <v>-6439015.0700000003</v>
      </c>
      <c r="BZ452" s="186">
        <v>-6469029.6699999999</v>
      </c>
      <c r="CA452" s="186">
        <v>-4190606.35</v>
      </c>
      <c r="CB452" s="186">
        <v>-4035332.9</v>
      </c>
      <c r="CC452" s="186">
        <v>-5933594.4699999997</v>
      </c>
      <c r="CD452" s="186">
        <v>-6159324.5300000003</v>
      </c>
      <c r="CE452" s="186">
        <v>-4341049.33</v>
      </c>
      <c r="CF452" s="186">
        <v>-4764202.59</v>
      </c>
      <c r="CG452" s="186">
        <v>-4261479.07</v>
      </c>
      <c r="CH452" s="186">
        <v>-5311717.91</v>
      </c>
      <c r="CI452" s="186">
        <v>-5978031.46</v>
      </c>
      <c r="CJ452" s="186">
        <v>-7511735.0499999998</v>
      </c>
      <c r="CK452" s="186">
        <v>-7090544.5599999996</v>
      </c>
      <c r="CL452" s="186">
        <v>-7354314.4299999997</v>
      </c>
      <c r="CM452" s="186">
        <v>-5718480.1200000001</v>
      </c>
      <c r="CN452" s="186">
        <v>-5762979.1399999997</v>
      </c>
      <c r="CO452" s="186">
        <v>-5930014.8600000003</v>
      </c>
      <c r="CP452" s="186">
        <v>-6966959.5300000003</v>
      </c>
      <c r="CQ452" s="186">
        <v>-6597386.5499999998</v>
      </c>
      <c r="CR452" s="186">
        <v>-6704518.8700000001</v>
      </c>
      <c r="CS452" s="186">
        <v>-8903604.1400000006</v>
      </c>
      <c r="CT452" s="186">
        <v>-5392027.7199999997</v>
      </c>
      <c r="CU452" s="186">
        <v>-6273501.8099999996</v>
      </c>
      <c r="CV452" s="430">
        <f t="shared" si="18"/>
        <v>-80206066.780000001</v>
      </c>
    </row>
    <row r="453" spans="1:100">
      <c r="A453" s="463" t="s">
        <v>1300</v>
      </c>
      <c r="B453" s="56"/>
      <c r="C453" s="56"/>
      <c r="D453" s="430">
        <v>-165948.49</v>
      </c>
      <c r="E453" s="430">
        <v>-166882.10999999999</v>
      </c>
      <c r="F453" s="430">
        <v>-121309.54</v>
      </c>
      <c r="G453" s="430">
        <v>-112241.89</v>
      </c>
      <c r="H453" s="430">
        <v>-88055.74</v>
      </c>
      <c r="I453" s="430">
        <v>-113233.28</v>
      </c>
      <c r="J453" s="430">
        <v>-79618.36</v>
      </c>
      <c r="K453" s="430">
        <v>-75572.460000000006</v>
      </c>
      <c r="L453" s="430">
        <v>-81371.37</v>
      </c>
      <c r="M453" s="430">
        <v>-74627.62</v>
      </c>
      <c r="N453" s="430">
        <v>-87419.69</v>
      </c>
      <c r="O453" s="430">
        <v>-128527.09</v>
      </c>
      <c r="P453" s="52">
        <v>-159362.96</v>
      </c>
      <c r="Q453" s="52">
        <v>-166911.39000000001</v>
      </c>
      <c r="R453" s="52">
        <v>-145933.60999999999</v>
      </c>
      <c r="S453" s="52">
        <v>-93775.51</v>
      </c>
      <c r="T453" s="52">
        <v>-59842.21</v>
      </c>
      <c r="U453" s="52">
        <v>-64270.78</v>
      </c>
      <c r="V453" s="52">
        <v>-64779.32</v>
      </c>
      <c r="W453" s="52">
        <v>-112866.18</v>
      </c>
      <c r="X453" s="52">
        <v>-72812.73</v>
      </c>
      <c r="Y453" s="52">
        <v>-91536.78</v>
      </c>
      <c r="Z453" s="52">
        <v>-81435.16</v>
      </c>
      <c r="AA453" s="52">
        <v>-104209.01</v>
      </c>
      <c r="AB453" s="52">
        <v>-156894.09</v>
      </c>
      <c r="AC453" s="52">
        <v>-191571.76</v>
      </c>
      <c r="AD453" s="52">
        <v>-135848.59</v>
      </c>
      <c r="AE453" s="186">
        <v>-126080.26</v>
      </c>
      <c r="AF453" s="186">
        <v>-113589.87</v>
      </c>
      <c r="AG453" s="186">
        <v>-83154.490000000005</v>
      </c>
      <c r="AH453" s="186">
        <v>-75330.259999999995</v>
      </c>
      <c r="AI453" s="186">
        <v>-91408.17</v>
      </c>
      <c r="AJ453" s="186">
        <v>-92050.96</v>
      </c>
      <c r="AK453" s="186">
        <v>-114235.31</v>
      </c>
      <c r="AL453" s="186">
        <v>-85939.91</v>
      </c>
      <c r="AM453" s="186">
        <v>-87662.22</v>
      </c>
      <c r="AN453" s="186">
        <v>-198565.1</v>
      </c>
      <c r="AO453" s="186">
        <v>-31129.7</v>
      </c>
      <c r="AP453" s="186">
        <v>-179902.62</v>
      </c>
      <c r="AQ453" s="186">
        <v>-80670.740000000005</v>
      </c>
      <c r="AR453" s="186">
        <v>-80640.210000000006</v>
      </c>
      <c r="AS453" s="186">
        <v>-75047.81</v>
      </c>
      <c r="AT453" s="186">
        <v>-163265.99</v>
      </c>
      <c r="AU453" s="186">
        <v>214237.54</v>
      </c>
      <c r="AV453" s="186">
        <v>-325184.90999999997</v>
      </c>
      <c r="AW453" s="186">
        <v>-86920.65</v>
      </c>
      <c r="AX453" s="186">
        <v>-125341.17</v>
      </c>
      <c r="AY453" s="186">
        <v>-149230.22</v>
      </c>
      <c r="AZ453" s="186">
        <v>-288733.65000000002</v>
      </c>
      <c r="BA453" s="186">
        <v>-204535.92</v>
      </c>
      <c r="BB453" s="186">
        <v>-119266.63</v>
      </c>
      <c r="BC453" s="186">
        <v>-150137.54</v>
      </c>
      <c r="BD453" s="186">
        <v>-115486.59</v>
      </c>
      <c r="BE453" s="186">
        <v>-103906.31</v>
      </c>
      <c r="BF453" s="186">
        <v>-89116.34</v>
      </c>
      <c r="BG453" s="186">
        <v>-29335.15</v>
      </c>
      <c r="BH453" s="186">
        <v>-67705.3</v>
      </c>
      <c r="BI453" s="186">
        <v>-63543.24</v>
      </c>
      <c r="BJ453" s="186">
        <v>-28996.27</v>
      </c>
      <c r="BK453" s="186">
        <v>-252207.23</v>
      </c>
      <c r="BL453" s="186">
        <v>-161211.5</v>
      </c>
      <c r="BM453" s="186">
        <v>-182769.23</v>
      </c>
      <c r="BN453" s="186">
        <v>-112509.57</v>
      </c>
      <c r="BO453" s="186">
        <v>-113299.19</v>
      </c>
      <c r="BP453" s="186">
        <v>-95702.66</v>
      </c>
      <c r="BQ453" s="186">
        <v>-82360.14</v>
      </c>
      <c r="BR453" s="186">
        <v>-76542.11</v>
      </c>
      <c r="BS453" s="186">
        <v>-64481.71</v>
      </c>
      <c r="BT453" s="186">
        <v>-88937.27</v>
      </c>
      <c r="BU453" s="186">
        <v>-72548.789999999994</v>
      </c>
      <c r="BV453" s="186">
        <v>-87238.74</v>
      </c>
      <c r="BW453" s="186">
        <v>-306546.28999999998</v>
      </c>
      <c r="BX453" s="186">
        <v>-188425.51</v>
      </c>
      <c r="BY453" s="186">
        <v>-234475.11</v>
      </c>
      <c r="BZ453" s="186">
        <v>-175939.58</v>
      </c>
      <c r="CA453" s="186">
        <v>-114337.92</v>
      </c>
      <c r="CB453" s="186">
        <v>-116862.89</v>
      </c>
      <c r="CC453" s="186">
        <v>-105380.95</v>
      </c>
      <c r="CD453" s="186">
        <v>-102841.73</v>
      </c>
      <c r="CE453" s="186">
        <v>-104990.64</v>
      </c>
      <c r="CF453" s="186">
        <v>-116284.89</v>
      </c>
      <c r="CG453" s="186">
        <v>-130430.25</v>
      </c>
      <c r="CH453" s="186">
        <v>-177622.98</v>
      </c>
      <c r="CI453" s="186">
        <v>-223183.14</v>
      </c>
      <c r="CJ453" s="186">
        <v>-349770.53</v>
      </c>
      <c r="CK453" s="186">
        <v>-322502.15999999997</v>
      </c>
      <c r="CL453" s="186">
        <v>-230557.2</v>
      </c>
      <c r="CM453" s="186">
        <v>-285136.31</v>
      </c>
      <c r="CN453" s="186">
        <v>-230476.35</v>
      </c>
      <c r="CO453" s="186">
        <v>-183791.69</v>
      </c>
      <c r="CP453" s="186">
        <v>-140282.75</v>
      </c>
      <c r="CQ453" s="186">
        <v>-241856.37</v>
      </c>
      <c r="CR453" s="186">
        <v>-202987.19</v>
      </c>
      <c r="CS453" s="186">
        <v>-206737.67</v>
      </c>
      <c r="CT453" s="186">
        <v>-221283.58</v>
      </c>
      <c r="CU453" s="186">
        <v>-251478.85</v>
      </c>
      <c r="CV453" s="430">
        <f t="shared" si="18"/>
        <v>-2866860.65</v>
      </c>
    </row>
    <row r="454" spans="1:100">
      <c r="A454" s="463" t="s">
        <v>1301</v>
      </c>
      <c r="B454" s="56"/>
      <c r="C454" s="56"/>
      <c r="D454" s="430">
        <v>-87247.01</v>
      </c>
      <c r="E454" s="430">
        <v>-96255.7</v>
      </c>
      <c r="F454" s="430">
        <v>-92056.61</v>
      </c>
      <c r="G454" s="430">
        <v>-89213.83</v>
      </c>
      <c r="H454" s="430">
        <v>-77492.5</v>
      </c>
      <c r="I454" s="430">
        <v>-61370.03</v>
      </c>
      <c r="J454" s="430">
        <v>-83041.899999999994</v>
      </c>
      <c r="K454" s="430">
        <v>-63714.47</v>
      </c>
      <c r="L454" s="430">
        <v>-66933.72</v>
      </c>
      <c r="M454" s="430">
        <v>-65930.600000000006</v>
      </c>
      <c r="N454" s="430">
        <v>-55364.42</v>
      </c>
      <c r="O454" s="430">
        <v>-84632.61</v>
      </c>
      <c r="P454" s="52">
        <v>-87423.9</v>
      </c>
      <c r="Q454" s="52">
        <v>-89152.35</v>
      </c>
      <c r="R454" s="52">
        <v>-84691.04</v>
      </c>
      <c r="S454" s="52">
        <v>-80392.259999999995</v>
      </c>
      <c r="T454" s="52">
        <v>-72940.820000000007</v>
      </c>
      <c r="U454" s="52">
        <v>-61978.98</v>
      </c>
      <c r="V454" s="52">
        <v>-67374.3</v>
      </c>
      <c r="W454" s="52">
        <v>-65541.210000000006</v>
      </c>
      <c r="X454" s="52">
        <v>-64531.85</v>
      </c>
      <c r="Y454" s="52">
        <v>-67554.8</v>
      </c>
      <c r="Z454" s="52">
        <v>-55547.86</v>
      </c>
      <c r="AA454" s="52">
        <v>-85259.37</v>
      </c>
      <c r="AB454" s="52">
        <v>-83397.03</v>
      </c>
      <c r="AC454" s="52">
        <v>-83231.009999999995</v>
      </c>
      <c r="AD454" s="52">
        <v>-101891.83</v>
      </c>
      <c r="AE454" s="186">
        <v>-82907.240000000005</v>
      </c>
      <c r="AF454" s="186">
        <v>-74399.78</v>
      </c>
      <c r="AG454" s="186">
        <v>-88287.29</v>
      </c>
      <c r="AH454" s="186">
        <v>-71623.55</v>
      </c>
      <c r="AI454" s="186">
        <v>-67213.05</v>
      </c>
      <c r="AJ454" s="186">
        <v>-66750.03</v>
      </c>
      <c r="AK454" s="186">
        <v>-72295.350000000006</v>
      </c>
      <c r="AL454" s="186">
        <v>-72659.210000000006</v>
      </c>
      <c r="AM454" s="186">
        <v>-77624.399999999994</v>
      </c>
      <c r="AN454" s="186">
        <v>-59316.46</v>
      </c>
      <c r="AO454" s="186">
        <v>-151333.35999999999</v>
      </c>
      <c r="AP454" s="186">
        <v>-128907.76</v>
      </c>
      <c r="AQ454" s="186">
        <v>-124259.41</v>
      </c>
      <c r="AR454" s="186">
        <v>-124490.84</v>
      </c>
      <c r="AS454" s="186">
        <v>-113303.96</v>
      </c>
      <c r="AT454" s="186">
        <v>-96809.73</v>
      </c>
      <c r="AU454" s="186">
        <v>-85436.47</v>
      </c>
      <c r="AV454" s="186">
        <v>-58089.18</v>
      </c>
      <c r="AW454" s="186">
        <v>-87568.86</v>
      </c>
      <c r="AX454" s="186">
        <v>-92341.759999999995</v>
      </c>
      <c r="AY454" s="186">
        <v>-100712.94</v>
      </c>
      <c r="AZ454" s="186">
        <v>-136915.21</v>
      </c>
      <c r="BA454" s="186">
        <v>-152350.26</v>
      </c>
      <c r="BB454" s="186">
        <v>-135306.41</v>
      </c>
      <c r="BC454" s="186">
        <v>-120362.92</v>
      </c>
      <c r="BD454" s="186">
        <v>-107479.67999999999</v>
      </c>
      <c r="BE454" s="186">
        <v>-108178.03</v>
      </c>
      <c r="BF454" s="186">
        <v>-81021.48</v>
      </c>
      <c r="BG454" s="186">
        <v>-93145.66</v>
      </c>
      <c r="BH454" s="186">
        <v>-93797.8</v>
      </c>
      <c r="BI454" s="186">
        <v>-92860.57</v>
      </c>
      <c r="BJ454" s="186">
        <v>-92318.16</v>
      </c>
      <c r="BK454" s="186">
        <v>-102418.29</v>
      </c>
      <c r="BL454" s="186">
        <v>-122474.71</v>
      </c>
      <c r="BM454" s="186">
        <v>-104745.17</v>
      </c>
      <c r="BN454" s="186">
        <v>-101191.82</v>
      </c>
      <c r="BO454" s="186">
        <v>-90192.52</v>
      </c>
      <c r="BP454" s="186">
        <v>-95436.56</v>
      </c>
      <c r="BQ454" s="186">
        <v>-81788.81</v>
      </c>
      <c r="BR454" s="186">
        <v>-79095.179999999993</v>
      </c>
      <c r="BS454" s="186">
        <v>-82562.100000000006</v>
      </c>
      <c r="BT454" s="186">
        <v>-80215.199999999997</v>
      </c>
      <c r="BU454" s="186">
        <v>-78789.2</v>
      </c>
      <c r="BV454" s="186">
        <v>-75675.8</v>
      </c>
      <c r="BW454" s="186">
        <v>-86066.92</v>
      </c>
      <c r="BX454" s="186">
        <v>-109351.41</v>
      </c>
      <c r="BY454" s="186">
        <v>-96150.71</v>
      </c>
      <c r="BZ454" s="186">
        <v>-95243.34</v>
      </c>
      <c r="CA454" s="186">
        <v>-125154.01</v>
      </c>
      <c r="CB454" s="186">
        <v>-125404.42</v>
      </c>
      <c r="CC454" s="186">
        <v>-118230.31</v>
      </c>
      <c r="CD454" s="186">
        <v>-111280.65</v>
      </c>
      <c r="CE454" s="186">
        <v>-107101.89</v>
      </c>
      <c r="CF454" s="186">
        <v>-77071.8</v>
      </c>
      <c r="CG454" s="186">
        <v>-100031.24</v>
      </c>
      <c r="CH454" s="186">
        <v>-96374.31</v>
      </c>
      <c r="CI454" s="186">
        <v>-96654.77</v>
      </c>
      <c r="CJ454" s="186">
        <v>-119228.77</v>
      </c>
      <c r="CK454" s="186">
        <v>-130606.05</v>
      </c>
      <c r="CL454" s="186">
        <v>-133259.43</v>
      </c>
      <c r="CM454" s="186">
        <v>-103588.7</v>
      </c>
      <c r="CN454" s="186">
        <v>-116765.87</v>
      </c>
      <c r="CO454" s="186">
        <v>-114304.89</v>
      </c>
      <c r="CP454" s="186">
        <v>-88348.87</v>
      </c>
      <c r="CQ454" s="186">
        <v>-97463.65</v>
      </c>
      <c r="CR454" s="186">
        <v>-98512.4</v>
      </c>
      <c r="CS454" s="186">
        <v>-86061.9</v>
      </c>
      <c r="CT454" s="186">
        <v>-95425.25</v>
      </c>
      <c r="CU454" s="186">
        <v>-112683.27</v>
      </c>
      <c r="CV454" s="430">
        <f t="shared" si="18"/>
        <v>-1296249.05</v>
      </c>
    </row>
    <row r="455" spans="1:100">
      <c r="A455" s="463" t="s">
        <v>1302</v>
      </c>
      <c r="B455" s="56"/>
      <c r="C455" s="56"/>
      <c r="D455" s="430">
        <v>-421018.33</v>
      </c>
      <c r="E455" s="430">
        <v>-475784.35</v>
      </c>
      <c r="F455" s="430">
        <v>-471211.45</v>
      </c>
      <c r="G455" s="430">
        <v>-437964.28</v>
      </c>
      <c r="H455" s="430">
        <v>-424133.32</v>
      </c>
      <c r="I455" s="430">
        <v>-470602.64</v>
      </c>
      <c r="J455" s="430">
        <v>-426526.2</v>
      </c>
      <c r="K455" s="430">
        <v>-528085.31999999995</v>
      </c>
      <c r="L455" s="430">
        <v>-442374.06</v>
      </c>
      <c r="M455" s="430">
        <v>-479358.86</v>
      </c>
      <c r="N455" s="430">
        <v>-443372.39</v>
      </c>
      <c r="O455" s="430">
        <v>-416299.14</v>
      </c>
      <c r="P455" s="52">
        <v>-439447.39</v>
      </c>
      <c r="Q455" s="52">
        <v>-469614.67</v>
      </c>
      <c r="R455" s="52">
        <v>-449307.58</v>
      </c>
      <c r="S455" s="52">
        <v>-421529.28</v>
      </c>
      <c r="T455" s="52">
        <v>-449271.15</v>
      </c>
      <c r="U455" s="52">
        <v>-442903.77</v>
      </c>
      <c r="V455" s="52">
        <v>-432348.32</v>
      </c>
      <c r="W455" s="52">
        <v>-442745.94</v>
      </c>
      <c r="X455" s="52">
        <v>-407370.4</v>
      </c>
      <c r="Y455" s="52">
        <v>-435476.32</v>
      </c>
      <c r="Z455" s="52">
        <v>-421043.35</v>
      </c>
      <c r="AA455" s="52">
        <v>-400128.89</v>
      </c>
      <c r="AB455" s="52">
        <v>-409264.1</v>
      </c>
      <c r="AC455" s="52">
        <v>-423491.46</v>
      </c>
      <c r="AD455" s="52">
        <v>-461614.33</v>
      </c>
      <c r="AE455" s="186">
        <v>-424678.35</v>
      </c>
      <c r="AF455" s="186">
        <v>-331902.67</v>
      </c>
      <c r="AG455" s="186">
        <v>-419044.02</v>
      </c>
      <c r="AH455" s="186">
        <v>-434678.74</v>
      </c>
      <c r="AI455" s="186">
        <v>-433429.26</v>
      </c>
      <c r="AJ455" s="186">
        <v>-399914.12</v>
      </c>
      <c r="AK455" s="186">
        <v>-399405.89</v>
      </c>
      <c r="AL455" s="186">
        <v>-432082.57</v>
      </c>
      <c r="AM455" s="186">
        <v>-390446.5</v>
      </c>
      <c r="AN455" s="186">
        <v>-243411.03</v>
      </c>
      <c r="AO455" s="186">
        <v>-294177.68</v>
      </c>
      <c r="AP455" s="186">
        <v>-413394.35</v>
      </c>
      <c r="AQ455" s="186">
        <v>-388846</v>
      </c>
      <c r="AR455" s="186">
        <v>-467178.26</v>
      </c>
      <c r="AS455" s="186">
        <v>-476988.71</v>
      </c>
      <c r="AT455" s="186">
        <v>-423292.12</v>
      </c>
      <c r="AU455" s="186">
        <v>-456877.53</v>
      </c>
      <c r="AV455" s="186">
        <v>-301884.12</v>
      </c>
      <c r="AW455" s="186">
        <v>-413744.41</v>
      </c>
      <c r="AX455" s="186">
        <v>-409031.17</v>
      </c>
      <c r="AY455" s="186">
        <v>-391010.03</v>
      </c>
      <c r="AZ455" s="186">
        <v>-412890.3</v>
      </c>
      <c r="BA455" s="186">
        <v>-408954.67</v>
      </c>
      <c r="BB455" s="186">
        <v>-463208.14</v>
      </c>
      <c r="BC455" s="186">
        <v>-445235.3</v>
      </c>
      <c r="BD455" s="186">
        <v>-446894.71</v>
      </c>
      <c r="BE455" s="186">
        <v>-456228.17</v>
      </c>
      <c r="BF455" s="186">
        <v>-458310.96</v>
      </c>
      <c r="BG455" s="186">
        <v>-486360.24</v>
      </c>
      <c r="BH455" s="186">
        <v>-383708.17</v>
      </c>
      <c r="BI455" s="186">
        <v>-384461.23</v>
      </c>
      <c r="BJ455" s="186">
        <v>-442561.62</v>
      </c>
      <c r="BK455" s="186">
        <v>-393228.36</v>
      </c>
      <c r="BL455" s="186">
        <v>-472429.47</v>
      </c>
      <c r="BM455" s="186">
        <v>-482821.29</v>
      </c>
      <c r="BN455" s="186">
        <v>-506963.34</v>
      </c>
      <c r="BO455" s="186">
        <v>-466686.79</v>
      </c>
      <c r="BP455" s="186">
        <v>-499074.3</v>
      </c>
      <c r="BQ455" s="186">
        <v>-464094.94</v>
      </c>
      <c r="BR455" s="186">
        <v>-482937.84</v>
      </c>
      <c r="BS455" s="186">
        <v>-487254.71</v>
      </c>
      <c r="BT455" s="186">
        <v>-417003.1</v>
      </c>
      <c r="BU455" s="186">
        <v>-479483.97</v>
      </c>
      <c r="BV455" s="186">
        <v>-436085.34</v>
      </c>
      <c r="BW455" s="186">
        <v>-435804.28</v>
      </c>
      <c r="BX455" s="186">
        <v>-423268.57</v>
      </c>
      <c r="BY455" s="186">
        <v>-439073.36</v>
      </c>
      <c r="BZ455" s="186">
        <v>-426433.48</v>
      </c>
      <c r="CA455" s="186">
        <v>-335965.89</v>
      </c>
      <c r="CB455" s="186">
        <v>-322862.14</v>
      </c>
      <c r="CC455" s="186">
        <v>-374424.28</v>
      </c>
      <c r="CD455" s="186">
        <v>-404832.37</v>
      </c>
      <c r="CE455" s="186">
        <v>-376759.39</v>
      </c>
      <c r="CF455" s="186">
        <v>-405163.74</v>
      </c>
      <c r="CG455" s="186">
        <v>-444455.97</v>
      </c>
      <c r="CH455" s="186">
        <v>-397134.71</v>
      </c>
      <c r="CI455" s="186">
        <v>-447280.97</v>
      </c>
      <c r="CJ455" s="186">
        <v>-462238.48</v>
      </c>
      <c r="CK455" s="186">
        <v>-475986.49</v>
      </c>
      <c r="CL455" s="186">
        <v>-163632.63</v>
      </c>
      <c r="CM455" s="186">
        <v>-501173.7</v>
      </c>
      <c r="CN455" s="186">
        <v>-430484.34</v>
      </c>
      <c r="CO455" s="186">
        <v>-551564.22</v>
      </c>
      <c r="CP455" s="186">
        <v>-494371.1</v>
      </c>
      <c r="CQ455" s="186">
        <v>-534344.15</v>
      </c>
      <c r="CR455" s="186">
        <v>-504454.05</v>
      </c>
      <c r="CS455" s="186">
        <v>-524164.94</v>
      </c>
      <c r="CT455" s="186">
        <v>-503053.13</v>
      </c>
      <c r="CU455" s="186">
        <v>-494807.79</v>
      </c>
      <c r="CV455" s="430">
        <f t="shared" si="18"/>
        <v>-5640275.0200000005</v>
      </c>
    </row>
    <row r="456" spans="1:100">
      <c r="A456" s="463" t="s">
        <v>1303</v>
      </c>
      <c r="B456" s="56"/>
      <c r="C456" s="56"/>
      <c r="D456" s="430">
        <v>-11943251.99</v>
      </c>
      <c r="E456" s="430">
        <v>-10535694.85</v>
      </c>
      <c r="F456" s="430">
        <v>-10405118.189999999</v>
      </c>
      <c r="G456" s="430">
        <v>-9980002.3599999994</v>
      </c>
      <c r="H456" s="430">
        <v>-9022179.2599999998</v>
      </c>
      <c r="I456" s="430">
        <v>-9318419.4700000007</v>
      </c>
      <c r="J456" s="430">
        <v>-8772751.5</v>
      </c>
      <c r="K456" s="430">
        <v>-8512452.6300000008</v>
      </c>
      <c r="L456" s="430">
        <v>-9075950.3399999999</v>
      </c>
      <c r="M456" s="430">
        <v>-9025448.5399999991</v>
      </c>
      <c r="N456" s="430">
        <v>-9509783.5299999993</v>
      </c>
      <c r="O456" s="430">
        <v>-10406120.18</v>
      </c>
      <c r="P456" s="52">
        <v>-11819909.710000001</v>
      </c>
      <c r="Q456" s="52">
        <v>-11140707.640000001</v>
      </c>
      <c r="R456" s="52">
        <v>-11365728.9</v>
      </c>
      <c r="S456" s="52">
        <v>-9904956.1400000006</v>
      </c>
      <c r="T456" s="52">
        <v>-8871982.8300000001</v>
      </c>
      <c r="U456" s="52">
        <v>-9680302.2699999996</v>
      </c>
      <c r="V456" s="52">
        <v>-9090107.0899999999</v>
      </c>
      <c r="W456" s="52">
        <v>-9414621.6999999993</v>
      </c>
      <c r="X456" s="52">
        <v>-9058762.7200000007</v>
      </c>
      <c r="Y456" s="52">
        <v>-9403565.7400000002</v>
      </c>
      <c r="Z456" s="52">
        <v>-9662872.7799999993</v>
      </c>
      <c r="AA456" s="52">
        <v>-10843337.43</v>
      </c>
      <c r="AB456" s="52">
        <v>-12585990.960000001</v>
      </c>
      <c r="AC456" s="52">
        <v>-12141245.85</v>
      </c>
      <c r="AD456" s="52">
        <v>-11341708.26</v>
      </c>
      <c r="AE456" s="186">
        <v>-10204189.99</v>
      </c>
      <c r="AF456" s="186">
        <v>-9205342.7400000002</v>
      </c>
      <c r="AG456" s="186">
        <v>-9869249.0800000001</v>
      </c>
      <c r="AH456" s="186">
        <v>-9837700.5299999993</v>
      </c>
      <c r="AI456" s="186">
        <v>-9134831.5299999993</v>
      </c>
      <c r="AJ456" s="186">
        <v>-9747761.8599999994</v>
      </c>
      <c r="AK456" s="186">
        <v>-9423413.6300000008</v>
      </c>
      <c r="AL456" s="186">
        <v>-10353763.59</v>
      </c>
      <c r="AM456" s="186">
        <v>-11479965.49</v>
      </c>
      <c r="AN456" s="186">
        <v>-12140407.439999999</v>
      </c>
      <c r="AO456" s="186">
        <v>-10869644.689999999</v>
      </c>
      <c r="AP456" s="186">
        <v>-11213314.75</v>
      </c>
      <c r="AQ456" s="186">
        <v>-11244187.710000001</v>
      </c>
      <c r="AR456" s="186">
        <v>-10297020.970000001</v>
      </c>
      <c r="AS456" s="186">
        <v>-10046835.949999999</v>
      </c>
      <c r="AT456" s="186">
        <v>-9682893.75</v>
      </c>
      <c r="AU456" s="186">
        <v>-9801278.1999999993</v>
      </c>
      <c r="AV456" s="186">
        <v>-9992110.3200000003</v>
      </c>
      <c r="AW456" s="186">
        <v>-9514300.2899999991</v>
      </c>
      <c r="AX456" s="186">
        <v>-10419917.73</v>
      </c>
      <c r="AY456" s="186">
        <v>-11878946.57</v>
      </c>
      <c r="AZ456" s="186">
        <v>-13550003.609999999</v>
      </c>
      <c r="BA456" s="186">
        <v>-11770843.25</v>
      </c>
      <c r="BB456" s="186">
        <v>-11442781.119999999</v>
      </c>
      <c r="BC456" s="186">
        <v>-12168870.01</v>
      </c>
      <c r="BD456" s="186">
        <v>-10438936.16</v>
      </c>
      <c r="BE456" s="186">
        <v>-10476016.75</v>
      </c>
      <c r="BF456" s="186">
        <v>-10212484.289999999</v>
      </c>
      <c r="BG456" s="186">
        <v>-9872127.1799999997</v>
      </c>
      <c r="BH456" s="186">
        <v>-10431592.560000001</v>
      </c>
      <c r="BI456" s="186">
        <v>-9919669.3599999994</v>
      </c>
      <c r="BJ456" s="186">
        <v>-10599696.67</v>
      </c>
      <c r="BK456" s="186">
        <v>-11963777.710000001</v>
      </c>
      <c r="BL456" s="186">
        <v>-12357374.34</v>
      </c>
      <c r="BM456" s="186">
        <v>-11134893.68</v>
      </c>
      <c r="BN456" s="186">
        <v>-12250981.83</v>
      </c>
      <c r="BO456" s="186">
        <v>-10795399.65</v>
      </c>
      <c r="BP456" s="186">
        <v>-10834442.310000001</v>
      </c>
      <c r="BQ456" s="186">
        <v>-9817906.3200000003</v>
      </c>
      <c r="BR456" s="186">
        <v>-9654589.8100000005</v>
      </c>
      <c r="BS456" s="186">
        <v>-9648147.1799999997</v>
      </c>
      <c r="BT456" s="186">
        <v>-9890476.5999999996</v>
      </c>
      <c r="BU456" s="186">
        <v>-9912051.3599999994</v>
      </c>
      <c r="BV456" s="186">
        <v>-11241012.220000001</v>
      </c>
      <c r="BW456" s="186">
        <v>-11551435.51</v>
      </c>
      <c r="BX456" s="186">
        <v>-12667609.789999999</v>
      </c>
      <c r="BY456" s="186">
        <v>-11769647.039999999</v>
      </c>
      <c r="BZ456" s="186">
        <v>-11410547.52</v>
      </c>
      <c r="CA456" s="186">
        <v>-8805524.9199999999</v>
      </c>
      <c r="CB456" s="186">
        <v>-8621919.9199999999</v>
      </c>
      <c r="CC456" s="186">
        <v>-9427528.4800000004</v>
      </c>
      <c r="CD456" s="186">
        <v>-9195331.5399999991</v>
      </c>
      <c r="CE456" s="186">
        <v>-9283169.9600000009</v>
      </c>
      <c r="CF456" s="186">
        <v>-9174239.25</v>
      </c>
      <c r="CG456" s="186">
        <v>-9704281.8599999994</v>
      </c>
      <c r="CH456" s="186">
        <v>-10364671.24</v>
      </c>
      <c r="CI456" s="186">
        <v>-11738883.960000001</v>
      </c>
      <c r="CJ456" s="186">
        <v>-15958239.76</v>
      </c>
      <c r="CK456" s="186">
        <v>-13425716.07</v>
      </c>
      <c r="CL456" s="186">
        <v>-14168557.68</v>
      </c>
      <c r="CM456" s="186">
        <v>-14182676.550000001</v>
      </c>
      <c r="CN456" s="186">
        <v>-12699279.65</v>
      </c>
      <c r="CO456" s="186">
        <v>-12576186.130000001</v>
      </c>
      <c r="CP456" s="186">
        <v>-12501449.189999999</v>
      </c>
      <c r="CQ456" s="186">
        <v>-11703410.25</v>
      </c>
      <c r="CR456" s="186">
        <v>-12284261.43</v>
      </c>
      <c r="CS456" s="186">
        <v>-12188227.25</v>
      </c>
      <c r="CT456" s="186">
        <v>-13099671.1</v>
      </c>
      <c r="CU456" s="186">
        <v>-14977732.189999999</v>
      </c>
      <c r="CV456" s="430">
        <f t="shared" si="18"/>
        <v>-159765407.25</v>
      </c>
    </row>
    <row r="457" spans="1:100">
      <c r="A457" s="463" t="s">
        <v>1304</v>
      </c>
      <c r="B457" s="56"/>
      <c r="C457" s="56"/>
      <c r="D457" s="430">
        <v>-28854.44</v>
      </c>
      <c r="E457" s="430">
        <v>-27854.44</v>
      </c>
      <c r="F457" s="430">
        <v>-25854.44</v>
      </c>
      <c r="G457" s="430">
        <v>-100541.83</v>
      </c>
      <c r="H457" s="430">
        <v>-25854.44</v>
      </c>
      <c r="I457" s="430">
        <v>-25854.44</v>
      </c>
      <c r="J457" s="430">
        <v>-28854.44</v>
      </c>
      <c r="K457" s="430">
        <v>-25854.44</v>
      </c>
      <c r="L457" s="430">
        <v>-25854.44</v>
      </c>
      <c r="M457" s="430">
        <v>-25854.44</v>
      </c>
      <c r="N457" s="430">
        <v>-25854.44</v>
      </c>
      <c r="O457" s="430">
        <v>-28854.44</v>
      </c>
      <c r="P457" s="52">
        <v>-26138.27</v>
      </c>
      <c r="Q457" s="52">
        <v>-27959.439999999999</v>
      </c>
      <c r="R457" s="52">
        <v>-25954.44</v>
      </c>
      <c r="S457" s="52">
        <v>-25854.44</v>
      </c>
      <c r="T457" s="52">
        <v>-99736.98</v>
      </c>
      <c r="U457" s="52">
        <v>-28954.44</v>
      </c>
      <c r="V457" s="52">
        <v>-25954.44</v>
      </c>
      <c r="W457" s="52">
        <v>-25797.64</v>
      </c>
      <c r="X457" s="52">
        <v>-19784.2</v>
      </c>
      <c r="Y457" s="52">
        <v>-19784.2</v>
      </c>
      <c r="Z457" s="52">
        <v>-19784.2</v>
      </c>
      <c r="AA457" s="52">
        <v>-19784.2</v>
      </c>
      <c r="AB457" s="52">
        <v>-22588.06</v>
      </c>
      <c r="AC457" s="52">
        <v>-19784.2</v>
      </c>
      <c r="AD457" s="52">
        <v>-19784.2</v>
      </c>
      <c r="AE457" s="186">
        <v>-28123.84</v>
      </c>
      <c r="AF457" s="186">
        <v>-103826.86</v>
      </c>
      <c r="AG457" s="186">
        <v>-19784.2</v>
      </c>
      <c r="AH457" s="186">
        <v>-29522.55</v>
      </c>
      <c r="AI457" s="186">
        <v>-26718.82</v>
      </c>
      <c r="AJ457" s="186">
        <v>-26718.82</v>
      </c>
      <c r="AK457" s="186">
        <v>-26718.82</v>
      </c>
      <c r="AL457" s="186">
        <v>-29522.560000000001</v>
      </c>
      <c r="AM457" s="186">
        <v>-26718.83</v>
      </c>
      <c r="AN457" s="186">
        <v>-27918.83</v>
      </c>
      <c r="AO457" s="186">
        <v>-28718.83</v>
      </c>
      <c r="AP457" s="186">
        <v>-30690.080000000002</v>
      </c>
      <c r="AQ457" s="186">
        <v>-26718.83</v>
      </c>
      <c r="AR457" s="186">
        <v>-110589.11</v>
      </c>
      <c r="AS457" s="186">
        <v>-26718.83</v>
      </c>
      <c r="AT457" s="186">
        <v>-22494.26</v>
      </c>
      <c r="AU457" s="186">
        <v>-19690.53</v>
      </c>
      <c r="AV457" s="186">
        <v>-19690.53</v>
      </c>
      <c r="AW457" s="186">
        <v>-19690.53</v>
      </c>
      <c r="AX457" s="186">
        <v>-22494.26</v>
      </c>
      <c r="AY457" s="186">
        <v>-19690.53</v>
      </c>
      <c r="AZ457" s="186">
        <v>-19690.53</v>
      </c>
      <c r="BA457" s="186">
        <v>-19690.53</v>
      </c>
      <c r="BB457" s="186">
        <v>-20048.310000000001</v>
      </c>
      <c r="BC457" s="186">
        <v>-19690.53</v>
      </c>
      <c r="BD457" s="186">
        <v>-103196.03</v>
      </c>
      <c r="BE457" s="186">
        <v>-22494.26</v>
      </c>
      <c r="BF457" s="186">
        <v>-19690.53</v>
      </c>
      <c r="BG457" s="186">
        <v>-19690.53</v>
      </c>
      <c r="BH457" s="186">
        <v>-19690.53</v>
      </c>
      <c r="BI457" s="186">
        <v>-19690.53</v>
      </c>
      <c r="BJ457" s="186">
        <v>-19690.53</v>
      </c>
      <c r="BK457" s="186">
        <v>-19690.53</v>
      </c>
      <c r="BL457" s="186">
        <v>-12637.26</v>
      </c>
      <c r="BM457" s="186">
        <v>-9684</v>
      </c>
      <c r="BN457" s="186">
        <v>-7889.79</v>
      </c>
      <c r="BO457" s="186">
        <v>-7684</v>
      </c>
      <c r="BP457" s="186">
        <v>-7684</v>
      </c>
      <c r="BQ457" s="186">
        <v>-109746.03</v>
      </c>
      <c r="BR457" s="186">
        <v>-7684</v>
      </c>
      <c r="BS457" s="186">
        <v>-11635.46</v>
      </c>
      <c r="BT457" s="186">
        <v>-7684</v>
      </c>
      <c r="BU457" s="186">
        <v>-7684</v>
      </c>
      <c r="BV457" s="186">
        <v>-7684</v>
      </c>
      <c r="BW457" s="186">
        <v>-7684</v>
      </c>
      <c r="BX457" s="186">
        <v>-10487.73</v>
      </c>
      <c r="BY457" s="186">
        <v>-9684</v>
      </c>
      <c r="BZ457" s="186">
        <v>-7684</v>
      </c>
      <c r="CA457" s="186">
        <v>-7684</v>
      </c>
      <c r="CB457" s="186">
        <v>-114225.55</v>
      </c>
      <c r="CC457" s="186">
        <v>-7684</v>
      </c>
      <c r="CD457" s="186">
        <v>-10487.73</v>
      </c>
      <c r="CE457" s="186">
        <v>-7684</v>
      </c>
      <c r="CF457" s="186">
        <v>-7684</v>
      </c>
      <c r="CG457" s="186">
        <v>-7684</v>
      </c>
      <c r="CH457" s="186">
        <v>-7684</v>
      </c>
      <c r="CI457" s="186">
        <v>-7684</v>
      </c>
      <c r="CJ457" s="186">
        <v>-10487.73</v>
      </c>
      <c r="CK457" s="186">
        <v>-9684</v>
      </c>
      <c r="CL457" s="186">
        <v>-7684</v>
      </c>
      <c r="CM457" s="186">
        <v>-7684</v>
      </c>
      <c r="CN457" s="186">
        <v>-116215.81</v>
      </c>
      <c r="CO457" s="186">
        <v>-7684</v>
      </c>
      <c r="CP457" s="186">
        <v>-10487.74</v>
      </c>
      <c r="CQ457" s="186">
        <v>-7684</v>
      </c>
      <c r="CR457" s="186">
        <v>-7684</v>
      </c>
      <c r="CS457" s="186">
        <v>-7684</v>
      </c>
      <c r="CT457" s="186">
        <v>-7684</v>
      </c>
      <c r="CU457" s="186">
        <v>-7684</v>
      </c>
      <c r="CV457" s="430">
        <f t="shared" si="18"/>
        <v>-208347.27999999997</v>
      </c>
    </row>
    <row r="458" spans="1:100">
      <c r="A458" s="463" t="s">
        <v>1305</v>
      </c>
      <c r="B458" s="56"/>
      <c r="C458" s="56"/>
      <c r="D458" s="430">
        <v>-4331727.76</v>
      </c>
      <c r="E458" s="430">
        <v>-5088541.9400000004</v>
      </c>
      <c r="F458" s="430">
        <v>-4839596.66</v>
      </c>
      <c r="G458" s="430">
        <v>-3370319.14</v>
      </c>
      <c r="H458" s="430">
        <v>-2792235.35</v>
      </c>
      <c r="I458" s="430">
        <v>-2677450.9700000002</v>
      </c>
      <c r="J458" s="430">
        <v>-2479842.3199999998</v>
      </c>
      <c r="K458" s="430">
        <v>-2343138.2400000002</v>
      </c>
      <c r="L458" s="430">
        <v>-2482034.56</v>
      </c>
      <c r="M458" s="430">
        <v>-2951548.24</v>
      </c>
      <c r="N458" s="430">
        <v>-2941154.39</v>
      </c>
      <c r="O458" s="430">
        <v>-3931951.7</v>
      </c>
      <c r="P458" s="52">
        <v>-4586536.8499999996</v>
      </c>
      <c r="Q458" s="52">
        <v>-4865614.3899999997</v>
      </c>
      <c r="R458" s="52">
        <v>-4895260.4800000004</v>
      </c>
      <c r="S458" s="52">
        <v>-3543651.96</v>
      </c>
      <c r="T458" s="52">
        <v>-2780710.77</v>
      </c>
      <c r="U458" s="52">
        <v>-2874032.88</v>
      </c>
      <c r="V458" s="52">
        <v>-3582661.22</v>
      </c>
      <c r="W458" s="52">
        <v>-2445385.94</v>
      </c>
      <c r="X458" s="52">
        <v>-2937118.23</v>
      </c>
      <c r="Y458" s="52">
        <v>-3085639.66</v>
      </c>
      <c r="Z458" s="52">
        <v>-3094127.28</v>
      </c>
      <c r="AA458" s="52">
        <v>-3634861.11</v>
      </c>
      <c r="AB458" s="52">
        <v>-4366929.8</v>
      </c>
      <c r="AC458" s="52">
        <v>-5756465.5</v>
      </c>
      <c r="AD458" s="52">
        <v>-4318152.78</v>
      </c>
      <c r="AE458" s="186">
        <v>-3392567.99</v>
      </c>
      <c r="AF458" s="186">
        <v>-3439816.9</v>
      </c>
      <c r="AG458" s="186">
        <v>-2841544.13</v>
      </c>
      <c r="AH458" s="186">
        <v>-2719152.99</v>
      </c>
      <c r="AI458" s="186">
        <v>-2443479.5099999998</v>
      </c>
      <c r="AJ458" s="186">
        <v>-2608560.4</v>
      </c>
      <c r="AK458" s="186">
        <v>-3112556.58</v>
      </c>
      <c r="AL458" s="186">
        <v>-2955341.35</v>
      </c>
      <c r="AM458" s="186">
        <v>-3683225.77</v>
      </c>
      <c r="AN458" s="186">
        <v>-4231725.46</v>
      </c>
      <c r="AO458" s="186">
        <v>-4180954.37</v>
      </c>
      <c r="AP458" s="186">
        <v>-3653266.39</v>
      </c>
      <c r="AQ458" s="186">
        <v>-3939952.78</v>
      </c>
      <c r="AR458" s="186">
        <v>-3085901.99</v>
      </c>
      <c r="AS458" s="186">
        <v>-2806333.22</v>
      </c>
      <c r="AT458" s="186">
        <v>-2542884.15</v>
      </c>
      <c r="AU458" s="186">
        <v>-2600483.89</v>
      </c>
      <c r="AV458" s="186">
        <v>-2698235.25</v>
      </c>
      <c r="AW458" s="186">
        <v>-2700629.84</v>
      </c>
      <c r="AX458" s="186">
        <v>-3194243.31</v>
      </c>
      <c r="AY458" s="186">
        <v>-4154754.7</v>
      </c>
      <c r="AZ458" s="186">
        <v>-6100424.8600000003</v>
      </c>
      <c r="BA458" s="186">
        <v>-5441539.4299999997</v>
      </c>
      <c r="BB458" s="186">
        <v>-5103745.08</v>
      </c>
      <c r="BC458" s="186">
        <v>-5263194.91</v>
      </c>
      <c r="BD458" s="186">
        <v>-4475518.4000000004</v>
      </c>
      <c r="BE458" s="186">
        <v>-4057171.95</v>
      </c>
      <c r="BF458" s="186">
        <v>-3735562.38</v>
      </c>
      <c r="BG458" s="186">
        <v>-3462575.71</v>
      </c>
      <c r="BH458" s="186">
        <v>-3830705.31</v>
      </c>
      <c r="BI458" s="186">
        <v>-4020081.88</v>
      </c>
      <c r="BJ458" s="186">
        <v>-3948227.06</v>
      </c>
      <c r="BK458" s="186">
        <v>-5530039.8799999999</v>
      </c>
      <c r="BL458" s="186">
        <v>-6087032.2999999998</v>
      </c>
      <c r="BM458" s="186">
        <v>-5960967.25</v>
      </c>
      <c r="BN458" s="186">
        <v>-5491310.5300000003</v>
      </c>
      <c r="BO458" s="186">
        <v>-4477421.43</v>
      </c>
      <c r="BP458" s="186">
        <v>-4127854</v>
      </c>
      <c r="BQ458" s="186">
        <v>-3639905.69</v>
      </c>
      <c r="BR458" s="186">
        <v>-3492498.57</v>
      </c>
      <c r="BS458" s="186">
        <v>-3948963.8399999999</v>
      </c>
      <c r="BT458" s="186">
        <v>-4139904.29</v>
      </c>
      <c r="BU458" s="186">
        <v>-4225190.59</v>
      </c>
      <c r="BV458" s="186">
        <v>-4619205.33</v>
      </c>
      <c r="BW458" s="186">
        <v>-6212634.5199999996</v>
      </c>
      <c r="BX458" s="186">
        <v>-6898108.9299999997</v>
      </c>
      <c r="BY458" s="186">
        <v>-6793191.4800000004</v>
      </c>
      <c r="BZ458" s="186">
        <v>-6167630.1600000001</v>
      </c>
      <c r="CA458" s="186">
        <v>-4748576.43</v>
      </c>
      <c r="CB458" s="186">
        <v>-4214475.5599999996</v>
      </c>
      <c r="CC458" s="186">
        <v>-4136227.8</v>
      </c>
      <c r="CD458" s="186">
        <v>-4029209.34</v>
      </c>
      <c r="CE458" s="186">
        <v>-3933859.04</v>
      </c>
      <c r="CF458" s="186">
        <v>-3975864.29</v>
      </c>
      <c r="CG458" s="186">
        <v>-4086632.02</v>
      </c>
      <c r="CH458" s="186">
        <v>-4699066.3099999996</v>
      </c>
      <c r="CI458" s="186">
        <v>-6185044.9000000004</v>
      </c>
      <c r="CJ458" s="186">
        <v>-6351352.71</v>
      </c>
      <c r="CK458" s="186">
        <v>-6868284.4800000004</v>
      </c>
      <c r="CL458" s="186">
        <v>-3985881.85</v>
      </c>
      <c r="CM458" s="186">
        <v>-4781500.72</v>
      </c>
      <c r="CN458" s="186">
        <v>-4019908.06</v>
      </c>
      <c r="CO458" s="186">
        <v>-3749141.62</v>
      </c>
      <c r="CP458" s="186">
        <v>-3831829.94</v>
      </c>
      <c r="CQ458" s="186">
        <v>-3456704.16</v>
      </c>
      <c r="CR458" s="186">
        <v>-3459908.84</v>
      </c>
      <c r="CS458" s="186">
        <v>-3716736.47</v>
      </c>
      <c r="CT458" s="186">
        <v>-4769155.41</v>
      </c>
      <c r="CU458" s="186">
        <v>-5290079.79</v>
      </c>
      <c r="CV458" s="430">
        <f t="shared" si="18"/>
        <v>-54280484.050000004</v>
      </c>
    </row>
    <row r="459" spans="1:100">
      <c r="A459" s="463" t="s">
        <v>1306</v>
      </c>
      <c r="B459" s="56"/>
      <c r="C459" s="56"/>
      <c r="D459" s="430">
        <v>0</v>
      </c>
      <c r="E459" s="430">
        <v>0</v>
      </c>
      <c r="F459" s="430">
        <v>0</v>
      </c>
      <c r="G459" s="430">
        <v>0</v>
      </c>
      <c r="H459" s="430">
        <v>0</v>
      </c>
      <c r="I459" s="430">
        <v>0</v>
      </c>
      <c r="J459" s="430">
        <v>74947.5</v>
      </c>
      <c r="K459" s="430">
        <v>-74945.52</v>
      </c>
      <c r="L459" s="430">
        <v>-1.98</v>
      </c>
      <c r="M459" s="430">
        <v>0</v>
      </c>
      <c r="N459" s="430">
        <v>0</v>
      </c>
      <c r="O459" s="430">
        <v>0</v>
      </c>
      <c r="P459" s="52">
        <v>0</v>
      </c>
      <c r="Q459" s="52">
        <v>0</v>
      </c>
      <c r="R459" s="52">
        <v>0</v>
      </c>
      <c r="S459" s="52">
        <v>0</v>
      </c>
      <c r="T459" s="52">
        <v>0</v>
      </c>
      <c r="U459" s="52">
        <v>0</v>
      </c>
      <c r="V459" s="52">
        <v>0</v>
      </c>
      <c r="W459" s="52">
        <v>0</v>
      </c>
      <c r="X459" s="52">
        <v>0</v>
      </c>
      <c r="Y459" s="52">
        <v>0</v>
      </c>
      <c r="Z459" s="52">
        <v>0</v>
      </c>
      <c r="AA459" s="52">
        <v>0</v>
      </c>
      <c r="AB459" s="52">
        <v>0</v>
      </c>
      <c r="AC459" s="52">
        <v>0</v>
      </c>
      <c r="AD459" s="52">
        <v>0</v>
      </c>
      <c r="AE459" s="186">
        <v>0</v>
      </c>
      <c r="AF459" s="186">
        <v>0</v>
      </c>
      <c r="AG459" s="186">
        <v>0</v>
      </c>
      <c r="AH459" s="186">
        <v>0</v>
      </c>
      <c r="AI459" s="186">
        <v>0</v>
      </c>
      <c r="AJ459" s="186">
        <v>0</v>
      </c>
      <c r="AK459" s="186">
        <v>0</v>
      </c>
      <c r="AL459" s="186">
        <v>0</v>
      </c>
      <c r="AM459" s="186">
        <v>0</v>
      </c>
      <c r="AN459" s="186">
        <v>0</v>
      </c>
      <c r="AO459" s="186">
        <v>0</v>
      </c>
      <c r="AP459" s="186">
        <v>0</v>
      </c>
      <c r="AQ459" s="186">
        <v>0</v>
      </c>
      <c r="AR459" s="186">
        <v>0</v>
      </c>
      <c r="AS459" s="186">
        <v>0</v>
      </c>
      <c r="AT459" s="186">
        <v>0</v>
      </c>
      <c r="AU459" s="186">
        <v>0</v>
      </c>
      <c r="AV459" s="186">
        <v>0</v>
      </c>
      <c r="AW459" s="186">
        <v>0</v>
      </c>
      <c r="AX459" s="186">
        <v>0</v>
      </c>
      <c r="AY459" s="186">
        <v>0</v>
      </c>
      <c r="AZ459" s="186">
        <v>0</v>
      </c>
      <c r="BA459" s="186">
        <v>0</v>
      </c>
      <c r="BB459" s="186">
        <v>0</v>
      </c>
      <c r="BC459" s="186">
        <v>0</v>
      </c>
      <c r="BD459" s="186">
        <v>0</v>
      </c>
      <c r="BE459" s="186">
        <v>0</v>
      </c>
      <c r="BF459" s="186">
        <v>0</v>
      </c>
      <c r="BG459" s="186">
        <v>0</v>
      </c>
      <c r="BH459" s="186">
        <v>0</v>
      </c>
      <c r="BI459" s="186">
        <v>0</v>
      </c>
      <c r="BJ459" s="186">
        <v>0</v>
      </c>
      <c r="BK459" s="186">
        <v>0</v>
      </c>
      <c r="BL459" s="186">
        <v>0</v>
      </c>
      <c r="BM459" s="186">
        <v>0</v>
      </c>
      <c r="BN459" s="186">
        <v>0</v>
      </c>
      <c r="BO459" s="186">
        <v>0</v>
      </c>
      <c r="BP459" s="186">
        <v>0</v>
      </c>
      <c r="BQ459" s="186">
        <v>0</v>
      </c>
      <c r="BR459" s="186">
        <v>0</v>
      </c>
      <c r="BS459" s="186">
        <v>0</v>
      </c>
      <c r="BT459" s="186">
        <v>0</v>
      </c>
      <c r="BU459" s="186">
        <v>0</v>
      </c>
      <c r="BV459" s="186">
        <v>0</v>
      </c>
      <c r="BW459" s="186">
        <v>0</v>
      </c>
      <c r="BX459" s="186">
        <v>0</v>
      </c>
      <c r="BY459" s="186">
        <v>0</v>
      </c>
      <c r="BZ459" s="186">
        <v>0</v>
      </c>
      <c r="CA459" s="186">
        <v>0</v>
      </c>
      <c r="CB459" s="186">
        <v>0</v>
      </c>
      <c r="CC459" s="186">
        <v>0</v>
      </c>
      <c r="CD459" s="186">
        <v>0</v>
      </c>
      <c r="CE459" s="186">
        <v>0</v>
      </c>
      <c r="CF459" s="186">
        <v>0</v>
      </c>
      <c r="CG459" s="186">
        <v>0</v>
      </c>
      <c r="CH459" s="186">
        <v>0</v>
      </c>
      <c r="CI459" s="186">
        <v>0</v>
      </c>
      <c r="CJ459" s="186">
        <v>0</v>
      </c>
      <c r="CK459" s="186">
        <v>0</v>
      </c>
      <c r="CL459" s="186">
        <v>0</v>
      </c>
      <c r="CM459" s="186">
        <v>0</v>
      </c>
      <c r="CN459" s="186">
        <v>0</v>
      </c>
      <c r="CO459" s="186">
        <v>0</v>
      </c>
      <c r="CP459" s="186">
        <v>0</v>
      </c>
      <c r="CQ459" s="186">
        <v>0</v>
      </c>
      <c r="CR459" s="186">
        <v>0</v>
      </c>
      <c r="CS459" s="186">
        <v>0</v>
      </c>
      <c r="CT459" s="186">
        <v>0</v>
      </c>
      <c r="CU459" s="186">
        <v>0</v>
      </c>
      <c r="CV459" s="430">
        <f t="shared" si="18"/>
        <v>0</v>
      </c>
    </row>
    <row r="460" spans="1:100">
      <c r="A460" s="463" t="s">
        <v>1307</v>
      </c>
      <c r="B460" s="56"/>
      <c r="C460" s="56"/>
      <c r="D460" s="430">
        <v>12561571.85</v>
      </c>
      <c r="E460" s="430">
        <v>6525416.46</v>
      </c>
      <c r="F460" s="430">
        <v>7250975.8399999999</v>
      </c>
      <c r="G460" s="430">
        <v>7128382.2400000002</v>
      </c>
      <c r="H460" s="430">
        <v>6245636.2699999996</v>
      </c>
      <c r="I460" s="430">
        <v>3116198.03</v>
      </c>
      <c r="J460" s="430">
        <v>4962776.37</v>
      </c>
      <c r="K460" s="430">
        <v>7684991.5</v>
      </c>
      <c r="L460" s="430">
        <v>5434003.0199999996</v>
      </c>
      <c r="M460" s="430">
        <v>6346878.1699999999</v>
      </c>
      <c r="N460" s="430">
        <v>10634548.01</v>
      </c>
      <c r="O460" s="430">
        <v>6160228.0499999998</v>
      </c>
      <c r="P460" s="52">
        <v>8516626.5299999993</v>
      </c>
      <c r="Q460" s="52">
        <v>9700009.5899999999</v>
      </c>
      <c r="R460" s="52">
        <v>4424630.05</v>
      </c>
      <c r="S460" s="52">
        <v>7167658.9199999999</v>
      </c>
      <c r="T460" s="52">
        <v>4326192.88</v>
      </c>
      <c r="U460" s="52">
        <v>6143972.9100000001</v>
      </c>
      <c r="V460" s="52">
        <v>5895266.9000000004</v>
      </c>
      <c r="W460" s="52">
        <v>6492080.8399999999</v>
      </c>
      <c r="X460" s="52">
        <v>6109691.0599999996</v>
      </c>
      <c r="Y460" s="52">
        <v>7203265.4199999999</v>
      </c>
      <c r="Z460" s="52">
        <v>9511810.8699999992</v>
      </c>
      <c r="AA460" s="52">
        <v>4842061.9800000004</v>
      </c>
      <c r="AB460" s="52">
        <v>10754382.890000001</v>
      </c>
      <c r="AC460" s="52">
        <v>8124951.2599999998</v>
      </c>
      <c r="AD460" s="52">
        <v>6507188.2199999997</v>
      </c>
      <c r="AE460" s="186">
        <v>7908919.5800000001</v>
      </c>
      <c r="AF460" s="186">
        <v>5359402.57</v>
      </c>
      <c r="AG460" s="186">
        <v>6279826.1200000001</v>
      </c>
      <c r="AH460" s="186">
        <v>10737105.75</v>
      </c>
      <c r="AI460" s="186">
        <v>10268790.210000001</v>
      </c>
      <c r="AJ460" s="186">
        <v>8985528.2699999996</v>
      </c>
      <c r="AK460" s="186">
        <v>9930860.6899999995</v>
      </c>
      <c r="AL460" s="186">
        <v>5622708.7199999997</v>
      </c>
      <c r="AM460" s="186">
        <v>6114464.9400000004</v>
      </c>
      <c r="AN460" s="186">
        <v>7533935.1900000004</v>
      </c>
      <c r="AO460" s="186">
        <v>4453391.84</v>
      </c>
      <c r="AP460" s="186">
        <v>7294468.54</v>
      </c>
      <c r="AQ460" s="186">
        <v>6927062.9800000004</v>
      </c>
      <c r="AR460" s="186">
        <v>7675566.0300000003</v>
      </c>
      <c r="AS460" s="186">
        <v>6117128.9699999997</v>
      </c>
      <c r="AT460" s="186">
        <v>7357064.2400000002</v>
      </c>
      <c r="AU460" s="186">
        <v>12863912.109999999</v>
      </c>
      <c r="AV460" s="186">
        <v>10089367.199999999</v>
      </c>
      <c r="AW460" s="186">
        <v>7178549.3700000001</v>
      </c>
      <c r="AX460" s="186">
        <v>6545528.5</v>
      </c>
      <c r="AY460" s="186">
        <v>9699036.0299999993</v>
      </c>
      <c r="AZ460" s="186">
        <v>15644864.970000001</v>
      </c>
      <c r="BA460" s="186">
        <v>5340727.6399999997</v>
      </c>
      <c r="BB460" s="186">
        <v>6277782.7800000003</v>
      </c>
      <c r="BC460" s="186">
        <v>4881971.83</v>
      </c>
      <c r="BD460" s="186">
        <v>6533494.5800000001</v>
      </c>
      <c r="BE460" s="186">
        <v>8650777.0500000007</v>
      </c>
      <c r="BF460" s="186">
        <v>10374290.039999999</v>
      </c>
      <c r="BG460" s="186">
        <v>7852549.0999999996</v>
      </c>
      <c r="BH460" s="186">
        <v>9175129.9100000001</v>
      </c>
      <c r="BI460" s="186">
        <v>12800433.609999999</v>
      </c>
      <c r="BJ460" s="186">
        <v>12417507.609999999</v>
      </c>
      <c r="BK460" s="186">
        <v>11340818.380000001</v>
      </c>
      <c r="BL460" s="186">
        <v>10920258.68</v>
      </c>
      <c r="BM460" s="186">
        <v>4818164.2699999996</v>
      </c>
      <c r="BN460" s="186">
        <v>7024273.3099999996</v>
      </c>
      <c r="BO460" s="186">
        <v>5787609.75</v>
      </c>
      <c r="BP460" s="186">
        <v>7248887.9800000004</v>
      </c>
      <c r="BQ460" s="186">
        <v>4712578.1900000004</v>
      </c>
      <c r="BR460" s="186">
        <v>4977853.0599999996</v>
      </c>
      <c r="BS460" s="186">
        <v>5261662.51</v>
      </c>
      <c r="BT460" s="186">
        <v>7537296.2599999998</v>
      </c>
      <c r="BU460" s="186">
        <v>7709685.6900000004</v>
      </c>
      <c r="BV460" s="186">
        <v>6504167.6900000004</v>
      </c>
      <c r="BW460" s="186">
        <v>6526098.8200000003</v>
      </c>
      <c r="BX460" s="186">
        <v>7351025.9699999997</v>
      </c>
      <c r="BY460" s="186">
        <v>4675986.6900000004</v>
      </c>
      <c r="BZ460" s="186">
        <v>3131403.68</v>
      </c>
      <c r="CA460" s="186">
        <v>2638311.52</v>
      </c>
      <c r="CB460" s="186">
        <v>4375377.1399999997</v>
      </c>
      <c r="CC460" s="186">
        <v>3988040.85</v>
      </c>
      <c r="CD460" s="186">
        <v>4361384.07</v>
      </c>
      <c r="CE460" s="186">
        <v>3454869.17</v>
      </c>
      <c r="CF460" s="186">
        <v>2864851.99</v>
      </c>
      <c r="CG460" s="186">
        <v>4298261.6399999997</v>
      </c>
      <c r="CH460" s="186">
        <v>5328723.91</v>
      </c>
      <c r="CI460" s="186">
        <v>8902538.5500000007</v>
      </c>
      <c r="CJ460" s="186">
        <v>8180694.8799999999</v>
      </c>
      <c r="CK460" s="186">
        <v>11970322.49</v>
      </c>
      <c r="CL460" s="186">
        <v>7246725.5599999996</v>
      </c>
      <c r="CM460" s="186">
        <v>3201611.55</v>
      </c>
      <c r="CN460" s="186">
        <v>3044400.33</v>
      </c>
      <c r="CO460" s="186">
        <v>4855418.79</v>
      </c>
      <c r="CP460" s="186">
        <v>4740323.63</v>
      </c>
      <c r="CQ460" s="186">
        <v>4761484.3899999997</v>
      </c>
      <c r="CR460" s="186">
        <v>5479365.6699999999</v>
      </c>
      <c r="CS460" s="186">
        <v>12614259.33</v>
      </c>
      <c r="CT460" s="186">
        <v>12119689.630000001</v>
      </c>
      <c r="CU460" s="186">
        <v>6485793.3399999999</v>
      </c>
      <c r="CV460" s="430">
        <f t="shared" si="18"/>
        <v>84700089.590000004</v>
      </c>
    </row>
    <row r="461" spans="1:100">
      <c r="A461" s="463" t="s">
        <v>1308</v>
      </c>
      <c r="B461" s="56"/>
      <c r="C461" s="56"/>
      <c r="D461" s="430">
        <v>5639514.71</v>
      </c>
      <c r="E461" s="430">
        <v>5164240.18</v>
      </c>
      <c r="F461" s="430">
        <v>5572105.29</v>
      </c>
      <c r="G461" s="430">
        <v>5108472.4400000004</v>
      </c>
      <c r="H461" s="430">
        <v>3949891.1</v>
      </c>
      <c r="I461" s="430">
        <v>2985779.54</v>
      </c>
      <c r="J461" s="430">
        <v>3199602.32</v>
      </c>
      <c r="K461" s="430">
        <v>3216054.54</v>
      </c>
      <c r="L461" s="430">
        <v>3181092.1</v>
      </c>
      <c r="M461" s="430">
        <v>4836985.97</v>
      </c>
      <c r="N461" s="430">
        <v>5473371.0800000001</v>
      </c>
      <c r="O461" s="430">
        <v>5233601.82</v>
      </c>
      <c r="P461" s="52">
        <v>6400077.0199999996</v>
      </c>
      <c r="Q461" s="52">
        <v>6300292.3200000003</v>
      </c>
      <c r="R461" s="52">
        <v>6794940.2300000004</v>
      </c>
      <c r="S461" s="52">
        <v>5750568.9000000004</v>
      </c>
      <c r="T461" s="52">
        <v>4527268.83</v>
      </c>
      <c r="U461" s="52">
        <v>2892504.28</v>
      </c>
      <c r="V461" s="52">
        <v>4037598.81</v>
      </c>
      <c r="W461" s="52">
        <v>4036045.53</v>
      </c>
      <c r="X461" s="52">
        <v>4055244.95</v>
      </c>
      <c r="Y461" s="52">
        <v>5479602.5199999996</v>
      </c>
      <c r="Z461" s="52">
        <v>6529393.1399999997</v>
      </c>
      <c r="AA461" s="52">
        <v>5964121.4800000004</v>
      </c>
      <c r="AB461" s="52">
        <v>5508918.25</v>
      </c>
      <c r="AC461" s="52">
        <v>5904060.8700000001</v>
      </c>
      <c r="AD461" s="52">
        <v>6617774.8799999999</v>
      </c>
      <c r="AE461" s="186">
        <v>5651778.71</v>
      </c>
      <c r="AF461" s="186">
        <v>3798936</v>
      </c>
      <c r="AG461" s="186">
        <v>3295648.4</v>
      </c>
      <c r="AH461" s="186">
        <v>2923828.14</v>
      </c>
      <c r="AI461" s="186">
        <v>3252988.88</v>
      </c>
      <c r="AJ461" s="186">
        <v>3795277.86</v>
      </c>
      <c r="AK461" s="186">
        <v>5673789.9900000002</v>
      </c>
      <c r="AL461" s="186">
        <v>6164743.8399999999</v>
      </c>
      <c r="AM461" s="186">
        <v>5734177.8700000001</v>
      </c>
      <c r="AN461" s="186">
        <v>6091709.2599999998</v>
      </c>
      <c r="AO461" s="186">
        <v>5806917.71</v>
      </c>
      <c r="AP461" s="186">
        <v>6264563.6399999997</v>
      </c>
      <c r="AQ461" s="186">
        <v>5745309.9699999997</v>
      </c>
      <c r="AR461" s="186">
        <v>4441659.24</v>
      </c>
      <c r="AS461" s="186">
        <v>4320316.16</v>
      </c>
      <c r="AT461" s="186">
        <v>5288490.95</v>
      </c>
      <c r="AU461" s="186">
        <v>4874658.04</v>
      </c>
      <c r="AV461" s="186">
        <v>4702938.42</v>
      </c>
      <c r="AW461" s="186">
        <v>6315693.0700000003</v>
      </c>
      <c r="AX461" s="186">
        <v>6885306.9900000002</v>
      </c>
      <c r="AY461" s="186">
        <v>6953115.9100000001</v>
      </c>
      <c r="AZ461" s="186">
        <v>7450511.25</v>
      </c>
      <c r="BA461" s="186">
        <v>5405755.8099999996</v>
      </c>
      <c r="BB461" s="186">
        <v>7079580.0199999996</v>
      </c>
      <c r="BC461" s="186">
        <v>5553699.1699999999</v>
      </c>
      <c r="BD461" s="186">
        <v>5190895.4000000004</v>
      </c>
      <c r="BE461" s="186">
        <v>4844459.96</v>
      </c>
      <c r="BF461" s="186">
        <v>5002186.0199999996</v>
      </c>
      <c r="BG461" s="186">
        <v>4742570.3099999996</v>
      </c>
      <c r="BH461" s="186">
        <v>4599171.3899999997</v>
      </c>
      <c r="BI461" s="186">
        <v>6596462.3799999999</v>
      </c>
      <c r="BJ461" s="186">
        <v>7857688.54</v>
      </c>
      <c r="BK461" s="186">
        <v>7652151.7699999996</v>
      </c>
      <c r="BL461" s="186">
        <v>6837538.9400000004</v>
      </c>
      <c r="BM461" s="186">
        <v>6544615.7599999998</v>
      </c>
      <c r="BN461" s="186">
        <v>6760335.04</v>
      </c>
      <c r="BO461" s="186">
        <v>5770035.0999999996</v>
      </c>
      <c r="BP461" s="186">
        <v>4445931.78</v>
      </c>
      <c r="BQ461" s="186">
        <v>3977453.81</v>
      </c>
      <c r="BR461" s="186">
        <v>4689146.51</v>
      </c>
      <c r="BS461" s="186">
        <v>4952073.71</v>
      </c>
      <c r="BT461" s="186">
        <v>4909703.74</v>
      </c>
      <c r="BU461" s="186">
        <v>6342647.2699999996</v>
      </c>
      <c r="BV461" s="186">
        <v>7502900.8600000003</v>
      </c>
      <c r="BW461" s="186">
        <v>7019581.8700000001</v>
      </c>
      <c r="BX461" s="186">
        <v>6281796.8799999999</v>
      </c>
      <c r="BY461" s="186">
        <v>5977920.4900000002</v>
      </c>
      <c r="BZ461" s="186">
        <v>7512091.0899999999</v>
      </c>
      <c r="CA461" s="186">
        <v>5949777.6299999999</v>
      </c>
      <c r="CB461" s="186">
        <v>4520520.3600000003</v>
      </c>
      <c r="CC461" s="186">
        <v>4749436.8</v>
      </c>
      <c r="CD461" s="186">
        <v>4787878.3899999997</v>
      </c>
      <c r="CE461" s="186">
        <v>5936683.1299999999</v>
      </c>
      <c r="CF461" s="186">
        <v>5349042.1500000004</v>
      </c>
      <c r="CG461" s="186">
        <v>7252677.9299999997</v>
      </c>
      <c r="CH461" s="186">
        <v>8395195.4199999999</v>
      </c>
      <c r="CI461" s="186">
        <v>8301268.0300000003</v>
      </c>
      <c r="CJ461" s="186">
        <v>8654356.9499999993</v>
      </c>
      <c r="CK461" s="186">
        <v>7083952.8099999996</v>
      </c>
      <c r="CL461" s="186">
        <v>9557116.3499999996</v>
      </c>
      <c r="CM461" s="186">
        <v>6965657.5300000003</v>
      </c>
      <c r="CN461" s="186">
        <v>6756863.3600000003</v>
      </c>
      <c r="CO461" s="186">
        <v>6227929.1500000004</v>
      </c>
      <c r="CP461" s="186">
        <v>5878221.7699999996</v>
      </c>
      <c r="CQ461" s="186">
        <v>6385843.3600000003</v>
      </c>
      <c r="CR461" s="186">
        <v>6528674.5800000001</v>
      </c>
      <c r="CS461" s="186">
        <v>8435647.3499999996</v>
      </c>
      <c r="CT461" s="186">
        <v>9234809.6999999993</v>
      </c>
      <c r="CU461" s="186">
        <v>10046836.35</v>
      </c>
      <c r="CV461" s="430">
        <f t="shared" si="18"/>
        <v>91755909.25999999</v>
      </c>
    </row>
    <row r="462" spans="1:100">
      <c r="A462" s="463" t="s">
        <v>1309</v>
      </c>
      <c r="B462" s="56"/>
      <c r="C462" s="56"/>
      <c r="D462" s="430">
        <v>679383</v>
      </c>
      <c r="E462" s="430">
        <v>5018688</v>
      </c>
      <c r="F462" s="430">
        <v>-819317</v>
      </c>
      <c r="G462" s="430">
        <v>1884531</v>
      </c>
      <c r="H462" s="430">
        <v>-2014284</v>
      </c>
      <c r="I462" s="430">
        <v>1920123</v>
      </c>
      <c r="J462" s="430">
        <v>763900.05</v>
      </c>
      <c r="K462" s="430">
        <v>189368</v>
      </c>
      <c r="L462" s="430">
        <v>-269930</v>
      </c>
      <c r="M462" s="430">
        <v>-1989265</v>
      </c>
      <c r="N462" s="430">
        <v>-5688623</v>
      </c>
      <c r="O462" s="430">
        <v>2439540.9</v>
      </c>
      <c r="P462" s="52">
        <v>822357</v>
      </c>
      <c r="Q462" s="52">
        <v>-524157</v>
      </c>
      <c r="R462" s="52">
        <v>1640691</v>
      </c>
      <c r="S462" s="52">
        <v>-1672434</v>
      </c>
      <c r="T462" s="52">
        <v>-496279</v>
      </c>
      <c r="U462" s="52">
        <v>2294075</v>
      </c>
      <c r="V462" s="52">
        <v>-1214409</v>
      </c>
      <c r="W462" s="52">
        <v>480856</v>
      </c>
      <c r="X462" s="52">
        <v>-421956</v>
      </c>
      <c r="Y462" s="52">
        <v>-2416207</v>
      </c>
      <c r="Z462" s="52">
        <v>-2314895</v>
      </c>
      <c r="AA462" s="52">
        <v>-249974.01</v>
      </c>
      <c r="AB462" s="52">
        <v>942318</v>
      </c>
      <c r="AC462" s="52">
        <v>4960838</v>
      </c>
      <c r="AD462" s="52">
        <v>1555564</v>
      </c>
      <c r="AE462" s="186">
        <v>710094</v>
      </c>
      <c r="AF462" s="186">
        <v>1525026</v>
      </c>
      <c r="AG462" s="186">
        <v>1904894</v>
      </c>
      <c r="AH462" s="186">
        <v>1196792</v>
      </c>
      <c r="AI462" s="186">
        <v>767312</v>
      </c>
      <c r="AJ462" s="186">
        <v>-541211</v>
      </c>
      <c r="AK462" s="186">
        <v>-2740969</v>
      </c>
      <c r="AL462" s="186">
        <v>-2889321</v>
      </c>
      <c r="AM462" s="186">
        <v>-482580.06</v>
      </c>
      <c r="AN462" s="186">
        <v>464212</v>
      </c>
      <c r="AO462" s="186">
        <v>3133204</v>
      </c>
      <c r="AP462" s="186">
        <v>-3512801</v>
      </c>
      <c r="AQ462" s="186">
        <v>954400</v>
      </c>
      <c r="AR462" s="186">
        <v>5631</v>
      </c>
      <c r="AS462" s="186">
        <v>-928000</v>
      </c>
      <c r="AT462" s="186">
        <v>-1188769</v>
      </c>
      <c r="AU462" s="186">
        <v>-1203702</v>
      </c>
      <c r="AV462" s="186">
        <v>1187742</v>
      </c>
      <c r="AW462" s="186">
        <v>-3418268</v>
      </c>
      <c r="AX462" s="186">
        <v>-1209484</v>
      </c>
      <c r="AY462" s="186">
        <v>674723</v>
      </c>
      <c r="AZ462" s="186">
        <v>5219016</v>
      </c>
      <c r="BA462" s="186">
        <v>6154483</v>
      </c>
      <c r="BB462" s="186">
        <v>-2687877</v>
      </c>
      <c r="BC462" s="186">
        <v>3642970</v>
      </c>
      <c r="BD462" s="186">
        <v>-137378</v>
      </c>
      <c r="BE462" s="186">
        <v>464262</v>
      </c>
      <c r="BF462" s="186">
        <v>124713</v>
      </c>
      <c r="BG462" s="186">
        <v>-422436</v>
      </c>
      <c r="BH462" s="186">
        <v>496539</v>
      </c>
      <c r="BI462" s="186">
        <v>-3086396</v>
      </c>
      <c r="BJ462" s="186">
        <v>-6321984</v>
      </c>
      <c r="BK462" s="186">
        <v>-3245669.72</v>
      </c>
      <c r="BL462" s="186">
        <v>1746712</v>
      </c>
      <c r="BM462" s="186">
        <v>3391969</v>
      </c>
      <c r="BN462" s="186">
        <v>1035531</v>
      </c>
      <c r="BO462" s="186">
        <v>2917021</v>
      </c>
      <c r="BP462" s="186">
        <v>2402818</v>
      </c>
      <c r="BQ462" s="186">
        <v>1040195</v>
      </c>
      <c r="BR462" s="186">
        <v>141162</v>
      </c>
      <c r="BS462" s="186">
        <v>-1576330</v>
      </c>
      <c r="BT462" s="186">
        <v>517518</v>
      </c>
      <c r="BU462" s="186">
        <v>-2632582</v>
      </c>
      <c r="BV462" s="186">
        <v>-2335633</v>
      </c>
      <c r="BW462" s="186">
        <v>1095920</v>
      </c>
      <c r="BX462" s="186">
        <v>3379908</v>
      </c>
      <c r="BY462" s="186">
        <v>3035687</v>
      </c>
      <c r="BZ462" s="186">
        <v>1210082</v>
      </c>
      <c r="CA462" s="186">
        <v>627746</v>
      </c>
      <c r="CB462" s="186">
        <v>-536907</v>
      </c>
      <c r="CC462" s="186">
        <v>599375</v>
      </c>
      <c r="CD462" s="186">
        <v>-584864</v>
      </c>
      <c r="CE462" s="186">
        <v>-2509697</v>
      </c>
      <c r="CF462" s="186">
        <v>-804568</v>
      </c>
      <c r="CG462" s="186">
        <v>-4016394</v>
      </c>
      <c r="CH462" s="186">
        <v>-3496243</v>
      </c>
      <c r="CI462" s="186">
        <v>-785190.97</v>
      </c>
      <c r="CJ462" s="186">
        <v>3626639</v>
      </c>
      <c r="CK462" s="186">
        <v>-2541111</v>
      </c>
      <c r="CL462" s="186">
        <v>-1306764</v>
      </c>
      <c r="CM462" s="186">
        <v>3821598</v>
      </c>
      <c r="CN462" s="186">
        <v>395754</v>
      </c>
      <c r="CO462" s="186">
        <v>-783525</v>
      </c>
      <c r="CP462" s="186">
        <v>310670</v>
      </c>
      <c r="CQ462" s="186">
        <v>-1010873</v>
      </c>
      <c r="CR462" s="186">
        <v>-1505757</v>
      </c>
      <c r="CS462" s="186">
        <v>-7716553</v>
      </c>
      <c r="CT462" s="186">
        <v>-7792165</v>
      </c>
      <c r="CU462" s="186">
        <v>482154</v>
      </c>
      <c r="CV462" s="430">
        <f t="shared" si="18"/>
        <v>-14019933</v>
      </c>
    </row>
    <row r="463" spans="1:100">
      <c r="A463" s="463" t="s">
        <v>1310</v>
      </c>
      <c r="B463" s="56"/>
      <c r="C463" s="56"/>
      <c r="D463" s="430">
        <v>0</v>
      </c>
      <c r="E463" s="430">
        <v>0</v>
      </c>
      <c r="F463" s="430">
        <v>0</v>
      </c>
      <c r="G463" s="430">
        <v>0</v>
      </c>
      <c r="H463" s="430">
        <v>206496.21</v>
      </c>
      <c r="I463" s="430">
        <v>0</v>
      </c>
      <c r="J463" s="430">
        <v>349195.48</v>
      </c>
      <c r="K463" s="430">
        <v>39558.47</v>
      </c>
      <c r="L463" s="430">
        <v>0</v>
      </c>
      <c r="M463" s="430">
        <v>155416.06</v>
      </c>
      <c r="N463" s="430">
        <v>0</v>
      </c>
      <c r="O463" s="430">
        <v>371458.58</v>
      </c>
      <c r="P463" s="52">
        <v>0</v>
      </c>
      <c r="Q463" s="52">
        <v>0</v>
      </c>
      <c r="R463" s="52">
        <v>0</v>
      </c>
      <c r="S463" s="52">
        <v>0</v>
      </c>
      <c r="T463" s="52">
        <v>0</v>
      </c>
      <c r="U463" s="52">
        <v>175914.65</v>
      </c>
      <c r="V463" s="52">
        <v>0</v>
      </c>
      <c r="W463" s="52">
        <v>87282.54</v>
      </c>
      <c r="X463" s="52">
        <v>0</v>
      </c>
      <c r="Y463" s="52">
        <v>0</v>
      </c>
      <c r="Z463" s="52">
        <v>39701.15</v>
      </c>
      <c r="AA463" s="52">
        <v>76364.31</v>
      </c>
      <c r="AB463" s="52">
        <v>41648.54</v>
      </c>
      <c r="AC463" s="52">
        <v>0</v>
      </c>
      <c r="AD463" s="52">
        <v>0</v>
      </c>
      <c r="AE463" s="186">
        <v>52144.2</v>
      </c>
      <c r="AF463" s="186">
        <v>0</v>
      </c>
      <c r="AG463" s="186">
        <v>0</v>
      </c>
      <c r="AH463" s="186">
        <v>16602.21</v>
      </c>
      <c r="AI463" s="186">
        <v>-451024.81</v>
      </c>
      <c r="AJ463" s="186">
        <v>0</v>
      </c>
      <c r="AK463" s="186">
        <v>73195.289999999994</v>
      </c>
      <c r="AL463" s="186">
        <v>0</v>
      </c>
      <c r="AM463" s="186">
        <v>160586.42000000001</v>
      </c>
      <c r="AN463" s="186">
        <v>43578.22</v>
      </c>
      <c r="AO463" s="186">
        <v>0</v>
      </c>
      <c r="AP463" s="186">
        <v>164510.85999999999</v>
      </c>
      <c r="AQ463" s="186">
        <v>0</v>
      </c>
      <c r="AR463" s="186">
        <v>0</v>
      </c>
      <c r="AS463" s="186">
        <v>0</v>
      </c>
      <c r="AT463" s="186">
        <v>122030.6</v>
      </c>
      <c r="AU463" s="186">
        <v>0</v>
      </c>
      <c r="AV463" s="186">
        <v>354485.92</v>
      </c>
      <c r="AW463" s="186">
        <v>0</v>
      </c>
      <c r="AX463" s="186">
        <v>0</v>
      </c>
      <c r="AY463" s="186">
        <v>0</v>
      </c>
      <c r="AZ463" s="186">
        <v>0</v>
      </c>
      <c r="BA463" s="186">
        <v>0</v>
      </c>
      <c r="BB463" s="186">
        <v>0</v>
      </c>
      <c r="BC463" s="186">
        <v>0</v>
      </c>
      <c r="BD463" s="186">
        <v>0</v>
      </c>
      <c r="BE463" s="186">
        <v>0</v>
      </c>
      <c r="BF463" s="186">
        <v>0</v>
      </c>
      <c r="BG463" s="186">
        <v>0</v>
      </c>
      <c r="BH463" s="186">
        <v>0</v>
      </c>
      <c r="BI463" s="186">
        <v>0</v>
      </c>
      <c r="BJ463" s="186">
        <v>0</v>
      </c>
      <c r="BK463" s="186">
        <v>0</v>
      </c>
      <c r="BL463" s="186">
        <v>0</v>
      </c>
      <c r="BM463" s="186">
        <v>0</v>
      </c>
      <c r="BN463" s="186">
        <v>0</v>
      </c>
      <c r="BO463" s="186">
        <v>0</v>
      </c>
      <c r="BP463" s="186">
        <v>0</v>
      </c>
      <c r="BQ463" s="186">
        <v>0</v>
      </c>
      <c r="BR463" s="186">
        <v>0</v>
      </c>
      <c r="BS463" s="186">
        <v>0</v>
      </c>
      <c r="BT463" s="186">
        <v>0</v>
      </c>
      <c r="BU463" s="186">
        <v>0</v>
      </c>
      <c r="BV463" s="186">
        <v>0</v>
      </c>
      <c r="BW463" s="186">
        <v>0</v>
      </c>
      <c r="BX463" s="186">
        <v>0</v>
      </c>
      <c r="BY463" s="186">
        <v>0</v>
      </c>
      <c r="BZ463" s="186">
        <v>0</v>
      </c>
      <c r="CA463" s="186">
        <v>0</v>
      </c>
      <c r="CB463" s="186">
        <v>0</v>
      </c>
      <c r="CC463" s="186">
        <v>0</v>
      </c>
      <c r="CD463" s="186">
        <v>0</v>
      </c>
      <c r="CE463" s="186">
        <v>0</v>
      </c>
      <c r="CF463" s="186">
        <v>0</v>
      </c>
      <c r="CG463" s="186">
        <v>0</v>
      </c>
      <c r="CH463" s="186">
        <v>0</v>
      </c>
      <c r="CI463" s="186">
        <v>0</v>
      </c>
      <c r="CJ463" s="186">
        <v>0</v>
      </c>
      <c r="CK463" s="186">
        <v>0</v>
      </c>
      <c r="CL463" s="186">
        <v>0</v>
      </c>
      <c r="CM463" s="186">
        <v>0</v>
      </c>
      <c r="CN463" s="186">
        <v>0</v>
      </c>
      <c r="CO463" s="186">
        <v>0</v>
      </c>
      <c r="CP463" s="186">
        <v>0</v>
      </c>
      <c r="CQ463" s="186">
        <v>0</v>
      </c>
      <c r="CR463" s="186">
        <v>0</v>
      </c>
      <c r="CS463" s="186">
        <v>0</v>
      </c>
      <c r="CT463" s="186">
        <v>0</v>
      </c>
      <c r="CU463" s="186">
        <v>131045.66</v>
      </c>
      <c r="CV463" s="430">
        <f t="shared" si="18"/>
        <v>131045.66</v>
      </c>
    </row>
    <row r="464" spans="1:100">
      <c r="A464" s="463" t="s">
        <v>1311</v>
      </c>
      <c r="B464" s="56"/>
      <c r="C464" s="56"/>
      <c r="D464" s="430">
        <v>0</v>
      </c>
      <c r="E464" s="430">
        <v>0</v>
      </c>
      <c r="F464" s="430">
        <v>0</v>
      </c>
      <c r="G464" s="430">
        <v>0</v>
      </c>
      <c r="H464" s="430">
        <v>-880730.91</v>
      </c>
      <c r="I464" s="430">
        <v>-241393.98</v>
      </c>
      <c r="J464" s="430">
        <v>0</v>
      </c>
      <c r="K464" s="430">
        <v>0</v>
      </c>
      <c r="L464" s="430">
        <v>0</v>
      </c>
      <c r="M464" s="430">
        <v>0</v>
      </c>
      <c r="N464" s="430">
        <v>0</v>
      </c>
      <c r="O464" s="430">
        <v>0</v>
      </c>
      <c r="P464" s="52">
        <v>0</v>
      </c>
      <c r="Q464" s="52">
        <v>-126382.67</v>
      </c>
      <c r="R464" s="52">
        <v>-80.209999999999994</v>
      </c>
      <c r="S464" s="52">
        <v>-176894.55</v>
      </c>
      <c r="T464" s="52">
        <v>-24863.17</v>
      </c>
      <c r="U464" s="52">
        <v>0</v>
      </c>
      <c r="V464" s="52">
        <v>-123030.41</v>
      </c>
      <c r="W464" s="52">
        <v>0</v>
      </c>
      <c r="X464" s="52">
        <v>-86637.61</v>
      </c>
      <c r="Y464" s="52">
        <v>0</v>
      </c>
      <c r="Z464" s="52">
        <v>0</v>
      </c>
      <c r="AA464" s="52">
        <v>0</v>
      </c>
      <c r="AB464" s="52">
        <v>0</v>
      </c>
      <c r="AC464" s="52">
        <v>-24313</v>
      </c>
      <c r="AD464" s="52">
        <v>-39460.67</v>
      </c>
      <c r="AE464" s="186">
        <v>0</v>
      </c>
      <c r="AF464" s="186">
        <v>-46455.519999999997</v>
      </c>
      <c r="AG464" s="186">
        <v>-716.81</v>
      </c>
      <c r="AH464" s="186">
        <v>0</v>
      </c>
      <c r="AI464" s="186">
        <v>0</v>
      </c>
      <c r="AJ464" s="186">
        <v>0</v>
      </c>
      <c r="AK464" s="186">
        <v>0</v>
      </c>
      <c r="AL464" s="186">
        <v>0</v>
      </c>
      <c r="AM464" s="186">
        <v>0</v>
      </c>
      <c r="AN464" s="186">
        <v>0</v>
      </c>
      <c r="AO464" s="186">
        <v>-108258.6</v>
      </c>
      <c r="AP464" s="186">
        <v>0</v>
      </c>
      <c r="AQ464" s="186">
        <v>-49583.07</v>
      </c>
      <c r="AR464" s="186">
        <v>0</v>
      </c>
      <c r="AS464" s="186">
        <v>-140905.28</v>
      </c>
      <c r="AT464" s="186">
        <v>76.25</v>
      </c>
      <c r="AU464" s="186">
        <v>-9512.32</v>
      </c>
      <c r="AV464" s="186">
        <v>0</v>
      </c>
      <c r="AW464" s="186">
        <v>0</v>
      </c>
      <c r="AX464" s="186">
        <v>0</v>
      </c>
      <c r="AY464" s="186">
        <v>0</v>
      </c>
      <c r="AZ464" s="186">
        <v>0</v>
      </c>
      <c r="BA464" s="186">
        <v>0</v>
      </c>
      <c r="BB464" s="186">
        <v>0</v>
      </c>
      <c r="BC464" s="186">
        <v>0</v>
      </c>
      <c r="BD464" s="186">
        <v>0</v>
      </c>
      <c r="BE464" s="186">
        <v>0</v>
      </c>
      <c r="BF464" s="186">
        <v>0</v>
      </c>
      <c r="BG464" s="186">
        <v>0</v>
      </c>
      <c r="BH464" s="186">
        <v>0</v>
      </c>
      <c r="BI464" s="186">
        <v>0</v>
      </c>
      <c r="BJ464" s="186">
        <v>0</v>
      </c>
      <c r="BK464" s="186">
        <v>0</v>
      </c>
      <c r="BL464" s="186">
        <v>0</v>
      </c>
      <c r="BM464" s="186">
        <v>0</v>
      </c>
      <c r="BN464" s="186">
        <v>0</v>
      </c>
      <c r="BO464" s="186">
        <v>0</v>
      </c>
      <c r="BP464" s="186">
        <v>0</v>
      </c>
      <c r="BQ464" s="186">
        <v>0</v>
      </c>
      <c r="BR464" s="186">
        <v>0</v>
      </c>
      <c r="BS464" s="186">
        <v>0</v>
      </c>
      <c r="BT464" s="186">
        <v>0</v>
      </c>
      <c r="BU464" s="186">
        <v>0</v>
      </c>
      <c r="BV464" s="186">
        <v>0</v>
      </c>
      <c r="BW464" s="186">
        <v>0</v>
      </c>
      <c r="BX464" s="186">
        <v>0</v>
      </c>
      <c r="BY464" s="186">
        <v>0</v>
      </c>
      <c r="BZ464" s="186">
        <v>0</v>
      </c>
      <c r="CA464" s="186">
        <v>0</v>
      </c>
      <c r="CB464" s="186">
        <v>0</v>
      </c>
      <c r="CC464" s="186">
        <v>0</v>
      </c>
      <c r="CD464" s="186">
        <v>0</v>
      </c>
      <c r="CE464" s="186">
        <v>0</v>
      </c>
      <c r="CF464" s="186">
        <v>0</v>
      </c>
      <c r="CG464" s="186">
        <v>0</v>
      </c>
      <c r="CH464" s="186">
        <v>0</v>
      </c>
      <c r="CI464" s="186">
        <v>0</v>
      </c>
      <c r="CJ464" s="186">
        <v>0</v>
      </c>
      <c r="CK464" s="186">
        <v>0</v>
      </c>
      <c r="CL464" s="186">
        <v>0</v>
      </c>
      <c r="CM464" s="186">
        <v>0</v>
      </c>
      <c r="CN464" s="186">
        <v>0</v>
      </c>
      <c r="CO464" s="186">
        <v>0</v>
      </c>
      <c r="CP464" s="186">
        <v>0</v>
      </c>
      <c r="CQ464" s="186">
        <v>0</v>
      </c>
      <c r="CR464" s="186">
        <v>0</v>
      </c>
      <c r="CS464" s="186">
        <v>0</v>
      </c>
      <c r="CT464" s="186">
        <v>-995777.75</v>
      </c>
      <c r="CU464" s="186">
        <v>0</v>
      </c>
      <c r="CV464" s="430">
        <f t="shared" si="18"/>
        <v>-995777.75</v>
      </c>
    </row>
    <row r="465" spans="1:100">
      <c r="A465" s="463" t="s">
        <v>1312</v>
      </c>
      <c r="B465" s="56"/>
      <c r="C465" s="56"/>
      <c r="D465" s="430">
        <v>5031.8100000000004</v>
      </c>
      <c r="E465" s="430">
        <v>1759.11</v>
      </c>
      <c r="F465" s="430">
        <v>-12864.46</v>
      </c>
      <c r="G465" s="430">
        <v>-24442.66</v>
      </c>
      <c r="H465" s="430">
        <v>3936.42</v>
      </c>
      <c r="I465" s="430">
        <v>-361.84</v>
      </c>
      <c r="J465" s="430">
        <v>-20624.79</v>
      </c>
      <c r="K465" s="430">
        <v>-19225.04</v>
      </c>
      <c r="L465" s="430">
        <v>-9899.99</v>
      </c>
      <c r="M465" s="430">
        <v>-23558.01</v>
      </c>
      <c r="N465" s="430">
        <v>-105.7</v>
      </c>
      <c r="O465" s="430">
        <v>-22995.200000000001</v>
      </c>
      <c r="P465" s="52">
        <v>5134.62</v>
      </c>
      <c r="Q465" s="52">
        <v>-21988.37</v>
      </c>
      <c r="R465" s="52">
        <v>-38907.440000000002</v>
      </c>
      <c r="S465" s="52">
        <v>-16227.32</v>
      </c>
      <c r="T465" s="52">
        <v>3957.09</v>
      </c>
      <c r="U465" s="52">
        <v>147.63</v>
      </c>
      <c r="V465" s="52">
        <v>-4068.17</v>
      </c>
      <c r="W465" s="52">
        <v>-10048.07</v>
      </c>
      <c r="X465" s="52">
        <v>-5237.26</v>
      </c>
      <c r="Y465" s="52">
        <v>-19206.27</v>
      </c>
      <c r="Z465" s="52">
        <v>-3334.21</v>
      </c>
      <c r="AA465" s="52">
        <v>-25078.34</v>
      </c>
      <c r="AB465" s="52">
        <v>-23120.639999999999</v>
      </c>
      <c r="AC465" s="52">
        <v>-11535.74</v>
      </c>
      <c r="AD465" s="52">
        <v>-30975.14</v>
      </c>
      <c r="AE465" s="186">
        <v>-21830.15</v>
      </c>
      <c r="AF465" s="186">
        <v>-3838.87</v>
      </c>
      <c r="AG465" s="186">
        <v>-28898.21</v>
      </c>
      <c r="AH465" s="186">
        <v>3073</v>
      </c>
      <c r="AI465" s="186">
        <v>28790.37</v>
      </c>
      <c r="AJ465" s="186">
        <v>-32086.400000000001</v>
      </c>
      <c r="AK465" s="186">
        <v>-57552.58</v>
      </c>
      <c r="AL465" s="186">
        <v>-44871.41</v>
      </c>
      <c r="AM465" s="186">
        <v>-31318.14</v>
      </c>
      <c r="AN465" s="186">
        <v>-9678.23</v>
      </c>
      <c r="AO465" s="186">
        <v>-550.6</v>
      </c>
      <c r="AP465" s="186">
        <v>-78128.59</v>
      </c>
      <c r="AQ465" s="186">
        <v>47121.74</v>
      </c>
      <c r="AR465" s="186">
        <v>-46623.51</v>
      </c>
      <c r="AS465" s="186">
        <v>-17327.740000000002</v>
      </c>
      <c r="AT465" s="186">
        <v>-2686.26</v>
      </c>
      <c r="AU465" s="186">
        <v>22102.19</v>
      </c>
      <c r="AV465" s="186">
        <v>-25735.41</v>
      </c>
      <c r="AW465" s="186">
        <v>-25976.74</v>
      </c>
      <c r="AX465" s="186">
        <v>6638.96</v>
      </c>
      <c r="AY465" s="186">
        <v>-102160.27</v>
      </c>
      <c r="AZ465" s="186">
        <v>8944.7900000000009</v>
      </c>
      <c r="BA465" s="186">
        <v>-22995.279999999999</v>
      </c>
      <c r="BB465" s="186">
        <v>-12940.83</v>
      </c>
      <c r="BC465" s="186">
        <v>-42910.37</v>
      </c>
      <c r="BD465" s="186">
        <v>-2142.7399999999998</v>
      </c>
      <c r="BE465" s="186">
        <v>-32488.16</v>
      </c>
      <c r="BF465" s="186">
        <v>-42937.33</v>
      </c>
      <c r="BG465" s="186">
        <v>-93071.17</v>
      </c>
      <c r="BH465" s="186">
        <v>-33737.800000000003</v>
      </c>
      <c r="BI465" s="186">
        <v>1223.81</v>
      </c>
      <c r="BJ465" s="186">
        <v>16889.27</v>
      </c>
      <c r="BK465" s="186">
        <v>-27547.88</v>
      </c>
      <c r="BL465" s="186">
        <v>-16831.560000000001</v>
      </c>
      <c r="BM465" s="186">
        <v>-21601.19</v>
      </c>
      <c r="BN465" s="186">
        <v>-34566.82</v>
      </c>
      <c r="BO465" s="186">
        <v>-29684.639999999999</v>
      </c>
      <c r="BP465" s="186">
        <v>-51404.78</v>
      </c>
      <c r="BQ465" s="186">
        <v>-22396.44</v>
      </c>
      <c r="BR465" s="186">
        <v>-50832.02</v>
      </c>
      <c r="BS465" s="186">
        <v>-18479.98</v>
      </c>
      <c r="BT465" s="186">
        <v>-60762.86</v>
      </c>
      <c r="BU465" s="186">
        <v>-15231.38</v>
      </c>
      <c r="BV465" s="186">
        <v>-27772.13</v>
      </c>
      <c r="BW465" s="186">
        <v>-24352.49</v>
      </c>
      <c r="BX465" s="186">
        <v>12226.95</v>
      </c>
      <c r="BY465" s="186">
        <v>-41506.17</v>
      </c>
      <c r="BZ465" s="186">
        <v>-31055.55</v>
      </c>
      <c r="CA465" s="186">
        <v>-86279.8</v>
      </c>
      <c r="CB465" s="186">
        <v>-107029.96</v>
      </c>
      <c r="CC465" s="186">
        <v>-91803.31</v>
      </c>
      <c r="CD465" s="186">
        <v>-68588.47</v>
      </c>
      <c r="CE465" s="186">
        <v>47511.5</v>
      </c>
      <c r="CF465" s="186">
        <v>-17197.939999999999</v>
      </c>
      <c r="CG465" s="186">
        <v>105633.96</v>
      </c>
      <c r="CH465" s="186">
        <v>-57460.87</v>
      </c>
      <c r="CI465" s="186">
        <v>-958.05</v>
      </c>
      <c r="CJ465" s="186">
        <v>-9495.9599999999991</v>
      </c>
      <c r="CK465" s="186">
        <v>-32389.24</v>
      </c>
      <c r="CL465" s="186">
        <v>-15738.63</v>
      </c>
      <c r="CM465" s="186">
        <v>-45543.34</v>
      </c>
      <c r="CN465" s="186">
        <v>-21924.26</v>
      </c>
      <c r="CO465" s="186">
        <v>-55084.92</v>
      </c>
      <c r="CP465" s="186">
        <v>-43210.7</v>
      </c>
      <c r="CQ465" s="186">
        <v>-76985.259999999995</v>
      </c>
      <c r="CR465" s="186">
        <v>-37342.75</v>
      </c>
      <c r="CS465" s="186">
        <v>15565.71</v>
      </c>
      <c r="CT465" s="186">
        <v>8192.2000000000007</v>
      </c>
      <c r="CU465" s="186">
        <v>21440.799999999999</v>
      </c>
      <c r="CV465" s="430">
        <f t="shared" si="18"/>
        <v>-292516.34999999998</v>
      </c>
    </row>
    <row r="466" spans="1:100">
      <c r="A466" s="463" t="s">
        <v>1313</v>
      </c>
      <c r="B466" s="56"/>
      <c r="C466" s="56"/>
      <c r="D466" s="430">
        <v>43492.84</v>
      </c>
      <c r="E466" s="430">
        <v>41819.25</v>
      </c>
      <c r="F466" s="430">
        <v>147261.51999999999</v>
      </c>
      <c r="G466" s="430">
        <v>37296.949999999997</v>
      </c>
      <c r="H466" s="430">
        <v>53436.44</v>
      </c>
      <c r="I466" s="430">
        <v>66183.8</v>
      </c>
      <c r="J466" s="430">
        <v>37838.15</v>
      </c>
      <c r="K466" s="430">
        <v>54557.75</v>
      </c>
      <c r="L466" s="430">
        <v>38008.82</v>
      </c>
      <c r="M466" s="430">
        <v>45337.33</v>
      </c>
      <c r="N466" s="430">
        <v>40300.519999999997</v>
      </c>
      <c r="O466" s="430">
        <v>50086.94</v>
      </c>
      <c r="P466" s="52">
        <v>49028.6</v>
      </c>
      <c r="Q466" s="52">
        <v>44070.5</v>
      </c>
      <c r="R466" s="52">
        <v>47402.45</v>
      </c>
      <c r="S466" s="52">
        <v>41623.94</v>
      </c>
      <c r="T466" s="52">
        <v>55979.86</v>
      </c>
      <c r="U466" s="52">
        <v>41515.269999999997</v>
      </c>
      <c r="V466" s="52">
        <v>73700.61</v>
      </c>
      <c r="W466" s="52">
        <v>42364.19</v>
      </c>
      <c r="X466" s="52">
        <v>43875.91</v>
      </c>
      <c r="Y466" s="52">
        <v>40185.54</v>
      </c>
      <c r="Z466" s="52">
        <v>38448.239999999998</v>
      </c>
      <c r="AA466" s="52">
        <v>39388.639999999999</v>
      </c>
      <c r="AB466" s="52">
        <v>38644.42</v>
      </c>
      <c r="AC466" s="52">
        <v>50751.77</v>
      </c>
      <c r="AD466" s="52">
        <v>48446.59</v>
      </c>
      <c r="AE466" s="186">
        <v>58855.01</v>
      </c>
      <c r="AF466" s="186">
        <v>56993.95</v>
      </c>
      <c r="AG466" s="186">
        <v>56568.57</v>
      </c>
      <c r="AH466" s="186">
        <v>48455.92</v>
      </c>
      <c r="AI466" s="186">
        <v>51141.13</v>
      </c>
      <c r="AJ466" s="186">
        <v>59016.12</v>
      </c>
      <c r="AK466" s="186">
        <v>92135.2</v>
      </c>
      <c r="AL466" s="186">
        <v>69019.360000000001</v>
      </c>
      <c r="AM466" s="186">
        <v>93147.89</v>
      </c>
      <c r="AN466" s="186">
        <v>79314.77</v>
      </c>
      <c r="AO466" s="186">
        <v>67532.98</v>
      </c>
      <c r="AP466" s="186">
        <v>98077.36</v>
      </c>
      <c r="AQ466" s="186">
        <v>72081.03</v>
      </c>
      <c r="AR466" s="186">
        <v>86098.880000000005</v>
      </c>
      <c r="AS466" s="186">
        <v>85596.86</v>
      </c>
      <c r="AT466" s="186">
        <v>77916.929999999993</v>
      </c>
      <c r="AU466" s="186">
        <v>66870.44</v>
      </c>
      <c r="AV466" s="186">
        <v>78403.399999999994</v>
      </c>
      <c r="AW466" s="186">
        <v>69160.44</v>
      </c>
      <c r="AX466" s="186">
        <v>77422.64</v>
      </c>
      <c r="AY466" s="186">
        <v>75075.009999999995</v>
      </c>
      <c r="AZ466" s="186">
        <v>77233.990000000005</v>
      </c>
      <c r="BA466" s="186">
        <v>72034.34</v>
      </c>
      <c r="BB466" s="186">
        <v>85588.800000000003</v>
      </c>
      <c r="BC466" s="186">
        <v>89582.26</v>
      </c>
      <c r="BD466" s="186">
        <v>67274.52</v>
      </c>
      <c r="BE466" s="186">
        <v>67665.25</v>
      </c>
      <c r="BF466" s="186">
        <v>68362.899999999994</v>
      </c>
      <c r="BG466" s="186">
        <v>61590.98</v>
      </c>
      <c r="BH466" s="186">
        <v>55830.35</v>
      </c>
      <c r="BI466" s="186">
        <v>66011.83</v>
      </c>
      <c r="BJ466" s="186">
        <v>50167.62</v>
      </c>
      <c r="BK466" s="186">
        <v>56792.75</v>
      </c>
      <c r="BL466" s="186">
        <v>62554.05</v>
      </c>
      <c r="BM466" s="186">
        <v>68615.02</v>
      </c>
      <c r="BN466" s="186">
        <v>80173.19</v>
      </c>
      <c r="BO466" s="186">
        <v>71409.97</v>
      </c>
      <c r="BP466" s="186">
        <v>74055.509999999995</v>
      </c>
      <c r="BQ466" s="186">
        <v>85551.15</v>
      </c>
      <c r="BR466" s="186">
        <v>91649.279999999999</v>
      </c>
      <c r="BS466" s="186">
        <v>100214.3</v>
      </c>
      <c r="BT466" s="186">
        <v>79027.759999999995</v>
      </c>
      <c r="BU466" s="186">
        <v>106863.43</v>
      </c>
      <c r="BV466" s="186">
        <v>164522.63</v>
      </c>
      <c r="BW466" s="186">
        <v>164549.82</v>
      </c>
      <c r="BX466" s="186">
        <v>129920.32000000001</v>
      </c>
      <c r="BY466" s="186">
        <v>102817.72</v>
      </c>
      <c r="BZ466" s="186">
        <v>162960.49</v>
      </c>
      <c r="CA466" s="186">
        <v>112441.28</v>
      </c>
      <c r="CB466" s="186">
        <v>91275.74</v>
      </c>
      <c r="CC466" s="186">
        <v>171845.14</v>
      </c>
      <c r="CD466" s="186">
        <v>74907.59</v>
      </c>
      <c r="CE466" s="186">
        <v>121252.46</v>
      </c>
      <c r="CF466" s="186">
        <v>111246.57</v>
      </c>
      <c r="CG466" s="186">
        <v>123856.32000000001</v>
      </c>
      <c r="CH466" s="186">
        <v>108030.24</v>
      </c>
      <c r="CI466" s="186">
        <v>137369.35</v>
      </c>
      <c r="CJ466" s="186">
        <v>145864.01</v>
      </c>
      <c r="CK466" s="186">
        <v>86562.64</v>
      </c>
      <c r="CL466" s="186">
        <v>152522.38</v>
      </c>
      <c r="CM466" s="186">
        <v>125082.79</v>
      </c>
      <c r="CN466" s="186">
        <v>124375.55</v>
      </c>
      <c r="CO466" s="186">
        <v>142845.18</v>
      </c>
      <c r="CP466" s="186">
        <v>125339.42</v>
      </c>
      <c r="CQ466" s="186">
        <v>151657.76</v>
      </c>
      <c r="CR466" s="186">
        <v>122844.24</v>
      </c>
      <c r="CS466" s="186">
        <v>146656.26999999999</v>
      </c>
      <c r="CT466" s="186">
        <v>203219.20000000001</v>
      </c>
      <c r="CU466" s="186">
        <v>89633.33</v>
      </c>
      <c r="CV466" s="430">
        <f t="shared" si="18"/>
        <v>1616602.77</v>
      </c>
    </row>
    <row r="467" spans="1:100">
      <c r="A467" s="463" t="s">
        <v>1314</v>
      </c>
      <c r="B467" s="56"/>
      <c r="C467" s="56"/>
      <c r="D467" s="430">
        <v>34881.199999999997</v>
      </c>
      <c r="E467" s="430">
        <v>32550.1</v>
      </c>
      <c r="F467" s="430">
        <v>33040.1</v>
      </c>
      <c r="G467" s="430">
        <v>21284.83</v>
      </c>
      <c r="H467" s="430">
        <v>7073.04</v>
      </c>
      <c r="I467" s="430">
        <v>6326.14</v>
      </c>
      <c r="J467" s="430">
        <v>31055.23</v>
      </c>
      <c r="K467" s="430">
        <v>25154.16</v>
      </c>
      <c r="L467" s="430">
        <v>26430.3</v>
      </c>
      <c r="M467" s="430">
        <v>21620.47</v>
      </c>
      <c r="N467" s="430">
        <v>23087.09</v>
      </c>
      <c r="O467" s="430">
        <v>25906</v>
      </c>
      <c r="P467" s="52">
        <v>24727.08</v>
      </c>
      <c r="Q467" s="52">
        <v>20098.38</v>
      </c>
      <c r="R467" s="52">
        <v>22885.37</v>
      </c>
      <c r="S467" s="52">
        <v>26635.1</v>
      </c>
      <c r="T467" s="52">
        <v>30668.47</v>
      </c>
      <c r="U467" s="52">
        <v>52351.69</v>
      </c>
      <c r="V467" s="52">
        <v>25236.880000000001</v>
      </c>
      <c r="W467" s="52">
        <v>54964.38</v>
      </c>
      <c r="X467" s="52">
        <v>36225.67</v>
      </c>
      <c r="Y467" s="52">
        <v>35192.18</v>
      </c>
      <c r="Z467" s="52">
        <v>31951.67</v>
      </c>
      <c r="AA467" s="52">
        <v>70915.179999999993</v>
      </c>
      <c r="AB467" s="52">
        <v>27862.5</v>
      </c>
      <c r="AC467" s="52">
        <v>25161.45</v>
      </c>
      <c r="AD467" s="52">
        <v>26728.76</v>
      </c>
      <c r="AE467" s="186">
        <v>30365.79</v>
      </c>
      <c r="AF467" s="186">
        <v>38584.339999999997</v>
      </c>
      <c r="AG467" s="186">
        <v>91852.31</v>
      </c>
      <c r="AH467" s="186">
        <v>29087.56</v>
      </c>
      <c r="AI467" s="186">
        <v>29207.58</v>
      </c>
      <c r="AJ467" s="186">
        <v>32363.27</v>
      </c>
      <c r="AK467" s="186">
        <v>27179.22</v>
      </c>
      <c r="AL467" s="186">
        <v>66702.48</v>
      </c>
      <c r="AM467" s="186">
        <v>32131.13</v>
      </c>
      <c r="AN467" s="186">
        <v>39919.19</v>
      </c>
      <c r="AO467" s="186">
        <v>31438.85</v>
      </c>
      <c r="AP467" s="186">
        <v>39056.97</v>
      </c>
      <c r="AQ467" s="186">
        <v>34115.760000000002</v>
      </c>
      <c r="AR467" s="186">
        <v>31686.11</v>
      </c>
      <c r="AS467" s="186">
        <v>32497.47</v>
      </c>
      <c r="AT467" s="186">
        <v>36185.93</v>
      </c>
      <c r="AU467" s="186">
        <v>30773.8</v>
      </c>
      <c r="AV467" s="186">
        <v>32942.620000000003</v>
      </c>
      <c r="AW467" s="186">
        <v>31337.09</v>
      </c>
      <c r="AX467" s="186">
        <v>29756.83</v>
      </c>
      <c r="AY467" s="186">
        <v>39385.769999999997</v>
      </c>
      <c r="AZ467" s="186">
        <v>44181.96</v>
      </c>
      <c r="BA467" s="186">
        <v>29973.67</v>
      </c>
      <c r="BB467" s="186">
        <v>31893.73</v>
      </c>
      <c r="BC467" s="186">
        <v>38907.26</v>
      </c>
      <c r="BD467" s="186">
        <v>38456.949999999997</v>
      </c>
      <c r="BE467" s="186">
        <v>36763.69</v>
      </c>
      <c r="BF467" s="186">
        <v>43246.559999999998</v>
      </c>
      <c r="BG467" s="186">
        <v>35653.660000000003</v>
      </c>
      <c r="BH467" s="186">
        <v>49582.78</v>
      </c>
      <c r="BI467" s="186">
        <v>31573.94</v>
      </c>
      <c r="BJ467" s="186">
        <v>42277.05</v>
      </c>
      <c r="BK467" s="186">
        <v>35103.35</v>
      </c>
      <c r="BL467" s="186">
        <v>36523.919999999998</v>
      </c>
      <c r="BM467" s="186">
        <v>25711.98</v>
      </c>
      <c r="BN467" s="186">
        <v>30548.98</v>
      </c>
      <c r="BO467" s="186">
        <v>34225.33</v>
      </c>
      <c r="BP467" s="186">
        <v>30023.01</v>
      </c>
      <c r="BQ467" s="186">
        <v>29493.34</v>
      </c>
      <c r="BR467" s="186">
        <v>32638.1</v>
      </c>
      <c r="BS467" s="186">
        <v>30805.78</v>
      </c>
      <c r="BT467" s="186">
        <v>30561.33</v>
      </c>
      <c r="BU467" s="186">
        <v>46789.68</v>
      </c>
      <c r="BV467" s="186">
        <v>57451.93</v>
      </c>
      <c r="BW467" s="186">
        <v>65754.41</v>
      </c>
      <c r="BX467" s="186">
        <v>38679.18</v>
      </c>
      <c r="BY467" s="186">
        <v>39463.440000000002</v>
      </c>
      <c r="BZ467" s="186">
        <v>45655.44</v>
      </c>
      <c r="CA467" s="186">
        <v>35737.339999999997</v>
      </c>
      <c r="CB467" s="186">
        <v>6029.75</v>
      </c>
      <c r="CC467" s="186">
        <v>31034.3</v>
      </c>
      <c r="CD467" s="186">
        <v>36208.85</v>
      </c>
      <c r="CE467" s="186">
        <v>37561.410000000003</v>
      </c>
      <c r="CF467" s="186">
        <v>26578.77</v>
      </c>
      <c r="CG467" s="186">
        <v>27728.73</v>
      </c>
      <c r="CH467" s="186">
        <v>26528.46</v>
      </c>
      <c r="CI467" s="186">
        <v>43344.77</v>
      </c>
      <c r="CJ467" s="186">
        <v>47859.91</v>
      </c>
      <c r="CK467" s="186">
        <v>27577.02</v>
      </c>
      <c r="CL467" s="186">
        <v>41770.1</v>
      </c>
      <c r="CM467" s="186">
        <v>29610.25</v>
      </c>
      <c r="CN467" s="186">
        <v>32767.49</v>
      </c>
      <c r="CO467" s="186">
        <v>38290.31</v>
      </c>
      <c r="CP467" s="186">
        <v>40606.400000000001</v>
      </c>
      <c r="CQ467" s="186">
        <v>40722.03</v>
      </c>
      <c r="CR467" s="186">
        <v>37455.300000000003</v>
      </c>
      <c r="CS467" s="186">
        <v>37881.42</v>
      </c>
      <c r="CT467" s="186">
        <v>43002.04</v>
      </c>
      <c r="CU467" s="186">
        <v>40475.47</v>
      </c>
      <c r="CV467" s="430">
        <f t="shared" si="18"/>
        <v>458017.74</v>
      </c>
    </row>
    <row r="468" spans="1:100">
      <c r="A468" s="463" t="s">
        <v>1315</v>
      </c>
      <c r="B468" s="56"/>
      <c r="C468" s="56"/>
      <c r="D468" s="430">
        <v>0</v>
      </c>
      <c r="E468" s="430">
        <v>429.54</v>
      </c>
      <c r="F468" s="430">
        <v>0</v>
      </c>
      <c r="G468" s="430">
        <v>0</v>
      </c>
      <c r="H468" s="430">
        <v>0</v>
      </c>
      <c r="I468" s="430">
        <v>0</v>
      </c>
      <c r="J468" s="430">
        <v>0</v>
      </c>
      <c r="K468" s="430">
        <v>0</v>
      </c>
      <c r="L468" s="430">
        <v>0</v>
      </c>
      <c r="M468" s="430">
        <v>0</v>
      </c>
      <c r="N468" s="430">
        <v>0</v>
      </c>
      <c r="O468" s="430">
        <v>0</v>
      </c>
      <c r="P468" s="52">
        <v>0</v>
      </c>
      <c r="Q468" s="52">
        <v>0</v>
      </c>
      <c r="R468" s="52">
        <v>1745.71</v>
      </c>
      <c r="S468" s="52">
        <v>0</v>
      </c>
      <c r="T468" s="52">
        <v>0</v>
      </c>
      <c r="U468" s="52">
        <v>0</v>
      </c>
      <c r="V468" s="52">
        <v>0</v>
      </c>
      <c r="W468" s="52">
        <v>0</v>
      </c>
      <c r="X468" s="52">
        <v>0</v>
      </c>
      <c r="Y468" s="52">
        <v>0</v>
      </c>
      <c r="Z468" s="52">
        <v>0</v>
      </c>
      <c r="AA468" s="52">
        <v>0</v>
      </c>
      <c r="AB468" s="52">
        <v>0</v>
      </c>
      <c r="AC468" s="52">
        <v>0</v>
      </c>
      <c r="AD468" s="52">
        <v>0</v>
      </c>
      <c r="AE468" s="186">
        <v>0</v>
      </c>
      <c r="AF468" s="186">
        <v>0</v>
      </c>
      <c r="AG468" s="186">
        <v>0</v>
      </c>
      <c r="AH468" s="186">
        <v>0</v>
      </c>
      <c r="AI468" s="186">
        <v>0</v>
      </c>
      <c r="AJ468" s="186">
        <v>0</v>
      </c>
      <c r="AK468" s="186">
        <v>0</v>
      </c>
      <c r="AL468" s="186">
        <v>0</v>
      </c>
      <c r="AM468" s="186">
        <v>891.38</v>
      </c>
      <c r="AN468" s="186">
        <v>0</v>
      </c>
      <c r="AO468" s="186">
        <v>0</v>
      </c>
      <c r="AP468" s="186">
        <v>310.02999999999997</v>
      </c>
      <c r="AQ468" s="186">
        <v>0</v>
      </c>
      <c r="AR468" s="186">
        <v>0</v>
      </c>
      <c r="AS468" s="186">
        <v>3463.56</v>
      </c>
      <c r="AT468" s="186">
        <v>-210</v>
      </c>
      <c r="AU468" s="186">
        <v>455</v>
      </c>
      <c r="AV468" s="186">
        <v>-70</v>
      </c>
      <c r="AW468" s="186">
        <v>0</v>
      </c>
      <c r="AX468" s="186">
        <v>0</v>
      </c>
      <c r="AY468" s="186">
        <v>0</v>
      </c>
      <c r="AZ468" s="186">
        <v>5630.49</v>
      </c>
      <c r="BA468" s="186">
        <v>23418.54</v>
      </c>
      <c r="BB468" s="186">
        <v>13869.29</v>
      </c>
      <c r="BC468" s="186">
        <v>17349.810000000001</v>
      </c>
      <c r="BD468" s="186">
        <v>26737.73</v>
      </c>
      <c r="BE468" s="186">
        <v>2643.58</v>
      </c>
      <c r="BF468" s="186">
        <v>1131.8900000000001</v>
      </c>
      <c r="BG468" s="186">
        <v>-3257.45</v>
      </c>
      <c r="BH468" s="186">
        <v>3373.9</v>
      </c>
      <c r="BI468" s="186">
        <v>2306.98</v>
      </c>
      <c r="BJ468" s="186">
        <v>2509.64</v>
      </c>
      <c r="BK468" s="186">
        <v>2853.72</v>
      </c>
      <c r="BL468" s="186">
        <v>2967.18</v>
      </c>
      <c r="BM468" s="186">
        <v>2086.16</v>
      </c>
      <c r="BN468" s="186">
        <v>3844.25</v>
      </c>
      <c r="BO468" s="186">
        <v>2425.9899999999998</v>
      </c>
      <c r="BP468" s="186">
        <v>3279.12</v>
      </c>
      <c r="BQ468" s="186">
        <v>1475.86</v>
      </c>
      <c r="BR468" s="186">
        <v>181.94</v>
      </c>
      <c r="BS468" s="186">
        <v>286.77</v>
      </c>
      <c r="BT468" s="186">
        <v>-421.37</v>
      </c>
      <c r="BU468" s="186">
        <v>463.03</v>
      </c>
      <c r="BV468" s="186">
        <v>938.81</v>
      </c>
      <c r="BW468" s="186">
        <v>2714.13</v>
      </c>
      <c r="BX468" s="186">
        <v>1395.46</v>
      </c>
      <c r="BY468" s="186">
        <v>0</v>
      </c>
      <c r="BZ468" s="186">
        <v>0</v>
      </c>
      <c r="CA468" s="186">
        <v>0</v>
      </c>
      <c r="CB468" s="186">
        <v>0</v>
      </c>
      <c r="CC468" s="186">
        <v>0</v>
      </c>
      <c r="CD468" s="186">
        <v>0</v>
      </c>
      <c r="CE468" s="186">
        <v>0</v>
      </c>
      <c r="CF468" s="186">
        <v>0</v>
      </c>
      <c r="CG468" s="186">
        <v>0</v>
      </c>
      <c r="CH468" s="186">
        <v>0</v>
      </c>
      <c r="CI468" s="186">
        <v>17.97</v>
      </c>
      <c r="CJ468" s="186">
        <v>36.93</v>
      </c>
      <c r="CK468" s="186">
        <v>16703.599999999999</v>
      </c>
      <c r="CL468" s="186">
        <v>-16703.599999999999</v>
      </c>
      <c r="CM468" s="186">
        <v>19050.810000000001</v>
      </c>
      <c r="CN468" s="186">
        <v>0</v>
      </c>
      <c r="CO468" s="186">
        <v>38000</v>
      </c>
      <c r="CP468" s="186">
        <v>337</v>
      </c>
      <c r="CQ468" s="186">
        <v>7334.14</v>
      </c>
      <c r="CR468" s="186">
        <v>107745.53</v>
      </c>
      <c r="CS468" s="186">
        <v>-20386.919999999998</v>
      </c>
      <c r="CT468" s="186">
        <v>11039.37</v>
      </c>
      <c r="CU468" s="186">
        <v>36064.019999999997</v>
      </c>
      <c r="CV468" s="430">
        <f t="shared" si="18"/>
        <v>199220.87999999998</v>
      </c>
    </row>
    <row r="469" spans="1:100">
      <c r="A469" s="463" t="s">
        <v>1316</v>
      </c>
      <c r="B469" s="56"/>
      <c r="C469" s="56"/>
      <c r="D469" s="430">
        <v>0</v>
      </c>
      <c r="E469" s="430">
        <v>0</v>
      </c>
      <c r="F469" s="430">
        <v>0</v>
      </c>
      <c r="G469" s="430">
        <v>0</v>
      </c>
      <c r="H469" s="430">
        <v>0</v>
      </c>
      <c r="I469" s="430">
        <v>0</v>
      </c>
      <c r="J469" s="430">
        <v>87.7</v>
      </c>
      <c r="K469" s="430">
        <v>0</v>
      </c>
      <c r="L469" s="430">
        <v>0</v>
      </c>
      <c r="M469" s="430">
        <v>0</v>
      </c>
      <c r="N469" s="430">
        <v>0</v>
      </c>
      <c r="O469" s="430">
        <v>0</v>
      </c>
      <c r="P469" s="52">
        <v>0</v>
      </c>
      <c r="Q469" s="52">
        <v>0</v>
      </c>
      <c r="R469" s="52">
        <v>4340.45</v>
      </c>
      <c r="S469" s="52">
        <v>0</v>
      </c>
      <c r="T469" s="52">
        <v>0</v>
      </c>
      <c r="U469" s="52">
        <v>0</v>
      </c>
      <c r="V469" s="52">
        <v>0</v>
      </c>
      <c r="W469" s="52">
        <v>193.98</v>
      </c>
      <c r="X469" s="52">
        <v>73.040000000000006</v>
      </c>
      <c r="Y469" s="52">
        <v>13.39</v>
      </c>
      <c r="Z469" s="52">
        <v>499.35</v>
      </c>
      <c r="AA469" s="52">
        <v>2.87</v>
      </c>
      <c r="AB469" s="52">
        <v>3.51</v>
      </c>
      <c r="AC469" s="52">
        <v>14.01</v>
      </c>
      <c r="AD469" s="52">
        <v>2.23</v>
      </c>
      <c r="AE469" s="186">
        <v>139.51</v>
      </c>
      <c r="AF469" s="186">
        <v>71.680000000000007</v>
      </c>
      <c r="AG469" s="186">
        <v>21.41</v>
      </c>
      <c r="AH469" s="186">
        <v>48.12</v>
      </c>
      <c r="AI469" s="186">
        <v>118.51</v>
      </c>
      <c r="AJ469" s="186">
        <v>2325.59</v>
      </c>
      <c r="AK469" s="186">
        <v>1077.07</v>
      </c>
      <c r="AL469" s="186">
        <v>234.69</v>
      </c>
      <c r="AM469" s="186">
        <v>461.09</v>
      </c>
      <c r="AN469" s="186">
        <v>2349.9</v>
      </c>
      <c r="AO469" s="186">
        <v>1654.81</v>
      </c>
      <c r="AP469" s="186">
        <v>542.12</v>
      </c>
      <c r="AQ469" s="186">
        <v>297.35000000000002</v>
      </c>
      <c r="AR469" s="186">
        <v>663.75</v>
      </c>
      <c r="AS469" s="186">
        <v>1738.58</v>
      </c>
      <c r="AT469" s="186">
        <v>2379.77</v>
      </c>
      <c r="AU469" s="186">
        <v>808.61</v>
      </c>
      <c r="AV469" s="186">
        <v>1508.02</v>
      </c>
      <c r="AW469" s="186">
        <v>1648.58</v>
      </c>
      <c r="AX469" s="186">
        <v>1602.93</v>
      </c>
      <c r="AY469" s="186">
        <v>2052.77</v>
      </c>
      <c r="AZ469" s="186">
        <v>4076.15</v>
      </c>
      <c r="BA469" s="186">
        <v>712.4</v>
      </c>
      <c r="BB469" s="186">
        <v>213.97</v>
      </c>
      <c r="BC469" s="186">
        <v>488.05</v>
      </c>
      <c r="BD469" s="186">
        <v>-8263.25</v>
      </c>
      <c r="BE469" s="186">
        <v>820.82</v>
      </c>
      <c r="BF469" s="186">
        <v>132.18</v>
      </c>
      <c r="BG469" s="186">
        <v>613.11</v>
      </c>
      <c r="BH469" s="186">
        <v>410.04</v>
      </c>
      <c r="BI469" s="186">
        <v>0</v>
      </c>
      <c r="BJ469" s="186">
        <v>0</v>
      </c>
      <c r="BK469" s="186">
        <v>0</v>
      </c>
      <c r="BL469" s="186">
        <v>0</v>
      </c>
      <c r="BM469" s="186">
        <v>0</v>
      </c>
      <c r="BN469" s="186">
        <v>68.290000000000006</v>
      </c>
      <c r="BO469" s="186">
        <v>0</v>
      </c>
      <c r="BP469" s="186">
        <v>45.15</v>
      </c>
      <c r="BQ469" s="186">
        <v>0</v>
      </c>
      <c r="BR469" s="186">
        <v>0</v>
      </c>
      <c r="BS469" s="186">
        <v>0</v>
      </c>
      <c r="BT469" s="186">
        <v>0</v>
      </c>
      <c r="BU469" s="186">
        <v>0</v>
      </c>
      <c r="BV469" s="186">
        <v>6800.67</v>
      </c>
      <c r="BW469" s="186">
        <v>0</v>
      </c>
      <c r="BX469" s="186">
        <v>0</v>
      </c>
      <c r="BY469" s="186">
        <v>0</v>
      </c>
      <c r="BZ469" s="186">
        <v>29370.5</v>
      </c>
      <c r="CA469" s="186">
        <v>-29370.5</v>
      </c>
      <c r="CB469" s="186">
        <v>0</v>
      </c>
      <c r="CC469" s="186">
        <v>0</v>
      </c>
      <c r="CD469" s="186">
        <v>1402.82</v>
      </c>
      <c r="CE469" s="186">
        <v>1309.6400000000001</v>
      </c>
      <c r="CF469" s="186">
        <v>-1547.94</v>
      </c>
      <c r="CG469" s="186">
        <v>0</v>
      </c>
      <c r="CH469" s="186">
        <v>0</v>
      </c>
      <c r="CI469" s="186">
        <v>198.97</v>
      </c>
      <c r="CJ469" s="186">
        <v>0</v>
      </c>
      <c r="CK469" s="186">
        <v>111.65</v>
      </c>
      <c r="CL469" s="186">
        <v>0</v>
      </c>
      <c r="CM469" s="186">
        <v>8879.4599999999991</v>
      </c>
      <c r="CN469" s="186">
        <v>0</v>
      </c>
      <c r="CO469" s="186">
        <v>5038.8999999999996</v>
      </c>
      <c r="CP469" s="186">
        <v>2440.64</v>
      </c>
      <c r="CQ469" s="186">
        <v>0</v>
      </c>
      <c r="CR469" s="186">
        <v>5835.64</v>
      </c>
      <c r="CS469" s="186">
        <v>2703.55</v>
      </c>
      <c r="CT469" s="186">
        <v>0</v>
      </c>
      <c r="CU469" s="186">
        <v>303.68</v>
      </c>
      <c r="CV469" s="430">
        <f t="shared" si="18"/>
        <v>25313.519999999997</v>
      </c>
    </row>
    <row r="470" spans="1:100">
      <c r="A470" s="463" t="s">
        <v>1317</v>
      </c>
      <c r="B470" s="56"/>
      <c r="C470" s="56"/>
      <c r="D470" s="430">
        <v>577089.72</v>
      </c>
      <c r="E470" s="430">
        <v>639014.15</v>
      </c>
      <c r="F470" s="430">
        <v>585154.23</v>
      </c>
      <c r="G470" s="430">
        <v>535565.94999999995</v>
      </c>
      <c r="H470" s="430">
        <v>593598.56999999995</v>
      </c>
      <c r="I470" s="430">
        <v>547717.12</v>
      </c>
      <c r="J470" s="430">
        <v>580745.89</v>
      </c>
      <c r="K470" s="430">
        <v>549414.79</v>
      </c>
      <c r="L470" s="430">
        <v>577788.25</v>
      </c>
      <c r="M470" s="430">
        <v>523465.04</v>
      </c>
      <c r="N470" s="430">
        <v>456297.06</v>
      </c>
      <c r="O470" s="430">
        <v>492865.18</v>
      </c>
      <c r="P470" s="52">
        <v>491978.62</v>
      </c>
      <c r="Q470" s="52">
        <v>502210.18</v>
      </c>
      <c r="R470" s="52">
        <v>612472.02</v>
      </c>
      <c r="S470" s="52">
        <v>607688.39</v>
      </c>
      <c r="T470" s="52">
        <v>605333.89</v>
      </c>
      <c r="U470" s="52">
        <v>592371.18000000005</v>
      </c>
      <c r="V470" s="52">
        <v>581629.1</v>
      </c>
      <c r="W470" s="52">
        <v>596842.81000000006</v>
      </c>
      <c r="X470" s="52">
        <v>599453.13</v>
      </c>
      <c r="Y470" s="52">
        <v>615791.30000000005</v>
      </c>
      <c r="Z470" s="52">
        <v>578046.06000000006</v>
      </c>
      <c r="AA470" s="52">
        <v>666579.26</v>
      </c>
      <c r="AB470" s="52">
        <v>611899.77</v>
      </c>
      <c r="AC470" s="52">
        <v>604586.18999999994</v>
      </c>
      <c r="AD470" s="52">
        <v>673294.15</v>
      </c>
      <c r="AE470" s="186">
        <v>615430.79</v>
      </c>
      <c r="AF470" s="186">
        <v>610905.92000000004</v>
      </c>
      <c r="AG470" s="186">
        <v>725723.89</v>
      </c>
      <c r="AH470" s="186">
        <v>600609.31999999995</v>
      </c>
      <c r="AI470" s="186">
        <v>663406.97</v>
      </c>
      <c r="AJ470" s="186">
        <v>659454.43999999994</v>
      </c>
      <c r="AK470" s="186">
        <v>676768.26</v>
      </c>
      <c r="AL470" s="186">
        <v>707508.2</v>
      </c>
      <c r="AM470" s="186">
        <v>919355.54</v>
      </c>
      <c r="AN470" s="186">
        <v>642502.97</v>
      </c>
      <c r="AO470" s="186">
        <v>642809.19999999995</v>
      </c>
      <c r="AP470" s="186">
        <v>646141.41</v>
      </c>
      <c r="AQ470" s="186">
        <v>632477.06999999995</v>
      </c>
      <c r="AR470" s="186">
        <v>636917.56999999995</v>
      </c>
      <c r="AS470" s="186">
        <v>686248.89</v>
      </c>
      <c r="AT470" s="186">
        <v>656910.18000000005</v>
      </c>
      <c r="AU470" s="186">
        <v>651650.27</v>
      </c>
      <c r="AV470" s="186">
        <v>574320.67000000004</v>
      </c>
      <c r="AW470" s="186">
        <v>658870.54</v>
      </c>
      <c r="AX470" s="186">
        <v>661221.9</v>
      </c>
      <c r="AY470" s="186">
        <v>670675.04</v>
      </c>
      <c r="AZ470" s="186">
        <v>592515.17000000004</v>
      </c>
      <c r="BA470" s="186">
        <v>620235.99</v>
      </c>
      <c r="BB470" s="186">
        <v>661419.51</v>
      </c>
      <c r="BC470" s="186">
        <v>723425.51</v>
      </c>
      <c r="BD470" s="186">
        <v>737264.16</v>
      </c>
      <c r="BE470" s="186">
        <v>685064.94</v>
      </c>
      <c r="BF470" s="186">
        <v>663274.48</v>
      </c>
      <c r="BG470" s="186">
        <v>729481.75</v>
      </c>
      <c r="BH470" s="186">
        <v>639103.05000000005</v>
      </c>
      <c r="BI470" s="186">
        <v>478572.13</v>
      </c>
      <c r="BJ470" s="186">
        <v>563795.5</v>
      </c>
      <c r="BK470" s="186">
        <v>672214.19</v>
      </c>
      <c r="BL470" s="186">
        <v>703722.93</v>
      </c>
      <c r="BM470" s="186">
        <v>741128.44</v>
      </c>
      <c r="BN470" s="186">
        <v>762680.58</v>
      </c>
      <c r="BO470" s="186">
        <v>825224.5</v>
      </c>
      <c r="BP470" s="186">
        <v>787513.25</v>
      </c>
      <c r="BQ470" s="186">
        <v>726816.15</v>
      </c>
      <c r="BR470" s="186">
        <v>766685.67</v>
      </c>
      <c r="BS470" s="186">
        <v>826164.97</v>
      </c>
      <c r="BT470" s="186">
        <v>771566.38</v>
      </c>
      <c r="BU470" s="186">
        <v>833338.42</v>
      </c>
      <c r="BV470" s="186">
        <v>752929.52</v>
      </c>
      <c r="BW470" s="186">
        <v>1115412.76</v>
      </c>
      <c r="BX470" s="186">
        <v>863020.97</v>
      </c>
      <c r="BY470" s="186">
        <v>766890.42</v>
      </c>
      <c r="BZ470" s="186">
        <v>991112.09</v>
      </c>
      <c r="CA470" s="186">
        <v>831704.98</v>
      </c>
      <c r="CB470" s="186">
        <v>844095.83</v>
      </c>
      <c r="CC470" s="186">
        <v>823697.11</v>
      </c>
      <c r="CD470" s="186">
        <v>862478.47</v>
      </c>
      <c r="CE470" s="186">
        <v>856408.76</v>
      </c>
      <c r="CF470" s="186">
        <v>910899</v>
      </c>
      <c r="CG470" s="186">
        <v>800414.17</v>
      </c>
      <c r="CH470" s="186">
        <v>805610.1</v>
      </c>
      <c r="CI470" s="186">
        <v>905910.14</v>
      </c>
      <c r="CJ470" s="186">
        <v>768608.13</v>
      </c>
      <c r="CK470" s="186">
        <v>764033.2</v>
      </c>
      <c r="CL470" s="186">
        <v>951619.33</v>
      </c>
      <c r="CM470" s="186">
        <v>945528.75</v>
      </c>
      <c r="CN470" s="186">
        <v>847910.23</v>
      </c>
      <c r="CO470" s="186">
        <v>946097.2</v>
      </c>
      <c r="CP470" s="186">
        <v>948990.03</v>
      </c>
      <c r="CQ470" s="186">
        <v>836325.01</v>
      </c>
      <c r="CR470" s="186">
        <v>844625.04</v>
      </c>
      <c r="CS470" s="186">
        <v>888791.38</v>
      </c>
      <c r="CT470" s="186">
        <v>926458.65</v>
      </c>
      <c r="CU470" s="186">
        <v>977594.36</v>
      </c>
      <c r="CV470" s="430">
        <f t="shared" si="18"/>
        <v>10646581.310000001</v>
      </c>
    </row>
    <row r="471" spans="1:100">
      <c r="A471" s="463" t="s">
        <v>1318</v>
      </c>
      <c r="B471" s="56"/>
      <c r="C471" s="56"/>
      <c r="D471" s="430">
        <v>4024.59</v>
      </c>
      <c r="E471" s="430">
        <v>2741.74</v>
      </c>
      <c r="F471" s="430">
        <v>4287.5200000000004</v>
      </c>
      <c r="G471" s="430">
        <v>5819.1</v>
      </c>
      <c r="H471" s="430">
        <v>10690.28</v>
      </c>
      <c r="I471" s="430">
        <v>6663.8</v>
      </c>
      <c r="J471" s="430">
        <v>9295.24</v>
      </c>
      <c r="K471" s="430">
        <v>1469.67</v>
      </c>
      <c r="L471" s="430">
        <v>5713.23</v>
      </c>
      <c r="M471" s="430">
        <v>6751.13</v>
      </c>
      <c r="N471" s="430">
        <v>6070.78</v>
      </c>
      <c r="O471" s="430">
        <v>2860.94</v>
      </c>
      <c r="P471" s="52">
        <v>2490.9699999999998</v>
      </c>
      <c r="Q471" s="52">
        <v>4243.43</v>
      </c>
      <c r="R471" s="52">
        <v>2332.2800000000002</v>
      </c>
      <c r="S471" s="52">
        <v>14815.01</v>
      </c>
      <c r="T471" s="52">
        <v>8065.9</v>
      </c>
      <c r="U471" s="52">
        <v>9384.94</v>
      </c>
      <c r="V471" s="52">
        <v>5152.1400000000003</v>
      </c>
      <c r="W471" s="52">
        <v>7338.77</v>
      </c>
      <c r="X471" s="52">
        <v>5934.94</v>
      </c>
      <c r="Y471" s="52">
        <v>7101.27</v>
      </c>
      <c r="Z471" s="52">
        <v>3559.66</v>
      </c>
      <c r="AA471" s="52">
        <v>2268.4699999999998</v>
      </c>
      <c r="AB471" s="52">
        <v>2789.29</v>
      </c>
      <c r="AC471" s="52">
        <v>7802.73</v>
      </c>
      <c r="AD471" s="52">
        <v>3262.36</v>
      </c>
      <c r="AE471" s="186">
        <v>3362.92</v>
      </c>
      <c r="AF471" s="186">
        <v>1327.7</v>
      </c>
      <c r="AG471" s="186">
        <v>3140.07</v>
      </c>
      <c r="AH471" s="186">
        <v>911.53</v>
      </c>
      <c r="AI471" s="186">
        <v>1028.6300000000001</v>
      </c>
      <c r="AJ471" s="186">
        <v>6497.92</v>
      </c>
      <c r="AK471" s="186">
        <v>397</v>
      </c>
      <c r="AL471" s="186">
        <v>1040.03</v>
      </c>
      <c r="AM471" s="186">
        <v>646.52</v>
      </c>
      <c r="AN471" s="186">
        <v>957.36</v>
      </c>
      <c r="AO471" s="186">
        <v>463.65</v>
      </c>
      <c r="AP471" s="186">
        <v>4488.3999999999996</v>
      </c>
      <c r="AQ471" s="186">
        <v>1288.5</v>
      </c>
      <c r="AR471" s="186">
        <v>529.44000000000005</v>
      </c>
      <c r="AS471" s="186">
        <v>2195.7199999999998</v>
      </c>
      <c r="AT471" s="186">
        <v>1600</v>
      </c>
      <c r="AU471" s="186">
        <v>4108.46</v>
      </c>
      <c r="AV471" s="186">
        <v>2161.0300000000002</v>
      </c>
      <c r="AW471" s="186">
        <v>5832.41</v>
      </c>
      <c r="AX471" s="186">
        <v>5780.47</v>
      </c>
      <c r="AY471" s="186">
        <v>2237.61</v>
      </c>
      <c r="AZ471" s="186">
        <v>609.24</v>
      </c>
      <c r="BA471" s="186">
        <v>5925.03</v>
      </c>
      <c r="BB471" s="186">
        <v>2220.65</v>
      </c>
      <c r="BC471" s="186">
        <v>1409.4</v>
      </c>
      <c r="BD471" s="186">
        <v>2519.23</v>
      </c>
      <c r="BE471" s="186">
        <v>473.79</v>
      </c>
      <c r="BF471" s="186">
        <v>484</v>
      </c>
      <c r="BG471" s="186">
        <v>1760.72</v>
      </c>
      <c r="BH471" s="186">
        <v>294.38</v>
      </c>
      <c r="BI471" s="186">
        <v>11.2</v>
      </c>
      <c r="BJ471" s="186">
        <v>762.67</v>
      </c>
      <c r="BK471" s="186">
        <v>158.99</v>
      </c>
      <c r="BL471" s="186">
        <v>16.2</v>
      </c>
      <c r="BM471" s="186">
        <v>4985.09</v>
      </c>
      <c r="BN471" s="186">
        <v>7042.14</v>
      </c>
      <c r="BO471" s="186">
        <v>389.58</v>
      </c>
      <c r="BP471" s="186">
        <v>1802.89</v>
      </c>
      <c r="BQ471" s="186">
        <v>867.75</v>
      </c>
      <c r="BR471" s="186">
        <v>2106.54</v>
      </c>
      <c r="BS471" s="186">
        <v>2972.04</v>
      </c>
      <c r="BT471" s="186">
        <v>1206.2</v>
      </c>
      <c r="BU471" s="186">
        <v>4626.8100000000004</v>
      </c>
      <c r="BV471" s="186">
        <v>2818.03</v>
      </c>
      <c r="BW471" s="186">
        <v>11702.39</v>
      </c>
      <c r="BX471" s="186">
        <v>5631.3</v>
      </c>
      <c r="BY471" s="186">
        <v>2019.48</v>
      </c>
      <c r="BZ471" s="186">
        <v>3323.83</v>
      </c>
      <c r="CA471" s="186">
        <v>4776.3999999999996</v>
      </c>
      <c r="CB471" s="186">
        <v>1796.43</v>
      </c>
      <c r="CC471" s="186">
        <v>1855.29</v>
      </c>
      <c r="CD471" s="186">
        <v>12973.46</v>
      </c>
      <c r="CE471" s="186">
        <v>5746.47</v>
      </c>
      <c r="CF471" s="186">
        <v>-181.7</v>
      </c>
      <c r="CG471" s="186">
        <v>397.01</v>
      </c>
      <c r="CH471" s="186">
        <v>3801.16</v>
      </c>
      <c r="CI471" s="186">
        <v>4900.88</v>
      </c>
      <c r="CJ471" s="186">
        <v>1271.53</v>
      </c>
      <c r="CK471" s="186">
        <v>3061.75</v>
      </c>
      <c r="CL471" s="186">
        <v>7968.62</v>
      </c>
      <c r="CM471" s="186">
        <v>696.77</v>
      </c>
      <c r="CN471" s="186">
        <v>3904.78</v>
      </c>
      <c r="CO471" s="186">
        <v>284.18</v>
      </c>
      <c r="CP471" s="186">
        <v>2861.93</v>
      </c>
      <c r="CQ471" s="186">
        <v>336.96</v>
      </c>
      <c r="CR471" s="186">
        <v>1167.49</v>
      </c>
      <c r="CS471" s="186">
        <v>2608.89</v>
      </c>
      <c r="CT471" s="186">
        <v>1398.31</v>
      </c>
      <c r="CU471" s="186">
        <v>411.74</v>
      </c>
      <c r="CV471" s="430">
        <f t="shared" si="18"/>
        <v>25972.950000000004</v>
      </c>
    </row>
    <row r="472" spans="1:100">
      <c r="A472" s="463" t="s">
        <v>1319</v>
      </c>
      <c r="B472" s="56"/>
      <c r="C472" s="56"/>
      <c r="D472" s="430">
        <v>11329.12</v>
      </c>
      <c r="E472" s="430">
        <v>0</v>
      </c>
      <c r="F472" s="430">
        <v>0</v>
      </c>
      <c r="G472" s="430">
        <v>7455.59</v>
      </c>
      <c r="H472" s="430">
        <v>2128.31</v>
      </c>
      <c r="I472" s="430">
        <v>4982.6400000000003</v>
      </c>
      <c r="J472" s="430">
        <v>2797.28</v>
      </c>
      <c r="K472" s="430">
        <v>3330.49</v>
      </c>
      <c r="L472" s="430">
        <v>2630.71</v>
      </c>
      <c r="M472" s="430">
        <v>3266.52</v>
      </c>
      <c r="N472" s="430">
        <v>5121.1400000000003</v>
      </c>
      <c r="O472" s="430">
        <v>4801.05</v>
      </c>
      <c r="P472" s="52">
        <v>0</v>
      </c>
      <c r="Q472" s="52">
        <v>451.79</v>
      </c>
      <c r="R472" s="52">
        <v>1239.6400000000001</v>
      </c>
      <c r="S472" s="52">
        <v>4265.18</v>
      </c>
      <c r="T472" s="52">
        <v>2353.21</v>
      </c>
      <c r="U472" s="52">
        <v>453.48</v>
      </c>
      <c r="V472" s="52">
        <v>1523.58</v>
      </c>
      <c r="W472" s="52">
        <v>164.25</v>
      </c>
      <c r="X472" s="52">
        <v>8993.6299999999992</v>
      </c>
      <c r="Y472" s="52">
        <v>7670.06</v>
      </c>
      <c r="Z472" s="52">
        <v>682.58</v>
      </c>
      <c r="AA472" s="52">
        <v>9505.5</v>
      </c>
      <c r="AB472" s="52">
        <v>799.68</v>
      </c>
      <c r="AC472" s="52">
        <v>232.3</v>
      </c>
      <c r="AD472" s="52">
        <v>0</v>
      </c>
      <c r="AE472" s="186">
        <v>1605.2</v>
      </c>
      <c r="AF472" s="186">
        <v>1451.08</v>
      </c>
      <c r="AG472" s="186">
        <v>14827.04</v>
      </c>
      <c r="AH472" s="186">
        <v>2746</v>
      </c>
      <c r="AI472" s="186">
        <v>8587.57</v>
      </c>
      <c r="AJ472" s="186">
        <v>1185.31</v>
      </c>
      <c r="AK472" s="186">
        <v>180.77</v>
      </c>
      <c r="AL472" s="186">
        <v>4207.49</v>
      </c>
      <c r="AM472" s="186">
        <v>14974</v>
      </c>
      <c r="AN472" s="186">
        <v>160.38</v>
      </c>
      <c r="AO472" s="186">
        <v>0</v>
      </c>
      <c r="AP472" s="186">
        <v>4599.2299999999996</v>
      </c>
      <c r="AQ472" s="186">
        <v>80.790000000000006</v>
      </c>
      <c r="AR472" s="186">
        <v>4290.8500000000004</v>
      </c>
      <c r="AS472" s="186">
        <v>41791.81</v>
      </c>
      <c r="AT472" s="186">
        <v>-4720.9399999999996</v>
      </c>
      <c r="AU472" s="186">
        <v>-3675.66</v>
      </c>
      <c r="AV472" s="186">
        <v>101.28</v>
      </c>
      <c r="AW472" s="186">
        <v>4661.1899999999996</v>
      </c>
      <c r="AX472" s="186">
        <v>453.11</v>
      </c>
      <c r="AY472" s="186">
        <v>567.55999999999995</v>
      </c>
      <c r="AZ472" s="186">
        <v>1258.05</v>
      </c>
      <c r="BA472" s="186">
        <v>312.88</v>
      </c>
      <c r="BB472" s="186">
        <v>2645.7</v>
      </c>
      <c r="BC472" s="186">
        <v>-34.619999999999997</v>
      </c>
      <c r="BD472" s="186">
        <v>3887.33</v>
      </c>
      <c r="BE472" s="186">
        <v>92.65</v>
      </c>
      <c r="BF472" s="186">
        <v>231.89</v>
      </c>
      <c r="BG472" s="186">
        <v>0</v>
      </c>
      <c r="BH472" s="186">
        <v>274.2</v>
      </c>
      <c r="BI472" s="186">
        <v>627.09</v>
      </c>
      <c r="BJ472" s="186">
        <v>12149.38</v>
      </c>
      <c r="BK472" s="186">
        <v>-10260.129999999999</v>
      </c>
      <c r="BL472" s="186">
        <v>0</v>
      </c>
      <c r="BM472" s="186">
        <v>87.21</v>
      </c>
      <c r="BN472" s="186">
        <v>0</v>
      </c>
      <c r="BO472" s="186">
        <v>0</v>
      </c>
      <c r="BP472" s="186">
        <v>0</v>
      </c>
      <c r="BQ472" s="186">
        <v>0</v>
      </c>
      <c r="BR472" s="186">
        <v>0</v>
      </c>
      <c r="BS472" s="186">
        <v>0</v>
      </c>
      <c r="BT472" s="186">
        <v>1884.2</v>
      </c>
      <c r="BU472" s="186">
        <v>44.8</v>
      </c>
      <c r="BV472" s="186">
        <v>103.93</v>
      </c>
      <c r="BW472" s="186">
        <v>43.61</v>
      </c>
      <c r="BX472" s="186">
        <v>0</v>
      </c>
      <c r="BY472" s="186">
        <v>0</v>
      </c>
      <c r="BZ472" s="186">
        <v>53.75</v>
      </c>
      <c r="CA472" s="186">
        <v>0</v>
      </c>
      <c r="CB472" s="186">
        <v>0</v>
      </c>
      <c r="CC472" s="186">
        <v>37.44</v>
      </c>
      <c r="CD472" s="186">
        <v>0</v>
      </c>
      <c r="CE472" s="186">
        <v>75.8</v>
      </c>
      <c r="CF472" s="186">
        <v>2502.73</v>
      </c>
      <c r="CG472" s="186">
        <v>0</v>
      </c>
      <c r="CH472" s="186">
        <v>0</v>
      </c>
      <c r="CI472" s="186">
        <v>0</v>
      </c>
      <c r="CJ472" s="186">
        <v>0</v>
      </c>
      <c r="CK472" s="186">
        <v>24237.64</v>
      </c>
      <c r="CL472" s="186">
        <v>0</v>
      </c>
      <c r="CM472" s="186">
        <v>2621.5</v>
      </c>
      <c r="CN472" s="186">
        <v>0</v>
      </c>
      <c r="CO472" s="186">
        <v>0</v>
      </c>
      <c r="CP472" s="186">
        <v>18208.12</v>
      </c>
      <c r="CQ472" s="186">
        <v>-18208.12</v>
      </c>
      <c r="CR472" s="186">
        <v>11246.87</v>
      </c>
      <c r="CS472" s="186">
        <v>-707.37</v>
      </c>
      <c r="CT472" s="186">
        <v>0</v>
      </c>
      <c r="CU472" s="186">
        <v>1071</v>
      </c>
      <c r="CV472" s="430">
        <f t="shared" si="18"/>
        <v>38469.639999999992</v>
      </c>
    </row>
    <row r="473" spans="1:100">
      <c r="A473" s="463" t="s">
        <v>1320</v>
      </c>
      <c r="B473" s="56"/>
      <c r="C473" s="56"/>
      <c r="D473" s="430">
        <v>6136.13</v>
      </c>
      <c r="E473" s="430">
        <v>7359.23</v>
      </c>
      <c r="F473" s="430">
        <v>6274.3</v>
      </c>
      <c r="G473" s="430">
        <v>15354.8</v>
      </c>
      <c r="H473" s="430">
        <v>20558.740000000002</v>
      </c>
      <c r="I473" s="430">
        <v>4968.17</v>
      </c>
      <c r="J473" s="430">
        <v>33579.03</v>
      </c>
      <c r="K473" s="430">
        <v>4281.38</v>
      </c>
      <c r="L473" s="430">
        <v>4888.8599999999997</v>
      </c>
      <c r="M473" s="430">
        <v>5152.3999999999996</v>
      </c>
      <c r="N473" s="430">
        <v>2588.96</v>
      </c>
      <c r="O473" s="430">
        <v>6280.54</v>
      </c>
      <c r="P473" s="52">
        <v>5429.72</v>
      </c>
      <c r="Q473" s="52">
        <v>4817.17</v>
      </c>
      <c r="R473" s="52">
        <v>4042.49</v>
      </c>
      <c r="S473" s="52">
        <v>4247.37</v>
      </c>
      <c r="T473" s="52">
        <v>5410.4</v>
      </c>
      <c r="U473" s="52">
        <v>4874.42</v>
      </c>
      <c r="V473" s="52">
        <v>7525.25</v>
      </c>
      <c r="W473" s="52">
        <v>4286.3599999999997</v>
      </c>
      <c r="X473" s="52">
        <v>6647.33</v>
      </c>
      <c r="Y473" s="52">
        <v>4362.4799999999996</v>
      </c>
      <c r="Z473" s="52">
        <v>6389.38</v>
      </c>
      <c r="AA473" s="52">
        <v>6851.65</v>
      </c>
      <c r="AB473" s="52">
        <v>4768.78</v>
      </c>
      <c r="AC473" s="52">
        <v>6717.8</v>
      </c>
      <c r="AD473" s="52">
        <v>4620.21</v>
      </c>
      <c r="AE473" s="186">
        <v>3488.97</v>
      </c>
      <c r="AF473" s="186">
        <v>3391.69</v>
      </c>
      <c r="AG473" s="186">
        <v>7442.68</v>
      </c>
      <c r="AH473" s="186">
        <v>4599.84</v>
      </c>
      <c r="AI473" s="186">
        <v>6812.54</v>
      </c>
      <c r="AJ473" s="186">
        <v>9183.56</v>
      </c>
      <c r="AK473" s="186">
        <v>6099.91</v>
      </c>
      <c r="AL473" s="186">
        <v>5343.67</v>
      </c>
      <c r="AM473" s="186">
        <v>11677.24</v>
      </c>
      <c r="AN473" s="186">
        <v>8645.01</v>
      </c>
      <c r="AO473" s="186">
        <v>3343.18</v>
      </c>
      <c r="AP473" s="186">
        <v>-234.53</v>
      </c>
      <c r="AQ473" s="186">
        <v>5489.87</v>
      </c>
      <c r="AR473" s="186">
        <v>4969.1899999999996</v>
      </c>
      <c r="AS473" s="186">
        <v>5211</v>
      </c>
      <c r="AT473" s="186">
        <v>6009.93</v>
      </c>
      <c r="AU473" s="186">
        <v>3902.83</v>
      </c>
      <c r="AV473" s="186">
        <v>5631.76</v>
      </c>
      <c r="AW473" s="186">
        <v>6418.11</v>
      </c>
      <c r="AX473" s="186">
        <v>6361.12</v>
      </c>
      <c r="AY473" s="186">
        <v>8213.4</v>
      </c>
      <c r="AZ473" s="186">
        <v>5307.39</v>
      </c>
      <c r="BA473" s="186">
        <v>5078.68</v>
      </c>
      <c r="BB473" s="186">
        <v>6606.61</v>
      </c>
      <c r="BC473" s="186">
        <v>7510.54</v>
      </c>
      <c r="BD473" s="186">
        <v>4845.4399999999996</v>
      </c>
      <c r="BE473" s="186">
        <v>4832.95</v>
      </c>
      <c r="BF473" s="186">
        <v>7334.07</v>
      </c>
      <c r="BG473" s="186">
        <v>5426.87</v>
      </c>
      <c r="BH473" s="186">
        <v>6382.87</v>
      </c>
      <c r="BI473" s="186">
        <v>6207.69</v>
      </c>
      <c r="BJ473" s="186">
        <v>5948.72</v>
      </c>
      <c r="BK473" s="186">
        <v>8356.74</v>
      </c>
      <c r="BL473" s="186">
        <v>5564.7</v>
      </c>
      <c r="BM473" s="186">
        <v>7729.39</v>
      </c>
      <c r="BN473" s="186">
        <v>6554.31</v>
      </c>
      <c r="BO473" s="186">
        <v>7417.55</v>
      </c>
      <c r="BP473" s="186">
        <v>6931.88</v>
      </c>
      <c r="BQ473" s="186">
        <v>6703.65</v>
      </c>
      <c r="BR473" s="186">
        <v>6306.55</v>
      </c>
      <c r="BS473" s="186">
        <v>7762.79</v>
      </c>
      <c r="BT473" s="186">
        <v>7571.35</v>
      </c>
      <c r="BU473" s="186">
        <v>6662.03</v>
      </c>
      <c r="BV473" s="186">
        <v>7222.6</v>
      </c>
      <c r="BW473" s="186">
        <v>8969.0400000000009</v>
      </c>
      <c r="BX473" s="186">
        <v>8290.02</v>
      </c>
      <c r="BY473" s="186">
        <v>6405.51</v>
      </c>
      <c r="BZ473" s="186">
        <v>8863.8799999999992</v>
      </c>
      <c r="CA473" s="186">
        <v>7161.8</v>
      </c>
      <c r="CB473" s="186">
        <v>93577.66</v>
      </c>
      <c r="CC473" s="186">
        <v>23659.86</v>
      </c>
      <c r="CD473" s="186">
        <v>25905.02</v>
      </c>
      <c r="CE473" s="186">
        <v>23353.02</v>
      </c>
      <c r="CF473" s="186">
        <v>23443.54</v>
      </c>
      <c r="CG473" s="186">
        <v>25979.84</v>
      </c>
      <c r="CH473" s="186">
        <v>25213.77</v>
      </c>
      <c r="CI473" s="186">
        <v>28658.68</v>
      </c>
      <c r="CJ473" s="186">
        <v>14919.36</v>
      </c>
      <c r="CK473" s="186">
        <v>8543.06</v>
      </c>
      <c r="CL473" s="186">
        <v>9630.9599999999991</v>
      </c>
      <c r="CM473" s="186">
        <v>9422.43</v>
      </c>
      <c r="CN473" s="186">
        <v>7778.1</v>
      </c>
      <c r="CO473" s="186">
        <v>7878.85</v>
      </c>
      <c r="CP473" s="186">
        <v>13471.21</v>
      </c>
      <c r="CQ473" s="186">
        <v>8896.1200000000008</v>
      </c>
      <c r="CR473" s="186">
        <v>11167.95</v>
      </c>
      <c r="CS473" s="186">
        <v>10773.39</v>
      </c>
      <c r="CT473" s="186">
        <v>9130.48</v>
      </c>
      <c r="CU473" s="186">
        <v>12471.49</v>
      </c>
      <c r="CV473" s="430">
        <f t="shared" si="18"/>
        <v>124083.4</v>
      </c>
    </row>
    <row r="474" spans="1:100">
      <c r="A474" s="463" t="s">
        <v>1321</v>
      </c>
      <c r="B474" s="56"/>
      <c r="C474" s="56"/>
      <c r="D474" s="430">
        <v>331664.32</v>
      </c>
      <c r="E474" s="430">
        <v>280878.81</v>
      </c>
      <c r="F474" s="430">
        <v>340841.73</v>
      </c>
      <c r="G474" s="430">
        <v>336468.88</v>
      </c>
      <c r="H474" s="430">
        <v>358277.46</v>
      </c>
      <c r="I474" s="430">
        <v>348496.89</v>
      </c>
      <c r="J474" s="430">
        <v>401879.03</v>
      </c>
      <c r="K474" s="430">
        <v>395945.61</v>
      </c>
      <c r="L474" s="430">
        <v>393749.54</v>
      </c>
      <c r="M474" s="430">
        <v>346898.74</v>
      </c>
      <c r="N474" s="430">
        <v>324130.23</v>
      </c>
      <c r="O474" s="430">
        <v>318864.71000000002</v>
      </c>
      <c r="P474" s="52">
        <v>303119.52</v>
      </c>
      <c r="Q474" s="52">
        <v>306386.05</v>
      </c>
      <c r="R474" s="52">
        <v>324008.94</v>
      </c>
      <c r="S474" s="52">
        <v>329943.99</v>
      </c>
      <c r="T474" s="52">
        <v>373121.43</v>
      </c>
      <c r="U474" s="52">
        <v>373278.5</v>
      </c>
      <c r="V474" s="52">
        <v>379361.08</v>
      </c>
      <c r="W474" s="52">
        <v>363906.81</v>
      </c>
      <c r="X474" s="52">
        <v>361671.39</v>
      </c>
      <c r="Y474" s="52">
        <v>373518.29</v>
      </c>
      <c r="Z474" s="52">
        <v>390443.42</v>
      </c>
      <c r="AA474" s="52">
        <v>391313.14</v>
      </c>
      <c r="AB474" s="52">
        <v>387278.21</v>
      </c>
      <c r="AC474" s="52">
        <v>320639.03999999998</v>
      </c>
      <c r="AD474" s="52">
        <v>392361.23</v>
      </c>
      <c r="AE474" s="186">
        <v>344536.52</v>
      </c>
      <c r="AF474" s="186">
        <v>333609.61</v>
      </c>
      <c r="AG474" s="186">
        <v>367571.77</v>
      </c>
      <c r="AH474" s="186">
        <v>337048.62</v>
      </c>
      <c r="AI474" s="186">
        <v>415646.4</v>
      </c>
      <c r="AJ474" s="186">
        <v>350825.22</v>
      </c>
      <c r="AK474" s="186">
        <v>406109.41</v>
      </c>
      <c r="AL474" s="186">
        <v>509946.34</v>
      </c>
      <c r="AM474" s="186">
        <v>473934.12</v>
      </c>
      <c r="AN474" s="186">
        <v>330722.59000000003</v>
      </c>
      <c r="AO474" s="186">
        <v>329327.03000000003</v>
      </c>
      <c r="AP474" s="186">
        <v>353317.25</v>
      </c>
      <c r="AQ474" s="186">
        <v>389287.23</v>
      </c>
      <c r="AR474" s="186">
        <v>478317.47</v>
      </c>
      <c r="AS474" s="186">
        <v>472464.22</v>
      </c>
      <c r="AT474" s="186">
        <v>481635.72</v>
      </c>
      <c r="AU474" s="186">
        <v>517421.4</v>
      </c>
      <c r="AV474" s="186">
        <v>357513.09</v>
      </c>
      <c r="AW474" s="186">
        <v>506337.1</v>
      </c>
      <c r="AX474" s="186">
        <v>500950.42</v>
      </c>
      <c r="AY474" s="186">
        <v>552550.44999999995</v>
      </c>
      <c r="AZ474" s="186">
        <v>428461.48</v>
      </c>
      <c r="BA474" s="186">
        <v>468341.03</v>
      </c>
      <c r="BB474" s="186">
        <v>476985.96</v>
      </c>
      <c r="BC474" s="186">
        <v>453349.23</v>
      </c>
      <c r="BD474" s="186">
        <v>403614.47</v>
      </c>
      <c r="BE474" s="186">
        <v>458408.1</v>
      </c>
      <c r="BF474" s="186">
        <v>380866.75</v>
      </c>
      <c r="BG474" s="186">
        <v>414751.56</v>
      </c>
      <c r="BH474" s="186">
        <v>351139.78</v>
      </c>
      <c r="BI474" s="186">
        <v>396062.05</v>
      </c>
      <c r="BJ474" s="186">
        <v>319811.71999999997</v>
      </c>
      <c r="BK474" s="186">
        <v>391463.82</v>
      </c>
      <c r="BL474" s="186">
        <v>403554.52</v>
      </c>
      <c r="BM474" s="186">
        <v>339306.14</v>
      </c>
      <c r="BN474" s="186">
        <v>438874.04</v>
      </c>
      <c r="BO474" s="186">
        <v>341530.26</v>
      </c>
      <c r="BP474" s="186">
        <v>422969.32</v>
      </c>
      <c r="BQ474" s="186">
        <v>364047.39</v>
      </c>
      <c r="BR474" s="186">
        <v>435869.56</v>
      </c>
      <c r="BS474" s="186">
        <v>447427.46</v>
      </c>
      <c r="BT474" s="186">
        <v>404354.55</v>
      </c>
      <c r="BU474" s="186">
        <v>409337.35</v>
      </c>
      <c r="BV474" s="186">
        <v>529053.13</v>
      </c>
      <c r="BW474" s="186">
        <v>520136.74</v>
      </c>
      <c r="BX474" s="186">
        <v>500679.98</v>
      </c>
      <c r="BY474" s="186">
        <v>392228.57</v>
      </c>
      <c r="BZ474" s="186">
        <v>615433.6</v>
      </c>
      <c r="CA474" s="186">
        <v>417025.28000000003</v>
      </c>
      <c r="CB474" s="186">
        <v>348949.88</v>
      </c>
      <c r="CC474" s="186">
        <v>395017.46</v>
      </c>
      <c r="CD474" s="186">
        <v>397132.11</v>
      </c>
      <c r="CE474" s="186">
        <v>411433.44</v>
      </c>
      <c r="CF474" s="186">
        <v>411020.19</v>
      </c>
      <c r="CG474" s="186">
        <v>406461.9</v>
      </c>
      <c r="CH474" s="186">
        <v>410458.93</v>
      </c>
      <c r="CI474" s="186">
        <v>475080.71</v>
      </c>
      <c r="CJ474" s="186">
        <v>386666.72</v>
      </c>
      <c r="CK474" s="186">
        <v>367093.51</v>
      </c>
      <c r="CL474" s="186">
        <v>512899.84000000003</v>
      </c>
      <c r="CM474" s="186">
        <v>428165.84</v>
      </c>
      <c r="CN474" s="186">
        <v>432385.1</v>
      </c>
      <c r="CO474" s="186">
        <v>422798.92</v>
      </c>
      <c r="CP474" s="186">
        <v>462718.69</v>
      </c>
      <c r="CQ474" s="186">
        <v>450568.6</v>
      </c>
      <c r="CR474" s="186">
        <v>461344.34</v>
      </c>
      <c r="CS474" s="186">
        <v>407696.22</v>
      </c>
      <c r="CT474" s="186">
        <v>517713.02</v>
      </c>
      <c r="CU474" s="186">
        <v>580938.28</v>
      </c>
      <c r="CV474" s="430">
        <f t="shared" si="18"/>
        <v>5430989.080000001</v>
      </c>
    </row>
    <row r="475" spans="1:100">
      <c r="A475" s="463" t="s">
        <v>1322</v>
      </c>
      <c r="B475" s="56"/>
      <c r="C475" s="56"/>
      <c r="D475" s="430">
        <v>184557.37</v>
      </c>
      <c r="E475" s="430">
        <v>147280.78</v>
      </c>
      <c r="F475" s="430">
        <v>151730.47</v>
      </c>
      <c r="G475" s="430">
        <v>138717.81</v>
      </c>
      <c r="H475" s="430">
        <v>158418.76999999999</v>
      </c>
      <c r="I475" s="430">
        <v>141319.22</v>
      </c>
      <c r="J475" s="430">
        <v>188796.06</v>
      </c>
      <c r="K475" s="430">
        <v>150911.19</v>
      </c>
      <c r="L475" s="430">
        <v>236065.04</v>
      </c>
      <c r="M475" s="430">
        <v>176585.16</v>
      </c>
      <c r="N475" s="430">
        <v>163521.91</v>
      </c>
      <c r="O475" s="430">
        <v>202287.45</v>
      </c>
      <c r="P475" s="52">
        <v>176829.47</v>
      </c>
      <c r="Q475" s="52">
        <v>158173.24</v>
      </c>
      <c r="R475" s="52">
        <v>161430.24</v>
      </c>
      <c r="S475" s="52">
        <v>166194.35999999999</v>
      </c>
      <c r="T475" s="52">
        <v>164214.57999999999</v>
      </c>
      <c r="U475" s="52">
        <v>153860.42000000001</v>
      </c>
      <c r="V475" s="52">
        <v>149582.04999999999</v>
      </c>
      <c r="W475" s="52">
        <v>145490.45000000001</v>
      </c>
      <c r="X475" s="52">
        <v>168339.48</v>
      </c>
      <c r="Y475" s="52">
        <v>170838.72</v>
      </c>
      <c r="Z475" s="52">
        <v>154663.1</v>
      </c>
      <c r="AA475" s="52">
        <v>176453.41</v>
      </c>
      <c r="AB475" s="52">
        <v>189051.24</v>
      </c>
      <c r="AC475" s="52">
        <v>183690.69</v>
      </c>
      <c r="AD475" s="52">
        <v>177697.38</v>
      </c>
      <c r="AE475" s="186">
        <v>140301.82</v>
      </c>
      <c r="AF475" s="186">
        <v>136480.20000000001</v>
      </c>
      <c r="AG475" s="186">
        <v>160545.94</v>
      </c>
      <c r="AH475" s="186">
        <v>147268.47</v>
      </c>
      <c r="AI475" s="186">
        <v>161044.42000000001</v>
      </c>
      <c r="AJ475" s="186">
        <v>148232.94</v>
      </c>
      <c r="AK475" s="186">
        <v>158640.1</v>
      </c>
      <c r="AL475" s="186">
        <v>193969.25</v>
      </c>
      <c r="AM475" s="186">
        <v>195056.83</v>
      </c>
      <c r="AN475" s="186">
        <v>219479.33</v>
      </c>
      <c r="AO475" s="186">
        <v>147211.97</v>
      </c>
      <c r="AP475" s="186">
        <v>135616.91</v>
      </c>
      <c r="AQ475" s="186">
        <v>139080.53</v>
      </c>
      <c r="AR475" s="186">
        <v>141809.94</v>
      </c>
      <c r="AS475" s="186">
        <v>136054.07</v>
      </c>
      <c r="AT475" s="186">
        <v>133906.81</v>
      </c>
      <c r="AU475" s="186">
        <v>159606.20000000001</v>
      </c>
      <c r="AV475" s="186">
        <v>187136.5</v>
      </c>
      <c r="AW475" s="186">
        <v>132105.44</v>
      </c>
      <c r="AX475" s="186">
        <v>168058.81</v>
      </c>
      <c r="AY475" s="186">
        <v>194287.25</v>
      </c>
      <c r="AZ475" s="186">
        <v>224980.51</v>
      </c>
      <c r="BA475" s="186">
        <v>169696.27</v>
      </c>
      <c r="BB475" s="186">
        <v>155592.04</v>
      </c>
      <c r="BC475" s="186">
        <v>155577.76999999999</v>
      </c>
      <c r="BD475" s="186">
        <v>155362.79</v>
      </c>
      <c r="BE475" s="186">
        <v>144753.72</v>
      </c>
      <c r="BF475" s="186">
        <v>168942.48</v>
      </c>
      <c r="BG475" s="186">
        <v>169974.31</v>
      </c>
      <c r="BH475" s="186">
        <v>158445.26999999999</v>
      </c>
      <c r="BI475" s="186">
        <v>182356.78</v>
      </c>
      <c r="BJ475" s="186">
        <v>160648.76</v>
      </c>
      <c r="BK475" s="186">
        <v>225761.03</v>
      </c>
      <c r="BL475" s="186">
        <v>237541.02</v>
      </c>
      <c r="BM475" s="186">
        <v>214787.02</v>
      </c>
      <c r="BN475" s="186">
        <v>177580.52</v>
      </c>
      <c r="BO475" s="186">
        <v>198763.76</v>
      </c>
      <c r="BP475" s="186">
        <v>165135.82999999999</v>
      </c>
      <c r="BQ475" s="186">
        <v>173833.9</v>
      </c>
      <c r="BR475" s="186">
        <v>227791.35</v>
      </c>
      <c r="BS475" s="186">
        <v>210685.91</v>
      </c>
      <c r="BT475" s="186">
        <v>180552.42</v>
      </c>
      <c r="BU475" s="186">
        <v>195388.93</v>
      </c>
      <c r="BV475" s="186">
        <v>189566.5</v>
      </c>
      <c r="BW475" s="186">
        <v>223586.69</v>
      </c>
      <c r="BX475" s="186">
        <v>215086.82</v>
      </c>
      <c r="BY475" s="186">
        <v>173816.31</v>
      </c>
      <c r="BZ475" s="186">
        <v>210080.51</v>
      </c>
      <c r="CA475" s="186">
        <v>163474.62</v>
      </c>
      <c r="CB475" s="186">
        <v>171364.64</v>
      </c>
      <c r="CC475" s="186">
        <v>191891.07</v>
      </c>
      <c r="CD475" s="186">
        <v>211609.9</v>
      </c>
      <c r="CE475" s="186">
        <v>206834.3</v>
      </c>
      <c r="CF475" s="186">
        <v>195754.87</v>
      </c>
      <c r="CG475" s="186">
        <v>195189.33</v>
      </c>
      <c r="CH475" s="186">
        <v>164341.63</v>
      </c>
      <c r="CI475" s="186">
        <v>305986.2</v>
      </c>
      <c r="CJ475" s="186">
        <v>283041.71999999997</v>
      </c>
      <c r="CK475" s="186">
        <v>228594.09</v>
      </c>
      <c r="CL475" s="186">
        <v>247596.66</v>
      </c>
      <c r="CM475" s="186">
        <v>212818.62</v>
      </c>
      <c r="CN475" s="186">
        <v>228039.98</v>
      </c>
      <c r="CO475" s="186">
        <v>237926.18</v>
      </c>
      <c r="CP475" s="186">
        <v>256618.99</v>
      </c>
      <c r="CQ475" s="186">
        <v>228220.96</v>
      </c>
      <c r="CR475" s="186">
        <v>252059.38</v>
      </c>
      <c r="CS475" s="186">
        <v>250428.44</v>
      </c>
      <c r="CT475" s="186">
        <v>259426.08</v>
      </c>
      <c r="CU475" s="186">
        <v>291927.61</v>
      </c>
      <c r="CV475" s="430">
        <f t="shared" si="18"/>
        <v>2976698.71</v>
      </c>
    </row>
    <row r="476" spans="1:100">
      <c r="A476" s="463" t="s">
        <v>1323</v>
      </c>
      <c r="B476" s="56"/>
      <c r="C476" s="56"/>
      <c r="D476" s="430">
        <v>138102.10999999999</v>
      </c>
      <c r="E476" s="430">
        <v>130764.12</v>
      </c>
      <c r="F476" s="430">
        <v>160990.28</v>
      </c>
      <c r="G476" s="430">
        <v>141005.9</v>
      </c>
      <c r="H476" s="430">
        <v>182656.18</v>
      </c>
      <c r="I476" s="430">
        <v>150618.42000000001</v>
      </c>
      <c r="J476" s="430">
        <v>180149.83</v>
      </c>
      <c r="K476" s="430">
        <v>204045.49</v>
      </c>
      <c r="L476" s="430">
        <v>162810.79999999999</v>
      </c>
      <c r="M476" s="430">
        <v>194629.08</v>
      </c>
      <c r="N476" s="430">
        <v>68891.41</v>
      </c>
      <c r="O476" s="430">
        <v>111661.09</v>
      </c>
      <c r="P476" s="52">
        <v>104265.83</v>
      </c>
      <c r="Q476" s="52">
        <v>104127.75</v>
      </c>
      <c r="R476" s="52">
        <v>182172.37</v>
      </c>
      <c r="S476" s="52">
        <v>152194.26</v>
      </c>
      <c r="T476" s="52">
        <v>139281.71</v>
      </c>
      <c r="U476" s="52">
        <v>125000.47</v>
      </c>
      <c r="V476" s="52">
        <v>113829.74</v>
      </c>
      <c r="W476" s="52">
        <v>90734.92</v>
      </c>
      <c r="X476" s="52">
        <v>156744.37</v>
      </c>
      <c r="Y476" s="52">
        <v>119261.08</v>
      </c>
      <c r="Z476" s="52">
        <v>91181.29</v>
      </c>
      <c r="AA476" s="52">
        <v>137119.75</v>
      </c>
      <c r="AB476" s="52">
        <v>96500.14</v>
      </c>
      <c r="AC476" s="52">
        <v>133539.43</v>
      </c>
      <c r="AD476" s="52">
        <v>156162.07999999999</v>
      </c>
      <c r="AE476" s="186">
        <v>158075.59</v>
      </c>
      <c r="AF476" s="186">
        <v>145571.88</v>
      </c>
      <c r="AG476" s="186">
        <v>156886.82999999999</v>
      </c>
      <c r="AH476" s="186">
        <v>115245.15</v>
      </c>
      <c r="AI476" s="186">
        <v>162947.91</v>
      </c>
      <c r="AJ476" s="186">
        <v>128581.54</v>
      </c>
      <c r="AK476" s="186">
        <v>132893.51999999999</v>
      </c>
      <c r="AL476" s="186">
        <v>162809.78</v>
      </c>
      <c r="AM476" s="186">
        <v>209473.99</v>
      </c>
      <c r="AN476" s="186">
        <v>20252.71</v>
      </c>
      <c r="AO476" s="186">
        <v>149558.39000000001</v>
      </c>
      <c r="AP476" s="186">
        <v>153456.54</v>
      </c>
      <c r="AQ476" s="186">
        <v>86345.22</v>
      </c>
      <c r="AR476" s="186">
        <v>140157.57</v>
      </c>
      <c r="AS476" s="186">
        <v>223973.86</v>
      </c>
      <c r="AT476" s="186">
        <v>16732.78</v>
      </c>
      <c r="AU476" s="186">
        <v>93720.86</v>
      </c>
      <c r="AV476" s="186">
        <v>87423.09</v>
      </c>
      <c r="AW476" s="186">
        <v>131302.25</v>
      </c>
      <c r="AX476" s="186">
        <v>200272.76</v>
      </c>
      <c r="AY476" s="186">
        <v>203768.71</v>
      </c>
      <c r="AZ476" s="186">
        <v>167577.20000000001</v>
      </c>
      <c r="BA476" s="186">
        <v>173062.44</v>
      </c>
      <c r="BB476" s="186">
        <v>218121.47</v>
      </c>
      <c r="BC476" s="186">
        <v>129812.28</v>
      </c>
      <c r="BD476" s="186">
        <v>201077.29</v>
      </c>
      <c r="BE476" s="186">
        <v>167642.96</v>
      </c>
      <c r="BF476" s="186">
        <v>111076.48</v>
      </c>
      <c r="BG476" s="186">
        <v>179484.61</v>
      </c>
      <c r="BH476" s="186">
        <v>131531.24</v>
      </c>
      <c r="BI476" s="186">
        <v>379295.54</v>
      </c>
      <c r="BJ476" s="186">
        <v>296842.96000000002</v>
      </c>
      <c r="BK476" s="186">
        <v>106933.63</v>
      </c>
      <c r="BL476" s="186">
        <v>130455.48</v>
      </c>
      <c r="BM476" s="186">
        <v>294638.64</v>
      </c>
      <c r="BN476" s="186">
        <v>277439.27</v>
      </c>
      <c r="BO476" s="186">
        <v>223612.69</v>
      </c>
      <c r="BP476" s="186">
        <v>237833.53</v>
      </c>
      <c r="BQ476" s="186">
        <v>251734.46</v>
      </c>
      <c r="BR476" s="186">
        <v>252800.21</v>
      </c>
      <c r="BS476" s="186">
        <v>339681.12</v>
      </c>
      <c r="BT476" s="186">
        <v>386432.62</v>
      </c>
      <c r="BU476" s="186">
        <v>324221.86</v>
      </c>
      <c r="BV476" s="186">
        <v>290373.40000000002</v>
      </c>
      <c r="BW476" s="186">
        <v>346289.27</v>
      </c>
      <c r="BX476" s="186">
        <v>241393.15</v>
      </c>
      <c r="BY476" s="186">
        <v>310155.62</v>
      </c>
      <c r="BZ476" s="186">
        <v>429419.84</v>
      </c>
      <c r="CA476" s="186">
        <v>337072.46</v>
      </c>
      <c r="CB476" s="186">
        <v>290593.13</v>
      </c>
      <c r="CC476" s="186">
        <v>287989.33</v>
      </c>
      <c r="CD476" s="186">
        <v>359881.93</v>
      </c>
      <c r="CE476" s="186">
        <v>442308.97</v>
      </c>
      <c r="CF476" s="186">
        <v>305089.7</v>
      </c>
      <c r="CG476" s="186">
        <v>285235.44</v>
      </c>
      <c r="CH476" s="186">
        <v>260562.63</v>
      </c>
      <c r="CI476" s="186">
        <v>377252.9</v>
      </c>
      <c r="CJ476" s="186">
        <v>403720.8</v>
      </c>
      <c r="CK476" s="186">
        <v>350869.07</v>
      </c>
      <c r="CL476" s="186">
        <v>347896.9</v>
      </c>
      <c r="CM476" s="186">
        <v>386666.71</v>
      </c>
      <c r="CN476" s="186">
        <v>311070.28000000003</v>
      </c>
      <c r="CO476" s="186">
        <v>283482.59000000003</v>
      </c>
      <c r="CP476" s="186">
        <v>309484.44</v>
      </c>
      <c r="CQ476" s="186">
        <v>292052.90000000002</v>
      </c>
      <c r="CR476" s="186">
        <v>320416.7</v>
      </c>
      <c r="CS476" s="186">
        <v>293054.36</v>
      </c>
      <c r="CT476" s="186">
        <v>326283.01</v>
      </c>
      <c r="CU476" s="186">
        <v>354957.14</v>
      </c>
      <c r="CV476" s="430">
        <f t="shared" si="18"/>
        <v>3979954.9</v>
      </c>
    </row>
    <row r="477" spans="1:100">
      <c r="A477" s="463" t="s">
        <v>1324</v>
      </c>
      <c r="B477" s="56"/>
      <c r="C477" s="56"/>
      <c r="D477" s="430">
        <v>7580</v>
      </c>
      <c r="E477" s="430">
        <v>11044.45</v>
      </c>
      <c r="F477" s="430">
        <v>4910.21</v>
      </c>
      <c r="G477" s="430">
        <v>929.5</v>
      </c>
      <c r="H477" s="430">
        <v>100</v>
      </c>
      <c r="I477" s="430">
        <v>16893.11</v>
      </c>
      <c r="J477" s="430">
        <v>4022.8</v>
      </c>
      <c r="K477" s="430">
        <v>2574.77</v>
      </c>
      <c r="L477" s="430">
        <v>1428.21</v>
      </c>
      <c r="M477" s="430">
        <v>395.7</v>
      </c>
      <c r="N477" s="430">
        <v>118527.59</v>
      </c>
      <c r="O477" s="430">
        <v>-808.06</v>
      </c>
      <c r="P477" s="52">
        <v>13622.6</v>
      </c>
      <c r="Q477" s="52">
        <v>8088.92</v>
      </c>
      <c r="R477" s="52">
        <v>24169.15</v>
      </c>
      <c r="S477" s="52">
        <v>2415.75</v>
      </c>
      <c r="T477" s="52">
        <v>15603.19</v>
      </c>
      <c r="U477" s="52">
        <v>6040.29</v>
      </c>
      <c r="V477" s="52">
        <v>484.04</v>
      </c>
      <c r="W477" s="52">
        <v>1004.31</v>
      </c>
      <c r="X477" s="52">
        <v>7420.09</v>
      </c>
      <c r="Y477" s="52">
        <v>11539.78</v>
      </c>
      <c r="Z477" s="52">
        <v>108933.56</v>
      </c>
      <c r="AA477" s="52">
        <v>6409.14</v>
      </c>
      <c r="AB477" s="52">
        <v>36138.720000000001</v>
      </c>
      <c r="AC477" s="52">
        <v>10959.3</v>
      </c>
      <c r="AD477" s="52">
        <v>8290.43</v>
      </c>
      <c r="AE477" s="186">
        <v>3306.91</v>
      </c>
      <c r="AF477" s="186">
        <v>894.5</v>
      </c>
      <c r="AG477" s="186">
        <v>6283.14</v>
      </c>
      <c r="AH477" s="186">
        <v>1054.7</v>
      </c>
      <c r="AI477" s="186">
        <v>3223.64</v>
      </c>
      <c r="AJ477" s="186">
        <v>2259.21</v>
      </c>
      <c r="AK477" s="186">
        <v>113061.98</v>
      </c>
      <c r="AL477" s="186">
        <v>14575.26</v>
      </c>
      <c r="AM477" s="186">
        <v>50252.09</v>
      </c>
      <c r="AN477" s="186">
        <v>5752.23</v>
      </c>
      <c r="AO477" s="186">
        <v>15698.14</v>
      </c>
      <c r="AP477" s="186">
        <v>5451.85</v>
      </c>
      <c r="AQ477" s="186">
        <v>2168.66</v>
      </c>
      <c r="AR477" s="186">
        <v>3579.5</v>
      </c>
      <c r="AS477" s="186">
        <v>1355.1</v>
      </c>
      <c r="AT477" s="186">
        <v>3532.98</v>
      </c>
      <c r="AU477" s="186">
        <v>16387.669999999998</v>
      </c>
      <c r="AV477" s="186">
        <v>2583.09</v>
      </c>
      <c r="AW477" s="186">
        <v>0</v>
      </c>
      <c r="AX477" s="186">
        <v>125962.09</v>
      </c>
      <c r="AY477" s="186">
        <v>31782.959999999999</v>
      </c>
      <c r="AZ477" s="186">
        <v>9287.42</v>
      </c>
      <c r="BA477" s="186">
        <v>15798.77</v>
      </c>
      <c r="BB477" s="186">
        <v>3501.37</v>
      </c>
      <c r="BC477" s="186">
        <v>1880.7</v>
      </c>
      <c r="BD477" s="186">
        <v>732.15</v>
      </c>
      <c r="BE477" s="186">
        <v>2422.88</v>
      </c>
      <c r="BF477" s="186">
        <v>2664.09</v>
      </c>
      <c r="BG477" s="186">
        <v>12934.93</v>
      </c>
      <c r="BH477" s="186">
        <v>12824.21</v>
      </c>
      <c r="BI477" s="186">
        <v>3102.29</v>
      </c>
      <c r="BJ477" s="186">
        <v>118185.82</v>
      </c>
      <c r="BK477" s="186">
        <v>43906.67</v>
      </c>
      <c r="BL477" s="186">
        <v>14066.43</v>
      </c>
      <c r="BM477" s="186">
        <v>9658.74</v>
      </c>
      <c r="BN477" s="186">
        <v>3567.95</v>
      </c>
      <c r="BO477" s="186">
        <v>1401.66</v>
      </c>
      <c r="BP477" s="186">
        <v>1718.09</v>
      </c>
      <c r="BQ477" s="186">
        <v>1264.77</v>
      </c>
      <c r="BR477" s="186">
        <v>5384.9</v>
      </c>
      <c r="BS477" s="186">
        <v>4090.68</v>
      </c>
      <c r="BT477" s="186">
        <v>1401.56</v>
      </c>
      <c r="BU477" s="186">
        <v>6388.15</v>
      </c>
      <c r="BV477" s="186">
        <v>129982.97</v>
      </c>
      <c r="BW477" s="186">
        <v>50338.29</v>
      </c>
      <c r="BX477" s="186">
        <v>5841.48</v>
      </c>
      <c r="BY477" s="186">
        <v>5048.76</v>
      </c>
      <c r="BZ477" s="186">
        <v>19298.21</v>
      </c>
      <c r="CA477" s="186">
        <v>970.6</v>
      </c>
      <c r="CB477" s="186">
        <v>5335.44</v>
      </c>
      <c r="CC477" s="186">
        <v>6573.98</v>
      </c>
      <c r="CD477" s="186">
        <v>4686.46</v>
      </c>
      <c r="CE477" s="186">
        <v>3745.05</v>
      </c>
      <c r="CF477" s="186">
        <v>1366.37</v>
      </c>
      <c r="CG477" s="186">
        <v>14831.75</v>
      </c>
      <c r="CH477" s="186">
        <v>11663.96</v>
      </c>
      <c r="CI477" s="186">
        <v>155209.03</v>
      </c>
      <c r="CJ477" s="186">
        <v>1273.82</v>
      </c>
      <c r="CK477" s="186">
        <v>10681.66</v>
      </c>
      <c r="CL477" s="186">
        <v>12647.54</v>
      </c>
      <c r="CM477" s="186">
        <v>1494.26</v>
      </c>
      <c r="CN477" s="186">
        <v>7521.15</v>
      </c>
      <c r="CO477" s="186">
        <v>8674.61</v>
      </c>
      <c r="CP477" s="186">
        <v>4628.22</v>
      </c>
      <c r="CQ477" s="186">
        <v>2025.21</v>
      </c>
      <c r="CR477" s="186">
        <v>565.4</v>
      </c>
      <c r="CS477" s="186">
        <v>10223.620000000001</v>
      </c>
      <c r="CT477" s="186">
        <v>142803.14000000001</v>
      </c>
      <c r="CU477" s="186">
        <v>35401.31</v>
      </c>
      <c r="CV477" s="430">
        <f t="shared" si="18"/>
        <v>237939.94</v>
      </c>
    </row>
    <row r="478" spans="1:100">
      <c r="A478" s="463" t="s">
        <v>1325</v>
      </c>
      <c r="B478" s="56"/>
      <c r="C478" s="56"/>
      <c r="D478" s="430">
        <v>0</v>
      </c>
      <c r="E478" s="430">
        <v>0</v>
      </c>
      <c r="F478" s="430">
        <v>0</v>
      </c>
      <c r="G478" s="430">
        <v>0</v>
      </c>
      <c r="H478" s="430">
        <v>781.16</v>
      </c>
      <c r="I478" s="430">
        <v>0</v>
      </c>
      <c r="J478" s="430">
        <v>0</v>
      </c>
      <c r="K478" s="430">
        <v>0</v>
      </c>
      <c r="L478" s="430">
        <v>0</v>
      </c>
      <c r="M478" s="430">
        <v>131.29</v>
      </c>
      <c r="N478" s="430">
        <v>0</v>
      </c>
      <c r="O478" s="430">
        <v>0</v>
      </c>
      <c r="P478" s="52">
        <v>0</v>
      </c>
      <c r="Q478" s="52">
        <v>0</v>
      </c>
      <c r="R478" s="52">
        <v>0</v>
      </c>
      <c r="S478" s="52">
        <v>0</v>
      </c>
      <c r="T478" s="52">
        <v>1726.88</v>
      </c>
      <c r="U478" s="52">
        <v>966.19</v>
      </c>
      <c r="V478" s="52">
        <v>0</v>
      </c>
      <c r="W478" s="52">
        <v>62.88</v>
      </c>
      <c r="X478" s="52">
        <v>0</v>
      </c>
      <c r="Y478" s="52">
        <v>31.29</v>
      </c>
      <c r="Z478" s="52">
        <v>350.24</v>
      </c>
      <c r="AA478" s="52">
        <v>0</v>
      </c>
      <c r="AB478" s="52">
        <v>241.13</v>
      </c>
      <c r="AC478" s="52">
        <v>-0.01</v>
      </c>
      <c r="AD478" s="52">
        <v>0</v>
      </c>
      <c r="AE478" s="186">
        <v>469</v>
      </c>
      <c r="AF478" s="186">
        <v>4256</v>
      </c>
      <c r="AG478" s="186">
        <v>4158</v>
      </c>
      <c r="AH478" s="186">
        <v>718.38</v>
      </c>
      <c r="AI478" s="186">
        <v>13388.06</v>
      </c>
      <c r="AJ478" s="186">
        <v>-4254.1000000000004</v>
      </c>
      <c r="AK478" s="186">
        <v>5416.65</v>
      </c>
      <c r="AL478" s="186">
        <v>9786.42</v>
      </c>
      <c r="AM478" s="186">
        <v>1836.96</v>
      </c>
      <c r="AN478" s="186">
        <v>1102.75</v>
      </c>
      <c r="AO478" s="186">
        <v>2620.0500000000002</v>
      </c>
      <c r="AP478" s="186">
        <v>574.89</v>
      </c>
      <c r="AQ478" s="186">
        <v>996.15</v>
      </c>
      <c r="AR478" s="186">
        <v>11951.54</v>
      </c>
      <c r="AS478" s="186">
        <v>4921.12</v>
      </c>
      <c r="AT478" s="186">
        <v>78.08</v>
      </c>
      <c r="AU478" s="186">
        <v>6221.63</v>
      </c>
      <c r="AV478" s="186">
        <v>599.82000000000005</v>
      </c>
      <c r="AW478" s="186">
        <v>508.25</v>
      </c>
      <c r="AX478" s="186">
        <v>1290.32</v>
      </c>
      <c r="AY478" s="186">
        <v>0</v>
      </c>
      <c r="AZ478" s="186">
        <v>185.03</v>
      </c>
      <c r="BA478" s="186">
        <v>16144.23</v>
      </c>
      <c r="BB478" s="186">
        <v>3314.88</v>
      </c>
      <c r="BC478" s="186">
        <v>5138.5600000000004</v>
      </c>
      <c r="BD478" s="186">
        <v>3642.07</v>
      </c>
      <c r="BE478" s="186">
        <v>6737.99</v>
      </c>
      <c r="BF478" s="186">
        <v>231.62</v>
      </c>
      <c r="BG478" s="186">
        <v>272.61</v>
      </c>
      <c r="BH478" s="186">
        <v>9916.76</v>
      </c>
      <c r="BI478" s="186">
        <v>3507.06</v>
      </c>
      <c r="BJ478" s="186">
        <v>7308.29</v>
      </c>
      <c r="BK478" s="186">
        <v>12896.06</v>
      </c>
      <c r="BL478" s="186">
        <v>8657.4500000000007</v>
      </c>
      <c r="BM478" s="186">
        <v>15306.06</v>
      </c>
      <c r="BN478" s="186">
        <v>-14191.01</v>
      </c>
      <c r="BO478" s="186">
        <v>476.96</v>
      </c>
      <c r="BP478" s="186">
        <v>610.38</v>
      </c>
      <c r="BQ478" s="186">
        <v>11223.12</v>
      </c>
      <c r="BR478" s="186">
        <v>0</v>
      </c>
      <c r="BS478" s="186">
        <v>847</v>
      </c>
      <c r="BT478" s="186">
        <v>0</v>
      </c>
      <c r="BU478" s="186">
        <v>1027.92</v>
      </c>
      <c r="BV478" s="186">
        <v>9327.0499999999993</v>
      </c>
      <c r="BW478" s="186">
        <v>13</v>
      </c>
      <c r="BX478" s="186">
        <v>0</v>
      </c>
      <c r="BY478" s="186">
        <v>476.33</v>
      </c>
      <c r="BZ478" s="186">
        <v>0</v>
      </c>
      <c r="CA478" s="186">
        <v>5425</v>
      </c>
      <c r="CB478" s="186">
        <v>565.22</v>
      </c>
      <c r="CC478" s="186">
        <v>769.01</v>
      </c>
      <c r="CD478" s="186">
        <v>5711.16</v>
      </c>
      <c r="CE478" s="186">
        <v>508.81</v>
      </c>
      <c r="CF478" s="186">
        <v>13575.79</v>
      </c>
      <c r="CG478" s="186">
        <v>10777.19</v>
      </c>
      <c r="CH478" s="186">
        <v>4521.3100000000004</v>
      </c>
      <c r="CI478" s="186">
        <v>9332.44</v>
      </c>
      <c r="CJ478" s="186">
        <v>1812.99</v>
      </c>
      <c r="CK478" s="186">
        <v>1829.81</v>
      </c>
      <c r="CL478" s="186">
        <v>505.91</v>
      </c>
      <c r="CM478" s="186">
        <v>2723.98</v>
      </c>
      <c r="CN478" s="186">
        <v>1598.93</v>
      </c>
      <c r="CO478" s="186">
        <v>4847.1000000000004</v>
      </c>
      <c r="CP478" s="186">
        <v>2490.38</v>
      </c>
      <c r="CQ478" s="186">
        <v>573.95000000000005</v>
      </c>
      <c r="CR478" s="186">
        <v>12878.69</v>
      </c>
      <c r="CS478" s="186">
        <v>1161.2</v>
      </c>
      <c r="CT478" s="186">
        <v>4384.7</v>
      </c>
      <c r="CU478" s="186">
        <v>2878.47</v>
      </c>
      <c r="CV478" s="430">
        <f t="shared" si="18"/>
        <v>37686.110000000008</v>
      </c>
    </row>
    <row r="479" spans="1:100">
      <c r="A479" s="463" t="s">
        <v>1326</v>
      </c>
      <c r="B479" s="56"/>
      <c r="C479" s="56"/>
      <c r="D479" s="430">
        <v>12271.29</v>
      </c>
      <c r="E479" s="430">
        <v>11655.78</v>
      </c>
      <c r="F479" s="430">
        <v>5142.54</v>
      </c>
      <c r="G479" s="430">
        <v>8103.9</v>
      </c>
      <c r="H479" s="430">
        <v>11513.9</v>
      </c>
      <c r="I479" s="430">
        <v>11074.63</v>
      </c>
      <c r="J479" s="430">
        <v>7513.88</v>
      </c>
      <c r="K479" s="430">
        <v>9137.6299999999992</v>
      </c>
      <c r="L479" s="430">
        <v>11778.7</v>
      </c>
      <c r="M479" s="430">
        <v>11632.16</v>
      </c>
      <c r="N479" s="430">
        <v>7093.73</v>
      </c>
      <c r="O479" s="430">
        <v>13839.2</v>
      </c>
      <c r="P479" s="52">
        <v>7863.3</v>
      </c>
      <c r="Q479" s="52">
        <v>10942.38</v>
      </c>
      <c r="R479" s="52">
        <v>20240.09</v>
      </c>
      <c r="S479" s="52">
        <v>10584.36</v>
      </c>
      <c r="T479" s="52">
        <v>13763.68</v>
      </c>
      <c r="U479" s="52">
        <v>8820.11</v>
      </c>
      <c r="V479" s="52">
        <v>10826.25</v>
      </c>
      <c r="W479" s="52">
        <v>8077.84</v>
      </c>
      <c r="X479" s="52">
        <v>10378.73</v>
      </c>
      <c r="Y479" s="52">
        <v>14930.98</v>
      </c>
      <c r="Z479" s="52">
        <v>12805.66</v>
      </c>
      <c r="AA479" s="52">
        <v>13625.19</v>
      </c>
      <c r="AB479" s="52">
        <v>12114.55</v>
      </c>
      <c r="AC479" s="52">
        <v>20470.59</v>
      </c>
      <c r="AD479" s="52">
        <v>5659.79</v>
      </c>
      <c r="AE479" s="186">
        <v>7578.63</v>
      </c>
      <c r="AF479" s="186">
        <v>6325.72</v>
      </c>
      <c r="AG479" s="186">
        <v>21841.01</v>
      </c>
      <c r="AH479" s="186">
        <v>21797.94</v>
      </c>
      <c r="AI479" s="186">
        <v>9107.01</v>
      </c>
      <c r="AJ479" s="186">
        <v>8915.68</v>
      </c>
      <c r="AK479" s="186">
        <v>11623.95</v>
      </c>
      <c r="AL479" s="186">
        <v>19499.509999999998</v>
      </c>
      <c r="AM479" s="186">
        <v>16273.77</v>
      </c>
      <c r="AN479" s="186">
        <v>8158.34</v>
      </c>
      <c r="AO479" s="186">
        <v>19158.650000000001</v>
      </c>
      <c r="AP479" s="186">
        <v>37075.160000000003</v>
      </c>
      <c r="AQ479" s="186">
        <v>9857.6</v>
      </c>
      <c r="AR479" s="186">
        <v>8717.59</v>
      </c>
      <c r="AS479" s="186">
        <v>-18469.34</v>
      </c>
      <c r="AT479" s="186">
        <v>11196.81</v>
      </c>
      <c r="AU479" s="186">
        <v>13713.12</v>
      </c>
      <c r="AV479" s="186">
        <v>17942.52</v>
      </c>
      <c r="AW479" s="186">
        <v>11842.23</v>
      </c>
      <c r="AX479" s="186">
        <v>13163.77</v>
      </c>
      <c r="AY479" s="186">
        <v>44602.69</v>
      </c>
      <c r="AZ479" s="186">
        <v>10994.37</v>
      </c>
      <c r="BA479" s="186">
        <v>20284.87</v>
      </c>
      <c r="BB479" s="186">
        <v>8850.84</v>
      </c>
      <c r="BC479" s="186">
        <v>11312.13</v>
      </c>
      <c r="BD479" s="186">
        <v>16253.83</v>
      </c>
      <c r="BE479" s="186">
        <v>6331.45</v>
      </c>
      <c r="BF479" s="186">
        <v>10609.09</v>
      </c>
      <c r="BG479" s="186">
        <v>21739.3</v>
      </c>
      <c r="BH479" s="186">
        <v>16557</v>
      </c>
      <c r="BI479" s="186">
        <v>25342.76</v>
      </c>
      <c r="BJ479" s="186">
        <v>12067.24</v>
      </c>
      <c r="BK479" s="186">
        <v>21927.3</v>
      </c>
      <c r="BL479" s="186">
        <v>9052.69</v>
      </c>
      <c r="BM479" s="186">
        <v>21183.54</v>
      </c>
      <c r="BN479" s="186">
        <v>11180.08</v>
      </c>
      <c r="BO479" s="186">
        <v>13790.55</v>
      </c>
      <c r="BP479" s="186">
        <v>12464.75</v>
      </c>
      <c r="BQ479" s="186">
        <v>11156.08</v>
      </c>
      <c r="BR479" s="186">
        <v>12138.87</v>
      </c>
      <c r="BS479" s="186">
        <v>14685.41</v>
      </c>
      <c r="BT479" s="186">
        <v>18072.36</v>
      </c>
      <c r="BU479" s="186">
        <v>19222.39</v>
      </c>
      <c r="BV479" s="186">
        <v>20330.59</v>
      </c>
      <c r="BW479" s="186">
        <v>45162.45</v>
      </c>
      <c r="BX479" s="186">
        <v>12992.1</v>
      </c>
      <c r="BY479" s="186">
        <v>17254.810000000001</v>
      </c>
      <c r="BZ479" s="186">
        <v>15418.78</v>
      </c>
      <c r="CA479" s="186">
        <v>7180.16</v>
      </c>
      <c r="CB479" s="186">
        <v>8855.36</v>
      </c>
      <c r="CC479" s="186">
        <v>10393.41</v>
      </c>
      <c r="CD479" s="186">
        <v>16993.349999999999</v>
      </c>
      <c r="CE479" s="186">
        <v>15601.84</v>
      </c>
      <c r="CF479" s="186">
        <v>8181.59</v>
      </c>
      <c r="CG479" s="186">
        <v>14464.81</v>
      </c>
      <c r="CH479" s="186">
        <v>11553.69</v>
      </c>
      <c r="CI479" s="186">
        <v>19563.86</v>
      </c>
      <c r="CJ479" s="186">
        <v>12307.03</v>
      </c>
      <c r="CK479" s="186">
        <v>24138.69</v>
      </c>
      <c r="CL479" s="186">
        <v>15904.53</v>
      </c>
      <c r="CM479" s="186">
        <v>11296.54</v>
      </c>
      <c r="CN479" s="186">
        <v>11551.61</v>
      </c>
      <c r="CO479" s="186">
        <v>15272.51</v>
      </c>
      <c r="CP479" s="186">
        <v>14936.58</v>
      </c>
      <c r="CQ479" s="186">
        <v>8015.89</v>
      </c>
      <c r="CR479" s="186">
        <v>26149.81</v>
      </c>
      <c r="CS479" s="186">
        <v>16579</v>
      </c>
      <c r="CT479" s="186">
        <v>17135.54</v>
      </c>
      <c r="CU479" s="186">
        <v>18001.59</v>
      </c>
      <c r="CV479" s="430">
        <f t="shared" si="18"/>
        <v>191289.32</v>
      </c>
    </row>
    <row r="480" spans="1:100">
      <c r="A480" s="463" t="s">
        <v>1327</v>
      </c>
      <c r="B480" s="56"/>
      <c r="C480" s="56"/>
      <c r="D480" s="430">
        <v>374549.5</v>
      </c>
      <c r="E480" s="430">
        <v>526412.38</v>
      </c>
      <c r="F480" s="430">
        <v>384068.37</v>
      </c>
      <c r="G480" s="430">
        <v>711498.39</v>
      </c>
      <c r="H480" s="430">
        <v>302680.2</v>
      </c>
      <c r="I480" s="430">
        <v>332323.17</v>
      </c>
      <c r="J480" s="430">
        <v>563179.92000000004</v>
      </c>
      <c r="K480" s="430">
        <v>576366.16</v>
      </c>
      <c r="L480" s="430">
        <v>472555.37</v>
      </c>
      <c r="M480" s="430">
        <v>232772.09</v>
      </c>
      <c r="N480" s="430">
        <v>217689.33</v>
      </c>
      <c r="O480" s="430">
        <v>279587.07</v>
      </c>
      <c r="P480" s="52">
        <v>225102.6</v>
      </c>
      <c r="Q480" s="52">
        <v>428574.85</v>
      </c>
      <c r="R480" s="52">
        <v>406850.3</v>
      </c>
      <c r="S480" s="52">
        <v>604652.06999999995</v>
      </c>
      <c r="T480" s="52">
        <v>40054.49</v>
      </c>
      <c r="U480" s="52">
        <v>301579.75</v>
      </c>
      <c r="V480" s="52">
        <v>390118.92</v>
      </c>
      <c r="W480" s="52">
        <v>288130.89</v>
      </c>
      <c r="X480" s="52">
        <v>408847.03</v>
      </c>
      <c r="Y480" s="52">
        <v>257749.87</v>
      </c>
      <c r="Z480" s="52">
        <v>534171.49</v>
      </c>
      <c r="AA480" s="52">
        <v>591013.43999999994</v>
      </c>
      <c r="AB480" s="52">
        <v>456062.67</v>
      </c>
      <c r="AC480" s="52">
        <v>375644.04</v>
      </c>
      <c r="AD480" s="52">
        <v>393843.86</v>
      </c>
      <c r="AE480" s="186">
        <v>397257.91</v>
      </c>
      <c r="AF480" s="186">
        <v>-197161.19</v>
      </c>
      <c r="AG480" s="186">
        <v>540905.79</v>
      </c>
      <c r="AH480" s="186">
        <v>291428.90999999997</v>
      </c>
      <c r="AI480" s="186">
        <v>290315.07</v>
      </c>
      <c r="AJ480" s="186">
        <v>247986.43</v>
      </c>
      <c r="AK480" s="186">
        <v>590683.11</v>
      </c>
      <c r="AL480" s="186">
        <v>609634.64</v>
      </c>
      <c r="AM480" s="186">
        <v>609111.26</v>
      </c>
      <c r="AN480" s="186">
        <v>226599.29</v>
      </c>
      <c r="AO480" s="186">
        <v>311016.27</v>
      </c>
      <c r="AP480" s="186">
        <v>-4507.62</v>
      </c>
      <c r="AQ480" s="186">
        <v>352295.77</v>
      </c>
      <c r="AR480" s="186">
        <v>275481.95</v>
      </c>
      <c r="AS480" s="186">
        <v>279594.52</v>
      </c>
      <c r="AT480" s="186">
        <v>268892.21000000002</v>
      </c>
      <c r="AU480" s="186">
        <v>255551.99</v>
      </c>
      <c r="AV480" s="186">
        <v>215273.97</v>
      </c>
      <c r="AW480" s="186">
        <v>250581.65</v>
      </c>
      <c r="AX480" s="186">
        <v>259855.48</v>
      </c>
      <c r="AY480" s="186">
        <v>273567.59000000003</v>
      </c>
      <c r="AZ480" s="186">
        <v>215181.65</v>
      </c>
      <c r="BA480" s="186">
        <v>206475.93</v>
      </c>
      <c r="BB480" s="186">
        <v>296206.52</v>
      </c>
      <c r="BC480" s="186">
        <v>245378.54</v>
      </c>
      <c r="BD480" s="186">
        <v>341996.06</v>
      </c>
      <c r="BE480" s="186">
        <v>316356.76</v>
      </c>
      <c r="BF480" s="186">
        <v>255980.18</v>
      </c>
      <c r="BG480" s="186">
        <v>522541.83</v>
      </c>
      <c r="BH480" s="186">
        <v>526050.84</v>
      </c>
      <c r="BI480" s="186">
        <v>330617.57</v>
      </c>
      <c r="BJ480" s="186">
        <v>1154502</v>
      </c>
      <c r="BK480" s="186">
        <v>506129.68</v>
      </c>
      <c r="BL480" s="186">
        <v>310438.38</v>
      </c>
      <c r="BM480" s="186">
        <v>199600.03</v>
      </c>
      <c r="BN480" s="186">
        <v>242903.64</v>
      </c>
      <c r="BO480" s="186">
        <v>309224.15000000002</v>
      </c>
      <c r="BP480" s="186">
        <v>254179</v>
      </c>
      <c r="BQ480" s="186">
        <v>212341.69</v>
      </c>
      <c r="BR480" s="186">
        <v>261141.38</v>
      </c>
      <c r="BS480" s="186">
        <v>234468.2</v>
      </c>
      <c r="BT480" s="186">
        <v>294702.53000000003</v>
      </c>
      <c r="BU480" s="186">
        <v>359431.2</v>
      </c>
      <c r="BV480" s="186">
        <v>276239.75</v>
      </c>
      <c r="BW480" s="186">
        <v>386937.79</v>
      </c>
      <c r="BX480" s="186">
        <v>157736.14000000001</v>
      </c>
      <c r="BY480" s="186">
        <v>465110.35</v>
      </c>
      <c r="BZ480" s="186">
        <v>360770.47</v>
      </c>
      <c r="CA480" s="186">
        <v>151194.26999999999</v>
      </c>
      <c r="CB480" s="186">
        <v>197152.47</v>
      </c>
      <c r="CC480" s="186">
        <v>256663.26</v>
      </c>
      <c r="CD480" s="186">
        <v>233184.68</v>
      </c>
      <c r="CE480" s="186">
        <v>326665.94</v>
      </c>
      <c r="CF480" s="186">
        <v>237260.74</v>
      </c>
      <c r="CG480" s="186">
        <v>292006.65000000002</v>
      </c>
      <c r="CH480" s="186">
        <v>227812.63</v>
      </c>
      <c r="CI480" s="186">
        <v>245348.36</v>
      </c>
      <c r="CJ480" s="186">
        <v>503819.2</v>
      </c>
      <c r="CK480" s="186">
        <v>452532.97</v>
      </c>
      <c r="CL480" s="186">
        <v>243150.47</v>
      </c>
      <c r="CM480" s="186">
        <v>424141.89</v>
      </c>
      <c r="CN480" s="186">
        <v>374723.94</v>
      </c>
      <c r="CO480" s="186">
        <v>457100.81</v>
      </c>
      <c r="CP480" s="186">
        <v>519317.66</v>
      </c>
      <c r="CQ480" s="186">
        <v>171619.87</v>
      </c>
      <c r="CR480" s="186">
        <v>378082.1</v>
      </c>
      <c r="CS480" s="186">
        <v>345517.04</v>
      </c>
      <c r="CT480" s="186">
        <v>408044.83</v>
      </c>
      <c r="CU480" s="186">
        <v>435465.45</v>
      </c>
      <c r="CV480" s="430">
        <f t="shared" si="18"/>
        <v>4713516.2300000004</v>
      </c>
    </row>
    <row r="481" spans="1:100">
      <c r="A481" s="463" t="s">
        <v>1328</v>
      </c>
      <c r="B481" s="56"/>
      <c r="C481" s="56"/>
      <c r="D481" s="430">
        <v>0</v>
      </c>
      <c r="E481" s="430">
        <v>0</v>
      </c>
      <c r="F481" s="430">
        <v>137.56</v>
      </c>
      <c r="G481" s="430">
        <v>0</v>
      </c>
      <c r="H481" s="430">
        <v>144.47999999999999</v>
      </c>
      <c r="I481" s="430">
        <v>0</v>
      </c>
      <c r="J481" s="430">
        <v>0</v>
      </c>
      <c r="K481" s="430">
        <v>1874.62</v>
      </c>
      <c r="L481" s="430">
        <v>0.16</v>
      </c>
      <c r="M481" s="430">
        <v>0</v>
      </c>
      <c r="N481" s="430">
        <v>0</v>
      </c>
      <c r="O481" s="430">
        <v>1057</v>
      </c>
      <c r="P481" s="52">
        <v>0</v>
      </c>
      <c r="Q481" s="52">
        <v>0</v>
      </c>
      <c r="R481" s="52">
        <v>0</v>
      </c>
      <c r="S481" s="52">
        <v>740.95</v>
      </c>
      <c r="T481" s="52">
        <v>0</v>
      </c>
      <c r="U481" s="52">
        <v>0</v>
      </c>
      <c r="V481" s="52">
        <v>0</v>
      </c>
      <c r="W481" s="52">
        <v>0</v>
      </c>
      <c r="X481" s="52">
        <v>0</v>
      </c>
      <c r="Y481" s="52">
        <v>30794.400000000001</v>
      </c>
      <c r="Z481" s="52">
        <v>61448.29</v>
      </c>
      <c r="AA481" s="52">
        <v>16938</v>
      </c>
      <c r="AB481" s="52">
        <v>17423.14</v>
      </c>
      <c r="AC481" s="52">
        <v>25006.68</v>
      </c>
      <c r="AD481" s="52">
        <v>15389.12</v>
      </c>
      <c r="AE481" s="186">
        <v>11116.96</v>
      </c>
      <c r="AF481" s="186">
        <v>8701.35</v>
      </c>
      <c r="AG481" s="186">
        <v>9003.07</v>
      </c>
      <c r="AH481" s="186">
        <v>9870.82</v>
      </c>
      <c r="AI481" s="186">
        <v>10179.82</v>
      </c>
      <c r="AJ481" s="186">
        <v>9549.5499999999993</v>
      </c>
      <c r="AK481" s="186">
        <v>9017.11</v>
      </c>
      <c r="AL481" s="186">
        <v>9806.02</v>
      </c>
      <c r="AM481" s="186">
        <v>10370.620000000001</v>
      </c>
      <c r="AN481" s="186">
        <v>8531.11</v>
      </c>
      <c r="AO481" s="186">
        <v>8027.23</v>
      </c>
      <c r="AP481" s="186">
        <v>9099.66</v>
      </c>
      <c r="AQ481" s="186">
        <v>9715.44</v>
      </c>
      <c r="AR481" s="186">
        <v>9710.69</v>
      </c>
      <c r="AS481" s="186">
        <v>8660.68</v>
      </c>
      <c r="AT481" s="186">
        <v>8614.89</v>
      </c>
      <c r="AU481" s="186">
        <v>10731.26</v>
      </c>
      <c r="AV481" s="186">
        <v>11287.17</v>
      </c>
      <c r="AW481" s="186">
        <v>10341.459999999999</v>
      </c>
      <c r="AX481" s="186">
        <v>9645.0499999999993</v>
      </c>
      <c r="AY481" s="186">
        <v>8063</v>
      </c>
      <c r="AZ481" s="186">
        <v>7607.55</v>
      </c>
      <c r="BA481" s="186">
        <v>9021.51</v>
      </c>
      <c r="BB481" s="186">
        <v>9777.0400000000009</v>
      </c>
      <c r="BC481" s="186">
        <v>8210.7999999999993</v>
      </c>
      <c r="BD481" s="186">
        <v>12799.85</v>
      </c>
      <c r="BE481" s="186">
        <v>8121.86</v>
      </c>
      <c r="BF481" s="186">
        <v>8748.6</v>
      </c>
      <c r="BG481" s="186">
        <v>12180.49</v>
      </c>
      <c r="BH481" s="186">
        <v>8274.27</v>
      </c>
      <c r="BI481" s="186">
        <v>10258.719999999999</v>
      </c>
      <c r="BJ481" s="186">
        <v>5791.37</v>
      </c>
      <c r="BK481" s="186">
        <v>7265.18</v>
      </c>
      <c r="BL481" s="186">
        <v>6440.45</v>
      </c>
      <c r="BM481" s="186">
        <v>9543.0499999999993</v>
      </c>
      <c r="BN481" s="186">
        <v>6374.24</v>
      </c>
      <c r="BO481" s="186">
        <v>5801.51</v>
      </c>
      <c r="BP481" s="186">
        <v>6824.47</v>
      </c>
      <c r="BQ481" s="186">
        <v>7816.95</v>
      </c>
      <c r="BR481" s="186">
        <v>8446.2999999999993</v>
      </c>
      <c r="BS481" s="186">
        <v>9146.82</v>
      </c>
      <c r="BT481" s="186">
        <v>8525.77</v>
      </c>
      <c r="BU481" s="186">
        <v>8064.06</v>
      </c>
      <c r="BV481" s="186">
        <v>9188.74</v>
      </c>
      <c r="BW481" s="186">
        <v>5549.38</v>
      </c>
      <c r="BX481" s="186">
        <v>9073.9599999999991</v>
      </c>
      <c r="BY481" s="186">
        <v>4760.13</v>
      </c>
      <c r="BZ481" s="186">
        <v>0</v>
      </c>
      <c r="CA481" s="186">
        <v>0</v>
      </c>
      <c r="CB481" s="186">
        <v>0</v>
      </c>
      <c r="CC481" s="186">
        <v>0</v>
      </c>
      <c r="CD481" s="186">
        <v>0</v>
      </c>
      <c r="CE481" s="186">
        <v>0</v>
      </c>
      <c r="CF481" s="186">
        <v>0</v>
      </c>
      <c r="CG481" s="186">
        <v>0</v>
      </c>
      <c r="CH481" s="186">
        <v>0</v>
      </c>
      <c r="CI481" s="186">
        <v>0</v>
      </c>
      <c r="CJ481" s="186">
        <v>0</v>
      </c>
      <c r="CK481" s="186">
        <v>61.41</v>
      </c>
      <c r="CL481" s="186">
        <v>0</v>
      </c>
      <c r="CM481" s="186">
        <v>0</v>
      </c>
      <c r="CN481" s="186">
        <v>0</v>
      </c>
      <c r="CO481" s="186">
        <v>0</v>
      </c>
      <c r="CP481" s="186">
        <v>1593.63</v>
      </c>
      <c r="CQ481" s="186">
        <v>6539.85</v>
      </c>
      <c r="CR481" s="186">
        <v>98.44</v>
      </c>
      <c r="CS481" s="186">
        <v>2437.16</v>
      </c>
      <c r="CT481" s="186">
        <v>0</v>
      </c>
      <c r="CU481" s="186">
        <v>1107.25</v>
      </c>
      <c r="CV481" s="430">
        <f t="shared" si="18"/>
        <v>11837.740000000002</v>
      </c>
    </row>
    <row r="482" spans="1:100">
      <c r="A482" s="463" t="s">
        <v>1329</v>
      </c>
      <c r="B482" s="56"/>
      <c r="C482" s="56"/>
      <c r="D482" s="430">
        <v>64177.48</v>
      </c>
      <c r="E482" s="430">
        <v>58194.71</v>
      </c>
      <c r="F482" s="430">
        <v>68186.39</v>
      </c>
      <c r="G482" s="430">
        <v>52586.27</v>
      </c>
      <c r="H482" s="430">
        <v>59473.58</v>
      </c>
      <c r="I482" s="430">
        <v>75171.25</v>
      </c>
      <c r="J482" s="430">
        <v>83260.100000000006</v>
      </c>
      <c r="K482" s="430">
        <v>72055.539999999994</v>
      </c>
      <c r="L482" s="430">
        <v>53148.959999999999</v>
      </c>
      <c r="M482" s="430">
        <v>42028.29</v>
      </c>
      <c r="N482" s="430">
        <v>61133.01</v>
      </c>
      <c r="O482" s="430">
        <v>93703.55</v>
      </c>
      <c r="P482" s="52">
        <v>52732.07</v>
      </c>
      <c r="Q482" s="52">
        <v>73515.17</v>
      </c>
      <c r="R482" s="52">
        <v>82354.5</v>
      </c>
      <c r="S482" s="52">
        <v>63059.199999999997</v>
      </c>
      <c r="T482" s="52">
        <v>54402.71</v>
      </c>
      <c r="U482" s="52">
        <v>53000.35</v>
      </c>
      <c r="V482" s="52">
        <v>64771.08</v>
      </c>
      <c r="W482" s="52">
        <v>62072.33</v>
      </c>
      <c r="X482" s="52">
        <v>63613.79</v>
      </c>
      <c r="Y482" s="52">
        <v>60823.39</v>
      </c>
      <c r="Z482" s="52">
        <v>41793.26</v>
      </c>
      <c r="AA482" s="52">
        <v>56690.62</v>
      </c>
      <c r="AB482" s="52">
        <v>53867.5</v>
      </c>
      <c r="AC482" s="52">
        <v>49890.46</v>
      </c>
      <c r="AD482" s="52">
        <v>56578.06</v>
      </c>
      <c r="AE482" s="186">
        <v>56460.57</v>
      </c>
      <c r="AF482" s="186">
        <v>54141.89</v>
      </c>
      <c r="AG482" s="186">
        <v>68669.31</v>
      </c>
      <c r="AH482" s="186">
        <v>66329.929999999993</v>
      </c>
      <c r="AI482" s="186">
        <v>50343.43</v>
      </c>
      <c r="AJ482" s="186">
        <v>55643.25</v>
      </c>
      <c r="AK482" s="186">
        <v>46594.7</v>
      </c>
      <c r="AL482" s="186">
        <v>43331.9</v>
      </c>
      <c r="AM482" s="186">
        <v>42339.93</v>
      </c>
      <c r="AN482" s="186">
        <v>52279.6</v>
      </c>
      <c r="AO482" s="186">
        <v>55786.86</v>
      </c>
      <c r="AP482" s="186">
        <v>58588.5</v>
      </c>
      <c r="AQ482" s="186">
        <v>45150.92</v>
      </c>
      <c r="AR482" s="186">
        <v>64503.14</v>
      </c>
      <c r="AS482" s="186">
        <v>56062.06</v>
      </c>
      <c r="AT482" s="186">
        <v>44952.2</v>
      </c>
      <c r="AU482" s="186">
        <v>61094.06</v>
      </c>
      <c r="AV482" s="186">
        <v>54197.29</v>
      </c>
      <c r="AW482" s="186">
        <v>44848.85</v>
      </c>
      <c r="AX482" s="186">
        <v>47750.11</v>
      </c>
      <c r="AY482" s="186">
        <v>40885.54</v>
      </c>
      <c r="AZ482" s="186">
        <v>42203.4</v>
      </c>
      <c r="BA482" s="186">
        <v>51437.39</v>
      </c>
      <c r="BB482" s="186">
        <v>60677.79</v>
      </c>
      <c r="BC482" s="186">
        <v>60386.3</v>
      </c>
      <c r="BD482" s="186">
        <v>54712.37</v>
      </c>
      <c r="BE482" s="186">
        <v>40402.71</v>
      </c>
      <c r="BF482" s="186">
        <v>42178.7</v>
      </c>
      <c r="BG482" s="186">
        <v>42992.7</v>
      </c>
      <c r="BH482" s="186">
        <v>42723.05</v>
      </c>
      <c r="BI482" s="186">
        <v>38166.620000000003</v>
      </c>
      <c r="BJ482" s="186">
        <v>21543.919999999998</v>
      </c>
      <c r="BK482" s="186">
        <v>26215.37</v>
      </c>
      <c r="BL482" s="186">
        <v>37663.370000000003</v>
      </c>
      <c r="BM482" s="186">
        <v>42753.73</v>
      </c>
      <c r="BN482" s="186">
        <v>45098.92</v>
      </c>
      <c r="BO482" s="186">
        <v>63621.41</v>
      </c>
      <c r="BP482" s="186">
        <v>58925.599999999999</v>
      </c>
      <c r="BQ482" s="186">
        <v>40780.42</v>
      </c>
      <c r="BR482" s="186">
        <v>54319.17</v>
      </c>
      <c r="BS482" s="186">
        <v>59572.52</v>
      </c>
      <c r="BT482" s="186">
        <v>55822.13</v>
      </c>
      <c r="BU482" s="186">
        <v>63072.49</v>
      </c>
      <c r="BV482" s="186">
        <v>61022.54</v>
      </c>
      <c r="BW482" s="186">
        <v>88885.7</v>
      </c>
      <c r="BX482" s="186">
        <v>46603.28</v>
      </c>
      <c r="BY482" s="186">
        <v>53267.1</v>
      </c>
      <c r="BZ482" s="186">
        <v>53993.61</v>
      </c>
      <c r="CA482" s="186">
        <v>54561.760000000002</v>
      </c>
      <c r="CB482" s="186">
        <v>51720.08</v>
      </c>
      <c r="CC482" s="186">
        <v>49747.519999999997</v>
      </c>
      <c r="CD482" s="186">
        <v>47858.73</v>
      </c>
      <c r="CE482" s="186">
        <v>48124.85</v>
      </c>
      <c r="CF482" s="186">
        <v>92903.74</v>
      </c>
      <c r="CG482" s="186">
        <v>19593.36</v>
      </c>
      <c r="CH482" s="186">
        <v>59262.63</v>
      </c>
      <c r="CI482" s="186">
        <v>57892.72</v>
      </c>
      <c r="CJ482" s="186">
        <v>57970.46</v>
      </c>
      <c r="CK482" s="186">
        <v>53676.81</v>
      </c>
      <c r="CL482" s="186">
        <v>63250.07</v>
      </c>
      <c r="CM482" s="186">
        <v>79237.38</v>
      </c>
      <c r="CN482" s="186">
        <v>67178.259999999995</v>
      </c>
      <c r="CO482" s="186">
        <v>61456.4</v>
      </c>
      <c r="CP482" s="186">
        <v>59511.44</v>
      </c>
      <c r="CQ482" s="186">
        <v>65378.73</v>
      </c>
      <c r="CR482" s="186">
        <v>73708.31</v>
      </c>
      <c r="CS482" s="186">
        <v>81813.09</v>
      </c>
      <c r="CT482" s="186">
        <v>89625.59</v>
      </c>
      <c r="CU482" s="186">
        <v>98699.32</v>
      </c>
      <c r="CV482" s="430">
        <f t="shared" si="18"/>
        <v>851505.85999999987</v>
      </c>
    </row>
    <row r="483" spans="1:100">
      <c r="A483" s="463" t="s">
        <v>1330</v>
      </c>
      <c r="B483" s="56"/>
      <c r="C483" s="56"/>
      <c r="D483" s="430">
        <v>42205.07</v>
      </c>
      <c r="E483" s="430">
        <v>44195.06</v>
      </c>
      <c r="F483" s="430">
        <v>54296.13</v>
      </c>
      <c r="G483" s="430">
        <v>50398.89</v>
      </c>
      <c r="H483" s="430">
        <v>49811.01</v>
      </c>
      <c r="I483" s="430">
        <v>52959.45</v>
      </c>
      <c r="J483" s="430">
        <v>43651.21</v>
      </c>
      <c r="K483" s="430">
        <v>53858.52</v>
      </c>
      <c r="L483" s="430">
        <v>44194.16</v>
      </c>
      <c r="M483" s="430">
        <v>44268.94</v>
      </c>
      <c r="N483" s="430">
        <v>42992.46</v>
      </c>
      <c r="O483" s="430">
        <v>47873.03</v>
      </c>
      <c r="P483" s="52">
        <v>44429.98</v>
      </c>
      <c r="Q483" s="52">
        <v>40894.14</v>
      </c>
      <c r="R483" s="52">
        <v>41263.199999999997</v>
      </c>
      <c r="S483" s="52">
        <v>54654.9</v>
      </c>
      <c r="T483" s="52">
        <v>49094.77</v>
      </c>
      <c r="U483" s="52">
        <v>54414</v>
      </c>
      <c r="V483" s="52">
        <v>50190.239999999998</v>
      </c>
      <c r="W483" s="52">
        <v>45531.06</v>
      </c>
      <c r="X483" s="52">
        <v>51744.18</v>
      </c>
      <c r="Y483" s="52">
        <v>47139.5</v>
      </c>
      <c r="Z483" s="52">
        <v>56170.73</v>
      </c>
      <c r="AA483" s="52">
        <v>57623.93</v>
      </c>
      <c r="AB483" s="52">
        <v>47334.64</v>
      </c>
      <c r="AC483" s="52">
        <v>50242.33</v>
      </c>
      <c r="AD483" s="52">
        <v>51029.79</v>
      </c>
      <c r="AE483" s="186">
        <v>49359.61</v>
      </c>
      <c r="AF483" s="186">
        <v>62681.71</v>
      </c>
      <c r="AG483" s="186">
        <v>47787.85</v>
      </c>
      <c r="AH483" s="186">
        <v>52699.12</v>
      </c>
      <c r="AI483" s="186">
        <v>52717.83</v>
      </c>
      <c r="AJ483" s="186">
        <v>44925.37</v>
      </c>
      <c r="AK483" s="186">
        <v>46174.66</v>
      </c>
      <c r="AL483" s="186">
        <v>47695.83</v>
      </c>
      <c r="AM483" s="186">
        <v>46928.26</v>
      </c>
      <c r="AN483" s="186">
        <v>51115.27</v>
      </c>
      <c r="AO483" s="186">
        <v>32768.239999999998</v>
      </c>
      <c r="AP483" s="186">
        <v>45441.4</v>
      </c>
      <c r="AQ483" s="186">
        <v>45302.69</v>
      </c>
      <c r="AR483" s="186">
        <v>41794.720000000001</v>
      </c>
      <c r="AS483" s="186">
        <v>42112.67</v>
      </c>
      <c r="AT483" s="186">
        <v>42332.6</v>
      </c>
      <c r="AU483" s="186">
        <v>44070.35</v>
      </c>
      <c r="AV483" s="186">
        <v>37802.74</v>
      </c>
      <c r="AW483" s="186">
        <v>40100.980000000003</v>
      </c>
      <c r="AX483" s="186">
        <v>38014.61</v>
      </c>
      <c r="AY483" s="186">
        <v>43148.66</v>
      </c>
      <c r="AZ483" s="186">
        <v>43232.71</v>
      </c>
      <c r="BA483" s="186">
        <v>47890.91</v>
      </c>
      <c r="BB483" s="186">
        <v>43875.49</v>
      </c>
      <c r="BC483" s="186">
        <v>40819.71</v>
      </c>
      <c r="BD483" s="186">
        <v>47160.76</v>
      </c>
      <c r="BE483" s="186">
        <v>46634.22</v>
      </c>
      <c r="BF483" s="186">
        <v>43707.040000000001</v>
      </c>
      <c r="BG483" s="186">
        <v>46331.33</v>
      </c>
      <c r="BH483" s="186">
        <v>40317.230000000003</v>
      </c>
      <c r="BI483" s="186">
        <v>44121.34</v>
      </c>
      <c r="BJ483" s="186">
        <v>40578.379999999997</v>
      </c>
      <c r="BK483" s="186">
        <v>46663.18</v>
      </c>
      <c r="BL483" s="186">
        <v>44595.57</v>
      </c>
      <c r="BM483" s="186">
        <v>39885.89</v>
      </c>
      <c r="BN483" s="186">
        <v>43656.29</v>
      </c>
      <c r="BO483" s="186">
        <v>41987.75</v>
      </c>
      <c r="BP483" s="186">
        <v>57597.65</v>
      </c>
      <c r="BQ483" s="186">
        <v>52900.42</v>
      </c>
      <c r="BR483" s="186">
        <v>62016.37</v>
      </c>
      <c r="BS483" s="186">
        <v>71584.649999999994</v>
      </c>
      <c r="BT483" s="186">
        <v>46401.22</v>
      </c>
      <c r="BU483" s="186">
        <v>47405.33</v>
      </c>
      <c r="BV483" s="186">
        <v>55799.79</v>
      </c>
      <c r="BW483" s="186">
        <v>84109.04</v>
      </c>
      <c r="BX483" s="186">
        <v>46133.62</v>
      </c>
      <c r="BY483" s="186">
        <v>45198.44</v>
      </c>
      <c r="BZ483" s="186">
        <v>57049.34</v>
      </c>
      <c r="CA483" s="186">
        <v>49390.58</v>
      </c>
      <c r="CB483" s="186">
        <v>53706.879999999997</v>
      </c>
      <c r="CC483" s="186">
        <v>41152.85</v>
      </c>
      <c r="CD483" s="186">
        <v>58239.43</v>
      </c>
      <c r="CE483" s="186">
        <v>73910.16</v>
      </c>
      <c r="CF483" s="186">
        <v>46713.62</v>
      </c>
      <c r="CG483" s="186">
        <v>99877.07</v>
      </c>
      <c r="CH483" s="186">
        <v>22885.38</v>
      </c>
      <c r="CI483" s="186">
        <v>57903.42</v>
      </c>
      <c r="CJ483" s="186">
        <v>42206.25</v>
      </c>
      <c r="CK483" s="186">
        <v>53059.65</v>
      </c>
      <c r="CL483" s="186">
        <v>38659.85</v>
      </c>
      <c r="CM483" s="186">
        <v>100393.23</v>
      </c>
      <c r="CN483" s="186">
        <v>79044.91</v>
      </c>
      <c r="CO483" s="186">
        <v>36808.92</v>
      </c>
      <c r="CP483" s="186">
        <v>67657.990000000005</v>
      </c>
      <c r="CQ483" s="186">
        <v>57094.14</v>
      </c>
      <c r="CR483" s="186">
        <v>57924.6</v>
      </c>
      <c r="CS483" s="186">
        <v>73590.490000000005</v>
      </c>
      <c r="CT483" s="186">
        <v>56533.41</v>
      </c>
      <c r="CU483" s="186">
        <v>104370.29</v>
      </c>
      <c r="CV483" s="430">
        <f t="shared" si="18"/>
        <v>767343.7300000001</v>
      </c>
    </row>
    <row r="484" spans="1:100">
      <c r="A484" s="463" t="s">
        <v>1331</v>
      </c>
      <c r="B484" s="56"/>
      <c r="C484" s="56"/>
      <c r="D484" s="430">
        <v>52720.9</v>
      </c>
      <c r="E484" s="430">
        <v>79550.399999999994</v>
      </c>
      <c r="F484" s="430">
        <v>62593.78</v>
      </c>
      <c r="G484" s="430">
        <v>76229.350000000006</v>
      </c>
      <c r="H484" s="430">
        <v>93067.6</v>
      </c>
      <c r="I484" s="430">
        <v>107431.63</v>
      </c>
      <c r="J484" s="430">
        <v>63843.86</v>
      </c>
      <c r="K484" s="430">
        <v>54876</v>
      </c>
      <c r="L484" s="430">
        <v>81207.61</v>
      </c>
      <c r="M484" s="430">
        <v>82979.62</v>
      </c>
      <c r="N484" s="430">
        <v>62300.800000000003</v>
      </c>
      <c r="O484" s="430">
        <v>67127.14</v>
      </c>
      <c r="P484" s="52">
        <v>64151.69</v>
      </c>
      <c r="Q484" s="52">
        <v>62848.7</v>
      </c>
      <c r="R484" s="52">
        <v>78567.83</v>
      </c>
      <c r="S484" s="52">
        <v>120906.44</v>
      </c>
      <c r="T484" s="52">
        <v>99490.39</v>
      </c>
      <c r="U484" s="52">
        <v>142763.53</v>
      </c>
      <c r="V484" s="52">
        <v>134187.46</v>
      </c>
      <c r="W484" s="52">
        <v>93824.24</v>
      </c>
      <c r="X484" s="52">
        <v>149016.20000000001</v>
      </c>
      <c r="Y484" s="52">
        <v>134366.70000000001</v>
      </c>
      <c r="Z484" s="52">
        <v>159786.22</v>
      </c>
      <c r="AA484" s="52">
        <v>248783.31</v>
      </c>
      <c r="AB484" s="52">
        <v>101467.34</v>
      </c>
      <c r="AC484" s="52">
        <v>142953.32</v>
      </c>
      <c r="AD484" s="52">
        <v>117053.83</v>
      </c>
      <c r="AE484" s="186">
        <v>92878.3</v>
      </c>
      <c r="AF484" s="186">
        <v>144596.07</v>
      </c>
      <c r="AG484" s="186">
        <v>149658.69</v>
      </c>
      <c r="AH484" s="186">
        <v>100488.1</v>
      </c>
      <c r="AI484" s="186">
        <v>154056.69</v>
      </c>
      <c r="AJ484" s="186">
        <v>111583.21</v>
      </c>
      <c r="AK484" s="186">
        <v>111892.62</v>
      </c>
      <c r="AL484" s="186">
        <v>146210.95000000001</v>
      </c>
      <c r="AM484" s="186">
        <v>212674.73</v>
      </c>
      <c r="AN484" s="186">
        <v>61047.29</v>
      </c>
      <c r="AO484" s="186">
        <v>155624.95000000001</v>
      </c>
      <c r="AP484" s="186">
        <v>169610.78</v>
      </c>
      <c r="AQ484" s="186">
        <v>68114.039999999994</v>
      </c>
      <c r="AR484" s="186">
        <v>100320.63</v>
      </c>
      <c r="AS484" s="186">
        <v>378692.99</v>
      </c>
      <c r="AT484" s="186">
        <v>-122199.35</v>
      </c>
      <c r="AU484" s="186">
        <v>120879.88</v>
      </c>
      <c r="AV484" s="186">
        <v>101028.57</v>
      </c>
      <c r="AW484" s="186">
        <v>115436.05</v>
      </c>
      <c r="AX484" s="186">
        <v>111077.86</v>
      </c>
      <c r="AY484" s="186">
        <v>127751.55</v>
      </c>
      <c r="AZ484" s="186">
        <v>97759.039999999994</v>
      </c>
      <c r="BA484" s="186">
        <v>100491.07</v>
      </c>
      <c r="BB484" s="186">
        <v>134554.99</v>
      </c>
      <c r="BC484" s="186">
        <v>181467.15</v>
      </c>
      <c r="BD484" s="186">
        <v>188163.15</v>
      </c>
      <c r="BE484" s="186">
        <v>152079.07999999999</v>
      </c>
      <c r="BF484" s="186">
        <v>166794.01999999999</v>
      </c>
      <c r="BG484" s="186">
        <v>7357.84</v>
      </c>
      <c r="BH484" s="186">
        <v>105825.79</v>
      </c>
      <c r="BI484" s="186">
        <v>95626.559999999998</v>
      </c>
      <c r="BJ484" s="186">
        <v>84010.81</v>
      </c>
      <c r="BK484" s="186">
        <v>99186.21</v>
      </c>
      <c r="BL484" s="186">
        <v>97798.27</v>
      </c>
      <c r="BM484" s="186">
        <v>96518.61</v>
      </c>
      <c r="BN484" s="186">
        <v>135375.22</v>
      </c>
      <c r="BO484" s="186">
        <v>120103.63</v>
      </c>
      <c r="BP484" s="186">
        <v>131408.76999999999</v>
      </c>
      <c r="BQ484" s="186">
        <v>146820.62</v>
      </c>
      <c r="BR484" s="186">
        <v>133840.75</v>
      </c>
      <c r="BS484" s="186">
        <v>153032.89000000001</v>
      </c>
      <c r="BT484" s="186">
        <v>182845.08</v>
      </c>
      <c r="BU484" s="186">
        <v>158350.85999999999</v>
      </c>
      <c r="BV484" s="186">
        <v>98433.1</v>
      </c>
      <c r="BW484" s="186">
        <v>226950.85</v>
      </c>
      <c r="BX484" s="186">
        <v>141829.95000000001</v>
      </c>
      <c r="BY484" s="186">
        <v>106522.45</v>
      </c>
      <c r="BZ484" s="186">
        <v>167256.06</v>
      </c>
      <c r="CA484" s="186">
        <v>126436.33</v>
      </c>
      <c r="CB484" s="186">
        <v>131276</v>
      </c>
      <c r="CC484" s="186">
        <v>142235.04</v>
      </c>
      <c r="CD484" s="186">
        <v>129342.81</v>
      </c>
      <c r="CE484" s="186">
        <v>203551</v>
      </c>
      <c r="CF484" s="186">
        <v>96448.48</v>
      </c>
      <c r="CG484" s="186">
        <v>153092.37</v>
      </c>
      <c r="CH484" s="186">
        <v>106483.58</v>
      </c>
      <c r="CI484" s="186">
        <v>123342.18</v>
      </c>
      <c r="CJ484" s="186">
        <v>101500.18</v>
      </c>
      <c r="CK484" s="186">
        <v>118743.99</v>
      </c>
      <c r="CL484" s="186">
        <v>111743.32</v>
      </c>
      <c r="CM484" s="186">
        <v>117971</v>
      </c>
      <c r="CN484" s="186">
        <v>143725.85999999999</v>
      </c>
      <c r="CO484" s="186">
        <v>188851.66</v>
      </c>
      <c r="CP484" s="186">
        <v>150783.67999999999</v>
      </c>
      <c r="CQ484" s="186">
        <v>121963.69</v>
      </c>
      <c r="CR484" s="186">
        <v>114394.44</v>
      </c>
      <c r="CS484" s="186">
        <v>121356.86</v>
      </c>
      <c r="CT484" s="186">
        <v>211928.54</v>
      </c>
      <c r="CU484" s="186">
        <v>191877.28</v>
      </c>
      <c r="CV484" s="430">
        <f t="shared" ref="CV484:CV508" si="19">SUM(CJ484:CU484)</f>
        <v>1694840.5</v>
      </c>
    </row>
    <row r="485" spans="1:100">
      <c r="A485" s="463" t="s">
        <v>1332</v>
      </c>
      <c r="B485" s="56"/>
      <c r="C485" s="56"/>
      <c r="D485" s="430">
        <v>167251.04999999999</v>
      </c>
      <c r="E485" s="430">
        <v>100491.68</v>
      </c>
      <c r="F485" s="430">
        <v>117509.24</v>
      </c>
      <c r="G485" s="430">
        <v>153657.64000000001</v>
      </c>
      <c r="H485" s="430">
        <v>114584.85</v>
      </c>
      <c r="I485" s="430">
        <v>112431.31</v>
      </c>
      <c r="J485" s="430">
        <v>109846.6</v>
      </c>
      <c r="K485" s="430">
        <v>139798.91</v>
      </c>
      <c r="L485" s="430">
        <v>114361.46</v>
      </c>
      <c r="M485" s="430">
        <v>109653.99</v>
      </c>
      <c r="N485" s="430">
        <v>108430.6</v>
      </c>
      <c r="O485" s="430">
        <v>154484.67000000001</v>
      </c>
      <c r="P485" s="52">
        <v>139524.32999999999</v>
      </c>
      <c r="Q485" s="52">
        <v>143120.37</v>
      </c>
      <c r="R485" s="52">
        <v>119919.27</v>
      </c>
      <c r="S485" s="52">
        <v>133532.35999999999</v>
      </c>
      <c r="T485" s="52">
        <v>138651.45000000001</v>
      </c>
      <c r="U485" s="52">
        <v>121842.18</v>
      </c>
      <c r="V485" s="52">
        <v>137329.26999999999</v>
      </c>
      <c r="W485" s="52">
        <v>146596.87</v>
      </c>
      <c r="X485" s="52">
        <v>158019.04999999999</v>
      </c>
      <c r="Y485" s="52">
        <v>159455.1</v>
      </c>
      <c r="Z485" s="52">
        <v>163884.13</v>
      </c>
      <c r="AA485" s="52">
        <v>178772.72</v>
      </c>
      <c r="AB485" s="52">
        <v>160993.31</v>
      </c>
      <c r="AC485" s="52">
        <v>162435.14000000001</v>
      </c>
      <c r="AD485" s="52">
        <v>130655.36</v>
      </c>
      <c r="AE485" s="186">
        <v>107409.73</v>
      </c>
      <c r="AF485" s="186">
        <v>132218.59</v>
      </c>
      <c r="AG485" s="186">
        <v>152418.60999999999</v>
      </c>
      <c r="AH485" s="186">
        <v>120611.71</v>
      </c>
      <c r="AI485" s="186">
        <v>134621.46</v>
      </c>
      <c r="AJ485" s="186">
        <v>125499.72</v>
      </c>
      <c r="AK485" s="186">
        <v>139772.34</v>
      </c>
      <c r="AL485" s="186">
        <v>151272.23000000001</v>
      </c>
      <c r="AM485" s="186">
        <v>172030.92</v>
      </c>
      <c r="AN485" s="186">
        <v>163986.76</v>
      </c>
      <c r="AO485" s="186">
        <v>149034.35</v>
      </c>
      <c r="AP485" s="186">
        <v>145597.68</v>
      </c>
      <c r="AQ485" s="186">
        <v>123975.96</v>
      </c>
      <c r="AR485" s="186">
        <v>125010.05</v>
      </c>
      <c r="AS485" s="186">
        <v>159211.18</v>
      </c>
      <c r="AT485" s="186">
        <v>134724.25</v>
      </c>
      <c r="AU485" s="186">
        <v>148102.81</v>
      </c>
      <c r="AV485" s="186">
        <v>134141.64000000001</v>
      </c>
      <c r="AW485" s="186">
        <v>158480.76999999999</v>
      </c>
      <c r="AX485" s="186">
        <v>146220.62</v>
      </c>
      <c r="AY485" s="186">
        <v>146281.46</v>
      </c>
      <c r="AZ485" s="186">
        <v>156515.98000000001</v>
      </c>
      <c r="BA485" s="186">
        <v>150454.25</v>
      </c>
      <c r="BB485" s="186">
        <v>148387.03</v>
      </c>
      <c r="BC485" s="186">
        <v>148605.99</v>
      </c>
      <c r="BD485" s="186">
        <v>181898.84</v>
      </c>
      <c r="BE485" s="186">
        <v>129804.19</v>
      </c>
      <c r="BF485" s="186">
        <v>160882.63</v>
      </c>
      <c r="BG485" s="186">
        <v>148004.38</v>
      </c>
      <c r="BH485" s="186">
        <v>106826.79</v>
      </c>
      <c r="BI485" s="186">
        <v>124895.55</v>
      </c>
      <c r="BJ485" s="186">
        <v>112403.84</v>
      </c>
      <c r="BK485" s="186">
        <v>175386.2</v>
      </c>
      <c r="BL485" s="186">
        <v>120671.99</v>
      </c>
      <c r="BM485" s="186">
        <v>121738.01</v>
      </c>
      <c r="BN485" s="186">
        <v>144446.81</v>
      </c>
      <c r="BO485" s="186">
        <v>126093.92</v>
      </c>
      <c r="BP485" s="186">
        <v>122792.59</v>
      </c>
      <c r="BQ485" s="186">
        <v>102849.22</v>
      </c>
      <c r="BR485" s="186">
        <v>136812.26</v>
      </c>
      <c r="BS485" s="186">
        <v>131698.47</v>
      </c>
      <c r="BT485" s="186">
        <v>126224.21</v>
      </c>
      <c r="BU485" s="186">
        <v>192821.93</v>
      </c>
      <c r="BV485" s="186">
        <v>135639.44</v>
      </c>
      <c r="BW485" s="186">
        <v>157023.37</v>
      </c>
      <c r="BX485" s="186">
        <v>140359.15</v>
      </c>
      <c r="BY485" s="186">
        <v>123502.17</v>
      </c>
      <c r="BZ485" s="186">
        <v>135557.1</v>
      </c>
      <c r="CA485" s="186">
        <v>115053.88</v>
      </c>
      <c r="CB485" s="186">
        <v>108532.66</v>
      </c>
      <c r="CC485" s="186">
        <v>121965.17</v>
      </c>
      <c r="CD485" s="186">
        <v>103233.79</v>
      </c>
      <c r="CE485" s="186">
        <v>126015.31</v>
      </c>
      <c r="CF485" s="186">
        <v>105367.87</v>
      </c>
      <c r="CG485" s="186">
        <v>107693.68</v>
      </c>
      <c r="CH485" s="186">
        <v>109589.4</v>
      </c>
      <c r="CI485" s="186">
        <v>168151.69</v>
      </c>
      <c r="CJ485" s="186">
        <v>86886.74</v>
      </c>
      <c r="CK485" s="186">
        <v>100147.53</v>
      </c>
      <c r="CL485" s="186">
        <v>102946.6</v>
      </c>
      <c r="CM485" s="186">
        <v>98212</v>
      </c>
      <c r="CN485" s="186">
        <v>99466.59</v>
      </c>
      <c r="CO485" s="186">
        <v>100915.05</v>
      </c>
      <c r="CP485" s="186">
        <v>104082.89</v>
      </c>
      <c r="CQ485" s="186">
        <v>132507.51</v>
      </c>
      <c r="CR485" s="186">
        <v>121938.49</v>
      </c>
      <c r="CS485" s="186">
        <v>85895.43</v>
      </c>
      <c r="CT485" s="186">
        <v>110243.98</v>
      </c>
      <c r="CU485" s="186">
        <v>128476.63</v>
      </c>
      <c r="CV485" s="430">
        <f t="shared" si="19"/>
        <v>1271719.44</v>
      </c>
    </row>
    <row r="486" spans="1:100">
      <c r="A486" s="463" t="s">
        <v>1333</v>
      </c>
      <c r="B486" s="56"/>
      <c r="C486" s="56"/>
      <c r="D486" s="430">
        <v>48908.87</v>
      </c>
      <c r="E486" s="430">
        <v>43986.65</v>
      </c>
      <c r="F486" s="430">
        <v>51000.5</v>
      </c>
      <c r="G486" s="430">
        <v>50793.2</v>
      </c>
      <c r="H486" s="430">
        <v>43759.17</v>
      </c>
      <c r="I486" s="430">
        <v>61855.32</v>
      </c>
      <c r="J486" s="430">
        <v>68678.990000000005</v>
      </c>
      <c r="K486" s="430">
        <v>53764.1</v>
      </c>
      <c r="L486" s="430">
        <v>103759.5</v>
      </c>
      <c r="M486" s="430">
        <v>30376.54</v>
      </c>
      <c r="N486" s="430">
        <v>79809.320000000007</v>
      </c>
      <c r="O486" s="430">
        <v>52173.62</v>
      </c>
      <c r="P486" s="52">
        <v>45504.4</v>
      </c>
      <c r="Q486" s="52">
        <v>49096.14</v>
      </c>
      <c r="R486" s="52">
        <v>38881.81</v>
      </c>
      <c r="S486" s="52">
        <v>44466.52</v>
      </c>
      <c r="T486" s="52">
        <v>60733.47</v>
      </c>
      <c r="U486" s="52">
        <v>60677.78</v>
      </c>
      <c r="V486" s="52">
        <v>44847.3</v>
      </c>
      <c r="W486" s="52">
        <v>51636.92</v>
      </c>
      <c r="X486" s="52">
        <v>37161.14</v>
      </c>
      <c r="Y486" s="52">
        <v>51562.59</v>
      </c>
      <c r="Z486" s="52">
        <v>60687.73</v>
      </c>
      <c r="AA486" s="52">
        <v>42319.19</v>
      </c>
      <c r="AB486" s="52">
        <v>35048.19</v>
      </c>
      <c r="AC486" s="52">
        <v>44446.16</v>
      </c>
      <c r="AD486" s="52">
        <v>53023.59</v>
      </c>
      <c r="AE486" s="186">
        <v>48799.78</v>
      </c>
      <c r="AF486" s="186">
        <v>42849.73</v>
      </c>
      <c r="AG486" s="186">
        <v>73341.7</v>
      </c>
      <c r="AH486" s="186">
        <v>34872.33</v>
      </c>
      <c r="AI486" s="186">
        <v>58028.4</v>
      </c>
      <c r="AJ486" s="186">
        <v>34821.08</v>
      </c>
      <c r="AK486" s="186">
        <v>89320.67</v>
      </c>
      <c r="AL486" s="186">
        <v>88712.38</v>
      </c>
      <c r="AM486" s="186">
        <v>76649.31</v>
      </c>
      <c r="AN486" s="186">
        <v>31529.58</v>
      </c>
      <c r="AO486" s="186">
        <v>81490.83</v>
      </c>
      <c r="AP486" s="186">
        <v>61276.61</v>
      </c>
      <c r="AQ486" s="186">
        <v>44186.04</v>
      </c>
      <c r="AR486" s="186">
        <v>44455.1</v>
      </c>
      <c r="AS486" s="186">
        <v>32733.360000000001</v>
      </c>
      <c r="AT486" s="186">
        <v>47802.53</v>
      </c>
      <c r="AU486" s="186">
        <v>54267.46</v>
      </c>
      <c r="AV486" s="186">
        <v>59469.04</v>
      </c>
      <c r="AW486" s="186">
        <v>74523.19</v>
      </c>
      <c r="AX486" s="186">
        <v>12005.55</v>
      </c>
      <c r="AY486" s="186">
        <v>98883.22</v>
      </c>
      <c r="AZ486" s="186">
        <v>42354.25</v>
      </c>
      <c r="BA486" s="186">
        <v>75046.81</v>
      </c>
      <c r="BB486" s="186">
        <v>32210.42</v>
      </c>
      <c r="BC486" s="186">
        <v>68795.94</v>
      </c>
      <c r="BD486" s="186">
        <v>79524.86</v>
      </c>
      <c r="BE486" s="186">
        <v>58415.25</v>
      </c>
      <c r="BF486" s="186">
        <v>83300.850000000006</v>
      </c>
      <c r="BG486" s="186">
        <v>68642.92</v>
      </c>
      <c r="BH486" s="186">
        <v>37128.58</v>
      </c>
      <c r="BI486" s="186">
        <v>62375.77</v>
      </c>
      <c r="BJ486" s="186">
        <v>49843.02</v>
      </c>
      <c r="BK486" s="186">
        <v>54892.74</v>
      </c>
      <c r="BL486" s="186">
        <v>53555.74</v>
      </c>
      <c r="BM486" s="186">
        <v>38129.519999999997</v>
      </c>
      <c r="BN486" s="186">
        <v>65235.06</v>
      </c>
      <c r="BO486" s="186">
        <v>69599.87</v>
      </c>
      <c r="BP486" s="186">
        <v>51991.64</v>
      </c>
      <c r="BQ486" s="186">
        <v>34720.61</v>
      </c>
      <c r="BR486" s="186">
        <v>81874.25</v>
      </c>
      <c r="BS486" s="186">
        <v>46697.13</v>
      </c>
      <c r="BT486" s="186">
        <v>59783.03</v>
      </c>
      <c r="BU486" s="186">
        <v>54807.48</v>
      </c>
      <c r="BV486" s="186">
        <v>73542.600000000006</v>
      </c>
      <c r="BW486" s="186">
        <v>73247.92</v>
      </c>
      <c r="BX486" s="186">
        <v>58212.59</v>
      </c>
      <c r="BY486" s="186">
        <v>113692.14</v>
      </c>
      <c r="BZ486" s="186">
        <v>79085.210000000006</v>
      </c>
      <c r="CA486" s="186">
        <v>42674.36</v>
      </c>
      <c r="CB486" s="186">
        <v>57430.7</v>
      </c>
      <c r="CC486" s="186">
        <v>56797.34</v>
      </c>
      <c r="CD486" s="186">
        <v>54630.3</v>
      </c>
      <c r="CE486" s="186">
        <v>54817.01</v>
      </c>
      <c r="CF486" s="186">
        <v>49886.32</v>
      </c>
      <c r="CG486" s="186">
        <v>75633.119999999995</v>
      </c>
      <c r="CH486" s="186">
        <v>72423.28</v>
      </c>
      <c r="CI486" s="186">
        <v>50426.93</v>
      </c>
      <c r="CJ486" s="186">
        <v>52156.29</v>
      </c>
      <c r="CK486" s="186">
        <v>78249.41</v>
      </c>
      <c r="CL486" s="186">
        <v>65300.33</v>
      </c>
      <c r="CM486" s="186">
        <v>48723.83</v>
      </c>
      <c r="CN486" s="186">
        <v>91996.55</v>
      </c>
      <c r="CO486" s="186">
        <v>46182.85</v>
      </c>
      <c r="CP486" s="186">
        <v>101578.48</v>
      </c>
      <c r="CQ486" s="186">
        <v>51537.97</v>
      </c>
      <c r="CR486" s="186">
        <v>41084.699999999997</v>
      </c>
      <c r="CS486" s="186">
        <v>63581</v>
      </c>
      <c r="CT486" s="186">
        <v>72924.02</v>
      </c>
      <c r="CU486" s="186">
        <v>77918.98</v>
      </c>
      <c r="CV486" s="430">
        <f t="shared" si="19"/>
        <v>791234.40999999992</v>
      </c>
    </row>
    <row r="487" spans="1:100">
      <c r="A487" s="463" t="s">
        <v>1334</v>
      </c>
      <c r="B487" s="56"/>
      <c r="C487" s="56"/>
      <c r="D487" s="430">
        <v>15615.66</v>
      </c>
      <c r="E487" s="430">
        <v>4339.78</v>
      </c>
      <c r="F487" s="430">
        <v>2740.8</v>
      </c>
      <c r="G487" s="430">
        <v>610.55999999999995</v>
      </c>
      <c r="H487" s="430">
        <v>40287.629999999997</v>
      </c>
      <c r="I487" s="430">
        <v>13161.05</v>
      </c>
      <c r="J487" s="430">
        <v>29066.45</v>
      </c>
      <c r="K487" s="430">
        <v>-23618.85</v>
      </c>
      <c r="L487" s="430">
        <v>29332.37</v>
      </c>
      <c r="M487" s="430">
        <v>6759.42</v>
      </c>
      <c r="N487" s="430">
        <v>-13568.16</v>
      </c>
      <c r="O487" s="430">
        <v>8402.57</v>
      </c>
      <c r="P487" s="52">
        <v>7713.13</v>
      </c>
      <c r="Q487" s="52">
        <v>6838.86</v>
      </c>
      <c r="R487" s="52">
        <v>31346.080000000002</v>
      </c>
      <c r="S487" s="52">
        <v>6856.97</v>
      </c>
      <c r="T487" s="52">
        <v>6595.38</v>
      </c>
      <c r="U487" s="52">
        <v>6645.16</v>
      </c>
      <c r="V487" s="52">
        <v>4103.28</v>
      </c>
      <c r="W487" s="52">
        <v>6276.53</v>
      </c>
      <c r="X487" s="52">
        <v>5812.57</v>
      </c>
      <c r="Y487" s="52">
        <v>6167.13</v>
      </c>
      <c r="Z487" s="52">
        <v>3929.4</v>
      </c>
      <c r="AA487" s="52">
        <v>8444.23</v>
      </c>
      <c r="AB487" s="52">
        <v>2291.13</v>
      </c>
      <c r="AC487" s="52">
        <v>15837.82</v>
      </c>
      <c r="AD487" s="52">
        <v>8214.32</v>
      </c>
      <c r="AE487" s="186">
        <v>2495.11</v>
      </c>
      <c r="AF487" s="186">
        <v>-6527.7</v>
      </c>
      <c r="AG487" s="186">
        <v>1912.44</v>
      </c>
      <c r="AH487" s="186">
        <v>6022.04</v>
      </c>
      <c r="AI487" s="186">
        <v>30539.599999999999</v>
      </c>
      <c r="AJ487" s="186">
        <v>-23829.23</v>
      </c>
      <c r="AK487" s="186">
        <v>3188.58</v>
      </c>
      <c r="AL487" s="186">
        <v>6954.14</v>
      </c>
      <c r="AM487" s="186">
        <v>8278.7900000000009</v>
      </c>
      <c r="AN487" s="186">
        <v>4199.6899999999996</v>
      </c>
      <c r="AO487" s="186">
        <v>16231.03</v>
      </c>
      <c r="AP487" s="186">
        <v>8344.85</v>
      </c>
      <c r="AQ487" s="186">
        <v>3382.96</v>
      </c>
      <c r="AR487" s="186">
        <v>6377.11</v>
      </c>
      <c r="AS487" s="186">
        <v>8186.95</v>
      </c>
      <c r="AT487" s="186">
        <v>4885.72</v>
      </c>
      <c r="AU487" s="186">
        <v>8474.59</v>
      </c>
      <c r="AV487" s="186">
        <v>9893.58</v>
      </c>
      <c r="AW487" s="186">
        <v>5896.63</v>
      </c>
      <c r="AX487" s="186">
        <v>10950.38</v>
      </c>
      <c r="AY487" s="186">
        <v>4204.6499999999996</v>
      </c>
      <c r="AZ487" s="186">
        <v>1942.41</v>
      </c>
      <c r="BA487" s="186">
        <v>10470.35</v>
      </c>
      <c r="BB487" s="186">
        <v>7918.67</v>
      </c>
      <c r="BC487" s="186">
        <v>7075.78</v>
      </c>
      <c r="BD487" s="186">
        <v>10184.43</v>
      </c>
      <c r="BE487" s="186">
        <v>10872.81</v>
      </c>
      <c r="BF487" s="186">
        <v>5697.96</v>
      </c>
      <c r="BG487" s="186">
        <v>6314.39</v>
      </c>
      <c r="BH487" s="186">
        <v>2900.88</v>
      </c>
      <c r="BI487" s="186">
        <v>3215.47</v>
      </c>
      <c r="BJ487" s="186">
        <v>3047.18</v>
      </c>
      <c r="BK487" s="186">
        <v>7187.66</v>
      </c>
      <c r="BL487" s="186">
        <v>3219.2</v>
      </c>
      <c r="BM487" s="186">
        <v>2944.59</v>
      </c>
      <c r="BN487" s="186">
        <v>7907.42</v>
      </c>
      <c r="BO487" s="186">
        <v>10604.12</v>
      </c>
      <c r="BP487" s="186">
        <v>3555.37</v>
      </c>
      <c r="BQ487" s="186">
        <v>11523.88</v>
      </c>
      <c r="BR487" s="186">
        <v>-3438.29</v>
      </c>
      <c r="BS487" s="186">
        <v>9333.33</v>
      </c>
      <c r="BT487" s="186">
        <v>3167.97</v>
      </c>
      <c r="BU487" s="186">
        <v>2584.6999999999998</v>
      </c>
      <c r="BV487" s="186">
        <v>4495.13</v>
      </c>
      <c r="BW487" s="186">
        <v>19856.349999999999</v>
      </c>
      <c r="BX487" s="186">
        <v>10660.42</v>
      </c>
      <c r="BY487" s="186">
        <v>-3780.94</v>
      </c>
      <c r="BZ487" s="186">
        <v>5650.74</v>
      </c>
      <c r="CA487" s="186">
        <v>4960.62</v>
      </c>
      <c r="CB487" s="186">
        <v>2376.64</v>
      </c>
      <c r="CC487" s="186">
        <v>2260.4</v>
      </c>
      <c r="CD487" s="186">
        <v>2800.68</v>
      </c>
      <c r="CE487" s="186">
        <v>1499.05</v>
      </c>
      <c r="CF487" s="186">
        <v>762.1</v>
      </c>
      <c r="CG487" s="186">
        <v>7709.32</v>
      </c>
      <c r="CH487" s="186">
        <v>11592.63</v>
      </c>
      <c r="CI487" s="186">
        <v>2739.37</v>
      </c>
      <c r="CJ487" s="186">
        <v>7994.63</v>
      </c>
      <c r="CK487" s="186">
        <v>10335.85</v>
      </c>
      <c r="CL487" s="186">
        <v>8225.98</v>
      </c>
      <c r="CM487" s="186">
        <v>21592.63</v>
      </c>
      <c r="CN487" s="186">
        <v>-5847.4</v>
      </c>
      <c r="CO487" s="186">
        <v>4174.8599999999997</v>
      </c>
      <c r="CP487" s="186">
        <v>5127.4399999999996</v>
      </c>
      <c r="CQ487" s="186">
        <v>1144.6099999999999</v>
      </c>
      <c r="CR487" s="186">
        <v>3633.37</v>
      </c>
      <c r="CS487" s="186">
        <v>3718.68</v>
      </c>
      <c r="CT487" s="186">
        <v>2406.3000000000002</v>
      </c>
      <c r="CU487" s="186">
        <v>11981.19</v>
      </c>
      <c r="CV487" s="430">
        <f t="shared" si="19"/>
        <v>74488.14</v>
      </c>
    </row>
    <row r="488" spans="1:100">
      <c r="A488" s="463" t="s">
        <v>1335</v>
      </c>
      <c r="B488" s="56"/>
      <c r="C488" s="56"/>
      <c r="D488" s="430">
        <v>87895.29</v>
      </c>
      <c r="E488" s="430">
        <v>106317.72</v>
      </c>
      <c r="F488" s="430">
        <v>113516.07</v>
      </c>
      <c r="G488" s="430">
        <v>84308.62</v>
      </c>
      <c r="H488" s="430">
        <v>117838.9</v>
      </c>
      <c r="I488" s="430">
        <v>93569.919999999998</v>
      </c>
      <c r="J488" s="430">
        <v>110031.88</v>
      </c>
      <c r="K488" s="430">
        <v>108083.93</v>
      </c>
      <c r="L488" s="430">
        <v>107259.18</v>
      </c>
      <c r="M488" s="430">
        <v>87976.42</v>
      </c>
      <c r="N488" s="430">
        <v>85814.080000000002</v>
      </c>
      <c r="O488" s="430">
        <v>101337.65</v>
      </c>
      <c r="P488" s="52">
        <v>94610.35</v>
      </c>
      <c r="Q488" s="52">
        <v>90051.27</v>
      </c>
      <c r="R488" s="52">
        <v>88766.77</v>
      </c>
      <c r="S488" s="52">
        <v>77446.960000000006</v>
      </c>
      <c r="T488" s="52">
        <v>97816.16</v>
      </c>
      <c r="U488" s="52">
        <v>89504.35</v>
      </c>
      <c r="V488" s="52">
        <v>106743.38</v>
      </c>
      <c r="W488" s="52">
        <v>82179.44</v>
      </c>
      <c r="X488" s="52">
        <v>98336.51</v>
      </c>
      <c r="Y488" s="52">
        <v>102100.61</v>
      </c>
      <c r="Z488" s="52">
        <v>86740.86</v>
      </c>
      <c r="AA488" s="52">
        <v>90980.63</v>
      </c>
      <c r="AB488" s="52">
        <v>97396.71</v>
      </c>
      <c r="AC488" s="52">
        <v>92335.34</v>
      </c>
      <c r="AD488" s="52">
        <v>95834.97</v>
      </c>
      <c r="AE488" s="186">
        <v>85137.42</v>
      </c>
      <c r="AF488" s="186">
        <v>76429.11</v>
      </c>
      <c r="AG488" s="186">
        <v>132820.20000000001</v>
      </c>
      <c r="AH488" s="186">
        <v>97079.75</v>
      </c>
      <c r="AI488" s="186">
        <v>110866.58</v>
      </c>
      <c r="AJ488" s="186">
        <v>105939.25</v>
      </c>
      <c r="AK488" s="186">
        <v>95987.47</v>
      </c>
      <c r="AL488" s="186">
        <v>109029.36</v>
      </c>
      <c r="AM488" s="186">
        <v>109775.35</v>
      </c>
      <c r="AN488" s="186">
        <v>101119.29</v>
      </c>
      <c r="AO488" s="186">
        <v>116471.45</v>
      </c>
      <c r="AP488" s="186">
        <v>118144.85</v>
      </c>
      <c r="AQ488" s="186">
        <v>92473.51</v>
      </c>
      <c r="AR488" s="186">
        <v>87638.43</v>
      </c>
      <c r="AS488" s="186">
        <v>117477.03</v>
      </c>
      <c r="AT488" s="186">
        <v>100359.83</v>
      </c>
      <c r="AU488" s="186">
        <v>127148.43</v>
      </c>
      <c r="AV488" s="186">
        <v>106242.86</v>
      </c>
      <c r="AW488" s="186">
        <v>108795.57</v>
      </c>
      <c r="AX488" s="186">
        <v>104994.05</v>
      </c>
      <c r="AY488" s="186">
        <v>95940.479999999996</v>
      </c>
      <c r="AZ488" s="186">
        <v>98149.03</v>
      </c>
      <c r="BA488" s="186">
        <v>98503.32</v>
      </c>
      <c r="BB488" s="186">
        <v>85238.26</v>
      </c>
      <c r="BC488" s="186">
        <v>96884.79</v>
      </c>
      <c r="BD488" s="186">
        <v>92122.76</v>
      </c>
      <c r="BE488" s="186">
        <v>69201.58</v>
      </c>
      <c r="BF488" s="186">
        <v>73210.95</v>
      </c>
      <c r="BG488" s="186">
        <v>121077.79</v>
      </c>
      <c r="BH488" s="186">
        <v>98809.38</v>
      </c>
      <c r="BI488" s="186">
        <v>90501.34</v>
      </c>
      <c r="BJ488" s="186">
        <v>83916.78</v>
      </c>
      <c r="BK488" s="186">
        <v>90102.71</v>
      </c>
      <c r="BL488" s="186">
        <v>81901.570000000007</v>
      </c>
      <c r="BM488" s="186">
        <v>93429.74</v>
      </c>
      <c r="BN488" s="186">
        <v>83864.850000000006</v>
      </c>
      <c r="BO488" s="186">
        <v>97481.63</v>
      </c>
      <c r="BP488" s="186">
        <v>85505.22</v>
      </c>
      <c r="BQ488" s="186">
        <v>103177.16</v>
      </c>
      <c r="BR488" s="186">
        <v>86471.87</v>
      </c>
      <c r="BS488" s="186">
        <v>92417.87</v>
      </c>
      <c r="BT488" s="186">
        <v>115851.95</v>
      </c>
      <c r="BU488" s="186">
        <v>118771.36</v>
      </c>
      <c r="BV488" s="186">
        <v>99036.06</v>
      </c>
      <c r="BW488" s="186">
        <v>135458.60999999999</v>
      </c>
      <c r="BX488" s="186">
        <v>132367.16</v>
      </c>
      <c r="BY488" s="186">
        <v>120012.5</v>
      </c>
      <c r="BZ488" s="186">
        <v>101124.44</v>
      </c>
      <c r="CA488" s="186">
        <v>132248.82</v>
      </c>
      <c r="CB488" s="186">
        <v>23187.7</v>
      </c>
      <c r="CC488" s="186">
        <v>116151.47</v>
      </c>
      <c r="CD488" s="186">
        <v>137012.43</v>
      </c>
      <c r="CE488" s="186">
        <v>90913.61</v>
      </c>
      <c r="CF488" s="186">
        <v>123981.43</v>
      </c>
      <c r="CG488" s="186">
        <v>131807.85999999999</v>
      </c>
      <c r="CH488" s="186">
        <v>74887.509999999995</v>
      </c>
      <c r="CI488" s="186">
        <v>10811.69</v>
      </c>
      <c r="CJ488" s="186">
        <v>94550.58</v>
      </c>
      <c r="CK488" s="186">
        <v>78540.55</v>
      </c>
      <c r="CL488" s="186">
        <v>91286.26</v>
      </c>
      <c r="CM488" s="186">
        <v>120439.41</v>
      </c>
      <c r="CN488" s="186">
        <v>104898.73</v>
      </c>
      <c r="CO488" s="186">
        <v>87518.89</v>
      </c>
      <c r="CP488" s="186">
        <v>94239.34</v>
      </c>
      <c r="CQ488" s="186">
        <v>144431.34</v>
      </c>
      <c r="CR488" s="186">
        <v>101694.44</v>
      </c>
      <c r="CS488" s="186">
        <v>105523.38</v>
      </c>
      <c r="CT488" s="186">
        <v>118172.21</v>
      </c>
      <c r="CU488" s="186">
        <v>91230.29</v>
      </c>
      <c r="CV488" s="430">
        <f t="shared" si="19"/>
        <v>1232525.4200000002</v>
      </c>
    </row>
    <row r="489" spans="1:100">
      <c r="A489" s="463" t="s">
        <v>1336</v>
      </c>
      <c r="B489" s="56"/>
      <c r="C489" s="56"/>
      <c r="D489" s="430">
        <v>564102.52</v>
      </c>
      <c r="E489" s="430">
        <v>495819.48</v>
      </c>
      <c r="F489" s="430">
        <v>544679.94999999995</v>
      </c>
      <c r="G489" s="430">
        <v>531836.18000000005</v>
      </c>
      <c r="H489" s="430">
        <v>548316.36</v>
      </c>
      <c r="I489" s="430">
        <v>489683.59</v>
      </c>
      <c r="J489" s="430">
        <v>592653.68999999994</v>
      </c>
      <c r="K489" s="430">
        <v>606590.66</v>
      </c>
      <c r="L489" s="430">
        <v>443609.99</v>
      </c>
      <c r="M489" s="430">
        <v>500348.45</v>
      </c>
      <c r="N489" s="430">
        <v>464232.39</v>
      </c>
      <c r="O489" s="430">
        <v>582793.32999999996</v>
      </c>
      <c r="P489" s="52">
        <v>411291.22</v>
      </c>
      <c r="Q489" s="52">
        <v>398955.11</v>
      </c>
      <c r="R489" s="52">
        <v>422449.06</v>
      </c>
      <c r="S489" s="52">
        <v>388151.03999999998</v>
      </c>
      <c r="T489" s="52">
        <v>342736.99</v>
      </c>
      <c r="U489" s="52">
        <v>475077.07</v>
      </c>
      <c r="V489" s="52">
        <v>422207.11</v>
      </c>
      <c r="W489" s="52">
        <v>369243.72</v>
      </c>
      <c r="X489" s="52">
        <v>401585.36</v>
      </c>
      <c r="Y489" s="52">
        <v>420753.38</v>
      </c>
      <c r="Z489" s="52">
        <v>455828.46</v>
      </c>
      <c r="AA489" s="52">
        <v>1777047.25</v>
      </c>
      <c r="AB489" s="52">
        <v>490761.56</v>
      </c>
      <c r="AC489" s="52">
        <v>507410.46</v>
      </c>
      <c r="AD489" s="52">
        <v>511550.24</v>
      </c>
      <c r="AE489" s="186">
        <v>590741.73</v>
      </c>
      <c r="AF489" s="186">
        <v>520688.91</v>
      </c>
      <c r="AG489" s="186">
        <v>482930.58</v>
      </c>
      <c r="AH489" s="186">
        <v>447838.78</v>
      </c>
      <c r="AI489" s="186">
        <v>644704.92000000004</v>
      </c>
      <c r="AJ489" s="186">
        <v>611801.38</v>
      </c>
      <c r="AK489" s="186">
        <v>504569.1</v>
      </c>
      <c r="AL489" s="186">
        <v>523146.89</v>
      </c>
      <c r="AM489" s="186">
        <v>1332151.51</v>
      </c>
      <c r="AN489" s="186">
        <v>882622.22</v>
      </c>
      <c r="AO489" s="186">
        <v>952412.83</v>
      </c>
      <c r="AP489" s="186">
        <v>770157.86</v>
      </c>
      <c r="AQ489" s="186">
        <v>1005588.32</v>
      </c>
      <c r="AR489" s="186">
        <v>935816.62</v>
      </c>
      <c r="AS489" s="186">
        <v>1051170.25</v>
      </c>
      <c r="AT489" s="186">
        <v>935673.23</v>
      </c>
      <c r="AU489" s="186">
        <v>979524.96</v>
      </c>
      <c r="AV489" s="186">
        <v>808888.38</v>
      </c>
      <c r="AW489" s="186">
        <v>1020002.39</v>
      </c>
      <c r="AX489" s="186">
        <v>990150.1</v>
      </c>
      <c r="AY489" s="186">
        <v>1025996.19</v>
      </c>
      <c r="AZ489" s="186">
        <v>988372.14</v>
      </c>
      <c r="BA489" s="186">
        <v>893929.76</v>
      </c>
      <c r="BB489" s="186">
        <v>968266.86</v>
      </c>
      <c r="BC489" s="186">
        <v>893322.41</v>
      </c>
      <c r="BD489" s="186">
        <v>1030658.65</v>
      </c>
      <c r="BE489" s="186">
        <v>1006257.68</v>
      </c>
      <c r="BF489" s="186">
        <v>1030459.41</v>
      </c>
      <c r="BG489" s="186">
        <v>776790.88</v>
      </c>
      <c r="BH489" s="186">
        <v>902888.95999999996</v>
      </c>
      <c r="BI489" s="186">
        <v>1124983.07</v>
      </c>
      <c r="BJ489" s="186">
        <v>857699.15</v>
      </c>
      <c r="BK489" s="186">
        <v>940794.03</v>
      </c>
      <c r="BL489" s="186">
        <v>987294.39</v>
      </c>
      <c r="BM489" s="186">
        <v>1045801.78</v>
      </c>
      <c r="BN489" s="186">
        <v>985859.72</v>
      </c>
      <c r="BO489" s="186">
        <v>944318.09</v>
      </c>
      <c r="BP489" s="186">
        <v>1207035.28</v>
      </c>
      <c r="BQ489" s="186">
        <v>945466.74</v>
      </c>
      <c r="BR489" s="186">
        <v>970605.12</v>
      </c>
      <c r="BS489" s="186">
        <v>1100377.1499999999</v>
      </c>
      <c r="BT489" s="186">
        <v>970700.99</v>
      </c>
      <c r="BU489" s="186">
        <v>1003060.34</v>
      </c>
      <c r="BV489" s="186">
        <v>970778.8</v>
      </c>
      <c r="BW489" s="186">
        <v>1069188.8400000001</v>
      </c>
      <c r="BX489" s="186">
        <v>842038.04</v>
      </c>
      <c r="BY489" s="186">
        <v>978980.36</v>
      </c>
      <c r="BZ489" s="186">
        <v>1025093.17</v>
      </c>
      <c r="CA489" s="186">
        <v>1000004.97</v>
      </c>
      <c r="CB489" s="186">
        <v>1070301.79</v>
      </c>
      <c r="CC489" s="186">
        <v>878785.97</v>
      </c>
      <c r="CD489" s="186">
        <v>1046274.75</v>
      </c>
      <c r="CE489" s="186">
        <v>906402.73</v>
      </c>
      <c r="CF489" s="186">
        <v>944993.37</v>
      </c>
      <c r="CG489" s="186">
        <v>999650.66</v>
      </c>
      <c r="CH489" s="186">
        <v>1017438.64</v>
      </c>
      <c r="CI489" s="186">
        <v>1019241.79</v>
      </c>
      <c r="CJ489" s="186">
        <v>1036375.83</v>
      </c>
      <c r="CK489" s="186">
        <v>1043327.3</v>
      </c>
      <c r="CL489" s="186">
        <v>1040088.55</v>
      </c>
      <c r="CM489" s="186">
        <v>1017148.63</v>
      </c>
      <c r="CN489" s="186">
        <v>1012265.39</v>
      </c>
      <c r="CO489" s="186">
        <v>1243630.8899999999</v>
      </c>
      <c r="CP489" s="186">
        <v>999711.12</v>
      </c>
      <c r="CQ489" s="186">
        <v>983626.12</v>
      </c>
      <c r="CR489" s="186">
        <v>940274.05</v>
      </c>
      <c r="CS489" s="186">
        <v>976548.38</v>
      </c>
      <c r="CT489" s="186">
        <v>1214697.6100000001</v>
      </c>
      <c r="CU489" s="186">
        <v>1182009.3899999999</v>
      </c>
      <c r="CV489" s="430">
        <f t="shared" si="19"/>
        <v>12689703.26</v>
      </c>
    </row>
    <row r="490" spans="1:100">
      <c r="A490" s="463" t="s">
        <v>1337</v>
      </c>
      <c r="B490" s="56"/>
      <c r="C490" s="56"/>
      <c r="D490" s="430">
        <v>97804.19</v>
      </c>
      <c r="E490" s="430">
        <v>82692.84</v>
      </c>
      <c r="F490" s="430">
        <v>70286.490000000005</v>
      </c>
      <c r="G490" s="430">
        <v>65725.16</v>
      </c>
      <c r="H490" s="430">
        <v>54158.16</v>
      </c>
      <c r="I490" s="430">
        <v>53695.25</v>
      </c>
      <c r="J490" s="430">
        <v>52342.2</v>
      </c>
      <c r="K490" s="430">
        <v>51660.88</v>
      </c>
      <c r="L490" s="430">
        <v>70514.58</v>
      </c>
      <c r="M490" s="430">
        <v>59189.55</v>
      </c>
      <c r="N490" s="430">
        <v>65188.66</v>
      </c>
      <c r="O490" s="430">
        <v>85258.13</v>
      </c>
      <c r="P490" s="52">
        <v>93028.45</v>
      </c>
      <c r="Q490" s="52">
        <v>107974.73</v>
      </c>
      <c r="R490" s="52">
        <v>83578.3</v>
      </c>
      <c r="S490" s="52">
        <v>68383.14</v>
      </c>
      <c r="T490" s="52">
        <v>60045.99</v>
      </c>
      <c r="U490" s="52">
        <v>62134.94</v>
      </c>
      <c r="V490" s="52">
        <v>58948.7</v>
      </c>
      <c r="W490" s="52">
        <v>56115.31</v>
      </c>
      <c r="X490" s="52">
        <v>51768.56</v>
      </c>
      <c r="Y490" s="52">
        <v>51341.64</v>
      </c>
      <c r="Z490" s="52">
        <v>53788.18</v>
      </c>
      <c r="AA490" s="52">
        <v>59504.91</v>
      </c>
      <c r="AB490" s="52">
        <v>74274.12</v>
      </c>
      <c r="AC490" s="52">
        <v>78933.679999999993</v>
      </c>
      <c r="AD490" s="52">
        <v>62765.72</v>
      </c>
      <c r="AE490" s="186">
        <v>54382.35</v>
      </c>
      <c r="AF490" s="186">
        <v>46770.37</v>
      </c>
      <c r="AG490" s="186">
        <v>45252.35</v>
      </c>
      <c r="AH490" s="186">
        <v>44995.9</v>
      </c>
      <c r="AI490" s="186">
        <v>45495.18</v>
      </c>
      <c r="AJ490" s="186">
        <v>49920.85</v>
      </c>
      <c r="AK490" s="186">
        <v>50283.05</v>
      </c>
      <c r="AL490" s="186">
        <v>57802.77</v>
      </c>
      <c r="AM490" s="186">
        <v>-682282.52</v>
      </c>
      <c r="AN490" s="186">
        <v>76995.02</v>
      </c>
      <c r="AO490" s="186">
        <v>54207.81</v>
      </c>
      <c r="AP490" s="186">
        <v>145179.68</v>
      </c>
      <c r="AQ490" s="186">
        <v>165397.71</v>
      </c>
      <c r="AR490" s="186">
        <v>46453.84</v>
      </c>
      <c r="AS490" s="186">
        <v>68074.42</v>
      </c>
      <c r="AT490" s="186">
        <v>154655.26</v>
      </c>
      <c r="AU490" s="186">
        <v>195006.49</v>
      </c>
      <c r="AV490" s="186">
        <v>289967.14</v>
      </c>
      <c r="AW490" s="186">
        <v>240698.39</v>
      </c>
      <c r="AX490" s="186">
        <v>112863.83</v>
      </c>
      <c r="AY490" s="186">
        <v>58467.89</v>
      </c>
      <c r="AZ490" s="186">
        <v>168961.33</v>
      </c>
      <c r="BA490" s="186">
        <v>-38525.449999999997</v>
      </c>
      <c r="BB490" s="186">
        <v>43301.16</v>
      </c>
      <c r="BC490" s="186">
        <v>143130.59</v>
      </c>
      <c r="BD490" s="186">
        <v>143320.99</v>
      </c>
      <c r="BE490" s="186">
        <v>90887.9</v>
      </c>
      <c r="BF490" s="186">
        <v>145585.75</v>
      </c>
      <c r="BG490" s="186">
        <v>126038.48</v>
      </c>
      <c r="BH490" s="186">
        <v>107666.72</v>
      </c>
      <c r="BI490" s="186">
        <v>116781.94</v>
      </c>
      <c r="BJ490" s="186">
        <v>134630.57</v>
      </c>
      <c r="BK490" s="186">
        <v>247068.93</v>
      </c>
      <c r="BL490" s="186">
        <v>138773.31</v>
      </c>
      <c r="BM490" s="186">
        <v>81454.31</v>
      </c>
      <c r="BN490" s="186">
        <v>159889.56</v>
      </c>
      <c r="BO490" s="186">
        <v>233621</v>
      </c>
      <c r="BP490" s="186">
        <v>86929.16</v>
      </c>
      <c r="BQ490" s="186">
        <v>63624.33</v>
      </c>
      <c r="BR490" s="186">
        <v>75912.66</v>
      </c>
      <c r="BS490" s="186">
        <v>75049.919999999998</v>
      </c>
      <c r="BT490" s="186">
        <v>110212.54</v>
      </c>
      <c r="BU490" s="186">
        <v>69666.13</v>
      </c>
      <c r="BV490" s="186">
        <v>82098.64</v>
      </c>
      <c r="BW490" s="186">
        <v>86964.55</v>
      </c>
      <c r="BX490" s="186">
        <v>123636.72</v>
      </c>
      <c r="BY490" s="186">
        <v>7329.83</v>
      </c>
      <c r="BZ490" s="186">
        <v>176173.92</v>
      </c>
      <c r="CA490" s="186">
        <v>224333.44</v>
      </c>
      <c r="CB490" s="186">
        <v>232939.77</v>
      </c>
      <c r="CC490" s="186">
        <v>265926.84999999998</v>
      </c>
      <c r="CD490" s="186">
        <v>203420.81</v>
      </c>
      <c r="CE490" s="186">
        <v>-322058.40000000002</v>
      </c>
      <c r="CF490" s="186">
        <v>169282.07</v>
      </c>
      <c r="CG490" s="186">
        <v>893944.83</v>
      </c>
      <c r="CH490" s="186">
        <v>204824.7</v>
      </c>
      <c r="CI490" s="186">
        <v>-313308.84000000003</v>
      </c>
      <c r="CJ490" s="186">
        <v>282197.19</v>
      </c>
      <c r="CK490" s="186">
        <v>218948.86</v>
      </c>
      <c r="CL490" s="186">
        <v>-291477.07</v>
      </c>
      <c r="CM490" s="186">
        <v>211401.44</v>
      </c>
      <c r="CN490" s="186">
        <v>178845.64</v>
      </c>
      <c r="CO490" s="186">
        <v>128740.2</v>
      </c>
      <c r="CP490" s="186">
        <v>172822.22</v>
      </c>
      <c r="CQ490" s="186">
        <v>163962.43</v>
      </c>
      <c r="CR490" s="186">
        <v>148518.26</v>
      </c>
      <c r="CS490" s="186">
        <v>191030.26</v>
      </c>
      <c r="CT490" s="186">
        <v>45370.22</v>
      </c>
      <c r="CU490" s="186">
        <v>122363.13</v>
      </c>
      <c r="CV490" s="430">
        <f t="shared" si="19"/>
        <v>1572722.7799999998</v>
      </c>
    </row>
    <row r="491" spans="1:100">
      <c r="A491" s="463" t="s">
        <v>1338</v>
      </c>
      <c r="B491" s="56"/>
      <c r="C491" s="56"/>
      <c r="D491" s="430">
        <v>979889.82</v>
      </c>
      <c r="E491" s="430">
        <v>689721.67</v>
      </c>
      <c r="F491" s="430">
        <v>685075.35</v>
      </c>
      <c r="G491" s="430">
        <v>786390.8</v>
      </c>
      <c r="H491" s="430">
        <v>719214.5</v>
      </c>
      <c r="I491" s="430">
        <v>774677.95</v>
      </c>
      <c r="J491" s="430">
        <v>1179321.8500000001</v>
      </c>
      <c r="K491" s="430">
        <v>758587.99</v>
      </c>
      <c r="L491" s="430">
        <v>948777.18</v>
      </c>
      <c r="M491" s="430">
        <v>902144.24</v>
      </c>
      <c r="N491" s="430">
        <v>857173.84</v>
      </c>
      <c r="O491" s="430">
        <v>698261.84</v>
      </c>
      <c r="P491" s="52">
        <v>1259913.53</v>
      </c>
      <c r="Q491" s="52">
        <v>824310.27</v>
      </c>
      <c r="R491" s="52">
        <v>1016935.54</v>
      </c>
      <c r="S491" s="52">
        <v>771359.12</v>
      </c>
      <c r="T491" s="52">
        <v>1023767.49</v>
      </c>
      <c r="U491" s="52">
        <v>888991.91</v>
      </c>
      <c r="V491" s="52">
        <v>888769.33</v>
      </c>
      <c r="W491" s="52">
        <v>910290.32</v>
      </c>
      <c r="X491" s="52">
        <v>886279.68000000005</v>
      </c>
      <c r="Y491" s="52">
        <v>1119872.03</v>
      </c>
      <c r="Z491" s="52">
        <v>847945.39</v>
      </c>
      <c r="AA491" s="52">
        <v>775580.44</v>
      </c>
      <c r="AB491" s="52">
        <v>987682.01</v>
      </c>
      <c r="AC491" s="52">
        <v>911257.27</v>
      </c>
      <c r="AD491" s="52">
        <v>954468.4</v>
      </c>
      <c r="AE491" s="186">
        <v>830054.02</v>
      </c>
      <c r="AF491" s="186">
        <v>1113469.03</v>
      </c>
      <c r="AG491" s="186">
        <v>1092779.42</v>
      </c>
      <c r="AH491" s="186">
        <v>970740.7</v>
      </c>
      <c r="AI491" s="186">
        <v>1119985.77</v>
      </c>
      <c r="AJ491" s="186">
        <v>821350.73</v>
      </c>
      <c r="AK491" s="186">
        <v>1137381.32</v>
      </c>
      <c r="AL491" s="186">
        <v>830814.05</v>
      </c>
      <c r="AM491" s="186">
        <v>1456647.51</v>
      </c>
      <c r="AN491" s="186">
        <v>346891.99</v>
      </c>
      <c r="AO491" s="186">
        <v>634285.49</v>
      </c>
      <c r="AP491" s="186">
        <v>874689.58</v>
      </c>
      <c r="AQ491" s="186">
        <v>851297.21</v>
      </c>
      <c r="AR491" s="186">
        <v>1353653.4</v>
      </c>
      <c r="AS491" s="186">
        <v>1431345.82</v>
      </c>
      <c r="AT491" s="186">
        <v>1403693.14</v>
      </c>
      <c r="AU491" s="186">
        <v>1592701.57</v>
      </c>
      <c r="AV491" s="186">
        <v>1267586.3999999999</v>
      </c>
      <c r="AW491" s="186">
        <v>1568137.8</v>
      </c>
      <c r="AX491" s="186">
        <v>1125735.6299999999</v>
      </c>
      <c r="AY491" s="186">
        <v>963681.4</v>
      </c>
      <c r="AZ491" s="186">
        <v>1279446.1000000001</v>
      </c>
      <c r="BA491" s="186">
        <v>1562693.04</v>
      </c>
      <c r="BB491" s="186">
        <v>1744607.14</v>
      </c>
      <c r="BC491" s="186">
        <v>2593722.4300000002</v>
      </c>
      <c r="BD491" s="186">
        <v>998823.23</v>
      </c>
      <c r="BE491" s="186">
        <v>1023143.05</v>
      </c>
      <c r="BF491" s="186">
        <v>1976514.55</v>
      </c>
      <c r="BG491" s="186">
        <v>1390967.56</v>
      </c>
      <c r="BH491" s="186">
        <v>891641.1</v>
      </c>
      <c r="BI491" s="186">
        <v>1686545.01</v>
      </c>
      <c r="BJ491" s="186">
        <v>985064.18</v>
      </c>
      <c r="BK491" s="186">
        <v>1298484.99</v>
      </c>
      <c r="BL491" s="186">
        <v>1640927.34</v>
      </c>
      <c r="BM491" s="186">
        <v>783425.63</v>
      </c>
      <c r="BN491" s="186">
        <v>1033853.11</v>
      </c>
      <c r="BO491" s="186">
        <v>1190321.1000000001</v>
      </c>
      <c r="BP491" s="186">
        <v>984202.04</v>
      </c>
      <c r="BQ491" s="186">
        <v>1763188.4</v>
      </c>
      <c r="BR491" s="186">
        <v>2027281.84</v>
      </c>
      <c r="BS491" s="186">
        <v>1353335.75</v>
      </c>
      <c r="BT491" s="186">
        <v>936932.08</v>
      </c>
      <c r="BU491" s="186">
        <v>1254654.1599999999</v>
      </c>
      <c r="BV491" s="186">
        <v>1270179.72</v>
      </c>
      <c r="BW491" s="186">
        <v>1429431.11</v>
      </c>
      <c r="BX491" s="186">
        <v>1489567.51</v>
      </c>
      <c r="BY491" s="186">
        <v>1127245.3600000001</v>
      </c>
      <c r="BZ491" s="186">
        <v>1068408.21</v>
      </c>
      <c r="CA491" s="186">
        <v>1503072.45</v>
      </c>
      <c r="CB491" s="186">
        <v>1225653.96</v>
      </c>
      <c r="CC491" s="186">
        <v>1375010.92</v>
      </c>
      <c r="CD491" s="186">
        <v>1194803.32</v>
      </c>
      <c r="CE491" s="186">
        <v>1245130.02</v>
      </c>
      <c r="CF491" s="186">
        <v>1624928.97</v>
      </c>
      <c r="CG491" s="186">
        <v>1485533.28</v>
      </c>
      <c r="CH491" s="186">
        <v>1243303.46</v>
      </c>
      <c r="CI491" s="186">
        <v>1355002.13</v>
      </c>
      <c r="CJ491" s="186">
        <v>1275601.9199999999</v>
      </c>
      <c r="CK491" s="186">
        <v>1650524.29</v>
      </c>
      <c r="CL491" s="186">
        <v>1567765.76</v>
      </c>
      <c r="CM491" s="186">
        <v>1358304.88</v>
      </c>
      <c r="CN491" s="186">
        <v>1195782.67</v>
      </c>
      <c r="CO491" s="186">
        <v>1184872.58</v>
      </c>
      <c r="CP491" s="186">
        <v>1341957.6599999999</v>
      </c>
      <c r="CQ491" s="186">
        <v>966870.3</v>
      </c>
      <c r="CR491" s="186">
        <v>1471370.63</v>
      </c>
      <c r="CS491" s="186">
        <v>1454114.59</v>
      </c>
      <c r="CT491" s="186">
        <v>1401498.8</v>
      </c>
      <c r="CU491" s="186">
        <v>1094936.1299999999</v>
      </c>
      <c r="CV491" s="430">
        <f t="shared" si="19"/>
        <v>15963600.210000001</v>
      </c>
    </row>
    <row r="492" spans="1:100">
      <c r="A492" s="463" t="s">
        <v>1339</v>
      </c>
      <c r="B492" s="56"/>
      <c r="C492" s="56"/>
      <c r="D492" s="430">
        <v>65209.59</v>
      </c>
      <c r="E492" s="430">
        <v>108689</v>
      </c>
      <c r="F492" s="430">
        <v>35666.65</v>
      </c>
      <c r="G492" s="430">
        <v>41942.410000000003</v>
      </c>
      <c r="H492" s="430">
        <v>120445.41</v>
      </c>
      <c r="I492" s="430">
        <v>55332.5</v>
      </c>
      <c r="J492" s="430">
        <v>180153</v>
      </c>
      <c r="K492" s="430">
        <v>219405.75</v>
      </c>
      <c r="L492" s="430">
        <v>174166.67</v>
      </c>
      <c r="M492" s="430">
        <v>75778.7</v>
      </c>
      <c r="N492" s="430">
        <v>108537.5</v>
      </c>
      <c r="O492" s="430">
        <v>64140</v>
      </c>
      <c r="P492" s="52">
        <v>54419.5</v>
      </c>
      <c r="Q492" s="52">
        <v>85237.5</v>
      </c>
      <c r="R492" s="52">
        <v>90521.01</v>
      </c>
      <c r="S492" s="52">
        <v>25207.01</v>
      </c>
      <c r="T492" s="52">
        <v>51436.01</v>
      </c>
      <c r="U492" s="52">
        <v>74665.759999999995</v>
      </c>
      <c r="V492" s="52">
        <v>69530.759999999995</v>
      </c>
      <c r="W492" s="52">
        <v>250839.66</v>
      </c>
      <c r="X492" s="52">
        <v>121261.01</v>
      </c>
      <c r="Y492" s="52">
        <v>213529.22</v>
      </c>
      <c r="Z492" s="52">
        <v>20438.48</v>
      </c>
      <c r="AA492" s="52">
        <v>62413.98</v>
      </c>
      <c r="AB492" s="52">
        <v>40212.01</v>
      </c>
      <c r="AC492" s="52">
        <v>25254.5</v>
      </c>
      <c r="AD492" s="52">
        <v>96540.53</v>
      </c>
      <c r="AE492" s="186">
        <v>71107.240000000005</v>
      </c>
      <c r="AF492" s="186">
        <v>67899.55</v>
      </c>
      <c r="AG492" s="186">
        <v>64468.59</v>
      </c>
      <c r="AH492" s="186">
        <v>51640.25</v>
      </c>
      <c r="AI492" s="186">
        <v>337702.45</v>
      </c>
      <c r="AJ492" s="186">
        <v>107672.75</v>
      </c>
      <c r="AK492" s="186">
        <v>179625</v>
      </c>
      <c r="AL492" s="186">
        <v>26674.79</v>
      </c>
      <c r="AM492" s="186">
        <v>50288.73</v>
      </c>
      <c r="AN492" s="186">
        <v>39555.839999999997</v>
      </c>
      <c r="AO492" s="186">
        <v>87136.84</v>
      </c>
      <c r="AP492" s="186">
        <v>13657.41</v>
      </c>
      <c r="AQ492" s="186">
        <v>16652.419999999998</v>
      </c>
      <c r="AR492" s="186">
        <v>90903.24</v>
      </c>
      <c r="AS492" s="186">
        <v>71264.899999999994</v>
      </c>
      <c r="AT492" s="186">
        <v>60968.45</v>
      </c>
      <c r="AU492" s="186">
        <v>15055.25</v>
      </c>
      <c r="AV492" s="186">
        <v>2315.25</v>
      </c>
      <c r="AW492" s="186">
        <v>413789.15</v>
      </c>
      <c r="AX492" s="186">
        <v>227309.27</v>
      </c>
      <c r="AY492" s="186">
        <v>86372.25</v>
      </c>
      <c r="AZ492" s="186">
        <v>38404.57</v>
      </c>
      <c r="BA492" s="186">
        <v>3539.34</v>
      </c>
      <c r="BB492" s="186">
        <v>89703.15</v>
      </c>
      <c r="BC492" s="186">
        <v>20708.599999999999</v>
      </c>
      <c r="BD492" s="186">
        <v>20620.98</v>
      </c>
      <c r="BE492" s="186">
        <v>112844</v>
      </c>
      <c r="BF492" s="186">
        <v>185113.37</v>
      </c>
      <c r="BG492" s="186">
        <v>166054.37</v>
      </c>
      <c r="BH492" s="186">
        <v>3100</v>
      </c>
      <c r="BI492" s="186">
        <v>387929.81</v>
      </c>
      <c r="BJ492" s="186">
        <v>41400</v>
      </c>
      <c r="BK492" s="186">
        <v>74256</v>
      </c>
      <c r="BL492" s="186">
        <v>41900</v>
      </c>
      <c r="BM492" s="186">
        <v>0</v>
      </c>
      <c r="BN492" s="186">
        <v>25745</v>
      </c>
      <c r="BO492" s="186">
        <v>172505</v>
      </c>
      <c r="BP492" s="186">
        <v>76822.37</v>
      </c>
      <c r="BQ492" s="186">
        <v>9160</v>
      </c>
      <c r="BR492" s="186">
        <v>97202.5</v>
      </c>
      <c r="BS492" s="186">
        <v>9222.5</v>
      </c>
      <c r="BT492" s="186">
        <v>18535</v>
      </c>
      <c r="BU492" s="186">
        <v>346285</v>
      </c>
      <c r="BV492" s="186">
        <v>130676.2</v>
      </c>
      <c r="BW492" s="186">
        <v>23550.6</v>
      </c>
      <c r="BX492" s="186">
        <v>144000</v>
      </c>
      <c r="BY492" s="186">
        <v>25089.51</v>
      </c>
      <c r="BZ492" s="186">
        <v>21738</v>
      </c>
      <c r="CA492" s="186">
        <v>0</v>
      </c>
      <c r="CB492" s="186">
        <v>118581.8</v>
      </c>
      <c r="CC492" s="186">
        <v>1340</v>
      </c>
      <c r="CD492" s="186">
        <v>0</v>
      </c>
      <c r="CE492" s="186">
        <v>161261</v>
      </c>
      <c r="CF492" s="186">
        <v>64375.25</v>
      </c>
      <c r="CG492" s="186">
        <v>395140</v>
      </c>
      <c r="CH492" s="186">
        <v>64000</v>
      </c>
      <c r="CI492" s="186">
        <v>99999</v>
      </c>
      <c r="CJ492" s="186">
        <v>0</v>
      </c>
      <c r="CK492" s="186">
        <v>147963</v>
      </c>
      <c r="CL492" s="186">
        <v>0</v>
      </c>
      <c r="CM492" s="186">
        <v>82237.5</v>
      </c>
      <c r="CN492" s="186">
        <v>87947.03</v>
      </c>
      <c r="CO492" s="186">
        <v>8887.5</v>
      </c>
      <c r="CP492" s="186">
        <v>82377.75</v>
      </c>
      <c r="CQ492" s="186">
        <v>225</v>
      </c>
      <c r="CR492" s="186">
        <v>119106.5</v>
      </c>
      <c r="CS492" s="186">
        <v>0</v>
      </c>
      <c r="CT492" s="186">
        <v>0</v>
      </c>
      <c r="CU492" s="186">
        <v>505527.98</v>
      </c>
      <c r="CV492" s="430">
        <f t="shared" si="19"/>
        <v>1034272.26</v>
      </c>
    </row>
    <row r="493" spans="1:100">
      <c r="A493" s="463" t="s">
        <v>1340</v>
      </c>
      <c r="B493" s="56"/>
      <c r="C493" s="56"/>
      <c r="D493" s="430">
        <v>594331.44999999995</v>
      </c>
      <c r="E493" s="430">
        <v>739179.26</v>
      </c>
      <c r="F493" s="430">
        <v>639134.80000000005</v>
      </c>
      <c r="G493" s="430">
        <v>614238.48</v>
      </c>
      <c r="H493" s="430">
        <v>627353.81999999995</v>
      </c>
      <c r="I493" s="430">
        <v>577548.05000000005</v>
      </c>
      <c r="J493" s="430">
        <v>576009.07999999996</v>
      </c>
      <c r="K493" s="430">
        <v>590077.78</v>
      </c>
      <c r="L493" s="430">
        <v>598271.72</v>
      </c>
      <c r="M493" s="430">
        <v>576351.25</v>
      </c>
      <c r="N493" s="430">
        <v>576124.24</v>
      </c>
      <c r="O493" s="430">
        <v>828847.16</v>
      </c>
      <c r="P493" s="52">
        <v>608542</v>
      </c>
      <c r="Q493" s="52">
        <v>658167</v>
      </c>
      <c r="R493" s="52">
        <v>585543.88</v>
      </c>
      <c r="S493" s="52">
        <v>658162</v>
      </c>
      <c r="T493" s="52">
        <v>597727</v>
      </c>
      <c r="U493" s="52">
        <v>591017</v>
      </c>
      <c r="V493" s="52">
        <v>599717</v>
      </c>
      <c r="W493" s="52">
        <v>595818.88</v>
      </c>
      <c r="X493" s="52">
        <v>598542</v>
      </c>
      <c r="Y493" s="52">
        <v>588401.88</v>
      </c>
      <c r="Z493" s="52">
        <v>585137.12</v>
      </c>
      <c r="AA493" s="52">
        <v>862804</v>
      </c>
      <c r="AB493" s="52">
        <v>728546</v>
      </c>
      <c r="AC493" s="52">
        <v>607546</v>
      </c>
      <c r="AD493" s="52">
        <v>650613</v>
      </c>
      <c r="AE493" s="186">
        <v>596456</v>
      </c>
      <c r="AF493" s="186">
        <v>598221</v>
      </c>
      <c r="AG493" s="186">
        <v>602681</v>
      </c>
      <c r="AH493" s="186">
        <v>598396</v>
      </c>
      <c r="AI493" s="186">
        <v>599158.59</v>
      </c>
      <c r="AJ493" s="186">
        <v>601918.59</v>
      </c>
      <c r="AK493" s="186">
        <v>615486.07999999996</v>
      </c>
      <c r="AL493" s="186">
        <v>620121.12</v>
      </c>
      <c r="AM493" s="186">
        <v>1008190</v>
      </c>
      <c r="AN493" s="186">
        <v>614616.31999999995</v>
      </c>
      <c r="AO493" s="186">
        <v>599616.5</v>
      </c>
      <c r="AP493" s="186">
        <v>606680</v>
      </c>
      <c r="AQ493" s="186">
        <v>594930</v>
      </c>
      <c r="AR493" s="186">
        <v>597902.11</v>
      </c>
      <c r="AS493" s="186">
        <v>594436.9</v>
      </c>
      <c r="AT493" s="186">
        <v>611253.80000000005</v>
      </c>
      <c r="AU493" s="186">
        <v>599780</v>
      </c>
      <c r="AV493" s="186">
        <v>600157.32999999996</v>
      </c>
      <c r="AW493" s="186">
        <v>610919.98</v>
      </c>
      <c r="AX493" s="186">
        <v>600180</v>
      </c>
      <c r="AY493" s="186">
        <v>928475</v>
      </c>
      <c r="AZ493" s="186">
        <v>650444</v>
      </c>
      <c r="BA493" s="186">
        <v>617491</v>
      </c>
      <c r="BB493" s="186">
        <v>642042.61</v>
      </c>
      <c r="BC493" s="186">
        <v>605299</v>
      </c>
      <c r="BD493" s="186">
        <v>628151</v>
      </c>
      <c r="BE493" s="186">
        <v>670766</v>
      </c>
      <c r="BF493" s="186">
        <v>641579.19999999995</v>
      </c>
      <c r="BG493" s="186">
        <v>604712.43999999994</v>
      </c>
      <c r="BH493" s="186">
        <v>608344.25</v>
      </c>
      <c r="BI493" s="186">
        <v>621207.89</v>
      </c>
      <c r="BJ493" s="186">
        <v>616863.25</v>
      </c>
      <c r="BK493" s="186">
        <v>831952.8</v>
      </c>
      <c r="BL493" s="186">
        <v>670914</v>
      </c>
      <c r="BM493" s="186">
        <v>666709.06999999995</v>
      </c>
      <c r="BN493" s="186">
        <v>624495.54</v>
      </c>
      <c r="BO493" s="186">
        <v>669256.30000000005</v>
      </c>
      <c r="BP493" s="186">
        <v>642588.74</v>
      </c>
      <c r="BQ493" s="186">
        <v>680662.84</v>
      </c>
      <c r="BR493" s="186">
        <v>619447.06000000006</v>
      </c>
      <c r="BS493" s="186">
        <v>593526.98</v>
      </c>
      <c r="BT493" s="186">
        <v>622084.15</v>
      </c>
      <c r="BU493" s="186">
        <v>631293.67000000004</v>
      </c>
      <c r="BV493" s="186">
        <v>624973.9</v>
      </c>
      <c r="BW493" s="186">
        <v>909173.58</v>
      </c>
      <c r="BX493" s="186">
        <v>699024.81</v>
      </c>
      <c r="BY493" s="186">
        <v>696266.91</v>
      </c>
      <c r="BZ493" s="186">
        <v>632870.28</v>
      </c>
      <c r="CA493" s="186">
        <v>638078.12</v>
      </c>
      <c r="CB493" s="186">
        <v>671713.57</v>
      </c>
      <c r="CC493" s="186">
        <v>638748.32999999996</v>
      </c>
      <c r="CD493" s="186">
        <v>628385.73</v>
      </c>
      <c r="CE493" s="186">
        <v>653468</v>
      </c>
      <c r="CF493" s="186">
        <v>634423</v>
      </c>
      <c r="CG493" s="186">
        <v>634593</v>
      </c>
      <c r="CH493" s="186">
        <v>642968</v>
      </c>
      <c r="CI493" s="186">
        <v>914611.32</v>
      </c>
      <c r="CJ493" s="186">
        <v>610545</v>
      </c>
      <c r="CK493" s="186">
        <v>719735.5</v>
      </c>
      <c r="CL493" s="186">
        <v>654340</v>
      </c>
      <c r="CM493" s="186">
        <v>639220</v>
      </c>
      <c r="CN493" s="186">
        <v>612865.53</v>
      </c>
      <c r="CO493" s="186">
        <v>625602.28</v>
      </c>
      <c r="CP493" s="186">
        <v>613145</v>
      </c>
      <c r="CQ493" s="186">
        <v>635090.32999999996</v>
      </c>
      <c r="CR493" s="186">
        <v>622933.43999999994</v>
      </c>
      <c r="CS493" s="186">
        <v>648625.9</v>
      </c>
      <c r="CT493" s="186">
        <v>618784.1</v>
      </c>
      <c r="CU493" s="186">
        <v>834856</v>
      </c>
      <c r="CV493" s="430">
        <f t="shared" si="19"/>
        <v>7835743.0800000001</v>
      </c>
    </row>
    <row r="494" spans="1:100">
      <c r="A494" s="463" t="s">
        <v>1341</v>
      </c>
      <c r="B494" s="56"/>
      <c r="C494" s="56"/>
      <c r="D494" s="430">
        <v>12442.85</v>
      </c>
      <c r="E494" s="430">
        <v>174607.88</v>
      </c>
      <c r="F494" s="430">
        <v>81786.75</v>
      </c>
      <c r="G494" s="430">
        <v>8810.24</v>
      </c>
      <c r="H494" s="430">
        <v>-15077.94</v>
      </c>
      <c r="I494" s="430">
        <v>212639.98</v>
      </c>
      <c r="J494" s="430">
        <v>-100753.54</v>
      </c>
      <c r="K494" s="430">
        <v>16021.71</v>
      </c>
      <c r="L494" s="430">
        <v>128879.82</v>
      </c>
      <c r="M494" s="430">
        <v>27948.02</v>
      </c>
      <c r="N494" s="430">
        <v>-80519.05</v>
      </c>
      <c r="O494" s="430">
        <v>12906.13</v>
      </c>
      <c r="P494" s="52">
        <v>12065.53</v>
      </c>
      <c r="Q494" s="52">
        <v>49448.35</v>
      </c>
      <c r="R494" s="52">
        <v>9687.1200000000008</v>
      </c>
      <c r="S494" s="52">
        <v>10063.209999999999</v>
      </c>
      <c r="T494" s="52">
        <v>19702.2</v>
      </c>
      <c r="U494" s="52">
        <v>31988.28</v>
      </c>
      <c r="V494" s="52">
        <v>91955.01</v>
      </c>
      <c r="W494" s="52">
        <v>4174.67</v>
      </c>
      <c r="X494" s="52">
        <v>119643.55</v>
      </c>
      <c r="Y494" s="52">
        <v>81876.41</v>
      </c>
      <c r="Z494" s="52">
        <v>13142.64</v>
      </c>
      <c r="AA494" s="52">
        <v>7573.13</v>
      </c>
      <c r="AB494" s="52">
        <v>3893.49</v>
      </c>
      <c r="AC494" s="52">
        <v>7924.68</v>
      </c>
      <c r="AD494" s="52">
        <v>2728.16</v>
      </c>
      <c r="AE494" s="186">
        <v>53780.14</v>
      </c>
      <c r="AF494" s="186">
        <v>3441.98</v>
      </c>
      <c r="AG494" s="186">
        <v>11919.16</v>
      </c>
      <c r="AH494" s="186">
        <v>9907.2900000000009</v>
      </c>
      <c r="AI494" s="186">
        <v>122310.73</v>
      </c>
      <c r="AJ494" s="186">
        <v>9303.27</v>
      </c>
      <c r="AK494" s="186">
        <v>454.11</v>
      </c>
      <c r="AL494" s="186">
        <v>35838.97</v>
      </c>
      <c r="AM494" s="186">
        <v>7914.76</v>
      </c>
      <c r="AN494" s="186">
        <v>6933.95</v>
      </c>
      <c r="AO494" s="186">
        <v>2893.44</v>
      </c>
      <c r="AP494" s="186">
        <v>2824.17</v>
      </c>
      <c r="AQ494" s="186">
        <v>9628.8799999999992</v>
      </c>
      <c r="AR494" s="186">
        <v>34812.6</v>
      </c>
      <c r="AS494" s="186">
        <v>954.37</v>
      </c>
      <c r="AT494" s="186">
        <v>2236.3000000000002</v>
      </c>
      <c r="AU494" s="186">
        <v>853.4</v>
      </c>
      <c r="AV494" s="186">
        <v>3680.24</v>
      </c>
      <c r="AW494" s="186">
        <v>53333.919999999998</v>
      </c>
      <c r="AX494" s="186">
        <v>6732</v>
      </c>
      <c r="AY494" s="186">
        <v>11203.38</v>
      </c>
      <c r="AZ494" s="186">
        <v>6994.68</v>
      </c>
      <c r="BA494" s="186">
        <v>16441.86</v>
      </c>
      <c r="BB494" s="186">
        <v>12338.16</v>
      </c>
      <c r="BC494" s="186">
        <v>11802.19</v>
      </c>
      <c r="BD494" s="186">
        <v>5186.45</v>
      </c>
      <c r="BE494" s="186">
        <v>14033.8</v>
      </c>
      <c r="BF494" s="186">
        <v>34868.31</v>
      </c>
      <c r="BG494" s="186">
        <v>40153.870000000003</v>
      </c>
      <c r="BH494" s="186">
        <v>1544.85</v>
      </c>
      <c r="BI494" s="186">
        <v>85427.54</v>
      </c>
      <c r="BJ494" s="186">
        <v>4277.55</v>
      </c>
      <c r="BK494" s="186">
        <v>58225.35</v>
      </c>
      <c r="BL494" s="186">
        <v>106902.33</v>
      </c>
      <c r="BM494" s="186">
        <v>1269.7</v>
      </c>
      <c r="BN494" s="186">
        <v>98.45</v>
      </c>
      <c r="BO494" s="186">
        <v>43793.62</v>
      </c>
      <c r="BP494" s="186">
        <v>23496.26</v>
      </c>
      <c r="BQ494" s="186">
        <v>17213.84</v>
      </c>
      <c r="BR494" s="186">
        <v>18009.009999999998</v>
      </c>
      <c r="BS494" s="186">
        <v>4101.93</v>
      </c>
      <c r="BT494" s="186">
        <v>6361.54</v>
      </c>
      <c r="BU494" s="186">
        <v>35155.269999999997</v>
      </c>
      <c r="BV494" s="186">
        <v>23118.73</v>
      </c>
      <c r="BW494" s="186">
        <v>110584.9</v>
      </c>
      <c r="BX494" s="186">
        <v>9277.1299999999992</v>
      </c>
      <c r="BY494" s="186">
        <v>13165.02</v>
      </c>
      <c r="BZ494" s="186">
        <v>24370.38</v>
      </c>
      <c r="CA494" s="186">
        <v>9991.09</v>
      </c>
      <c r="CB494" s="186">
        <v>48436.26</v>
      </c>
      <c r="CC494" s="186">
        <v>3139.06</v>
      </c>
      <c r="CD494" s="186">
        <v>65942.929999999993</v>
      </c>
      <c r="CE494" s="186">
        <v>27408.5</v>
      </c>
      <c r="CF494" s="186">
        <v>90380.9</v>
      </c>
      <c r="CG494" s="186">
        <v>112477.75999999999</v>
      </c>
      <c r="CH494" s="186">
        <v>146955.43</v>
      </c>
      <c r="CI494" s="186">
        <v>83072.44</v>
      </c>
      <c r="CJ494" s="186">
        <v>3782.12</v>
      </c>
      <c r="CK494" s="186">
        <v>52020.12</v>
      </c>
      <c r="CL494" s="186">
        <v>125905.44</v>
      </c>
      <c r="CM494" s="186">
        <v>62491.06</v>
      </c>
      <c r="CN494" s="186">
        <v>68958.42</v>
      </c>
      <c r="CO494" s="186">
        <v>141528.73000000001</v>
      </c>
      <c r="CP494" s="186">
        <v>5260.29</v>
      </c>
      <c r="CQ494" s="186">
        <v>39060.76</v>
      </c>
      <c r="CR494" s="186">
        <v>46650.48</v>
      </c>
      <c r="CS494" s="186">
        <v>25227.43</v>
      </c>
      <c r="CT494" s="186">
        <v>142323.79</v>
      </c>
      <c r="CU494" s="186">
        <v>140501.51</v>
      </c>
      <c r="CV494" s="430">
        <f t="shared" si="19"/>
        <v>853710.15000000014</v>
      </c>
    </row>
    <row r="495" spans="1:100">
      <c r="A495" s="463" t="s">
        <v>1342</v>
      </c>
      <c r="B495" s="56"/>
      <c r="C495" s="56"/>
      <c r="D495" s="430">
        <v>0</v>
      </c>
      <c r="E495" s="430">
        <v>500</v>
      </c>
      <c r="F495" s="430">
        <v>250</v>
      </c>
      <c r="G495" s="430">
        <v>0</v>
      </c>
      <c r="H495" s="430">
        <v>250</v>
      </c>
      <c r="I495" s="430">
        <v>250</v>
      </c>
      <c r="J495" s="430">
        <v>0</v>
      </c>
      <c r="K495" s="430">
        <v>11100</v>
      </c>
      <c r="L495" s="430">
        <v>0</v>
      </c>
      <c r="M495" s="430">
        <v>0</v>
      </c>
      <c r="N495" s="430">
        <v>36148</v>
      </c>
      <c r="O495" s="430">
        <v>28611.1</v>
      </c>
      <c r="P495" s="52">
        <v>17506.599999999999</v>
      </c>
      <c r="Q495" s="52">
        <v>9550</v>
      </c>
      <c r="R495" s="52">
        <v>15377.12</v>
      </c>
      <c r="S495" s="52">
        <v>0</v>
      </c>
      <c r="T495" s="52">
        <v>2443.85</v>
      </c>
      <c r="U495" s="52">
        <v>19126.5</v>
      </c>
      <c r="V495" s="52">
        <v>34095.980000000003</v>
      </c>
      <c r="W495" s="52">
        <v>11425.8</v>
      </c>
      <c r="X495" s="52">
        <v>19658.14</v>
      </c>
      <c r="Y495" s="52">
        <v>-8135.29</v>
      </c>
      <c r="Z495" s="52">
        <v>12650</v>
      </c>
      <c r="AA495" s="52">
        <v>0</v>
      </c>
      <c r="AB495" s="52">
        <v>0</v>
      </c>
      <c r="AC495" s="52">
        <v>22025</v>
      </c>
      <c r="AD495" s="52">
        <v>0</v>
      </c>
      <c r="AE495" s="186">
        <v>0</v>
      </c>
      <c r="AF495" s="186">
        <v>10575</v>
      </c>
      <c r="AG495" s="186">
        <v>0</v>
      </c>
      <c r="AH495" s="186">
        <v>14400</v>
      </c>
      <c r="AI495" s="186">
        <v>0</v>
      </c>
      <c r="AJ495" s="186">
        <v>0</v>
      </c>
      <c r="AK495" s="186">
        <v>16075</v>
      </c>
      <c r="AL495" s="186">
        <v>0</v>
      </c>
      <c r="AM495" s="186">
        <v>0</v>
      </c>
      <c r="AN495" s="186">
        <v>0</v>
      </c>
      <c r="AO495" s="186">
        <v>12675</v>
      </c>
      <c r="AP495" s="186">
        <v>0</v>
      </c>
      <c r="AQ495" s="186">
        <v>0</v>
      </c>
      <c r="AR495" s="186">
        <v>3525</v>
      </c>
      <c r="AS495" s="186">
        <v>0</v>
      </c>
      <c r="AT495" s="186">
        <v>0</v>
      </c>
      <c r="AU495" s="186">
        <v>16575</v>
      </c>
      <c r="AV495" s="186">
        <v>0</v>
      </c>
      <c r="AW495" s="186">
        <v>0</v>
      </c>
      <c r="AX495" s="186">
        <v>2175</v>
      </c>
      <c r="AY495" s="186">
        <v>0</v>
      </c>
      <c r="AZ495" s="186">
        <v>16975</v>
      </c>
      <c r="BA495" s="186">
        <v>0</v>
      </c>
      <c r="BB495" s="186">
        <v>0</v>
      </c>
      <c r="BC495" s="186">
        <v>0</v>
      </c>
      <c r="BD495" s="186">
        <v>2725</v>
      </c>
      <c r="BE495" s="186">
        <v>0</v>
      </c>
      <c r="BF495" s="186">
        <v>19875</v>
      </c>
      <c r="BG495" s="186">
        <v>0</v>
      </c>
      <c r="BH495" s="186">
        <v>0</v>
      </c>
      <c r="BI495" s="186">
        <v>0</v>
      </c>
      <c r="BJ495" s="186">
        <v>12450</v>
      </c>
      <c r="BK495" s="186">
        <v>0</v>
      </c>
      <c r="BL495" s="186">
        <v>0</v>
      </c>
      <c r="BM495" s="186">
        <v>17725</v>
      </c>
      <c r="BN495" s="186">
        <v>0</v>
      </c>
      <c r="BO495" s="186">
        <v>0</v>
      </c>
      <c r="BP495" s="186">
        <v>8500</v>
      </c>
      <c r="BQ495" s="186">
        <v>0</v>
      </c>
      <c r="BR495" s="186">
        <v>0</v>
      </c>
      <c r="BS495" s="186">
        <v>0</v>
      </c>
      <c r="BT495" s="186">
        <v>0</v>
      </c>
      <c r="BU495" s="186">
        <v>0</v>
      </c>
      <c r="BV495" s="186">
        <v>29200</v>
      </c>
      <c r="BW495" s="186">
        <v>0</v>
      </c>
      <c r="BX495" s="186">
        <v>0</v>
      </c>
      <c r="BY495" s="186">
        <v>0</v>
      </c>
      <c r="BZ495" s="186">
        <v>0</v>
      </c>
      <c r="CA495" s="186">
        <v>0</v>
      </c>
      <c r="CB495" s="186">
        <v>27600</v>
      </c>
      <c r="CC495" s="186">
        <v>0</v>
      </c>
      <c r="CD495" s="186">
        <v>0</v>
      </c>
      <c r="CE495" s="186">
        <v>0</v>
      </c>
      <c r="CF495" s="186">
        <v>0</v>
      </c>
      <c r="CG495" s="186">
        <v>11100</v>
      </c>
      <c r="CH495" s="186">
        <v>0</v>
      </c>
      <c r="CI495" s="186">
        <v>10300</v>
      </c>
      <c r="CJ495" s="186">
        <v>0</v>
      </c>
      <c r="CK495" s="186">
        <v>0</v>
      </c>
      <c r="CL495" s="186">
        <v>0</v>
      </c>
      <c r="CM495" s="186">
        <v>20600</v>
      </c>
      <c r="CN495" s="186">
        <v>-20600</v>
      </c>
      <c r="CO495" s="186">
        <v>22500</v>
      </c>
      <c r="CP495" s="186">
        <v>0</v>
      </c>
      <c r="CQ495" s="186">
        <v>0</v>
      </c>
      <c r="CR495" s="186">
        <v>0</v>
      </c>
      <c r="CS495" s="186">
        <v>0</v>
      </c>
      <c r="CT495" s="186">
        <v>28675</v>
      </c>
      <c r="CU495" s="186">
        <v>0</v>
      </c>
      <c r="CV495" s="430">
        <f t="shared" si="19"/>
        <v>51175</v>
      </c>
    </row>
    <row r="496" spans="1:100">
      <c r="A496" s="463" t="s">
        <v>1343</v>
      </c>
      <c r="B496" s="56"/>
      <c r="C496" s="56"/>
      <c r="D496" s="430">
        <v>709827.98</v>
      </c>
      <c r="E496" s="430">
        <v>587596.49</v>
      </c>
      <c r="F496" s="430">
        <v>676997.6</v>
      </c>
      <c r="G496" s="430">
        <v>623103.31000000006</v>
      </c>
      <c r="H496" s="430">
        <v>680378.18</v>
      </c>
      <c r="I496" s="430">
        <v>653372.32999999996</v>
      </c>
      <c r="J496" s="430">
        <v>498664.24</v>
      </c>
      <c r="K496" s="430">
        <v>649425.64</v>
      </c>
      <c r="L496" s="430">
        <v>1419319.4</v>
      </c>
      <c r="M496" s="430">
        <v>646800.56000000006</v>
      </c>
      <c r="N496" s="430">
        <v>611600.29</v>
      </c>
      <c r="O496" s="430">
        <v>901810.84</v>
      </c>
      <c r="P496" s="52">
        <v>587250.09</v>
      </c>
      <c r="Q496" s="52">
        <v>308662.74</v>
      </c>
      <c r="R496" s="52">
        <v>1341619.1499999999</v>
      </c>
      <c r="S496" s="52">
        <v>735230.97</v>
      </c>
      <c r="T496" s="52">
        <v>432954.83</v>
      </c>
      <c r="U496" s="52">
        <v>696952.61</v>
      </c>
      <c r="V496" s="52">
        <v>485290.46</v>
      </c>
      <c r="W496" s="52">
        <v>592515.18999999994</v>
      </c>
      <c r="X496" s="52">
        <v>399157.01</v>
      </c>
      <c r="Y496" s="52">
        <v>574030.91</v>
      </c>
      <c r="Z496" s="52">
        <v>976613.53</v>
      </c>
      <c r="AA496" s="52">
        <v>-297100.78999999998</v>
      </c>
      <c r="AB496" s="52">
        <v>631762.57999999996</v>
      </c>
      <c r="AC496" s="52">
        <v>656898.16</v>
      </c>
      <c r="AD496" s="52">
        <v>653428.94999999995</v>
      </c>
      <c r="AE496" s="186">
        <v>640525.73</v>
      </c>
      <c r="AF496" s="186">
        <v>676655.17</v>
      </c>
      <c r="AG496" s="186">
        <v>667428.43999999994</v>
      </c>
      <c r="AH496" s="186">
        <v>934298.38</v>
      </c>
      <c r="AI496" s="186">
        <v>1518779.04</v>
      </c>
      <c r="AJ496" s="186">
        <v>774625.04</v>
      </c>
      <c r="AK496" s="186">
        <v>688256.28</v>
      </c>
      <c r="AL496" s="186">
        <v>86996.88</v>
      </c>
      <c r="AM496" s="186">
        <v>749314.46</v>
      </c>
      <c r="AN496" s="186">
        <v>760895.8</v>
      </c>
      <c r="AO496" s="186">
        <v>857574.56</v>
      </c>
      <c r="AP496" s="186">
        <v>883229.59</v>
      </c>
      <c r="AQ496" s="186">
        <v>700022.15</v>
      </c>
      <c r="AR496" s="186">
        <v>697333.38</v>
      </c>
      <c r="AS496" s="186">
        <v>794815.34</v>
      </c>
      <c r="AT496" s="186">
        <v>750026.93</v>
      </c>
      <c r="AU496" s="186">
        <v>737068.59</v>
      </c>
      <c r="AV496" s="186">
        <v>808648.29</v>
      </c>
      <c r="AW496" s="186">
        <v>550594.72</v>
      </c>
      <c r="AX496" s="186">
        <v>747251.16</v>
      </c>
      <c r="AY496" s="186">
        <v>1025566.84</v>
      </c>
      <c r="AZ496" s="186">
        <v>908688.69</v>
      </c>
      <c r="BA496" s="186">
        <v>1490509.19</v>
      </c>
      <c r="BB496" s="186">
        <v>864089.22</v>
      </c>
      <c r="BC496" s="186">
        <v>844326.67</v>
      </c>
      <c r="BD496" s="186">
        <v>897234.63</v>
      </c>
      <c r="BE496" s="186">
        <v>830461.21</v>
      </c>
      <c r="BF496" s="186">
        <v>1013182.59</v>
      </c>
      <c r="BG496" s="186">
        <v>1283278.8500000001</v>
      </c>
      <c r="BH496" s="186">
        <v>952882.8</v>
      </c>
      <c r="BI496" s="186">
        <v>972327.84</v>
      </c>
      <c r="BJ496" s="186">
        <v>948368.73</v>
      </c>
      <c r="BK496" s="186">
        <v>970596.8</v>
      </c>
      <c r="BL496" s="186">
        <v>995053.96</v>
      </c>
      <c r="BM496" s="186">
        <v>910602.55</v>
      </c>
      <c r="BN496" s="186">
        <v>805516.37</v>
      </c>
      <c r="BO496" s="186">
        <v>807815.54</v>
      </c>
      <c r="BP496" s="186">
        <v>816530.53</v>
      </c>
      <c r="BQ496" s="186">
        <v>693289.06</v>
      </c>
      <c r="BR496" s="186">
        <v>874839.19</v>
      </c>
      <c r="BS496" s="186">
        <v>779159.06</v>
      </c>
      <c r="BT496" s="186">
        <v>954094.15</v>
      </c>
      <c r="BU496" s="186">
        <v>884054.91</v>
      </c>
      <c r="BV496" s="186">
        <v>1554637.35</v>
      </c>
      <c r="BW496" s="186">
        <v>894578.45</v>
      </c>
      <c r="BX496" s="186">
        <v>1058130.33</v>
      </c>
      <c r="BY496" s="186">
        <v>1072058.8400000001</v>
      </c>
      <c r="BZ496" s="186">
        <v>935010</v>
      </c>
      <c r="CA496" s="186">
        <v>1070392.73</v>
      </c>
      <c r="CB496" s="186">
        <v>995156.34</v>
      </c>
      <c r="CC496" s="186">
        <v>849296.17</v>
      </c>
      <c r="CD496" s="186">
        <v>1066255.27</v>
      </c>
      <c r="CE496" s="186">
        <v>986242.23</v>
      </c>
      <c r="CF496" s="186">
        <v>1328803.05</v>
      </c>
      <c r="CG496" s="186">
        <v>1039234.11</v>
      </c>
      <c r="CH496" s="186">
        <v>959681.67</v>
      </c>
      <c r="CI496" s="186">
        <v>1328159.71</v>
      </c>
      <c r="CJ496" s="186">
        <v>1004572.71</v>
      </c>
      <c r="CK496" s="186">
        <v>977357.03</v>
      </c>
      <c r="CL496" s="186">
        <v>1042807.17</v>
      </c>
      <c r="CM496" s="186">
        <v>915360.12</v>
      </c>
      <c r="CN496" s="186">
        <v>895661.58</v>
      </c>
      <c r="CO496" s="186">
        <v>979919.17</v>
      </c>
      <c r="CP496" s="186">
        <v>1017848.3199999999</v>
      </c>
      <c r="CQ496" s="186">
        <v>1023401.95</v>
      </c>
      <c r="CR496" s="186">
        <v>1066319.74</v>
      </c>
      <c r="CS496" s="186">
        <v>1640563.46</v>
      </c>
      <c r="CT496" s="186">
        <v>998250.5</v>
      </c>
      <c r="CU496" s="186">
        <v>2402127.38</v>
      </c>
      <c r="CV496" s="430">
        <f t="shared" si="19"/>
        <v>13964189.129999999</v>
      </c>
    </row>
    <row r="497" spans="1:100">
      <c r="A497" s="463" t="s">
        <v>1344</v>
      </c>
      <c r="B497" s="56"/>
      <c r="C497" s="56"/>
      <c r="D497" s="430">
        <v>363875.85</v>
      </c>
      <c r="E497" s="430">
        <v>603826.52</v>
      </c>
      <c r="F497" s="430">
        <v>427425.74</v>
      </c>
      <c r="G497" s="430">
        <v>418349.83</v>
      </c>
      <c r="H497" s="430">
        <v>517789.19</v>
      </c>
      <c r="I497" s="430">
        <v>395474.12</v>
      </c>
      <c r="J497" s="430">
        <v>468162.52</v>
      </c>
      <c r="K497" s="430">
        <v>385028.4</v>
      </c>
      <c r="L497" s="430">
        <v>418928.27</v>
      </c>
      <c r="M497" s="430">
        <v>438556.66</v>
      </c>
      <c r="N497" s="430">
        <v>684302.98</v>
      </c>
      <c r="O497" s="430">
        <v>217500.46</v>
      </c>
      <c r="P497" s="52">
        <v>203507.23</v>
      </c>
      <c r="Q497" s="52">
        <v>203762.69</v>
      </c>
      <c r="R497" s="52">
        <v>280010.93</v>
      </c>
      <c r="S497" s="52">
        <v>308111.83</v>
      </c>
      <c r="T497" s="52">
        <v>256234.02</v>
      </c>
      <c r="U497" s="52">
        <v>291099.84999999998</v>
      </c>
      <c r="V497" s="52">
        <v>298615.61</v>
      </c>
      <c r="W497" s="52">
        <v>229026.97</v>
      </c>
      <c r="X497" s="52">
        <v>302738.45</v>
      </c>
      <c r="Y497" s="52">
        <v>327872.05</v>
      </c>
      <c r="Z497" s="52">
        <v>250611.8</v>
      </c>
      <c r="AA497" s="52">
        <v>376473.65</v>
      </c>
      <c r="AB497" s="52">
        <v>220904.92</v>
      </c>
      <c r="AC497" s="52">
        <v>282608.25</v>
      </c>
      <c r="AD497" s="52">
        <v>286593.46999999997</v>
      </c>
      <c r="AE497" s="186">
        <v>306747.11</v>
      </c>
      <c r="AF497" s="186">
        <v>263956.84999999998</v>
      </c>
      <c r="AG497" s="186">
        <v>731422.23</v>
      </c>
      <c r="AH497" s="186">
        <v>153401.91</v>
      </c>
      <c r="AI497" s="186">
        <v>257145.29</v>
      </c>
      <c r="AJ497" s="186">
        <v>291669.49</v>
      </c>
      <c r="AK497" s="186">
        <v>255536.96</v>
      </c>
      <c r="AL497" s="186">
        <v>333344.98</v>
      </c>
      <c r="AM497" s="186">
        <v>250327.56</v>
      </c>
      <c r="AN497" s="186">
        <v>209057.28</v>
      </c>
      <c r="AO497" s="186">
        <v>268049.59000000003</v>
      </c>
      <c r="AP497" s="186">
        <v>262533.75</v>
      </c>
      <c r="AQ497" s="186">
        <v>237740.05</v>
      </c>
      <c r="AR497" s="186">
        <v>258066.99</v>
      </c>
      <c r="AS497" s="186">
        <v>271435.05</v>
      </c>
      <c r="AT497" s="186">
        <v>266938.18</v>
      </c>
      <c r="AU497" s="186">
        <v>227603.78</v>
      </c>
      <c r="AV497" s="186">
        <v>245699.71</v>
      </c>
      <c r="AW497" s="186">
        <v>194365.76</v>
      </c>
      <c r="AX497" s="186">
        <v>234204.99</v>
      </c>
      <c r="AY497" s="186">
        <v>272833.43</v>
      </c>
      <c r="AZ497" s="186">
        <v>224016.05</v>
      </c>
      <c r="BA497" s="186">
        <v>219951.77</v>
      </c>
      <c r="BB497" s="186">
        <v>530410.19999999995</v>
      </c>
      <c r="BC497" s="186">
        <v>360142.33</v>
      </c>
      <c r="BD497" s="186">
        <v>336121.87</v>
      </c>
      <c r="BE497" s="186">
        <v>317413.67</v>
      </c>
      <c r="BF497" s="186">
        <v>316757.96999999997</v>
      </c>
      <c r="BG497" s="186">
        <v>291881.81</v>
      </c>
      <c r="BH497" s="186">
        <v>351613.49</v>
      </c>
      <c r="BI497" s="186">
        <v>297442.55</v>
      </c>
      <c r="BJ497" s="186">
        <v>245504.16</v>
      </c>
      <c r="BK497" s="186">
        <v>345561.36</v>
      </c>
      <c r="BL497" s="186">
        <v>230705.48</v>
      </c>
      <c r="BM497" s="186">
        <v>246616.22</v>
      </c>
      <c r="BN497" s="186">
        <v>308916.02</v>
      </c>
      <c r="BO497" s="186">
        <v>264092.74</v>
      </c>
      <c r="BP497" s="186">
        <v>272126.78000000003</v>
      </c>
      <c r="BQ497" s="186">
        <v>293846.84000000003</v>
      </c>
      <c r="BR497" s="186">
        <v>306117.46000000002</v>
      </c>
      <c r="BS497" s="186">
        <v>116371.23</v>
      </c>
      <c r="BT497" s="186">
        <v>271880.71000000002</v>
      </c>
      <c r="BU497" s="186">
        <v>458934.79</v>
      </c>
      <c r="BV497" s="186">
        <v>260146.44</v>
      </c>
      <c r="BW497" s="186">
        <v>290903.67</v>
      </c>
      <c r="BX497" s="186">
        <v>216415.28</v>
      </c>
      <c r="BY497" s="186">
        <v>289037.84999999998</v>
      </c>
      <c r="BZ497" s="186">
        <v>284644.52</v>
      </c>
      <c r="CA497" s="186">
        <v>245920.34</v>
      </c>
      <c r="CB497" s="186">
        <v>205111.33</v>
      </c>
      <c r="CC497" s="186">
        <v>252122.44</v>
      </c>
      <c r="CD497" s="186">
        <v>232946.9</v>
      </c>
      <c r="CE497" s="186">
        <v>216202.83</v>
      </c>
      <c r="CF497" s="186">
        <v>264171.5</v>
      </c>
      <c r="CG497" s="186">
        <v>227711.32</v>
      </c>
      <c r="CH497" s="186">
        <v>190636.9</v>
      </c>
      <c r="CI497" s="186">
        <v>316571.55</v>
      </c>
      <c r="CJ497" s="186">
        <v>199224.66</v>
      </c>
      <c r="CK497" s="186">
        <v>259472.02</v>
      </c>
      <c r="CL497" s="186">
        <v>274165.56</v>
      </c>
      <c r="CM497" s="186">
        <v>267380.99</v>
      </c>
      <c r="CN497" s="186">
        <v>223369.9</v>
      </c>
      <c r="CO497" s="186">
        <v>258321.9</v>
      </c>
      <c r="CP497" s="186">
        <v>281977.74</v>
      </c>
      <c r="CQ497" s="186">
        <v>255550.72</v>
      </c>
      <c r="CR497" s="186">
        <v>297271.09999999998</v>
      </c>
      <c r="CS497" s="186">
        <v>270208.21999999997</v>
      </c>
      <c r="CT497" s="186">
        <v>292682.68</v>
      </c>
      <c r="CU497" s="186">
        <v>406871.32</v>
      </c>
      <c r="CV497" s="430">
        <f t="shared" si="19"/>
        <v>3286496.8099999996</v>
      </c>
    </row>
    <row r="498" spans="1:100">
      <c r="A498" s="463" t="s">
        <v>1345</v>
      </c>
      <c r="B498" s="56"/>
      <c r="C498" s="56"/>
      <c r="D498" s="430">
        <v>-321333</v>
      </c>
      <c r="E498" s="430">
        <v>-321333</v>
      </c>
      <c r="F498" s="430">
        <v>-321333</v>
      </c>
      <c r="G498" s="430">
        <v>-321333</v>
      </c>
      <c r="H498" s="430">
        <v>-321333</v>
      </c>
      <c r="I498" s="430">
        <v>-321333</v>
      </c>
      <c r="J498" s="430">
        <v>-321333</v>
      </c>
      <c r="K498" s="430">
        <v>-321333</v>
      </c>
      <c r="L498" s="430">
        <v>-321333</v>
      </c>
      <c r="M498" s="430">
        <v>-321333</v>
      </c>
      <c r="N498" s="430">
        <v>-321333</v>
      </c>
      <c r="O498" s="430">
        <v>-321333</v>
      </c>
      <c r="P498" s="52">
        <v>-283333</v>
      </c>
      <c r="Q498" s="52">
        <v>-283333</v>
      </c>
      <c r="R498" s="52">
        <v>-283333</v>
      </c>
      <c r="S498" s="52">
        <v>-283333</v>
      </c>
      <c r="T498" s="52">
        <v>-283333</v>
      </c>
      <c r="U498" s="52">
        <v>-283333</v>
      </c>
      <c r="V498" s="52">
        <v>-283333</v>
      </c>
      <c r="W498" s="52">
        <v>-283333</v>
      </c>
      <c r="X498" s="52">
        <v>-283333</v>
      </c>
      <c r="Y498" s="52">
        <v>-283333</v>
      </c>
      <c r="Z498" s="52">
        <v>-283333</v>
      </c>
      <c r="AA498" s="52">
        <v>-283333</v>
      </c>
      <c r="AB498" s="52">
        <v>-283333</v>
      </c>
      <c r="AC498" s="52">
        <v>-283333</v>
      </c>
      <c r="AD498" s="52">
        <v>-283333</v>
      </c>
      <c r="AE498" s="186">
        <v>-283333</v>
      </c>
      <c r="AF498" s="186">
        <v>-283333</v>
      </c>
      <c r="AG498" s="186">
        <v>-283333</v>
      </c>
      <c r="AH498" s="186">
        <v>-283333</v>
      </c>
      <c r="AI498" s="186">
        <v>-283333</v>
      </c>
      <c r="AJ498" s="186">
        <v>-283333</v>
      </c>
      <c r="AK498" s="186">
        <v>-283333</v>
      </c>
      <c r="AL498" s="186">
        <v>-283333</v>
      </c>
      <c r="AM498" s="186">
        <v>-283333</v>
      </c>
      <c r="AN498" s="186">
        <v>-283333</v>
      </c>
      <c r="AO498" s="186">
        <v>-283333</v>
      </c>
      <c r="AP498" s="186">
        <v>-283333</v>
      </c>
      <c r="AQ498" s="186">
        <v>-283333</v>
      </c>
      <c r="AR498" s="186">
        <v>-283333</v>
      </c>
      <c r="AS498" s="186">
        <v>-283333</v>
      </c>
      <c r="AT498" s="186">
        <v>-500000</v>
      </c>
      <c r="AU498" s="186">
        <v>-500000</v>
      </c>
      <c r="AV498" s="186">
        <v>-500000</v>
      </c>
      <c r="AW498" s="186">
        <v>-500000</v>
      </c>
      <c r="AX498" s="186">
        <v>-500000</v>
      </c>
      <c r="AY498" s="186">
        <v>-500000</v>
      </c>
      <c r="AZ498" s="186">
        <v>-500000</v>
      </c>
      <c r="BA498" s="186">
        <v>-500000</v>
      </c>
      <c r="BB498" s="186">
        <v>-500000</v>
      </c>
      <c r="BC498" s="186">
        <v>-500000</v>
      </c>
      <c r="BD498" s="186">
        <v>-500000</v>
      </c>
      <c r="BE498" s="186">
        <v>-500000</v>
      </c>
      <c r="BF498" s="186">
        <v>-500000</v>
      </c>
      <c r="BG498" s="186">
        <v>-500000</v>
      </c>
      <c r="BH498" s="186">
        <v>-500000</v>
      </c>
      <c r="BI498" s="186">
        <v>-500000</v>
      </c>
      <c r="BJ498" s="186">
        <v>-500000</v>
      </c>
      <c r="BK498" s="186">
        <v>-500000</v>
      </c>
      <c r="BL498" s="186">
        <v>-500000</v>
      </c>
      <c r="BM498" s="186">
        <v>-500000</v>
      </c>
      <c r="BN498" s="186">
        <v>-1000000</v>
      </c>
      <c r="BO498" s="186">
        <v>-666666.67000000004</v>
      </c>
      <c r="BP498" s="186">
        <v>-666666.67000000004</v>
      </c>
      <c r="BQ498" s="186">
        <v>-666666.67000000004</v>
      </c>
      <c r="BR498" s="186">
        <v>-666666.67000000004</v>
      </c>
      <c r="BS498" s="186">
        <v>-666666.67000000004</v>
      </c>
      <c r="BT498" s="186">
        <v>-666666.67000000004</v>
      </c>
      <c r="BU498" s="186">
        <v>-666666.67000000004</v>
      </c>
      <c r="BV498" s="186">
        <v>-666666.67000000004</v>
      </c>
      <c r="BW498" s="186">
        <v>-1047666.63</v>
      </c>
      <c r="BX498" s="186">
        <v>-715750</v>
      </c>
      <c r="BY498" s="186">
        <v>-715750</v>
      </c>
      <c r="BZ498" s="186">
        <v>-715750</v>
      </c>
      <c r="CA498" s="186">
        <v>-715750</v>
      </c>
      <c r="CB498" s="186">
        <v>-715750</v>
      </c>
      <c r="CC498" s="186">
        <v>-715750</v>
      </c>
      <c r="CD498" s="186">
        <v>-715750</v>
      </c>
      <c r="CE498" s="186">
        <v>-715750</v>
      </c>
      <c r="CF498" s="186">
        <v>-715750</v>
      </c>
      <c r="CG498" s="186">
        <v>-715750</v>
      </c>
      <c r="CH498" s="186">
        <v>-715750</v>
      </c>
      <c r="CI498" s="186">
        <v>-715749.96</v>
      </c>
      <c r="CJ498" s="186">
        <v>-716829.63</v>
      </c>
      <c r="CK498" s="186">
        <v>-716829.63</v>
      </c>
      <c r="CL498" s="186">
        <v>-716829.63</v>
      </c>
      <c r="CM498" s="186">
        <v>-716829.67</v>
      </c>
      <c r="CN498" s="186">
        <v>-716829.67</v>
      </c>
      <c r="CO498" s="186">
        <v>-988351.67</v>
      </c>
      <c r="CP498" s="186">
        <v>-762083.67</v>
      </c>
      <c r="CQ498" s="186">
        <v>-762083.67</v>
      </c>
      <c r="CR498" s="186">
        <v>-762083.67</v>
      </c>
      <c r="CS498" s="186">
        <v>-762083.67</v>
      </c>
      <c r="CT498" s="186">
        <v>-1678750.37</v>
      </c>
      <c r="CU498" s="186">
        <v>-845417</v>
      </c>
      <c r="CV498" s="430">
        <f t="shared" si="19"/>
        <v>-10145001.949999999</v>
      </c>
    </row>
    <row r="499" spans="1:100">
      <c r="A499" s="463" t="s">
        <v>1346</v>
      </c>
      <c r="B499" s="56"/>
      <c r="C499" s="56"/>
      <c r="D499" s="430">
        <v>24014.77</v>
      </c>
      <c r="E499" s="430">
        <v>39565.94</v>
      </c>
      <c r="F499" s="430">
        <v>49725.87</v>
      </c>
      <c r="G499" s="430">
        <v>144699.66</v>
      </c>
      <c r="H499" s="430">
        <v>134897.62</v>
      </c>
      <c r="I499" s="430">
        <v>137187.57999999999</v>
      </c>
      <c r="J499" s="430">
        <v>109192.98</v>
      </c>
      <c r="K499" s="430">
        <v>-86175.97</v>
      </c>
      <c r="L499" s="430">
        <v>167710.26</v>
      </c>
      <c r="M499" s="430">
        <v>74692.95</v>
      </c>
      <c r="N499" s="430">
        <v>97003.03</v>
      </c>
      <c r="O499" s="430">
        <v>189445.91</v>
      </c>
      <c r="P499" s="52">
        <v>133751.65</v>
      </c>
      <c r="Q499" s="52">
        <v>120863.16</v>
      </c>
      <c r="R499" s="52">
        <v>170421.15</v>
      </c>
      <c r="S499" s="52">
        <v>194746.89</v>
      </c>
      <c r="T499" s="52">
        <v>139499.37</v>
      </c>
      <c r="U499" s="52">
        <v>165314.73000000001</v>
      </c>
      <c r="V499" s="52">
        <v>192337.66</v>
      </c>
      <c r="W499" s="52">
        <v>238131.78</v>
      </c>
      <c r="X499" s="52">
        <v>150941.44</v>
      </c>
      <c r="Y499" s="52">
        <v>183818.25</v>
      </c>
      <c r="Z499" s="52">
        <v>309360.78999999998</v>
      </c>
      <c r="AA499" s="52">
        <v>567804.03</v>
      </c>
      <c r="AB499" s="52">
        <v>88623.51</v>
      </c>
      <c r="AC499" s="52">
        <v>374307.21</v>
      </c>
      <c r="AD499" s="52">
        <v>237715.8</v>
      </c>
      <c r="AE499" s="186">
        <v>233130.37</v>
      </c>
      <c r="AF499" s="186">
        <v>187723.53</v>
      </c>
      <c r="AG499" s="186">
        <v>285838.36</v>
      </c>
      <c r="AH499" s="186">
        <v>228908.86</v>
      </c>
      <c r="AI499" s="186">
        <v>133021.95000000001</v>
      </c>
      <c r="AJ499" s="186">
        <v>117283.72</v>
      </c>
      <c r="AK499" s="186">
        <v>176993.06</v>
      </c>
      <c r="AL499" s="186">
        <v>501039.22</v>
      </c>
      <c r="AM499" s="186">
        <v>530667.21</v>
      </c>
      <c r="AN499" s="186">
        <v>29651.99</v>
      </c>
      <c r="AO499" s="186">
        <v>116264.99</v>
      </c>
      <c r="AP499" s="186">
        <v>147425.94</v>
      </c>
      <c r="AQ499" s="186">
        <v>276266.61</v>
      </c>
      <c r="AR499" s="186">
        <v>173152.4</v>
      </c>
      <c r="AS499" s="186">
        <v>56295.57</v>
      </c>
      <c r="AT499" s="186">
        <v>114709.43</v>
      </c>
      <c r="AU499" s="186">
        <v>275197.34999999998</v>
      </c>
      <c r="AV499" s="186">
        <v>13545.85</v>
      </c>
      <c r="AW499" s="186">
        <v>131872.09</v>
      </c>
      <c r="AX499" s="186">
        <v>114201.33</v>
      </c>
      <c r="AY499" s="186">
        <v>339902.34</v>
      </c>
      <c r="AZ499" s="186">
        <v>44949.32</v>
      </c>
      <c r="BA499" s="186">
        <v>38349.89</v>
      </c>
      <c r="BB499" s="186">
        <v>206445.71</v>
      </c>
      <c r="BC499" s="186">
        <v>271415.38</v>
      </c>
      <c r="BD499" s="186">
        <v>299022.55</v>
      </c>
      <c r="BE499" s="186">
        <v>185666.12</v>
      </c>
      <c r="BF499" s="186">
        <v>155535.28</v>
      </c>
      <c r="BG499" s="186">
        <v>173393.67</v>
      </c>
      <c r="BH499" s="186">
        <v>130529.78</v>
      </c>
      <c r="BI499" s="186">
        <v>282663.07</v>
      </c>
      <c r="BJ499" s="186">
        <v>143901.29999999999</v>
      </c>
      <c r="BK499" s="186">
        <v>284170.84999999998</v>
      </c>
      <c r="BL499" s="186">
        <v>522.70000000000005</v>
      </c>
      <c r="BM499" s="186">
        <v>175594.18</v>
      </c>
      <c r="BN499" s="186">
        <v>207500.34</v>
      </c>
      <c r="BO499" s="186">
        <v>140022.29</v>
      </c>
      <c r="BP499" s="186">
        <v>276403.43</v>
      </c>
      <c r="BQ499" s="186">
        <v>137380.39000000001</v>
      </c>
      <c r="BR499" s="186">
        <v>238260.53</v>
      </c>
      <c r="BS499" s="186">
        <v>136181.56</v>
      </c>
      <c r="BT499" s="186">
        <v>184541.45</v>
      </c>
      <c r="BU499" s="186">
        <v>286366.3</v>
      </c>
      <c r="BV499" s="186">
        <v>367110.88</v>
      </c>
      <c r="BW499" s="186">
        <v>343091.24</v>
      </c>
      <c r="BX499" s="186">
        <v>98865.03</v>
      </c>
      <c r="BY499" s="186">
        <v>43717.84</v>
      </c>
      <c r="BZ499" s="186">
        <v>821049.17</v>
      </c>
      <c r="CA499" s="186">
        <v>-69258.289999999994</v>
      </c>
      <c r="CB499" s="186">
        <v>184633.57</v>
      </c>
      <c r="CC499" s="186">
        <v>361386.11</v>
      </c>
      <c r="CD499" s="186">
        <v>145975.93</v>
      </c>
      <c r="CE499" s="186">
        <v>129602.64</v>
      </c>
      <c r="CF499" s="186">
        <v>155441.84</v>
      </c>
      <c r="CG499" s="186">
        <v>213753.31</v>
      </c>
      <c r="CH499" s="186">
        <v>142907.10999999999</v>
      </c>
      <c r="CI499" s="186">
        <v>99204.78</v>
      </c>
      <c r="CJ499" s="186">
        <v>126124.36</v>
      </c>
      <c r="CK499" s="186">
        <v>35010.19</v>
      </c>
      <c r="CL499" s="186">
        <v>239795.24</v>
      </c>
      <c r="CM499" s="186">
        <v>176391.86</v>
      </c>
      <c r="CN499" s="186">
        <v>169357.84</v>
      </c>
      <c r="CO499" s="186">
        <v>223633.18</v>
      </c>
      <c r="CP499" s="186">
        <v>200492.17</v>
      </c>
      <c r="CQ499" s="186">
        <v>120743.92</v>
      </c>
      <c r="CR499" s="186">
        <v>335522.96999999997</v>
      </c>
      <c r="CS499" s="186">
        <v>147099.53</v>
      </c>
      <c r="CT499" s="186">
        <v>120499.74</v>
      </c>
      <c r="CU499" s="186">
        <v>789810.57</v>
      </c>
      <c r="CV499" s="430">
        <f t="shared" si="19"/>
        <v>2684481.57</v>
      </c>
    </row>
    <row r="500" spans="1:100">
      <c r="A500" s="463" t="s">
        <v>1347</v>
      </c>
      <c r="B500" s="56"/>
      <c r="C500" s="56"/>
      <c r="D500" s="430">
        <v>12847.35</v>
      </c>
      <c r="E500" s="430">
        <v>12847.35</v>
      </c>
      <c r="F500" s="430">
        <v>12847.35</v>
      </c>
      <c r="G500" s="430">
        <v>13836.8</v>
      </c>
      <c r="H500" s="430">
        <v>12432.92</v>
      </c>
      <c r="I500" s="430">
        <v>12432.92</v>
      </c>
      <c r="J500" s="430">
        <v>12342.64</v>
      </c>
      <c r="K500" s="430">
        <v>12444.22</v>
      </c>
      <c r="L500" s="430">
        <v>12363.09</v>
      </c>
      <c r="M500" s="430">
        <v>12430.7</v>
      </c>
      <c r="N500" s="430">
        <v>12430.7</v>
      </c>
      <c r="O500" s="430">
        <v>12430.7</v>
      </c>
      <c r="P500" s="52">
        <v>12430.7</v>
      </c>
      <c r="Q500" s="52">
        <v>12430.7</v>
      </c>
      <c r="R500" s="52">
        <v>12394.7</v>
      </c>
      <c r="S500" s="52">
        <v>12430.7</v>
      </c>
      <c r="T500" s="52">
        <v>10111.280000000001</v>
      </c>
      <c r="U500" s="52">
        <v>10847.27</v>
      </c>
      <c r="V500" s="52">
        <v>10847.27</v>
      </c>
      <c r="W500" s="52">
        <v>10847.27</v>
      </c>
      <c r="X500" s="52">
        <v>10847.27</v>
      </c>
      <c r="Y500" s="52">
        <v>10847.27</v>
      </c>
      <c r="Z500" s="52">
        <v>10847.27</v>
      </c>
      <c r="AA500" s="52">
        <v>10847.27</v>
      </c>
      <c r="AB500" s="52">
        <v>10797.27</v>
      </c>
      <c r="AC500" s="52">
        <v>10824.57</v>
      </c>
      <c r="AD500" s="52">
        <v>10847.25</v>
      </c>
      <c r="AE500" s="186">
        <v>10153.23</v>
      </c>
      <c r="AF500" s="186">
        <v>10175.23</v>
      </c>
      <c r="AG500" s="186">
        <v>10175.23</v>
      </c>
      <c r="AH500" s="186">
        <v>10175.23</v>
      </c>
      <c r="AI500" s="186">
        <v>10175.23</v>
      </c>
      <c r="AJ500" s="186">
        <v>10175.23</v>
      </c>
      <c r="AK500" s="186">
        <v>10175.23</v>
      </c>
      <c r="AL500" s="186">
        <v>10175.23</v>
      </c>
      <c r="AM500" s="186">
        <v>10175.23</v>
      </c>
      <c r="AN500" s="186">
        <v>10175.23</v>
      </c>
      <c r="AO500" s="186">
        <v>10175.23</v>
      </c>
      <c r="AP500" s="186">
        <v>8660.81</v>
      </c>
      <c r="AQ500" s="186">
        <v>8020.49</v>
      </c>
      <c r="AR500" s="186">
        <v>8338.9599999999991</v>
      </c>
      <c r="AS500" s="186">
        <v>8286.43</v>
      </c>
      <c r="AT500" s="186">
        <v>8238.15</v>
      </c>
      <c r="AU500" s="186">
        <v>8286.43</v>
      </c>
      <c r="AV500" s="186">
        <v>8286.43</v>
      </c>
      <c r="AW500" s="186">
        <v>8286.43</v>
      </c>
      <c r="AX500" s="186">
        <v>8286.43</v>
      </c>
      <c r="AY500" s="186">
        <v>8215.5400000000009</v>
      </c>
      <c r="AZ500" s="186">
        <v>8109.33</v>
      </c>
      <c r="BA500" s="186">
        <v>8531.65</v>
      </c>
      <c r="BB500" s="186">
        <v>8888.06</v>
      </c>
      <c r="BC500" s="186">
        <v>8497.76</v>
      </c>
      <c r="BD500" s="186">
        <v>8497.76</v>
      </c>
      <c r="BE500" s="186">
        <v>8497.76</v>
      </c>
      <c r="BF500" s="186">
        <v>8497.76</v>
      </c>
      <c r="BG500" s="186">
        <v>8497.76</v>
      </c>
      <c r="BH500" s="186">
        <v>8497.76</v>
      </c>
      <c r="BI500" s="186">
        <v>8497.76</v>
      </c>
      <c r="BJ500" s="186">
        <v>8497.76</v>
      </c>
      <c r="BK500" s="186">
        <v>10499.62</v>
      </c>
      <c r="BL500" s="186">
        <v>10470.68</v>
      </c>
      <c r="BM500" s="186">
        <v>4290.24</v>
      </c>
      <c r="BN500" s="186">
        <v>8414.4699999999993</v>
      </c>
      <c r="BO500" s="186">
        <v>8414.4699999999993</v>
      </c>
      <c r="BP500" s="186">
        <v>8414.4699999999993</v>
      </c>
      <c r="BQ500" s="186">
        <v>8414.4699999999993</v>
      </c>
      <c r="BR500" s="186">
        <v>8414.4699999999993</v>
      </c>
      <c r="BS500" s="186">
        <v>583335.51</v>
      </c>
      <c r="BT500" s="186">
        <v>614382.68999999994</v>
      </c>
      <c r="BU500" s="186">
        <v>612467.52</v>
      </c>
      <c r="BV500" s="186">
        <v>692353.85</v>
      </c>
      <c r="BW500" s="186">
        <v>961813.33</v>
      </c>
      <c r="BX500" s="186">
        <v>8713.26</v>
      </c>
      <c r="BY500" s="186">
        <v>8969.11</v>
      </c>
      <c r="BZ500" s="186">
        <v>8789.67</v>
      </c>
      <c r="CA500" s="186">
        <v>8789.67</v>
      </c>
      <c r="CB500" s="186">
        <v>8789.67</v>
      </c>
      <c r="CC500" s="186">
        <v>6601.25</v>
      </c>
      <c r="CD500" s="186">
        <v>7823.41</v>
      </c>
      <c r="CE500" s="186">
        <v>8392.7099999999991</v>
      </c>
      <c r="CF500" s="186">
        <v>8280.1299999999992</v>
      </c>
      <c r="CG500" s="186">
        <v>52.43</v>
      </c>
      <c r="CH500" s="186">
        <v>3423.93</v>
      </c>
      <c r="CI500" s="186">
        <v>7740.55</v>
      </c>
      <c r="CJ500" s="186">
        <v>34742.83</v>
      </c>
      <c r="CK500" s="186">
        <v>34728.519999999997</v>
      </c>
      <c r="CL500" s="186">
        <v>35873.9</v>
      </c>
      <c r="CM500" s="186">
        <v>35873.9</v>
      </c>
      <c r="CN500" s="186">
        <v>36151.74</v>
      </c>
      <c r="CO500" s="186">
        <v>35966.53</v>
      </c>
      <c r="CP500" s="186">
        <v>35990.480000000003</v>
      </c>
      <c r="CQ500" s="186">
        <v>35966.53</v>
      </c>
      <c r="CR500" s="186">
        <v>35966.53</v>
      </c>
      <c r="CS500" s="186">
        <v>35966.53</v>
      </c>
      <c r="CT500" s="186">
        <v>35966.53</v>
      </c>
      <c r="CU500" s="186">
        <v>35966.53</v>
      </c>
      <c r="CV500" s="430">
        <f t="shared" si="19"/>
        <v>429160.55000000005</v>
      </c>
    </row>
    <row r="501" spans="1:100">
      <c r="A501" s="463" t="s">
        <v>1348</v>
      </c>
      <c r="B501" s="56"/>
      <c r="C501" s="56"/>
      <c r="D501" s="430">
        <v>705136.09</v>
      </c>
      <c r="E501" s="430">
        <v>252274.32</v>
      </c>
      <c r="F501" s="430">
        <v>-2589614.4</v>
      </c>
      <c r="G501" s="430">
        <v>300916.74</v>
      </c>
      <c r="H501" s="430">
        <v>331375.81</v>
      </c>
      <c r="I501" s="430">
        <v>6772.13</v>
      </c>
      <c r="J501" s="430">
        <v>282726.21000000002</v>
      </c>
      <c r="K501" s="430">
        <v>384208.91</v>
      </c>
      <c r="L501" s="430">
        <v>184696.09</v>
      </c>
      <c r="M501" s="430">
        <v>375768.24</v>
      </c>
      <c r="N501" s="430">
        <v>376374.42</v>
      </c>
      <c r="O501" s="430">
        <v>-83772.149999999994</v>
      </c>
      <c r="P501" s="52">
        <v>277767.5</v>
      </c>
      <c r="Q501" s="52">
        <v>196006.53</v>
      </c>
      <c r="R501" s="52">
        <v>-213425.66</v>
      </c>
      <c r="S501" s="52">
        <v>133253.94</v>
      </c>
      <c r="T501" s="52">
        <v>166822.54999999999</v>
      </c>
      <c r="U501" s="52">
        <v>-3151.44</v>
      </c>
      <c r="V501" s="52">
        <v>249987.86</v>
      </c>
      <c r="W501" s="52">
        <v>284194.89</v>
      </c>
      <c r="X501" s="52">
        <v>133478.69</v>
      </c>
      <c r="Y501" s="52">
        <v>223038.31</v>
      </c>
      <c r="Z501" s="52">
        <v>630512.07999999996</v>
      </c>
      <c r="AA501" s="52">
        <v>850119.82</v>
      </c>
      <c r="AB501" s="52">
        <v>193769.68</v>
      </c>
      <c r="AC501" s="52">
        <v>289334.92</v>
      </c>
      <c r="AD501" s="52">
        <v>-187556.28</v>
      </c>
      <c r="AE501" s="186">
        <v>18432.080000000002</v>
      </c>
      <c r="AF501" s="186">
        <v>337289.71</v>
      </c>
      <c r="AG501" s="186">
        <v>826118.79</v>
      </c>
      <c r="AH501" s="186">
        <v>966.14</v>
      </c>
      <c r="AI501" s="186">
        <v>290629.57</v>
      </c>
      <c r="AJ501" s="186">
        <v>-32399.24</v>
      </c>
      <c r="AK501" s="186">
        <v>244313.86</v>
      </c>
      <c r="AL501" s="186">
        <v>204113.21</v>
      </c>
      <c r="AM501" s="186">
        <v>1136756.44</v>
      </c>
      <c r="AN501" s="186">
        <v>16437.91</v>
      </c>
      <c r="AO501" s="186">
        <v>157763.84</v>
      </c>
      <c r="AP501" s="186">
        <v>106877.49</v>
      </c>
      <c r="AQ501" s="186">
        <v>363575.43</v>
      </c>
      <c r="AR501" s="186">
        <v>207100.89</v>
      </c>
      <c r="AS501" s="186">
        <v>100250.14</v>
      </c>
      <c r="AT501" s="186">
        <v>403564.2</v>
      </c>
      <c r="AU501" s="186">
        <v>119698.64</v>
      </c>
      <c r="AV501" s="186">
        <v>604641.86</v>
      </c>
      <c r="AW501" s="186">
        <v>293427.73</v>
      </c>
      <c r="AX501" s="186">
        <v>427936.73</v>
      </c>
      <c r="AY501" s="186">
        <v>-6760.9</v>
      </c>
      <c r="AZ501" s="186">
        <v>410675.99</v>
      </c>
      <c r="BA501" s="186">
        <v>282646.42</v>
      </c>
      <c r="BB501" s="186">
        <v>230646.55</v>
      </c>
      <c r="BC501" s="186">
        <v>267422.05</v>
      </c>
      <c r="BD501" s="186">
        <v>583405.31000000006</v>
      </c>
      <c r="BE501" s="186">
        <v>192503.27</v>
      </c>
      <c r="BF501" s="186">
        <v>183169.98</v>
      </c>
      <c r="BG501" s="186">
        <v>-12139.59</v>
      </c>
      <c r="BH501" s="186">
        <v>338979.68</v>
      </c>
      <c r="BI501" s="186">
        <v>401110.41</v>
      </c>
      <c r="BJ501" s="186">
        <v>443394.64</v>
      </c>
      <c r="BK501" s="186">
        <v>525834.46</v>
      </c>
      <c r="BL501" s="186">
        <v>299335.7</v>
      </c>
      <c r="BM501" s="186">
        <v>267596.98</v>
      </c>
      <c r="BN501" s="186">
        <v>1120990.98</v>
      </c>
      <c r="BO501" s="186">
        <v>332702.37</v>
      </c>
      <c r="BP501" s="186">
        <v>343980.54</v>
      </c>
      <c r="BQ501" s="186">
        <v>254336.55</v>
      </c>
      <c r="BR501" s="186">
        <v>1251410</v>
      </c>
      <c r="BS501" s="186">
        <v>498052.81</v>
      </c>
      <c r="BT501" s="186">
        <v>20824.93</v>
      </c>
      <c r="BU501" s="186">
        <v>671799.76</v>
      </c>
      <c r="BV501" s="186">
        <v>675872.35</v>
      </c>
      <c r="BW501" s="186">
        <v>1221614.3799999999</v>
      </c>
      <c r="BX501" s="186">
        <v>105195.34</v>
      </c>
      <c r="BY501" s="186">
        <v>667915.96</v>
      </c>
      <c r="BZ501" s="186">
        <v>-437170.51</v>
      </c>
      <c r="CA501" s="186">
        <v>348999.75</v>
      </c>
      <c r="CB501" s="186">
        <v>228308.03</v>
      </c>
      <c r="CC501" s="186">
        <v>593640.52</v>
      </c>
      <c r="CD501" s="186">
        <v>473007.27</v>
      </c>
      <c r="CE501" s="186">
        <v>892507.87</v>
      </c>
      <c r="CF501" s="186">
        <v>587756.43999999994</v>
      </c>
      <c r="CG501" s="186">
        <v>875648.5</v>
      </c>
      <c r="CH501" s="186">
        <v>440130.26</v>
      </c>
      <c r="CI501" s="186">
        <v>1314107.5900000001</v>
      </c>
      <c r="CJ501" s="186">
        <v>26944.3</v>
      </c>
      <c r="CK501" s="186">
        <v>553837.67000000004</v>
      </c>
      <c r="CL501" s="186">
        <v>721397.54</v>
      </c>
      <c r="CM501" s="186">
        <v>359935.43</v>
      </c>
      <c r="CN501" s="186">
        <v>1111661.42</v>
      </c>
      <c r="CO501" s="186">
        <v>211334.33</v>
      </c>
      <c r="CP501" s="186">
        <v>748912.23</v>
      </c>
      <c r="CQ501" s="186">
        <v>528536.56000000006</v>
      </c>
      <c r="CR501" s="186">
        <v>925155.19</v>
      </c>
      <c r="CS501" s="186">
        <v>582753.55000000005</v>
      </c>
      <c r="CT501" s="186">
        <v>844085.25</v>
      </c>
      <c r="CU501" s="186">
        <v>2557574.38</v>
      </c>
      <c r="CV501" s="430">
        <f t="shared" si="19"/>
        <v>9172127.8499999996</v>
      </c>
    </row>
    <row r="502" spans="1:100">
      <c r="A502" s="463" t="s">
        <v>1349</v>
      </c>
      <c r="B502" s="56"/>
      <c r="C502" s="56"/>
      <c r="D502" s="430">
        <v>872469.75</v>
      </c>
      <c r="E502" s="430">
        <v>736308.28</v>
      </c>
      <c r="F502" s="430">
        <v>935269.93</v>
      </c>
      <c r="G502" s="430">
        <v>696702.4</v>
      </c>
      <c r="H502" s="430">
        <v>1021762.65</v>
      </c>
      <c r="I502" s="430">
        <v>871953.47</v>
      </c>
      <c r="J502" s="430">
        <v>801306.68</v>
      </c>
      <c r="K502" s="430">
        <v>1236817.96</v>
      </c>
      <c r="L502" s="430">
        <v>1026431.61</v>
      </c>
      <c r="M502" s="430">
        <v>763911.27</v>
      </c>
      <c r="N502" s="430">
        <v>929867.12</v>
      </c>
      <c r="O502" s="430">
        <v>1689443.21</v>
      </c>
      <c r="P502" s="52">
        <v>559341.97</v>
      </c>
      <c r="Q502" s="52">
        <v>821563.77</v>
      </c>
      <c r="R502" s="52">
        <v>734816.15</v>
      </c>
      <c r="S502" s="52">
        <v>545093.11</v>
      </c>
      <c r="T502" s="52">
        <v>959858.46</v>
      </c>
      <c r="U502" s="52">
        <v>758013.58</v>
      </c>
      <c r="V502" s="52">
        <v>562891.81000000006</v>
      </c>
      <c r="W502" s="52">
        <v>843225.26</v>
      </c>
      <c r="X502" s="52">
        <v>771682.18</v>
      </c>
      <c r="Y502" s="52">
        <v>715923.81</v>
      </c>
      <c r="Z502" s="52">
        <v>984253.78</v>
      </c>
      <c r="AA502" s="52">
        <v>381421.94</v>
      </c>
      <c r="AB502" s="52">
        <v>755578.03</v>
      </c>
      <c r="AC502" s="52">
        <v>964401.17</v>
      </c>
      <c r="AD502" s="52">
        <v>458802.76</v>
      </c>
      <c r="AE502" s="186">
        <v>673680.48</v>
      </c>
      <c r="AF502" s="186">
        <v>785302.57</v>
      </c>
      <c r="AG502" s="186">
        <v>512871.08</v>
      </c>
      <c r="AH502" s="186">
        <v>639768.68999999994</v>
      </c>
      <c r="AI502" s="186">
        <v>657967.31999999995</v>
      </c>
      <c r="AJ502" s="186">
        <v>1288117.55</v>
      </c>
      <c r="AK502" s="186">
        <v>803932.44</v>
      </c>
      <c r="AL502" s="186">
        <v>582732.98</v>
      </c>
      <c r="AM502" s="186">
        <v>910700.96</v>
      </c>
      <c r="AN502" s="186">
        <v>756196.46</v>
      </c>
      <c r="AO502" s="186">
        <v>697806.57</v>
      </c>
      <c r="AP502" s="186">
        <v>469150.32</v>
      </c>
      <c r="AQ502" s="186">
        <v>645921.31000000006</v>
      </c>
      <c r="AR502" s="186">
        <v>553475.18000000005</v>
      </c>
      <c r="AS502" s="186">
        <v>436312.54</v>
      </c>
      <c r="AT502" s="186">
        <v>670163.59</v>
      </c>
      <c r="AU502" s="186">
        <v>859419.68</v>
      </c>
      <c r="AV502" s="186">
        <v>678743.47</v>
      </c>
      <c r="AW502" s="186">
        <v>695528.71</v>
      </c>
      <c r="AX502" s="186">
        <v>879534.69</v>
      </c>
      <c r="AY502" s="186">
        <v>-232014.77</v>
      </c>
      <c r="AZ502" s="186">
        <v>850917.78</v>
      </c>
      <c r="BA502" s="186">
        <v>829499.45</v>
      </c>
      <c r="BB502" s="186">
        <v>685921.46</v>
      </c>
      <c r="BC502" s="186">
        <v>905787.98</v>
      </c>
      <c r="BD502" s="186">
        <v>805129.46</v>
      </c>
      <c r="BE502" s="186">
        <v>773924.65</v>
      </c>
      <c r="BF502" s="186">
        <v>914744.61</v>
      </c>
      <c r="BG502" s="186">
        <v>1004055.66</v>
      </c>
      <c r="BH502" s="186">
        <v>332940.57</v>
      </c>
      <c r="BI502" s="186">
        <v>980712.6</v>
      </c>
      <c r="BJ502" s="186">
        <v>1221743.1000000001</v>
      </c>
      <c r="BK502" s="186">
        <v>306146.74</v>
      </c>
      <c r="BL502" s="186">
        <v>1240740.81</v>
      </c>
      <c r="BM502" s="186">
        <v>918338.58</v>
      </c>
      <c r="BN502" s="186">
        <v>1002172.64</v>
      </c>
      <c r="BO502" s="186">
        <v>854033.79</v>
      </c>
      <c r="BP502" s="186">
        <v>901851.91</v>
      </c>
      <c r="BQ502" s="186">
        <v>975153.17</v>
      </c>
      <c r="BR502" s="186">
        <v>504608.99</v>
      </c>
      <c r="BS502" s="186">
        <v>855350.79</v>
      </c>
      <c r="BT502" s="186">
        <v>1173069.6399999999</v>
      </c>
      <c r="BU502" s="186">
        <v>672560.28</v>
      </c>
      <c r="BV502" s="186">
        <v>681548.80000000005</v>
      </c>
      <c r="BW502" s="186">
        <v>689712.06</v>
      </c>
      <c r="BX502" s="186">
        <v>721088.44</v>
      </c>
      <c r="BY502" s="186">
        <v>1422405.47</v>
      </c>
      <c r="BZ502" s="186">
        <v>879758.39</v>
      </c>
      <c r="CA502" s="186">
        <v>816445.43</v>
      </c>
      <c r="CB502" s="186">
        <v>655416.61</v>
      </c>
      <c r="CC502" s="186">
        <v>652955.94999999995</v>
      </c>
      <c r="CD502" s="186">
        <v>787920.93</v>
      </c>
      <c r="CE502" s="186">
        <v>708204.54</v>
      </c>
      <c r="CF502" s="186">
        <v>704825.03</v>
      </c>
      <c r="CG502" s="186">
        <v>928122.83</v>
      </c>
      <c r="CH502" s="186">
        <v>1270330.2</v>
      </c>
      <c r="CI502" s="186">
        <v>1734983.29</v>
      </c>
      <c r="CJ502" s="186">
        <v>1509564.55</v>
      </c>
      <c r="CK502" s="186">
        <v>854410.81</v>
      </c>
      <c r="CL502" s="186">
        <v>553894.30000000005</v>
      </c>
      <c r="CM502" s="186">
        <v>1122852.48</v>
      </c>
      <c r="CN502" s="186">
        <v>981225.57</v>
      </c>
      <c r="CO502" s="186">
        <v>757821.93</v>
      </c>
      <c r="CP502" s="186">
        <v>1515664.19</v>
      </c>
      <c r="CQ502" s="186">
        <v>1541319.32</v>
      </c>
      <c r="CR502" s="186">
        <v>884052.26</v>
      </c>
      <c r="CS502" s="186">
        <v>1545339.61</v>
      </c>
      <c r="CT502" s="186">
        <v>1321945.21</v>
      </c>
      <c r="CU502" s="186">
        <v>-1174907.57</v>
      </c>
      <c r="CV502" s="430">
        <f t="shared" si="19"/>
        <v>11413182.66</v>
      </c>
    </row>
    <row r="503" spans="1:100">
      <c r="A503" s="540" t="s">
        <v>2512</v>
      </c>
      <c r="B503" s="56"/>
      <c r="C503" s="56"/>
      <c r="D503" s="430"/>
      <c r="E503" s="430"/>
      <c r="F503" s="430"/>
      <c r="G503" s="430"/>
      <c r="H503" s="430"/>
      <c r="I503" s="430"/>
      <c r="J503" s="430"/>
      <c r="K503" s="430"/>
      <c r="L503" s="430"/>
      <c r="M503" s="430"/>
      <c r="N503" s="430"/>
      <c r="O503" s="430"/>
      <c r="P503" s="52"/>
      <c r="Q503" s="52"/>
      <c r="R503" s="52"/>
      <c r="S503" s="52"/>
      <c r="T503" s="52"/>
      <c r="U503" s="52"/>
      <c r="V503" s="52"/>
      <c r="W503" s="52"/>
      <c r="X503" s="52"/>
      <c r="Y503" s="52"/>
      <c r="Z503" s="52"/>
      <c r="AA503" s="52"/>
      <c r="AB503" s="52"/>
      <c r="AC503" s="52"/>
      <c r="AD503" s="52"/>
      <c r="AE503" s="186"/>
      <c r="AF503" s="186"/>
      <c r="AG503" s="186"/>
      <c r="AH503" s="186"/>
      <c r="AI503" s="186"/>
      <c r="AJ503" s="186"/>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c r="BF503" s="186"/>
      <c r="BG503" s="186"/>
      <c r="BH503" s="186"/>
      <c r="BI503" s="186"/>
      <c r="BJ503" s="186"/>
      <c r="BK503" s="186"/>
      <c r="BL503" s="186"/>
      <c r="BM503" s="186"/>
      <c r="BN503" s="186"/>
      <c r="BO503" s="186"/>
      <c r="BP503" s="186"/>
      <c r="BQ503" s="186"/>
      <c r="BR503" s="186"/>
      <c r="BS503" s="186"/>
      <c r="BT503" s="186"/>
      <c r="BU503" s="186"/>
      <c r="BV503" s="186"/>
      <c r="BW503" s="186"/>
      <c r="BX503" s="186"/>
      <c r="BY503" s="186"/>
      <c r="BZ503" s="186"/>
      <c r="CA503" s="186"/>
      <c r="CB503" s="186"/>
      <c r="CC503" s="186">
        <v>526.23</v>
      </c>
      <c r="CD503" s="186">
        <v>-567.46</v>
      </c>
      <c r="CE503" s="186">
        <v>0</v>
      </c>
      <c r="CF503" s="186">
        <v>0</v>
      </c>
      <c r="CG503" s="186">
        <v>0</v>
      </c>
      <c r="CH503" s="186">
        <v>0</v>
      </c>
      <c r="CI503" s="186">
        <v>0</v>
      </c>
      <c r="CJ503" s="186">
        <v>34179.129999999997</v>
      </c>
      <c r="CK503" s="186">
        <v>35838.28</v>
      </c>
      <c r="CL503" s="186">
        <v>35012.35</v>
      </c>
      <c r="CM503" s="186">
        <v>35009.919999999998</v>
      </c>
      <c r="CN503" s="186">
        <v>36408.83</v>
      </c>
      <c r="CO503" s="186">
        <v>35289.699999999997</v>
      </c>
      <c r="CP503" s="186">
        <v>35289.699999999997</v>
      </c>
      <c r="CQ503" s="186">
        <v>35289.699999999997</v>
      </c>
      <c r="CR503" s="186">
        <v>35289.699999999997</v>
      </c>
      <c r="CS503" s="186">
        <v>35289.699999999997</v>
      </c>
      <c r="CT503" s="186">
        <v>35289.699999999997</v>
      </c>
      <c r="CU503" s="186">
        <v>35289.699999999997</v>
      </c>
      <c r="CV503" s="430">
        <f t="shared" si="19"/>
        <v>423476.41000000009</v>
      </c>
    </row>
    <row r="504" spans="1:100">
      <c r="A504" s="140" t="s">
        <v>1380</v>
      </c>
      <c r="B504" s="56"/>
      <c r="C504" s="56"/>
      <c r="D504" s="430"/>
      <c r="E504" s="430"/>
      <c r="F504" s="430"/>
      <c r="G504" s="430"/>
      <c r="H504" s="430"/>
      <c r="I504" s="430"/>
      <c r="J504" s="430"/>
      <c r="K504" s="430"/>
      <c r="L504" s="430"/>
      <c r="M504" s="430"/>
      <c r="N504" s="430"/>
      <c r="O504" s="430"/>
      <c r="P504" s="52"/>
      <c r="Q504" s="52">
        <v>800</v>
      </c>
      <c r="R504" s="52"/>
      <c r="S504" s="52"/>
      <c r="T504" s="52"/>
      <c r="U504" s="52">
        <v>10000</v>
      </c>
      <c r="V504" s="52">
        <v>1450.16</v>
      </c>
      <c r="W504" s="52">
        <v>0</v>
      </c>
      <c r="X504" s="52">
        <v>870.93</v>
      </c>
      <c r="Y504" s="52">
        <v>299</v>
      </c>
      <c r="Z504" s="52">
        <v>0</v>
      </c>
      <c r="AA504" s="52">
        <v>0</v>
      </c>
      <c r="AB504" s="52">
        <v>603.69000000000005</v>
      </c>
      <c r="AC504" s="52">
        <v>99.64</v>
      </c>
      <c r="AD504" s="52">
        <v>0</v>
      </c>
      <c r="AE504" s="186">
        <v>0</v>
      </c>
      <c r="AF504" s="186">
        <v>0</v>
      </c>
      <c r="AG504" s="186">
        <v>0</v>
      </c>
      <c r="AH504" s="186">
        <v>0</v>
      </c>
      <c r="AI504" s="186">
        <v>83.64</v>
      </c>
      <c r="AJ504" s="186">
        <v>0</v>
      </c>
      <c r="AK504" s="186">
        <v>5230</v>
      </c>
      <c r="AL504" s="186">
        <v>0</v>
      </c>
      <c r="AM504" s="186">
        <v>14000</v>
      </c>
      <c r="AN504" s="186">
        <v>0</v>
      </c>
      <c r="AO504" s="186">
        <v>7000</v>
      </c>
      <c r="AP504" s="186">
        <v>0</v>
      </c>
      <c r="AQ504" s="186">
        <v>7000</v>
      </c>
      <c r="AR504" s="186">
        <v>-593.92999999999995</v>
      </c>
      <c r="AS504" s="186">
        <v>0</v>
      </c>
      <c r="AT504" s="186">
        <v>0</v>
      </c>
      <c r="AU504" s="186">
        <v>0</v>
      </c>
      <c r="AV504" s="186">
        <v>0</v>
      </c>
      <c r="AW504" s="186">
        <v>0</v>
      </c>
      <c r="AX504" s="186">
        <v>0</v>
      </c>
      <c r="AY504" s="186">
        <v>0</v>
      </c>
      <c r="AZ504" s="186">
        <v>0</v>
      </c>
      <c r="BA504" s="186">
        <v>0</v>
      </c>
      <c r="BB504" s="186">
        <v>0</v>
      </c>
      <c r="BC504" s="186">
        <v>207.2</v>
      </c>
      <c r="BD504" s="186">
        <v>0</v>
      </c>
      <c r="BE504" s="186">
        <v>0</v>
      </c>
      <c r="BF504" s="186">
        <v>0</v>
      </c>
      <c r="BG504" s="186">
        <v>398.16</v>
      </c>
      <c r="BH504" s="186">
        <v>0</v>
      </c>
      <c r="BI504" s="186">
        <v>0</v>
      </c>
      <c r="BJ504" s="186">
        <v>0</v>
      </c>
      <c r="BK504" s="186">
        <v>0</v>
      </c>
      <c r="BL504" s="186">
        <v>0</v>
      </c>
      <c r="BM504" s="186">
        <v>0</v>
      </c>
      <c r="BN504" s="186">
        <v>342.57</v>
      </c>
      <c r="BO504" s="186">
        <v>0</v>
      </c>
      <c r="BP504" s="186">
        <v>0</v>
      </c>
      <c r="BQ504" s="186">
        <v>0</v>
      </c>
      <c r="BR504" s="186">
        <v>564</v>
      </c>
      <c r="BS504" s="186">
        <v>0</v>
      </c>
      <c r="BT504" s="186">
        <v>0</v>
      </c>
      <c r="BU504" s="186">
        <v>0</v>
      </c>
      <c r="BV504" s="186">
        <v>680</v>
      </c>
      <c r="BW504" s="186">
        <v>-680</v>
      </c>
      <c r="BX504" s="186">
        <v>0</v>
      </c>
      <c r="BY504" s="186">
        <v>0</v>
      </c>
      <c r="BZ504" s="186">
        <v>0</v>
      </c>
      <c r="CA504" s="186">
        <v>0</v>
      </c>
      <c r="CB504" s="186">
        <v>0</v>
      </c>
      <c r="CC504" s="186">
        <v>0</v>
      </c>
      <c r="CD504" s="186">
        <v>0</v>
      </c>
      <c r="CE504" s="186">
        <v>0</v>
      </c>
      <c r="CF504" s="186">
        <v>231.6</v>
      </c>
      <c r="CG504" s="186">
        <v>0</v>
      </c>
      <c r="CH504" s="186">
        <v>0</v>
      </c>
      <c r="CI504" s="186">
        <v>0</v>
      </c>
      <c r="CJ504" s="186">
        <v>0</v>
      </c>
      <c r="CK504" s="186">
        <v>0</v>
      </c>
      <c r="CL504" s="186">
        <v>0</v>
      </c>
      <c r="CM504" s="186">
        <v>0.85</v>
      </c>
      <c r="CN504" s="186">
        <v>0</v>
      </c>
      <c r="CO504" s="186">
        <v>0</v>
      </c>
      <c r="CP504" s="186">
        <v>0</v>
      </c>
      <c r="CQ504" s="186">
        <v>0</v>
      </c>
      <c r="CR504" s="186">
        <v>677</v>
      </c>
      <c r="CS504" s="186">
        <v>0</v>
      </c>
      <c r="CT504" s="186">
        <v>0</v>
      </c>
      <c r="CU504" s="186">
        <v>0</v>
      </c>
      <c r="CV504" s="430">
        <f t="shared" si="19"/>
        <v>677.85</v>
      </c>
    </row>
    <row r="505" spans="1:100">
      <c r="A505" s="463" t="s">
        <v>1350</v>
      </c>
      <c r="B505" s="56"/>
      <c r="C505" s="56"/>
      <c r="D505" s="430">
        <v>1018003.35</v>
      </c>
      <c r="E505" s="430">
        <v>1234232.42</v>
      </c>
      <c r="F505" s="430">
        <v>1483281.21</v>
      </c>
      <c r="G505" s="430">
        <v>1028758.18</v>
      </c>
      <c r="H505" s="430">
        <v>1042095.07</v>
      </c>
      <c r="I505" s="430">
        <v>1164251.02</v>
      </c>
      <c r="J505" s="430">
        <v>1244794.5900000001</v>
      </c>
      <c r="K505" s="430">
        <v>968673.42</v>
      </c>
      <c r="L505" s="430">
        <v>973876.75</v>
      </c>
      <c r="M505" s="430">
        <v>1168368.29</v>
      </c>
      <c r="N505" s="430">
        <v>1068337.3700000001</v>
      </c>
      <c r="O505" s="430">
        <v>594014.31999999995</v>
      </c>
      <c r="P505" s="52">
        <v>1641189.63</v>
      </c>
      <c r="Q505" s="52">
        <v>1470540.86</v>
      </c>
      <c r="R505" s="52">
        <v>1681998.47</v>
      </c>
      <c r="S505" s="52">
        <v>1827169.85</v>
      </c>
      <c r="T505" s="52">
        <v>1253610.3899999999</v>
      </c>
      <c r="U505" s="52">
        <v>1395351.06</v>
      </c>
      <c r="V505" s="52">
        <v>1568140.28</v>
      </c>
      <c r="W505" s="52">
        <v>1412330.69</v>
      </c>
      <c r="X505" s="52">
        <v>1706591.63</v>
      </c>
      <c r="Y505" s="52">
        <v>1495261.55</v>
      </c>
      <c r="Z505" s="52">
        <v>1486659.53</v>
      </c>
      <c r="AA505" s="470">
        <v>1587097.48</v>
      </c>
      <c r="AB505" s="480">
        <v>1409620.83</v>
      </c>
      <c r="AC505" s="480">
        <v>1312285.0900000001</v>
      </c>
      <c r="AD505" s="487">
        <v>2495321</v>
      </c>
      <c r="AE505" s="186">
        <v>1447218.17</v>
      </c>
      <c r="AF505" s="480">
        <v>1356702.93</v>
      </c>
      <c r="AG505" s="480">
        <v>1579553.41</v>
      </c>
      <c r="AH505" s="480">
        <v>1402366.87</v>
      </c>
      <c r="AI505" s="480">
        <v>1170302.04</v>
      </c>
      <c r="AJ505" s="480">
        <v>1411840.9</v>
      </c>
      <c r="AK505" s="480">
        <v>1520661.49</v>
      </c>
      <c r="AL505" s="480">
        <v>1257213.3600000001</v>
      </c>
      <c r="AM505" s="480">
        <v>1848314.18</v>
      </c>
      <c r="AN505" s="480">
        <v>1391183.83</v>
      </c>
      <c r="AO505" s="480">
        <v>1251185.8600000001</v>
      </c>
      <c r="AP505" s="480">
        <v>1852205.24</v>
      </c>
      <c r="AQ505" s="480">
        <v>1498213.51</v>
      </c>
      <c r="AR505" s="480">
        <v>1508106.75</v>
      </c>
      <c r="AS505" s="480">
        <v>2210831.79</v>
      </c>
      <c r="AT505" s="480">
        <v>1513414.37</v>
      </c>
      <c r="AU505" s="480">
        <v>1536611.47</v>
      </c>
      <c r="AV505" s="480">
        <v>2050812.96</v>
      </c>
      <c r="AW505" s="480">
        <v>1208329.03</v>
      </c>
      <c r="AX505" s="480">
        <v>1540305.41</v>
      </c>
      <c r="AY505" s="480">
        <v>2193738.85</v>
      </c>
      <c r="AZ505" s="480">
        <v>1574001.94</v>
      </c>
      <c r="BA505" s="480">
        <v>1680663.99</v>
      </c>
      <c r="BB505" s="480">
        <v>1879242.74</v>
      </c>
      <c r="BC505" s="480">
        <v>1434903.4</v>
      </c>
      <c r="BD505" s="480">
        <v>1522921.49</v>
      </c>
      <c r="BE505" s="480">
        <v>2237279.88</v>
      </c>
      <c r="BF505" s="480">
        <v>1648180.22</v>
      </c>
      <c r="BG505" s="480">
        <v>1461012.64</v>
      </c>
      <c r="BH505" s="480">
        <v>2050735.04</v>
      </c>
      <c r="BI505" s="480">
        <v>1449135.74</v>
      </c>
      <c r="BJ505" s="480">
        <v>1384530.22</v>
      </c>
      <c r="BK505" s="480">
        <v>2452279.2799999998</v>
      </c>
      <c r="BL505" s="480">
        <v>1564556.99</v>
      </c>
      <c r="BM505" s="480">
        <v>1386338.97</v>
      </c>
      <c r="BN505" s="480">
        <v>2165731.42</v>
      </c>
      <c r="BO505" s="480">
        <v>1488568.95</v>
      </c>
      <c r="BP505" s="480">
        <v>1614011.03</v>
      </c>
      <c r="BQ505" s="480">
        <v>2195858.7799999998</v>
      </c>
      <c r="BR505" s="480">
        <v>1597327.3</v>
      </c>
      <c r="BS505" s="480">
        <v>1616261.37</v>
      </c>
      <c r="BT505" s="480">
        <v>2328502.1</v>
      </c>
      <c r="BU505" s="480">
        <v>1486688.41</v>
      </c>
      <c r="BV505" s="480">
        <v>1465660.15</v>
      </c>
      <c r="BW505" s="480">
        <v>2566127.08</v>
      </c>
      <c r="BX505" s="480">
        <v>1789667.99</v>
      </c>
      <c r="BY505" s="480">
        <v>1567557.89</v>
      </c>
      <c r="BZ505" s="480">
        <v>2533541.7200000002</v>
      </c>
      <c r="CA505" s="480">
        <v>1831631.63</v>
      </c>
      <c r="CB505" s="480">
        <v>2043369.36</v>
      </c>
      <c r="CC505" s="480">
        <v>1945005.34</v>
      </c>
      <c r="CD505" s="480">
        <v>1764478.84</v>
      </c>
      <c r="CE505" s="480">
        <v>1635826.18</v>
      </c>
      <c r="CF505" s="480">
        <v>1732083.06</v>
      </c>
      <c r="CG505" s="480">
        <v>2284148.6800000002</v>
      </c>
      <c r="CH505" s="480">
        <v>1369419.75</v>
      </c>
      <c r="CI505" s="480">
        <v>3343585.61</v>
      </c>
      <c r="CJ505" s="480">
        <v>1650598.48</v>
      </c>
      <c r="CK505" s="480">
        <v>1451482.26</v>
      </c>
      <c r="CL505" s="480">
        <v>2131787.19</v>
      </c>
      <c r="CM505" s="480">
        <v>1379238.63</v>
      </c>
      <c r="CN505" s="480">
        <v>1141260.53</v>
      </c>
      <c r="CO505" s="480">
        <v>2779213.26</v>
      </c>
      <c r="CP505" s="480">
        <v>1650835.58</v>
      </c>
      <c r="CQ505" s="480">
        <v>1543568.19</v>
      </c>
      <c r="CR505" s="480">
        <v>2196938.48</v>
      </c>
      <c r="CS505" s="480">
        <v>1009886.58</v>
      </c>
      <c r="CT505" s="480">
        <v>1611723.65</v>
      </c>
      <c r="CU505" s="480">
        <v>2995614.73</v>
      </c>
      <c r="CV505" s="430">
        <f t="shared" si="19"/>
        <v>21542147.559999999</v>
      </c>
    </row>
    <row r="506" spans="1:100">
      <c r="A506" s="463" t="s">
        <v>1351</v>
      </c>
      <c r="B506" s="463"/>
      <c r="C506" s="463"/>
      <c r="D506" s="430">
        <v>42478.13</v>
      </c>
      <c r="E506" s="430">
        <v>38042.51</v>
      </c>
      <c r="F506" s="430">
        <v>32767.279999999999</v>
      </c>
      <c r="G506" s="430">
        <v>43747.64</v>
      </c>
      <c r="H506" s="430">
        <v>32937.410000000003</v>
      </c>
      <c r="I506" s="430">
        <v>37907.51</v>
      </c>
      <c r="J506" s="430">
        <v>44255.23</v>
      </c>
      <c r="K506" s="430">
        <v>37775.51</v>
      </c>
      <c r="L506" s="430">
        <v>32702.51</v>
      </c>
      <c r="M506" s="430">
        <v>36683.69</v>
      </c>
      <c r="N506" s="430">
        <v>36497.51</v>
      </c>
      <c r="O506" s="430">
        <v>43733.75</v>
      </c>
      <c r="P506" s="52">
        <v>35782.699999999997</v>
      </c>
      <c r="Q506" s="52">
        <v>73096.2</v>
      </c>
      <c r="R506" s="52">
        <v>56192.480000000003</v>
      </c>
      <c r="S506" s="52">
        <v>38994.36</v>
      </c>
      <c r="T506" s="52">
        <v>50333.74</v>
      </c>
      <c r="U506" s="52">
        <v>31915.87</v>
      </c>
      <c r="V506" s="52">
        <v>45481.17</v>
      </c>
      <c r="W506" s="52">
        <v>38877.910000000003</v>
      </c>
      <c r="X506" s="52">
        <v>53308.83</v>
      </c>
      <c r="Y506" s="52">
        <v>32536.9</v>
      </c>
      <c r="Z506" s="52">
        <v>46835.88</v>
      </c>
      <c r="AA506" s="52">
        <v>42215.47</v>
      </c>
      <c r="AB506" s="52">
        <v>39580.97</v>
      </c>
      <c r="AC506" s="52">
        <v>46190.080000000002</v>
      </c>
      <c r="AD506" s="52">
        <v>38059.93</v>
      </c>
      <c r="AE506" s="186">
        <v>29748.17</v>
      </c>
      <c r="AF506" s="186">
        <v>45384.36</v>
      </c>
      <c r="AG506" s="186">
        <v>46716.27</v>
      </c>
      <c r="AH506" s="186">
        <v>45985.41</v>
      </c>
      <c r="AI506" s="186">
        <v>36356.04</v>
      </c>
      <c r="AJ506" s="186">
        <v>37900.18</v>
      </c>
      <c r="AK506" s="186">
        <v>37639.120000000003</v>
      </c>
      <c r="AL506" s="186">
        <v>38522.6</v>
      </c>
      <c r="AM506" s="186">
        <v>31319.41</v>
      </c>
      <c r="AN506" s="186">
        <v>49574.73</v>
      </c>
      <c r="AO506" s="186">
        <v>40624.01</v>
      </c>
      <c r="AP506" s="186">
        <v>42195.6</v>
      </c>
      <c r="AQ506" s="186">
        <v>41978.74</v>
      </c>
      <c r="AR506" s="186">
        <v>39370.93</v>
      </c>
      <c r="AS506" s="186">
        <v>39324.699999999997</v>
      </c>
      <c r="AT506" s="186">
        <v>39653.46</v>
      </c>
      <c r="AU506" s="186">
        <v>39575.1</v>
      </c>
      <c r="AV506" s="186">
        <v>39302.07</v>
      </c>
      <c r="AW506" s="186">
        <v>36883.279999999999</v>
      </c>
      <c r="AX506" s="186">
        <v>42480.38</v>
      </c>
      <c r="AY506" s="186">
        <v>32429.55</v>
      </c>
      <c r="AZ506" s="186">
        <v>46276.07</v>
      </c>
      <c r="BA506" s="186">
        <v>61778.2</v>
      </c>
      <c r="BB506" s="186">
        <v>39667.33</v>
      </c>
      <c r="BC506" s="186">
        <v>39462.17</v>
      </c>
      <c r="BD506" s="186">
        <v>38180.99</v>
      </c>
      <c r="BE506" s="186">
        <v>39435.15</v>
      </c>
      <c r="BF506" s="186">
        <v>39556.44</v>
      </c>
      <c r="BG506" s="186">
        <v>41504.53</v>
      </c>
      <c r="BH506" s="186">
        <v>32970.35</v>
      </c>
      <c r="BI506" s="186">
        <v>46295.19</v>
      </c>
      <c r="BJ506" s="186">
        <v>39809.61</v>
      </c>
      <c r="BK506" s="186">
        <v>39239.32</v>
      </c>
      <c r="BL506" s="186">
        <v>37984.800000000003</v>
      </c>
      <c r="BM506" s="186">
        <v>32147</v>
      </c>
      <c r="BN506" s="186">
        <v>39081.25</v>
      </c>
      <c r="BO506" s="186">
        <v>46043.94</v>
      </c>
      <c r="BP506" s="186">
        <v>37510.660000000003</v>
      </c>
      <c r="BQ506" s="186">
        <v>37300.370000000003</v>
      </c>
      <c r="BR506" s="186">
        <v>38097.449999999997</v>
      </c>
      <c r="BS506" s="186">
        <v>38604.980000000003</v>
      </c>
      <c r="BT506" s="186">
        <v>36944.089999999997</v>
      </c>
      <c r="BU506" s="186">
        <v>37974.620000000003</v>
      </c>
      <c r="BV506" s="186">
        <v>30835.55</v>
      </c>
      <c r="BW506" s="186">
        <v>44673.64</v>
      </c>
      <c r="BX506" s="186">
        <v>52211.26</v>
      </c>
      <c r="BY506" s="186">
        <v>53448.27</v>
      </c>
      <c r="BZ506" s="186">
        <v>48673.32</v>
      </c>
      <c r="CA506" s="186">
        <v>46284.01</v>
      </c>
      <c r="CB506" s="186">
        <v>38996.51</v>
      </c>
      <c r="CC506" s="186">
        <v>53485.72</v>
      </c>
      <c r="CD506" s="186">
        <v>47873.35</v>
      </c>
      <c r="CE506" s="186">
        <v>18757.96</v>
      </c>
      <c r="CF506" s="186">
        <v>45508.480000000003</v>
      </c>
      <c r="CG506" s="186">
        <v>46274.78</v>
      </c>
      <c r="CH506" s="186">
        <v>46635.19</v>
      </c>
      <c r="CI506" s="186">
        <v>48127.09</v>
      </c>
      <c r="CJ506" s="186">
        <v>40049.33</v>
      </c>
      <c r="CK506" s="186">
        <v>32214.94</v>
      </c>
      <c r="CL506" s="186">
        <v>57648.44</v>
      </c>
      <c r="CM506" s="186">
        <v>41194.410000000003</v>
      </c>
      <c r="CN506" s="186">
        <v>41164.51</v>
      </c>
      <c r="CO506" s="186">
        <v>41546.76</v>
      </c>
      <c r="CP506" s="186">
        <v>40603.360000000001</v>
      </c>
      <c r="CQ506" s="186">
        <v>39968.410000000003</v>
      </c>
      <c r="CR506" s="186">
        <v>39328.51</v>
      </c>
      <c r="CS506" s="186">
        <v>39264.410000000003</v>
      </c>
      <c r="CT506" s="186">
        <v>38328.51</v>
      </c>
      <c r="CU506" s="186">
        <v>40505.26</v>
      </c>
      <c r="CV506" s="430">
        <f t="shared" si="19"/>
        <v>491816.85000000009</v>
      </c>
    </row>
    <row r="507" spans="1:100">
      <c r="A507" s="56" t="s">
        <v>1352</v>
      </c>
      <c r="B507" s="463"/>
      <c r="C507" s="463"/>
      <c r="D507" s="430">
        <v>19592.38</v>
      </c>
      <c r="E507" s="430">
        <v>17018.55</v>
      </c>
      <c r="F507" s="430">
        <v>18733.330000000002</v>
      </c>
      <c r="G507" s="430">
        <v>14532.9</v>
      </c>
      <c r="H507" s="430">
        <v>25828.79</v>
      </c>
      <c r="I507" s="430">
        <v>20143.43</v>
      </c>
      <c r="J507" s="430">
        <v>28616.46</v>
      </c>
      <c r="K507" s="430">
        <v>19834.89</v>
      </c>
      <c r="L507" s="430">
        <v>26157.040000000001</v>
      </c>
      <c r="M507" s="430">
        <v>21787.95</v>
      </c>
      <c r="N507" s="430">
        <v>12791.11</v>
      </c>
      <c r="O507" s="430">
        <v>19261.990000000002</v>
      </c>
      <c r="P507" s="52">
        <v>18334.43</v>
      </c>
      <c r="Q507" s="52">
        <v>30566.58</v>
      </c>
      <c r="R507" s="52">
        <v>26969.49</v>
      </c>
      <c r="S507" s="52">
        <v>29009.66</v>
      </c>
      <c r="T507" s="52">
        <v>17096.330000000002</v>
      </c>
      <c r="U507" s="52">
        <v>26353.9</v>
      </c>
      <c r="V507" s="52">
        <v>19988.689999999999</v>
      </c>
      <c r="W507" s="52">
        <v>16690.77</v>
      </c>
      <c r="X507" s="52">
        <v>21687.33</v>
      </c>
      <c r="Y507" s="52">
        <v>20055.669999999998</v>
      </c>
      <c r="Z507" s="52">
        <v>25948.89</v>
      </c>
      <c r="AA507" s="52">
        <v>36020.160000000003</v>
      </c>
      <c r="AB507" s="52">
        <v>19974.14</v>
      </c>
      <c r="AC507" s="52">
        <v>22807.99</v>
      </c>
      <c r="AD507" s="52">
        <v>29071.26</v>
      </c>
      <c r="AE507" s="186">
        <v>19166.689999999999</v>
      </c>
      <c r="AF507" s="52">
        <v>33451.230000000003</v>
      </c>
      <c r="AG507" s="52">
        <v>31141.85</v>
      </c>
      <c r="AH507" s="52">
        <v>16543.009999999998</v>
      </c>
      <c r="AI507" s="52">
        <v>44969.31</v>
      </c>
      <c r="AJ507" s="52">
        <v>34505.9</v>
      </c>
      <c r="AK507" s="52">
        <v>24042.2</v>
      </c>
      <c r="AL507" s="52">
        <v>22590.75</v>
      </c>
      <c r="AM507" s="52">
        <v>102450.61</v>
      </c>
      <c r="AN507" s="52">
        <v>9114.01</v>
      </c>
      <c r="AO507" s="52">
        <v>19654.45</v>
      </c>
      <c r="AP507" s="52">
        <v>17041.849999999999</v>
      </c>
      <c r="AQ507" s="52">
        <v>15543</v>
      </c>
      <c r="AR507" s="52">
        <v>22024.91</v>
      </c>
      <c r="AS507" s="52">
        <v>21574.61</v>
      </c>
      <c r="AT507" s="52">
        <v>16927.71</v>
      </c>
      <c r="AU507" s="52">
        <v>21168.16</v>
      </c>
      <c r="AV507" s="52">
        <v>15869.04</v>
      </c>
      <c r="AW507" s="52">
        <v>34942.82</v>
      </c>
      <c r="AX507" s="52">
        <v>24897.91</v>
      </c>
      <c r="AY507" s="52">
        <v>38763.06</v>
      </c>
      <c r="AZ507" s="52">
        <v>13304.53</v>
      </c>
      <c r="BA507" s="52">
        <v>8643.64</v>
      </c>
      <c r="BB507" s="52">
        <v>19607.3</v>
      </c>
      <c r="BC507" s="52">
        <v>26500.16</v>
      </c>
      <c r="BD507" s="52">
        <v>33678.42</v>
      </c>
      <c r="BE507" s="52">
        <v>28056.43</v>
      </c>
      <c r="BF507" s="52">
        <v>22128.3</v>
      </c>
      <c r="BG507" s="52">
        <v>18469.169999999998</v>
      </c>
      <c r="BH507" s="52">
        <v>22052.32</v>
      </c>
      <c r="BI507" s="52">
        <v>30914.19</v>
      </c>
      <c r="BJ507" s="52">
        <v>17188.57</v>
      </c>
      <c r="BK507" s="52">
        <v>36010.93</v>
      </c>
      <c r="BL507" s="52">
        <v>17929.009999999998</v>
      </c>
      <c r="BM507" s="52">
        <v>71137.02</v>
      </c>
      <c r="BN507" s="52">
        <v>32496.05</v>
      </c>
      <c r="BO507" s="52">
        <v>31495.95</v>
      </c>
      <c r="BP507" s="52">
        <v>31101.34</v>
      </c>
      <c r="BQ507" s="52">
        <v>22979.43</v>
      </c>
      <c r="BR507" s="52">
        <v>26157.07</v>
      </c>
      <c r="BS507" s="52">
        <v>28349.97</v>
      </c>
      <c r="BT507" s="52">
        <v>23588.69</v>
      </c>
      <c r="BU507" s="52">
        <v>30503.23</v>
      </c>
      <c r="BV507" s="52">
        <v>25546.67</v>
      </c>
      <c r="BW507" s="52">
        <v>57633.54</v>
      </c>
      <c r="BX507" s="52">
        <v>115964.94</v>
      </c>
      <c r="BY507" s="52">
        <v>-75096.86</v>
      </c>
      <c r="BZ507" s="52">
        <v>-79480.11</v>
      </c>
      <c r="CA507" s="52">
        <v>119034.59</v>
      </c>
      <c r="CB507" s="52">
        <v>19682.37</v>
      </c>
      <c r="CC507" s="52">
        <v>16281.21</v>
      </c>
      <c r="CD507" s="52">
        <v>18553.990000000002</v>
      </c>
      <c r="CE507" s="52">
        <v>24012.31</v>
      </c>
      <c r="CF507" s="52">
        <v>19621.900000000001</v>
      </c>
      <c r="CG507" s="52">
        <v>21597.02</v>
      </c>
      <c r="CH507" s="52">
        <v>18895.580000000002</v>
      </c>
      <c r="CI507" s="52">
        <v>33613.22</v>
      </c>
      <c r="CJ507" s="52">
        <v>15207.32</v>
      </c>
      <c r="CK507" s="52">
        <v>9676.35</v>
      </c>
      <c r="CL507" s="52">
        <v>44974.8</v>
      </c>
      <c r="CM507" s="52">
        <v>15294.87</v>
      </c>
      <c r="CN507" s="52">
        <v>43224.49</v>
      </c>
      <c r="CO507" s="52">
        <v>26828.959999999999</v>
      </c>
      <c r="CP507" s="52">
        <v>24095.81</v>
      </c>
      <c r="CQ507" s="52">
        <v>29908.32</v>
      </c>
      <c r="CR507" s="52">
        <v>19365.62</v>
      </c>
      <c r="CS507" s="52">
        <v>16438.11</v>
      </c>
      <c r="CT507" s="52">
        <v>24229.91</v>
      </c>
      <c r="CU507" s="52">
        <v>20277.28</v>
      </c>
      <c r="CV507" s="430">
        <f t="shared" si="19"/>
        <v>289521.83999999997</v>
      </c>
    </row>
    <row r="508" spans="1:100">
      <c r="A508" s="392" t="s">
        <v>1353</v>
      </c>
      <c r="B508" s="392"/>
      <c r="C508" s="392"/>
      <c r="D508" s="430">
        <v>0</v>
      </c>
      <c r="E508" s="430">
        <v>0</v>
      </c>
      <c r="F508" s="430">
        <v>0</v>
      </c>
      <c r="G508" s="430">
        <v>0</v>
      </c>
      <c r="H508" s="430">
        <v>0</v>
      </c>
      <c r="I508" s="430">
        <v>0</v>
      </c>
      <c r="J508" s="430">
        <v>0</v>
      </c>
      <c r="K508" s="430">
        <v>0</v>
      </c>
      <c r="L508" s="430">
        <v>0</v>
      </c>
      <c r="M508" s="430">
        <v>0</v>
      </c>
      <c r="N508" s="430">
        <v>0</v>
      </c>
      <c r="O508" s="430">
        <v>0</v>
      </c>
      <c r="P508" s="52">
        <v>0</v>
      </c>
      <c r="Q508" s="52">
        <v>0</v>
      </c>
      <c r="R508" s="52">
        <v>0</v>
      </c>
      <c r="S508" s="52">
        <v>0</v>
      </c>
      <c r="T508" s="52">
        <v>0</v>
      </c>
      <c r="U508" s="52">
        <v>0</v>
      </c>
      <c r="V508" s="52">
        <v>0</v>
      </c>
      <c r="W508" s="52">
        <v>0</v>
      </c>
      <c r="X508" s="52">
        <v>0</v>
      </c>
      <c r="Y508" s="52">
        <v>0</v>
      </c>
      <c r="Z508" s="52">
        <v>0</v>
      </c>
      <c r="AA508" s="52">
        <v>0</v>
      </c>
      <c r="AB508" s="52">
        <v>0</v>
      </c>
      <c r="AC508" s="52">
        <v>0</v>
      </c>
      <c r="AD508" s="52">
        <v>0</v>
      </c>
      <c r="AE508" s="52">
        <v>0</v>
      </c>
      <c r="AF508" s="52">
        <v>0</v>
      </c>
      <c r="AG508" s="52">
        <v>0</v>
      </c>
      <c r="AH508" s="52">
        <v>0</v>
      </c>
      <c r="AI508" s="52">
        <v>0</v>
      </c>
      <c r="AJ508" s="52">
        <v>0</v>
      </c>
      <c r="AK508" s="52">
        <v>0</v>
      </c>
      <c r="AL508" s="52">
        <v>0</v>
      </c>
      <c r="AM508" s="52">
        <v>0</v>
      </c>
      <c r="AN508" s="52">
        <v>0</v>
      </c>
      <c r="AO508" s="52">
        <v>0</v>
      </c>
      <c r="AP508" s="52">
        <v>0</v>
      </c>
      <c r="AQ508" s="52">
        <v>0</v>
      </c>
      <c r="AR508" s="52">
        <v>0</v>
      </c>
      <c r="AS508" s="52">
        <v>0</v>
      </c>
      <c r="AT508" s="52">
        <v>0</v>
      </c>
      <c r="AU508" s="52">
        <v>0</v>
      </c>
      <c r="AV508" s="52">
        <v>0</v>
      </c>
      <c r="AW508" s="52">
        <v>0</v>
      </c>
      <c r="AX508" s="52">
        <v>-1</v>
      </c>
      <c r="AY508" s="52">
        <v>1</v>
      </c>
      <c r="AZ508" s="52">
        <v>0</v>
      </c>
      <c r="BA508" s="52">
        <v>0</v>
      </c>
      <c r="BB508" s="52">
        <v>0</v>
      </c>
      <c r="BC508" s="52">
        <v>0</v>
      </c>
      <c r="BD508" s="52">
        <v>0</v>
      </c>
      <c r="BE508" s="52">
        <v>0</v>
      </c>
      <c r="BF508" s="52">
        <v>0</v>
      </c>
      <c r="BG508" s="52">
        <v>0</v>
      </c>
      <c r="BH508" s="52">
        <v>0</v>
      </c>
      <c r="BI508" s="52">
        <v>0</v>
      </c>
      <c r="BJ508" s="52">
        <v>0</v>
      </c>
      <c r="BK508" s="52">
        <v>0</v>
      </c>
      <c r="BL508" s="52">
        <v>0</v>
      </c>
      <c r="BM508" s="52">
        <v>0</v>
      </c>
      <c r="BN508" s="52">
        <v>0</v>
      </c>
      <c r="BO508" s="52">
        <v>0</v>
      </c>
      <c r="BP508" s="52">
        <v>0</v>
      </c>
      <c r="BQ508" s="52">
        <v>0</v>
      </c>
      <c r="BR508" s="52">
        <v>0</v>
      </c>
      <c r="BS508" s="52">
        <v>0</v>
      </c>
      <c r="BT508" s="52">
        <v>0</v>
      </c>
      <c r="BU508" s="52">
        <v>0</v>
      </c>
      <c r="BV508" s="52">
        <v>0</v>
      </c>
      <c r="BW508" s="52">
        <v>0</v>
      </c>
      <c r="BX508" s="52">
        <v>0</v>
      </c>
      <c r="BY508" s="52">
        <v>0</v>
      </c>
      <c r="BZ508" s="52">
        <v>0</v>
      </c>
      <c r="CA508" s="52">
        <v>0</v>
      </c>
      <c r="CB508" s="52">
        <v>0</v>
      </c>
      <c r="CC508" s="52">
        <v>0</v>
      </c>
      <c r="CD508" s="52">
        <v>0</v>
      </c>
      <c r="CE508" s="52">
        <v>0</v>
      </c>
      <c r="CF508" s="52">
        <v>0</v>
      </c>
      <c r="CG508" s="52">
        <v>0</v>
      </c>
      <c r="CH508" s="52">
        <v>0</v>
      </c>
      <c r="CI508" s="52">
        <v>0</v>
      </c>
      <c r="CJ508" s="52">
        <v>0</v>
      </c>
      <c r="CK508" s="52">
        <v>0</v>
      </c>
      <c r="CL508" s="52">
        <v>0</v>
      </c>
      <c r="CM508" s="52">
        <v>0</v>
      </c>
      <c r="CN508" s="52">
        <v>0</v>
      </c>
      <c r="CO508" s="52">
        <v>0</v>
      </c>
      <c r="CP508" s="52">
        <v>0</v>
      </c>
      <c r="CQ508" s="52">
        <v>0</v>
      </c>
      <c r="CR508" s="52">
        <v>0</v>
      </c>
      <c r="CS508" s="52">
        <v>0</v>
      </c>
      <c r="CT508" s="52">
        <v>0</v>
      </c>
      <c r="CU508" s="52">
        <v>0</v>
      </c>
      <c r="CV508" s="430">
        <f t="shared" si="19"/>
        <v>0</v>
      </c>
    </row>
    <row r="509" spans="1:100" ht="15">
      <c r="A509" s="433" t="s">
        <v>1268</v>
      </c>
      <c r="B509" s="433"/>
      <c r="C509" s="433"/>
      <c r="D509" s="431">
        <v>-2.6884663384407759E-9</v>
      </c>
      <c r="E509" s="431">
        <v>-1.4515535440295935E-9</v>
      </c>
      <c r="F509" s="431">
        <v>3.8562575355172157E-9</v>
      </c>
      <c r="G509" s="431">
        <v>-1.0859366739168763E-9</v>
      </c>
      <c r="H509" s="431">
        <v>-2.3937900550663471E-9</v>
      </c>
      <c r="I509" s="431">
        <v>-2.9685907065868378E-9</v>
      </c>
      <c r="J509" s="431">
        <v>7.2759576141834259E-9</v>
      </c>
      <c r="K509" s="431">
        <v>2.5393092073500156E-9</v>
      </c>
      <c r="L509" s="431">
        <v>1.0004441719502211E-9</v>
      </c>
      <c r="M509" s="431">
        <v>6.15909812040627E-9</v>
      </c>
      <c r="N509" s="431">
        <v>2.6848283596336842E-9</v>
      </c>
      <c r="O509" s="431">
        <f>SUM(O420:O508)</f>
        <v>2.2228050511330366E-9</v>
      </c>
      <c r="P509" s="431">
        <f>SUM(P420:P508)</f>
        <v>1.2732925824820995E-9</v>
      </c>
      <c r="Q509" s="431">
        <f>SUM(Q420:Q508)</f>
        <v>-1.8917489796876907E-9</v>
      </c>
      <c r="R509" s="431">
        <f>SUM(R420:R508)</f>
        <v>3.2923708204180002E-9</v>
      </c>
      <c r="S509" s="431">
        <f>SUM(S420:S508)</f>
        <v>1.3787939678877592E-9</v>
      </c>
      <c r="T509" s="431">
        <v>4.1254679672420025E-9</v>
      </c>
      <c r="U509" s="431">
        <v>-9.4951246865093708E-10</v>
      </c>
      <c r="V509" s="431">
        <v>3.3869582694023848E-9</v>
      </c>
      <c r="W509" s="431">
        <v>-2.2591848392039537E-9</v>
      </c>
      <c r="X509" s="431">
        <v>-3.637978807091713E-9</v>
      </c>
      <c r="Y509" s="431">
        <v>8.6583895608782768E-10</v>
      </c>
      <c r="Z509" s="431">
        <v>-1.4188117347657681E-9</v>
      </c>
      <c r="AA509" s="431">
        <v>2.9103830456733704E-9</v>
      </c>
      <c r="AB509" s="431">
        <v>-3.827153705060482E-9</v>
      </c>
      <c r="AC509" s="431">
        <v>5.7589204516261816E-9</v>
      </c>
      <c r="AD509" s="431">
        <v>-4.1109160520136356E-10</v>
      </c>
      <c r="AE509" s="431">
        <f t="shared" ref="AE509:AJ509" si="20">SUM(AE420:AE508)</f>
        <v>-4.9949449021369219E-9</v>
      </c>
      <c r="AF509" s="431">
        <f t="shared" si="20"/>
        <v>8.5128704085946083E-10</v>
      </c>
      <c r="AG509" s="431">
        <f t="shared" si="20"/>
        <v>2.4447217583656311E-9</v>
      </c>
      <c r="AH509" s="431">
        <f t="shared" si="20"/>
        <v>1.0077201295644045E-9</v>
      </c>
      <c r="AI509" s="431">
        <f t="shared" si="20"/>
        <v>1.0695657692849636E-9</v>
      </c>
      <c r="AJ509" s="431">
        <f t="shared" si="20"/>
        <v>-3.0995579436421394E-9</v>
      </c>
      <c r="AK509" s="431">
        <v>-3.3214746508747339E-9</v>
      </c>
      <c r="AL509" s="431">
        <v>1.3824319466948509E-10</v>
      </c>
      <c r="AM509" s="431">
        <v>6.2718754634261131E-9</v>
      </c>
      <c r="AN509" s="431">
        <f t="shared" ref="AN509:AY509" si="21">SUM(AN420:AN508)</f>
        <v>1.1768861440941691E-9</v>
      </c>
      <c r="AO509" s="431">
        <f t="shared" si="21"/>
        <v>3.9981387089937925E-9</v>
      </c>
      <c r="AP509" s="431">
        <f t="shared" si="21"/>
        <v>-2.5174813345074654E-9</v>
      </c>
      <c r="AQ509" s="431">
        <f t="shared" si="21"/>
        <v>7.2759576141834259E-12</v>
      </c>
      <c r="AR509" s="431">
        <f t="shared" si="21"/>
        <v>2.2446329239755869E-9</v>
      </c>
      <c r="AS509" s="431">
        <f t="shared" si="21"/>
        <v>2.2700987756252289E-9</v>
      </c>
      <c r="AT509" s="431">
        <f t="shared" si="21"/>
        <v>-4.5838532969355583E-9</v>
      </c>
      <c r="AU509" s="431">
        <f t="shared" si="21"/>
        <v>-5.133188096806407E-9</v>
      </c>
      <c r="AV509" s="431">
        <f t="shared" si="21"/>
        <v>-3.1286617740988731E-9</v>
      </c>
      <c r="AW509" s="431">
        <f t="shared" si="21"/>
        <v>1.0695657692849636E-9</v>
      </c>
      <c r="AX509" s="431">
        <f>SUM(AX420:AX508)</f>
        <v>3.9181031752377748E-9</v>
      </c>
      <c r="AY509" s="431">
        <f t="shared" si="21"/>
        <v>5.9662852436304092E-10</v>
      </c>
      <c r="AZ509" s="431">
        <f t="shared" ref="AZ509:BE509" si="22">SUM(AZ420:AZ508)</f>
        <v>-6.8448571255430579E-9</v>
      </c>
      <c r="BA509" s="431">
        <f t="shared" si="22"/>
        <v>-3.5797711461782455E-9</v>
      </c>
      <c r="BB509" s="431">
        <f t="shared" si="22"/>
        <v>-5.8571458794176579E-10</v>
      </c>
      <c r="BC509" s="431">
        <f t="shared" si="22"/>
        <v>3.8817233871668577E-9</v>
      </c>
      <c r="BD509" s="431">
        <f t="shared" si="22"/>
        <v>-1.7826096154749393E-9</v>
      </c>
      <c r="BE509" s="431">
        <f t="shared" si="22"/>
        <v>-7.2759576141834259E-11</v>
      </c>
      <c r="BF509" s="431">
        <f t="shared" ref="BF509:BK509" si="23">SUM(BF420:BF508)</f>
        <v>4.765752237290144E-10</v>
      </c>
      <c r="BG509" s="431">
        <f t="shared" si="23"/>
        <v>-1.5861587598919868E-9</v>
      </c>
      <c r="BH509" s="431">
        <f t="shared" si="23"/>
        <v>-1.3242242857813835E-9</v>
      </c>
      <c r="BI509" s="431">
        <f t="shared" si="23"/>
        <v>-6.1736500356346369E-9</v>
      </c>
      <c r="BJ509" s="431">
        <f t="shared" si="23"/>
        <v>9.9680619314312935E-10</v>
      </c>
      <c r="BK509" s="431">
        <f t="shared" si="23"/>
        <v>-4.6566128730773926E-10</v>
      </c>
      <c r="BL509" s="431">
        <f t="shared" ref="BL509:BQ509" si="24">SUM(BL420:BL508)</f>
        <v>-5.8753357734531164E-9</v>
      </c>
      <c r="BM509" s="431">
        <f t="shared" si="24"/>
        <v>-3.5070115700364113E-9</v>
      </c>
      <c r="BN509" s="431">
        <f t="shared" si="24"/>
        <v>-8.6620275396853685E-9</v>
      </c>
      <c r="BO509" s="431">
        <f t="shared" si="24"/>
        <v>5.7116267271339893E-10</v>
      </c>
      <c r="BP509" s="431">
        <f t="shared" si="24"/>
        <v>4.4274202082306147E-9</v>
      </c>
      <c r="BQ509" s="431">
        <f t="shared" si="24"/>
        <v>2.9831426218152046E-9</v>
      </c>
      <c r="BR509" s="431">
        <f t="shared" ref="BR509:BW509" si="25">SUM(BR420:BR508)</f>
        <v>-4.6784407459199429E-9</v>
      </c>
      <c r="BS509" s="431">
        <f t="shared" si="25"/>
        <v>1.2150849215686321E-9</v>
      </c>
      <c r="BT509" s="431">
        <f t="shared" si="25"/>
        <v>1.1314114090055227E-9</v>
      </c>
      <c r="BU509" s="431">
        <f t="shared" si="25"/>
        <v>0.99999999804640538</v>
      </c>
      <c r="BV509" s="431">
        <f t="shared" si="25"/>
        <v>9.5678842626512051E-10</v>
      </c>
      <c r="BW509" s="431">
        <f t="shared" si="25"/>
        <v>-0.99999999830470188</v>
      </c>
      <c r="BX509" s="431">
        <f t="shared" ref="BX509:CC509" si="26">SUM(BX420:BX508)</f>
        <v>-4.1327439248561859E-9</v>
      </c>
      <c r="BY509" s="431">
        <f t="shared" si="26"/>
        <v>4.9622030928730965E-9</v>
      </c>
      <c r="BZ509" s="431">
        <f t="shared" si="26"/>
        <v>-3.6816345527768135E-9</v>
      </c>
      <c r="CA509" s="431">
        <f t="shared" si="26"/>
        <v>-1.4842953532934189E-9</v>
      </c>
      <c r="CB509" s="431">
        <f t="shared" si="26"/>
        <v>-3.8453435990959406E-9</v>
      </c>
      <c r="CC509" s="431">
        <f t="shared" si="26"/>
        <v>-2.9613147489726543E-9</v>
      </c>
      <c r="CD509" s="431">
        <f t="shared" ref="CD509:CI509" si="27">SUM(CD420:CD508)</f>
        <v>8.4764906205236912E-10</v>
      </c>
      <c r="CE509" s="431">
        <f t="shared" si="27"/>
        <v>-3.0449882615357637E-9</v>
      </c>
      <c r="CF509" s="431">
        <f t="shared" si="27"/>
        <v>-1.5133991837501526E-9</v>
      </c>
      <c r="CG509" s="431">
        <f t="shared" si="27"/>
        <v>2.5138433557003736E-9</v>
      </c>
      <c r="CH509" s="431">
        <f t="shared" si="27"/>
        <v>1.1496013030409813E-9</v>
      </c>
      <c r="CI509" s="431">
        <f t="shared" si="27"/>
        <v>2.7357600629329681E-9</v>
      </c>
      <c r="CJ509" s="431">
        <f t="shared" ref="CJ509:CO509" si="28">SUM(CJ420:CJ508)</f>
        <v>-4.7948560677468777E-9</v>
      </c>
      <c r="CK509" s="431">
        <f t="shared" si="28"/>
        <v>2.7557689463719726E-9</v>
      </c>
      <c r="CL509" s="431">
        <f t="shared" si="28"/>
        <v>-5.8062141761183739E-9</v>
      </c>
      <c r="CM509" s="431">
        <f t="shared" si="28"/>
        <v>-3.5161065170541406E-9</v>
      </c>
      <c r="CN509" s="431">
        <f t="shared" si="28"/>
        <v>4.4237822294235229E-9</v>
      </c>
      <c r="CO509" s="431">
        <f t="shared" si="28"/>
        <v>-5.3260009735822678E-9</v>
      </c>
      <c r="CP509" s="431">
        <f t="shared" ref="CP509:CU509" si="29">SUM(CP420:CP508)</f>
        <v>3.092281986027956E-10</v>
      </c>
      <c r="CQ509" s="431">
        <f t="shared" si="29"/>
        <v>-3.7034624256193638E-9</v>
      </c>
      <c r="CR509" s="431">
        <f t="shared" si="29"/>
        <v>-4.0781742427498102E-9</v>
      </c>
      <c r="CS509" s="431">
        <f t="shared" si="29"/>
        <v>8.0035533756017685E-10</v>
      </c>
      <c r="CT509" s="431">
        <f t="shared" si="29"/>
        <v>-7.6070136856287718E-9</v>
      </c>
      <c r="CU509" s="431">
        <f t="shared" si="29"/>
        <v>4.1545717976987362E-9</v>
      </c>
    </row>
    <row r="511" spans="1:100">
      <c r="A511" s="1166" t="s">
        <v>1389</v>
      </c>
      <c r="B511" s="1108"/>
      <c r="C511" s="1108"/>
      <c r="D511" s="1167">
        <f t="shared" ref="D511:S511" si="30">SUM(D466:D508)</f>
        <v>7965145.5799999982</v>
      </c>
      <c r="E511" s="1167">
        <f t="shared" si="30"/>
        <v>7760615.8400000008</v>
      </c>
      <c r="F511" s="1167">
        <f>SUM(F466:F508)</f>
        <v>5076662.6399999997</v>
      </c>
      <c r="G511" s="1167">
        <f t="shared" si="30"/>
        <v>7440343.8600000013</v>
      </c>
      <c r="H511" s="1167">
        <f t="shared" si="30"/>
        <v>7753705.2200000007</v>
      </c>
      <c r="I511" s="1167">
        <f t="shared" si="30"/>
        <v>7296135.8699999992</v>
      </c>
      <c r="J511" s="1167">
        <f t="shared" si="30"/>
        <v>8197773.9600000018</v>
      </c>
      <c r="K511" s="1167">
        <f t="shared" si="30"/>
        <v>7978026.6100000003</v>
      </c>
      <c r="L511" s="1167">
        <f t="shared" si="30"/>
        <v>8772183.209999999</v>
      </c>
      <c r="M511" s="1167">
        <f t="shared" si="30"/>
        <v>7332107.8500000006</v>
      </c>
      <c r="N511" s="1167">
        <f t="shared" si="30"/>
        <v>7394988.9700000016</v>
      </c>
      <c r="O511" s="1167">
        <f t="shared" si="30"/>
        <v>7597745.0599999996</v>
      </c>
      <c r="P511" s="1167">
        <f t="shared" si="30"/>
        <v>7495913.9900000012</v>
      </c>
      <c r="Q511" s="1167">
        <f t="shared" si="30"/>
        <v>7147152.4800000023</v>
      </c>
      <c r="R511" s="1167">
        <f t="shared" si="30"/>
        <v>8328186.8500000015</v>
      </c>
      <c r="S511" s="1167">
        <f t="shared" si="30"/>
        <v>7928957.9100000011</v>
      </c>
      <c r="T511" s="1167">
        <v>7063409.5199999986</v>
      </c>
      <c r="U511" s="1167">
        <v>7441709.9500000002</v>
      </c>
      <c r="V511" s="1167">
        <v>7598063.5099999998</v>
      </c>
      <c r="W511" s="1167">
        <v>7672096.3199999984</v>
      </c>
      <c r="X511" s="1167">
        <v>7845017.2400000002</v>
      </c>
      <c r="Y511" s="1167">
        <v>8018585.6399999997</v>
      </c>
      <c r="Z511" s="1167">
        <v>9013807.1400000006</v>
      </c>
      <c r="AA511" s="1167">
        <v>9628488.0100000016</v>
      </c>
      <c r="AB511" s="1167">
        <v>7793228.379999999</v>
      </c>
      <c r="AC511" s="1167">
        <v>8160132.25</v>
      </c>
      <c r="AD511" s="1167">
        <v>8435765.2999999989</v>
      </c>
      <c r="AE511" s="1167">
        <f t="shared" ref="AE511:AJ511" si="31">SUM(AE466:AE508)</f>
        <v>7510422.5600000015</v>
      </c>
      <c r="AF511" s="1167">
        <f t="shared" si="31"/>
        <v>7432168.2500000019</v>
      </c>
      <c r="AG511" s="1167">
        <f t="shared" si="31"/>
        <v>9501344.0800000001</v>
      </c>
      <c r="AH511" s="1167">
        <f t="shared" si="31"/>
        <v>7375994.6800000006</v>
      </c>
      <c r="AI511" s="1167">
        <f t="shared" si="31"/>
        <v>9122783.3200000022</v>
      </c>
      <c r="AJ511" s="1167">
        <f t="shared" si="31"/>
        <v>7969058.6699999999</v>
      </c>
      <c r="AK511" s="1167">
        <v>8751535.5999999996</v>
      </c>
      <c r="AL511" s="1167">
        <v>7825084.7300000014</v>
      </c>
      <c r="AM511" s="1167">
        <v>11781874.77</v>
      </c>
      <c r="AN511" s="1167">
        <f>SUM(AN466:AN508)</f>
        <v>6976294.9900000021</v>
      </c>
      <c r="AO511" s="1167">
        <f>SUM(AO466:AO508)</f>
        <v>7823262.120000001</v>
      </c>
      <c r="AP511" s="1167">
        <f>SUM(AP466:AP508)</f>
        <v>8009246.5899999999</v>
      </c>
      <c r="AQ511" s="1167">
        <f t="shared" ref="AQ511:AV511" si="32">SUM(AQ466:AQ508)</f>
        <v>8312605.9199999999</v>
      </c>
      <c r="AR511" s="1167">
        <f t="shared" si="32"/>
        <v>8551091.4900000002</v>
      </c>
      <c r="AS511" s="1167">
        <f t="shared" si="32"/>
        <v>9634814.1899999976</v>
      </c>
      <c r="AT511" s="1167">
        <f t="shared" si="32"/>
        <v>8405636.0600000005</v>
      </c>
      <c r="AU511" s="1167">
        <f t="shared" si="32"/>
        <v>9116411.3300000001</v>
      </c>
      <c r="AV511" s="1167">
        <f t="shared" si="32"/>
        <v>9015678.1699999999</v>
      </c>
      <c r="AW511" s="1167">
        <f t="shared" ref="AW511:BB511" si="33">SUM(AW466:AW508)</f>
        <v>8930140.9799999986</v>
      </c>
      <c r="AX511" s="1167">
        <f t="shared" si="33"/>
        <v>9117054.7400000002</v>
      </c>
      <c r="AY511" s="1167">
        <f t="shared" si="33"/>
        <v>8910796.4200000018</v>
      </c>
      <c r="AZ511" s="1167">
        <f>SUM(AZ466:AZ508)</f>
        <v>9007781.9900000002</v>
      </c>
      <c r="BA511" s="1167">
        <f t="shared" si="33"/>
        <v>9546954.4299999997</v>
      </c>
      <c r="BB511" s="1167">
        <f t="shared" si="33"/>
        <v>9954848.6799999997</v>
      </c>
      <c r="BC511" s="1167">
        <f t="shared" ref="BC511:BH511" si="34">SUM(BC466:BC508)</f>
        <v>10419984.199999999</v>
      </c>
      <c r="BD511" s="1167">
        <f t="shared" si="34"/>
        <v>9515646.5700000003</v>
      </c>
      <c r="BE511" s="1167">
        <f t="shared" si="34"/>
        <v>9447713.7999999989</v>
      </c>
      <c r="BF511" s="1167">
        <f t="shared" si="34"/>
        <v>10134838.150000002</v>
      </c>
      <c r="BG511" s="1167">
        <f t="shared" si="34"/>
        <v>9480940.8900000006</v>
      </c>
      <c r="BH511" s="1167">
        <f t="shared" si="34"/>
        <v>8640910.3100000005</v>
      </c>
      <c r="BI511" s="1167">
        <f t="shared" ref="BI511:BN511" si="35">SUM(BI466:BI508)</f>
        <v>10366730.889999999</v>
      </c>
      <c r="BJ511" s="1167">
        <f>SUM(BJ466:BJ508)</f>
        <v>9753435.459999999</v>
      </c>
      <c r="BK511" s="1167">
        <f t="shared" si="35"/>
        <v>10502258.51</v>
      </c>
      <c r="BL511" s="1167">
        <f t="shared" si="35"/>
        <v>9854972.6100000013</v>
      </c>
      <c r="BM511" s="1167">
        <f>SUM(BM466:BM508)</f>
        <v>8498813.8300000001</v>
      </c>
      <c r="BN511" s="1167">
        <f t="shared" si="35"/>
        <v>10081328.530000001</v>
      </c>
      <c r="BO511" s="1167">
        <f t="shared" ref="BO511:BT511" si="36">SUM(BO466:BO508)</f>
        <v>9125525.2699999996</v>
      </c>
      <c r="BP511" s="1167">
        <f t="shared" si="36"/>
        <v>9182000.8900000006</v>
      </c>
      <c r="BQ511" s="1167">
        <f t="shared" si="36"/>
        <v>9808307.129999999</v>
      </c>
      <c r="BR511" s="1167">
        <f t="shared" si="36"/>
        <v>10642625.01</v>
      </c>
      <c r="BS511" s="1167">
        <f>SUM(BS466:BS508)</f>
        <v>9914190.9500000011</v>
      </c>
      <c r="BT511" s="1167">
        <f t="shared" si="36"/>
        <v>10381521.33</v>
      </c>
      <c r="BU511" s="1167">
        <f t="shared" ref="BU511:BZ511" si="37">SUM(BU466:BU508)</f>
        <v>10774481.929999998</v>
      </c>
      <c r="BV511" s="1167">
        <f t="shared" si="37"/>
        <v>11193570.270000003</v>
      </c>
      <c r="BW511" s="1167">
        <f t="shared" si="37"/>
        <v>13383385.950000003</v>
      </c>
      <c r="BX511" s="1167">
        <f t="shared" si="37"/>
        <v>9523953.1300000008</v>
      </c>
      <c r="BY511" s="1167">
        <f t="shared" si="37"/>
        <v>10027202.67</v>
      </c>
      <c r="BZ511" s="1167">
        <f t="shared" si="37"/>
        <v>10719198.02</v>
      </c>
      <c r="CA511" s="1167">
        <f t="shared" ref="CA511:CF511" si="38">SUM(CA466:CA508)</f>
        <v>9648089.9699999988</v>
      </c>
      <c r="CB511" s="1167">
        <f t="shared" si="38"/>
        <v>9546763.1500000004</v>
      </c>
      <c r="CC511" s="1167">
        <f t="shared" si="38"/>
        <v>9910238.5200000033</v>
      </c>
      <c r="CD511" s="1167">
        <f t="shared" si="38"/>
        <v>9743539.9399999995</v>
      </c>
      <c r="CE511" s="1167">
        <f t="shared" si="38"/>
        <v>9627248.0200000014</v>
      </c>
      <c r="CF511" s="1167">
        <f t="shared" si="38"/>
        <v>10420610.370000001</v>
      </c>
      <c r="CG511" s="1167">
        <f t="shared" ref="CG511:CL511" si="39">SUM(CG466:CG508)</f>
        <v>12245982.43</v>
      </c>
      <c r="CH511" s="1167">
        <f t="shared" si="39"/>
        <v>9563023.7399999984</v>
      </c>
      <c r="CI511" s="1167">
        <f t="shared" si="39"/>
        <v>13858703.529999999</v>
      </c>
      <c r="CJ511" s="1167">
        <f t="shared" si="39"/>
        <v>10147347.380000003</v>
      </c>
      <c r="CK511" s="1167">
        <f t="shared" si="39"/>
        <v>10219103.069999998</v>
      </c>
      <c r="CL511" s="1167">
        <f t="shared" si="39"/>
        <v>10525971.59</v>
      </c>
      <c r="CM511" s="1167">
        <f t="shared" ref="CM511:CR511" si="40">SUM(CM466:CM508)</f>
        <v>10217877.380000001</v>
      </c>
      <c r="CN511" s="1167">
        <f t="shared" si="40"/>
        <v>10062812.060000001</v>
      </c>
      <c r="CO511" s="1167">
        <f t="shared" si="40"/>
        <v>10851732.200000001</v>
      </c>
      <c r="CP511" s="1167">
        <f t="shared" si="40"/>
        <v>11311924.550000001</v>
      </c>
      <c r="CQ511" s="1167">
        <f t="shared" si="40"/>
        <v>9941744.0100000016</v>
      </c>
      <c r="CR511" s="1167">
        <f t="shared" si="40"/>
        <v>11530718.059999999</v>
      </c>
      <c r="CS511" s="1167">
        <f>SUM(CS466:CS508)</f>
        <v>10787169.169999998</v>
      </c>
      <c r="CT511" s="1167">
        <f>SUM(CT466:CT508)</f>
        <v>10627473.25</v>
      </c>
      <c r="CU511" s="1167">
        <f>SUM(CU466:CU508)</f>
        <v>14727162.889999997</v>
      </c>
    </row>
    <row r="513" spans="1:99">
      <c r="A513" s="1166" t="s">
        <v>2671</v>
      </c>
      <c r="B513" s="1108"/>
      <c r="C513" s="1108"/>
      <c r="P513" s="430">
        <v>0</v>
      </c>
      <c r="Q513" s="430">
        <v>0</v>
      </c>
      <c r="R513" s="430">
        <v>0</v>
      </c>
      <c r="CC513" s="476">
        <f t="shared" ref="CC513:CL513" si="41">+CC20+CC21+CC323+CC338+CC344</f>
        <v>0</v>
      </c>
      <c r="CD513" s="476">
        <f t="shared" si="41"/>
        <v>1</v>
      </c>
      <c r="CE513" s="476">
        <f t="shared" si="41"/>
        <v>0</v>
      </c>
      <c r="CF513" s="476">
        <f t="shared" si="41"/>
        <v>0</v>
      </c>
      <c r="CG513" s="476">
        <f t="shared" si="41"/>
        <v>0</v>
      </c>
      <c r="CH513" s="476">
        <f t="shared" si="41"/>
        <v>0</v>
      </c>
      <c r="CI513" s="476">
        <f t="shared" si="41"/>
        <v>0</v>
      </c>
      <c r="CJ513" s="476">
        <f t="shared" si="41"/>
        <v>0</v>
      </c>
      <c r="CK513" s="476">
        <f t="shared" si="41"/>
        <v>0</v>
      </c>
      <c r="CL513" s="476">
        <f t="shared" si="41"/>
        <v>0</v>
      </c>
      <c r="CM513" s="476">
        <f t="shared" ref="CM513:CR513" si="42">+CM20+CM21+CM323+CM338+CM344</f>
        <v>0</v>
      </c>
      <c r="CN513" s="476">
        <f t="shared" si="42"/>
        <v>-1</v>
      </c>
      <c r="CO513" s="476">
        <f t="shared" si="42"/>
        <v>0</v>
      </c>
      <c r="CP513" s="476">
        <f t="shared" si="42"/>
        <v>0</v>
      </c>
      <c r="CQ513" s="476">
        <f t="shared" si="42"/>
        <v>0</v>
      </c>
      <c r="CR513" s="476">
        <f t="shared" si="42"/>
        <v>0</v>
      </c>
      <c r="CS513" s="476">
        <f>+CS20+CS21+CS323+CS338+CS344</f>
        <v>0</v>
      </c>
      <c r="CT513" s="476">
        <f>+CT20+CT21+CT323+CT338+CT344</f>
        <v>0</v>
      </c>
      <c r="CU513" s="476">
        <f>+CU20+CU21+CU323+CU338+CU344</f>
        <v>0</v>
      </c>
    </row>
    <row r="516" spans="1:99">
      <c r="BS516" s="430">
        <f t="shared" ref="BS516:BZ516" si="43">+BS447+BS436-BS374-BS358</f>
        <v>178680.27000000002</v>
      </c>
      <c r="BT516" s="430">
        <f t="shared" si="43"/>
        <v>0</v>
      </c>
      <c r="BU516" s="430">
        <f t="shared" si="43"/>
        <v>-178680.27</v>
      </c>
      <c r="BV516" s="430">
        <f t="shared" si="43"/>
        <v>0</v>
      </c>
      <c r="BW516" s="430">
        <f t="shared" si="43"/>
        <v>0</v>
      </c>
      <c r="BX516" s="430">
        <f t="shared" si="43"/>
        <v>0</v>
      </c>
      <c r="BY516" s="430">
        <f t="shared" si="43"/>
        <v>0</v>
      </c>
      <c r="BZ516" s="430">
        <f t="shared" si="43"/>
        <v>0</v>
      </c>
      <c r="CA516" s="430">
        <f t="shared" ref="CA516:CF516" si="44">+CA447+CA436-CA374-CA358</f>
        <v>0</v>
      </c>
      <c r="CB516" s="430">
        <f t="shared" si="44"/>
        <v>0</v>
      </c>
      <c r="CC516" s="430">
        <f t="shared" si="44"/>
        <v>0</v>
      </c>
      <c r="CD516" s="430">
        <f t="shared" si="44"/>
        <v>0</v>
      </c>
      <c r="CE516" s="430">
        <f t="shared" si="44"/>
        <v>0</v>
      </c>
      <c r="CF516" s="430">
        <f t="shared" si="44"/>
        <v>0</v>
      </c>
      <c r="CG516" s="430">
        <f t="shared" ref="CG516:CL516" si="45">+CG447+CG436-CG374-CG358</f>
        <v>0</v>
      </c>
      <c r="CH516" s="430">
        <f t="shared" si="45"/>
        <v>0</v>
      </c>
      <c r="CI516" s="430">
        <f t="shared" si="45"/>
        <v>0</v>
      </c>
      <c r="CJ516" s="430">
        <f t="shared" si="45"/>
        <v>0</v>
      </c>
      <c r="CK516" s="430">
        <f t="shared" si="45"/>
        <v>0</v>
      </c>
      <c r="CL516" s="430">
        <f t="shared" si="45"/>
        <v>0</v>
      </c>
      <c r="CM516" s="430">
        <f t="shared" ref="CM516:CR516" si="46">+CM447+CM436-CM374-CM358</f>
        <v>0</v>
      </c>
      <c r="CN516" s="430">
        <f t="shared" si="46"/>
        <v>0</v>
      </c>
      <c r="CO516" s="430">
        <f t="shared" si="46"/>
        <v>0</v>
      </c>
      <c r="CP516" s="430">
        <f t="shared" si="46"/>
        <v>0</v>
      </c>
      <c r="CQ516" s="430">
        <f t="shared" si="46"/>
        <v>0</v>
      </c>
      <c r="CR516" s="430">
        <f t="shared" si="46"/>
        <v>0</v>
      </c>
    </row>
  </sheetData>
  <autoFilter ref="A4:CU4"/>
  <mergeCells count="1">
    <mergeCell ref="CV2:CV3"/>
  </mergeCells>
  <phoneticPr fontId="168" type="noConversion"/>
  <pageMargins left="0.7" right="0.7" top="0.75" bottom="0.75" header="0.3" footer="0.3"/>
  <pageSetup orientation="portrait" r:id="rId1"/>
  <customProperties>
    <customPr name="_pios_id" r:id="rId2"/>
    <customPr name="FPMExcelClientCellBasedFunctionStatus" r:id="rId3"/>
  </customProperties>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V398"/>
  <sheetViews>
    <sheetView workbookViewId="0"/>
  </sheetViews>
  <sheetFormatPr defaultColWidth="13.7109375" defaultRowHeight="12.75"/>
  <cols>
    <col min="1" max="1" width="15.7109375" customWidth="1"/>
    <col min="2" max="2" width="16.7109375" customWidth="1"/>
    <col min="3" max="3" width="42" customWidth="1"/>
    <col min="4" max="16" width="34" style="56" hidden="1" customWidth="1"/>
    <col min="17" max="17" width="23.5703125" style="56" hidden="1" customWidth="1"/>
    <col min="18" max="18" width="27.85546875" style="56" hidden="1" customWidth="1"/>
    <col min="19" max="20" width="28.28515625" hidden="1" customWidth="1"/>
    <col min="21" max="21" width="30.140625" hidden="1" customWidth="1"/>
    <col min="22" max="87" width="29.85546875" hidden="1" customWidth="1"/>
    <col min="88" max="97" width="29.85546875" customWidth="1"/>
    <col min="98" max="100" width="29" bestFit="1" customWidth="1"/>
  </cols>
  <sheetData>
    <row r="1" spans="1:100" ht="15">
      <c r="A1" s="391"/>
      <c r="B1" s="391"/>
      <c r="C1" s="391"/>
    </row>
    <row r="3" spans="1:100">
      <c r="D3" s="60" t="s">
        <v>572</v>
      </c>
    </row>
    <row r="4" spans="1:100" ht="15">
      <c r="A4" s="1158" t="s">
        <v>573</v>
      </c>
      <c r="B4" s="1158" t="s">
        <v>574</v>
      </c>
      <c r="C4" s="1158" t="s">
        <v>575</v>
      </c>
      <c r="D4" s="395" t="s">
        <v>576</v>
      </c>
      <c r="E4" s="395" t="s">
        <v>577</v>
      </c>
      <c r="F4" s="395" t="s">
        <v>578</v>
      </c>
      <c r="G4" s="395" t="s">
        <v>579</v>
      </c>
      <c r="H4" s="395" t="s">
        <v>580</v>
      </c>
      <c r="I4" s="395" t="s">
        <v>582</v>
      </c>
      <c r="J4" s="395" t="s">
        <v>581</v>
      </c>
      <c r="K4" s="395" t="s">
        <v>583</v>
      </c>
      <c r="L4" s="395" t="s">
        <v>584</v>
      </c>
      <c r="M4" s="395" t="s">
        <v>585</v>
      </c>
      <c r="N4" s="395" t="s">
        <v>586</v>
      </c>
      <c r="O4" s="395" t="s">
        <v>587</v>
      </c>
      <c r="P4" s="396" t="s">
        <v>588</v>
      </c>
      <c r="Q4" s="424" t="s">
        <v>1374</v>
      </c>
      <c r="R4" s="424" t="s">
        <v>1375</v>
      </c>
      <c r="S4" s="425" t="s">
        <v>1376</v>
      </c>
      <c r="T4" s="425" t="s">
        <v>1383</v>
      </c>
      <c r="U4" s="425" t="s">
        <v>1384</v>
      </c>
      <c r="V4" s="461" t="s">
        <v>1388</v>
      </c>
      <c r="W4" s="461" t="s">
        <v>1403</v>
      </c>
      <c r="X4" s="461" t="s">
        <v>1404</v>
      </c>
      <c r="Y4" s="461" t="s">
        <v>1405</v>
      </c>
      <c r="Z4" s="461" t="s">
        <v>1412</v>
      </c>
      <c r="AA4" s="461" t="s">
        <v>1413</v>
      </c>
      <c r="AB4" s="461" t="s">
        <v>1414</v>
      </c>
      <c r="AC4" s="461" t="s">
        <v>1420</v>
      </c>
      <c r="AD4" s="461" t="s">
        <v>1421</v>
      </c>
      <c r="AE4" s="461" t="s">
        <v>1422</v>
      </c>
      <c r="AF4" s="461" t="s">
        <v>1454</v>
      </c>
      <c r="AG4" s="461" t="s">
        <v>1455</v>
      </c>
      <c r="AH4" s="461" t="s">
        <v>1456</v>
      </c>
      <c r="AI4" s="461" t="s">
        <v>1692</v>
      </c>
      <c r="AJ4" s="461" t="s">
        <v>1693</v>
      </c>
      <c r="AK4" s="461" t="s">
        <v>1694</v>
      </c>
      <c r="AL4" s="461" t="s">
        <v>1708</v>
      </c>
      <c r="AM4" s="461" t="s">
        <v>1709</v>
      </c>
      <c r="AN4" s="461" t="s">
        <v>1710</v>
      </c>
      <c r="AO4" s="461" t="s">
        <v>1760</v>
      </c>
      <c r="AP4" s="461" t="s">
        <v>1761</v>
      </c>
      <c r="AQ4" s="461" t="s">
        <v>1762</v>
      </c>
      <c r="AR4" s="461" t="s">
        <v>1812</v>
      </c>
      <c r="AS4" s="461" t="s">
        <v>1813</v>
      </c>
      <c r="AT4" s="461" t="s">
        <v>1814</v>
      </c>
      <c r="AU4" s="461" t="s">
        <v>1827</v>
      </c>
      <c r="AV4" s="461" t="s">
        <v>1828</v>
      </c>
      <c r="AW4" s="461" t="s">
        <v>1829</v>
      </c>
      <c r="AX4" s="461" t="s">
        <v>1836</v>
      </c>
      <c r="AY4" s="461" t="s">
        <v>1837</v>
      </c>
      <c r="AZ4" s="461" t="s">
        <v>1838</v>
      </c>
      <c r="BA4" s="461" t="s">
        <v>1863</v>
      </c>
      <c r="BB4" s="461" t="s">
        <v>1864</v>
      </c>
      <c r="BC4" s="461" t="s">
        <v>1865</v>
      </c>
      <c r="BD4" s="461" t="s">
        <v>2232</v>
      </c>
      <c r="BE4" s="461" t="s">
        <v>2233</v>
      </c>
      <c r="BF4" s="461" t="s">
        <v>2234</v>
      </c>
      <c r="BG4" s="461" t="s">
        <v>2240</v>
      </c>
      <c r="BH4" s="461" t="s">
        <v>2241</v>
      </c>
      <c r="BI4" s="461" t="s">
        <v>2242</v>
      </c>
      <c r="BJ4" s="461" t="s">
        <v>2250</v>
      </c>
      <c r="BK4" s="461" t="s">
        <v>2251</v>
      </c>
      <c r="BL4" s="461" t="s">
        <v>2252</v>
      </c>
      <c r="BM4" s="461" t="s">
        <v>2261</v>
      </c>
      <c r="BN4" s="461" t="s">
        <v>2262</v>
      </c>
      <c r="BO4" s="461" t="s">
        <v>2263</v>
      </c>
      <c r="BP4" s="461" t="s">
        <v>2273</v>
      </c>
      <c r="BQ4" s="461" t="s">
        <v>2274</v>
      </c>
      <c r="BR4" s="461" t="s">
        <v>2275</v>
      </c>
      <c r="BS4" s="461" t="s">
        <v>2288</v>
      </c>
      <c r="BT4" s="461" t="s">
        <v>2289</v>
      </c>
      <c r="BU4" s="461" t="s">
        <v>2290</v>
      </c>
      <c r="BV4" s="461" t="s">
        <v>2345</v>
      </c>
      <c r="BW4" s="461" t="s">
        <v>2346</v>
      </c>
      <c r="BX4" s="1165" t="s">
        <v>2347</v>
      </c>
      <c r="BY4" s="1165" t="s">
        <v>2443</v>
      </c>
      <c r="BZ4" s="1165" t="s">
        <v>2444</v>
      </c>
      <c r="CA4" s="1165" t="s">
        <v>2445</v>
      </c>
      <c r="CB4" s="1165" t="s">
        <v>2483</v>
      </c>
      <c r="CC4" s="1165" t="s">
        <v>2487</v>
      </c>
      <c r="CD4" s="1165" t="s">
        <v>2508</v>
      </c>
      <c r="CE4" s="1165" t="s">
        <v>2521</v>
      </c>
      <c r="CF4" s="1165" t="s">
        <v>2522</v>
      </c>
      <c r="CG4" s="1165" t="s">
        <v>2523</v>
      </c>
      <c r="CH4" s="1165" t="s">
        <v>2540</v>
      </c>
      <c r="CI4" s="1165" t="s">
        <v>2541</v>
      </c>
      <c r="CJ4" s="1165" t="s">
        <v>2542</v>
      </c>
      <c r="CK4" s="1165" t="s">
        <v>2569</v>
      </c>
      <c r="CL4" s="1165" t="s">
        <v>2570</v>
      </c>
      <c r="CM4" s="1165" t="s">
        <v>2571</v>
      </c>
      <c r="CN4" s="1165" t="s">
        <v>2683</v>
      </c>
      <c r="CO4" s="1165" t="s">
        <v>2684</v>
      </c>
      <c r="CP4" s="1165" t="s">
        <v>2685</v>
      </c>
      <c r="CQ4" s="1165" t="s">
        <v>2711</v>
      </c>
      <c r="CR4" s="1165" t="s">
        <v>2712</v>
      </c>
      <c r="CS4" s="1165" t="s">
        <v>2713</v>
      </c>
      <c r="CT4" s="1165" t="s">
        <v>2766</v>
      </c>
      <c r="CU4" s="1165" t="s">
        <v>2767</v>
      </c>
      <c r="CV4" s="1165" t="s">
        <v>2768</v>
      </c>
    </row>
    <row r="5" spans="1:100">
      <c r="A5" s="541" t="str">
        <f>+B5</f>
        <v>1010000</v>
      </c>
      <c r="B5" s="541" t="s">
        <v>1541</v>
      </c>
      <c r="C5" s="463" t="s">
        <v>589</v>
      </c>
      <c r="D5" s="397">
        <v>1188438144.46</v>
      </c>
      <c r="E5" s="397">
        <v>1181375109.0899999</v>
      </c>
      <c r="F5" s="397">
        <v>1183669611.1700001</v>
      </c>
      <c r="G5" s="397">
        <v>1187818086.28</v>
      </c>
      <c r="H5" s="397">
        <v>1193444141.6099999</v>
      </c>
      <c r="I5" s="397">
        <v>1196718822.3299999</v>
      </c>
      <c r="J5" s="397">
        <v>1205461196.28</v>
      </c>
      <c r="K5" s="397">
        <v>1217215082.8699999</v>
      </c>
      <c r="L5" s="397">
        <v>1219768821.8399999</v>
      </c>
      <c r="M5" s="397">
        <v>1221185968.05</v>
      </c>
      <c r="N5" s="397">
        <v>1226654487.26</v>
      </c>
      <c r="O5" s="397">
        <v>1230602459.26</v>
      </c>
      <c r="P5" s="398">
        <v>1237774817.28</v>
      </c>
      <c r="Q5" s="186">
        <v>1243453386.9300001</v>
      </c>
      <c r="R5" s="186">
        <v>1239784853.5699999</v>
      </c>
      <c r="S5" s="186">
        <v>1247743088.6099999</v>
      </c>
      <c r="T5" s="186">
        <v>1255789698.6700001</v>
      </c>
      <c r="U5" s="186">
        <v>1263521357.9300001</v>
      </c>
      <c r="V5" s="186">
        <v>1273021195.1500001</v>
      </c>
      <c r="W5" s="186">
        <v>1278370429.4000001</v>
      </c>
      <c r="X5" s="186">
        <v>1280724126.74</v>
      </c>
      <c r="Y5" s="186">
        <v>1284361394.1199999</v>
      </c>
      <c r="Z5" s="186">
        <v>1285704724.3900001</v>
      </c>
      <c r="AA5" s="186">
        <v>1290505400.77</v>
      </c>
      <c r="AB5" s="186">
        <v>1306055752.6700001</v>
      </c>
      <c r="AC5" s="186">
        <v>1307925714.0699999</v>
      </c>
      <c r="AD5" s="186">
        <v>1312431109.54</v>
      </c>
      <c r="AE5" s="186">
        <v>1322755935.72</v>
      </c>
      <c r="AF5" s="186">
        <v>1329266317.1900001</v>
      </c>
      <c r="AG5" s="186">
        <v>1334332726.99</v>
      </c>
      <c r="AH5" s="186">
        <v>1337224990.6500001</v>
      </c>
      <c r="AI5" s="186">
        <v>1347244874.27</v>
      </c>
      <c r="AJ5" s="186">
        <v>1356728799.3099999</v>
      </c>
      <c r="AK5" s="186">
        <v>1360597866.1900001</v>
      </c>
      <c r="AL5" s="186">
        <v>1365895871.6199999</v>
      </c>
      <c r="AM5" s="186">
        <v>1376010821.8299999</v>
      </c>
      <c r="AN5" s="186">
        <v>1379384662.24</v>
      </c>
      <c r="AO5" s="186">
        <v>1380967784.3299999</v>
      </c>
      <c r="AP5" s="186">
        <v>1387344814.55</v>
      </c>
      <c r="AQ5" s="186">
        <v>1399295449.5</v>
      </c>
      <c r="AR5" s="186">
        <v>1399609417.1800001</v>
      </c>
      <c r="AS5" s="186">
        <v>1402003841.02</v>
      </c>
      <c r="AT5" s="186">
        <v>1414377121.22</v>
      </c>
      <c r="AU5" s="186">
        <v>1419403427.1700001</v>
      </c>
      <c r="AV5" s="186">
        <v>1419263811.6700001</v>
      </c>
      <c r="AW5" s="186">
        <v>1434909742.95</v>
      </c>
      <c r="AX5" s="186">
        <v>1443639091.9200001</v>
      </c>
      <c r="AY5" s="186">
        <v>1445030153.6500001</v>
      </c>
      <c r="AZ5" s="186">
        <v>1454809795</v>
      </c>
      <c r="BA5" s="186">
        <v>1456901142.1099999</v>
      </c>
      <c r="BB5" s="186">
        <v>1485655069.6199999</v>
      </c>
      <c r="BC5" s="186">
        <v>1498293140.1800001</v>
      </c>
      <c r="BD5" s="186">
        <v>1505702373.5699999</v>
      </c>
      <c r="BE5" s="186">
        <v>1508978962.3499999</v>
      </c>
      <c r="BF5" s="186">
        <v>1521219901.6900001</v>
      </c>
      <c r="BG5" s="186">
        <v>1523942752.9100001</v>
      </c>
      <c r="BH5" s="186">
        <v>1541525532.6400001</v>
      </c>
      <c r="BI5" s="186">
        <v>1550361331.8800001</v>
      </c>
      <c r="BJ5" s="186">
        <v>1553271404.5599999</v>
      </c>
      <c r="BK5" s="186">
        <v>1556639342.23</v>
      </c>
      <c r="BL5" s="186">
        <v>1571168666.03</v>
      </c>
      <c r="BM5" s="186">
        <v>1574185211.3099999</v>
      </c>
      <c r="BN5" s="186">
        <v>1578994550.5899999</v>
      </c>
      <c r="BO5" s="186">
        <v>1592070662.9200001</v>
      </c>
      <c r="BP5" s="186">
        <v>1601334072.53</v>
      </c>
      <c r="BQ5" s="186">
        <v>1612685331.8900001</v>
      </c>
      <c r="BR5" s="186">
        <v>1638034321.6099999</v>
      </c>
      <c r="BS5" s="186">
        <v>1641548263.23</v>
      </c>
      <c r="BT5" s="186">
        <v>1645419289.0699999</v>
      </c>
      <c r="BU5" s="186">
        <v>1659929375.55</v>
      </c>
      <c r="BV5" s="186">
        <v>1675381568.55</v>
      </c>
      <c r="BW5" s="186">
        <v>1685840446.9200001</v>
      </c>
      <c r="BX5" s="186">
        <v>1719277611.5699999</v>
      </c>
      <c r="BY5" s="186">
        <v>1722370602.3900001</v>
      </c>
      <c r="BZ5" s="186">
        <v>1717543335.01</v>
      </c>
      <c r="CA5" s="186">
        <v>1733113857.9100001</v>
      </c>
      <c r="CB5" s="186">
        <v>1737708178.29</v>
      </c>
      <c r="CC5" s="186">
        <v>1752095483.46</v>
      </c>
      <c r="CD5" s="186">
        <v>1770287739.9200001</v>
      </c>
      <c r="CE5" s="186">
        <v>1775799561.4200001</v>
      </c>
      <c r="CF5" s="186">
        <v>1777592586.3900001</v>
      </c>
      <c r="CG5" s="186">
        <v>1800710566.9400001</v>
      </c>
      <c r="CH5" s="186">
        <v>1803688689.6700001</v>
      </c>
      <c r="CI5" s="186">
        <v>1805576868.5799999</v>
      </c>
      <c r="CJ5" s="186">
        <v>1869700333.79</v>
      </c>
      <c r="CK5" s="186">
        <v>1870076642.52</v>
      </c>
      <c r="CL5" s="186">
        <v>1884351946.8599999</v>
      </c>
      <c r="CM5" s="186">
        <v>1890043797.6800001</v>
      </c>
      <c r="CN5" s="186">
        <v>1901225432.47</v>
      </c>
      <c r="CO5" s="186">
        <v>1942744871.3299999</v>
      </c>
      <c r="CP5" s="186">
        <v>1968537429.01</v>
      </c>
      <c r="CQ5" s="186">
        <v>2043575655.5799999</v>
      </c>
      <c r="CR5" s="186">
        <v>2044747650.0799999</v>
      </c>
      <c r="CS5" s="186">
        <v>2110173824.8399999</v>
      </c>
      <c r="CT5" s="186">
        <v>2124604509.2</v>
      </c>
      <c r="CU5" s="186">
        <v>2142216450.3199999</v>
      </c>
      <c r="CV5" s="186">
        <v>2168081826.3699999</v>
      </c>
    </row>
    <row r="6" spans="1:100">
      <c r="A6" s="541" t="str">
        <f t="shared" ref="A6:A70" si="0">+B6</f>
        <v>1040000</v>
      </c>
      <c r="B6" s="541" t="s">
        <v>1481</v>
      </c>
      <c r="C6" s="463" t="s">
        <v>1457</v>
      </c>
      <c r="D6" s="397"/>
      <c r="E6" s="397"/>
      <c r="F6" s="397"/>
      <c r="G6" s="397"/>
      <c r="H6" s="397"/>
      <c r="I6" s="397"/>
      <c r="J6" s="397"/>
      <c r="K6" s="397"/>
      <c r="L6" s="397"/>
      <c r="M6" s="397"/>
      <c r="N6" s="397"/>
      <c r="O6" s="397"/>
      <c r="P6" s="398"/>
      <c r="Q6" s="186"/>
      <c r="R6" s="186"/>
      <c r="S6" s="186"/>
      <c r="T6" s="186"/>
      <c r="U6" s="186"/>
      <c r="V6" s="186"/>
      <c r="W6" s="186"/>
      <c r="X6" s="186"/>
      <c r="Y6" s="186"/>
      <c r="Z6" s="186"/>
      <c r="AA6" s="186"/>
      <c r="AB6" s="186"/>
      <c r="AC6" s="186"/>
      <c r="AD6" s="186"/>
      <c r="AE6" s="186"/>
      <c r="AF6" s="186">
        <v>0</v>
      </c>
      <c r="AG6" s="186">
        <v>0</v>
      </c>
      <c r="AH6" s="186">
        <v>9286155.6300000008</v>
      </c>
      <c r="AI6" s="186">
        <v>11734138</v>
      </c>
      <c r="AJ6" s="186">
        <v>11832383.210000001</v>
      </c>
      <c r="AK6" s="186">
        <v>12032563.85</v>
      </c>
      <c r="AL6" s="186">
        <v>12032563.85</v>
      </c>
      <c r="AM6" s="186">
        <v>12032563.85</v>
      </c>
      <c r="AN6" s="186">
        <v>12033286.029999999</v>
      </c>
      <c r="AO6" s="186">
        <v>12033286.029999999</v>
      </c>
      <c r="AP6" s="186">
        <v>12033286.029999999</v>
      </c>
      <c r="AQ6" s="186">
        <v>12033286.029999999</v>
      </c>
      <c r="AR6" s="186">
        <v>12033286.029999999</v>
      </c>
      <c r="AS6" s="186">
        <v>12033286.029999999</v>
      </c>
      <c r="AT6" s="186">
        <v>12033286.029999999</v>
      </c>
      <c r="AU6" s="186">
        <v>12033286.029999999</v>
      </c>
      <c r="AV6" s="186">
        <v>12033286.029999999</v>
      </c>
      <c r="AW6" s="186">
        <v>12033286.029999999</v>
      </c>
      <c r="AX6" s="186">
        <v>12033286.029999999</v>
      </c>
      <c r="AY6" s="186">
        <v>12033286.029999999</v>
      </c>
      <c r="AZ6" s="186">
        <v>12033286.029999999</v>
      </c>
      <c r="BA6" s="186">
        <v>12033286.029999999</v>
      </c>
      <c r="BB6" s="186">
        <v>12033286.029999999</v>
      </c>
      <c r="BC6" s="186">
        <v>12033286.029999999</v>
      </c>
      <c r="BD6" s="186">
        <v>12033286.029999999</v>
      </c>
      <c r="BE6" s="186">
        <v>12033286.029999999</v>
      </c>
      <c r="BF6" s="186">
        <v>12033286.029999999</v>
      </c>
      <c r="BG6" s="186">
        <v>12033286.029999999</v>
      </c>
      <c r="BH6" s="186">
        <v>12033286.029999999</v>
      </c>
      <c r="BI6" s="186">
        <v>12033286.029999999</v>
      </c>
      <c r="BJ6" s="186">
        <v>12033286.029999999</v>
      </c>
      <c r="BK6" s="186">
        <v>12033286.029999999</v>
      </c>
      <c r="BL6" s="186">
        <v>12033286.029999999</v>
      </c>
      <c r="BM6" s="186">
        <v>12033286.029999999</v>
      </c>
      <c r="BN6" s="186">
        <v>12033286.029999999</v>
      </c>
      <c r="BO6" s="186">
        <v>12033286.029999999</v>
      </c>
      <c r="BP6" s="186">
        <v>13128442.310000001</v>
      </c>
      <c r="BQ6" s="186">
        <v>13128442.310000001</v>
      </c>
      <c r="BR6" s="186">
        <v>13128442.310000001</v>
      </c>
      <c r="BS6" s="186">
        <v>13128442.310000001</v>
      </c>
      <c r="BT6" s="186">
        <v>13128442.310000001</v>
      </c>
      <c r="BU6" s="186">
        <v>13128442.310000001</v>
      </c>
      <c r="BV6" s="186">
        <v>13128442.310000001</v>
      </c>
      <c r="BW6" s="186">
        <v>13128442.310000001</v>
      </c>
      <c r="BX6" s="186">
        <v>13128442.310000001</v>
      </c>
      <c r="BY6" s="186">
        <v>13128442.310000001</v>
      </c>
      <c r="BZ6" s="186">
        <v>13128442.310000001</v>
      </c>
      <c r="CA6" s="186">
        <v>13128442.310000001</v>
      </c>
      <c r="CB6" s="186">
        <v>13128442.310000001</v>
      </c>
      <c r="CC6" s="186">
        <v>13128442.310000001</v>
      </c>
      <c r="CD6" s="186">
        <v>13128442.310000001</v>
      </c>
      <c r="CE6" s="186">
        <v>13128442.310000001</v>
      </c>
      <c r="CF6" s="186">
        <v>13128442.310000001</v>
      </c>
      <c r="CG6" s="186">
        <v>13128442.310000001</v>
      </c>
      <c r="CH6" s="186">
        <v>13128442.310000001</v>
      </c>
      <c r="CI6" s="186">
        <v>13128442.310000001</v>
      </c>
      <c r="CJ6" s="186">
        <v>13128442.310000001</v>
      </c>
      <c r="CK6" s="186">
        <v>13128442.310000001</v>
      </c>
      <c r="CL6" s="186">
        <v>13128442.310000001</v>
      </c>
      <c r="CM6" s="186">
        <v>13128442.310000001</v>
      </c>
      <c r="CN6" s="186">
        <v>13128442.310000001</v>
      </c>
      <c r="CO6" s="186">
        <v>13128442.310000001</v>
      </c>
      <c r="CP6" s="186">
        <v>13128442.310000001</v>
      </c>
      <c r="CQ6" s="186">
        <v>13128442.310000001</v>
      </c>
      <c r="CR6" s="186">
        <v>13128442.310000001</v>
      </c>
      <c r="CS6" s="186">
        <v>13128442.310000001</v>
      </c>
      <c r="CT6" s="186">
        <v>13128442.310000001</v>
      </c>
      <c r="CU6" s="186">
        <v>13128442.310000001</v>
      </c>
      <c r="CV6" s="186">
        <v>13128442.310000001</v>
      </c>
    </row>
    <row r="7" spans="1:100" ht="13.5" thickBot="1">
      <c r="A7" s="541" t="str">
        <f t="shared" si="0"/>
        <v>1040001</v>
      </c>
      <c r="B7" s="541" t="s">
        <v>1542</v>
      </c>
      <c r="C7" s="510" t="s">
        <v>1458</v>
      </c>
      <c r="D7" s="397"/>
      <c r="E7" s="397"/>
      <c r="F7" s="397"/>
      <c r="G7" s="397"/>
      <c r="H7" s="397"/>
      <c r="I7" s="397"/>
      <c r="J7" s="397"/>
      <c r="K7" s="397"/>
      <c r="L7" s="397"/>
      <c r="M7" s="397"/>
      <c r="N7" s="397"/>
      <c r="O7" s="397"/>
      <c r="P7" s="398"/>
      <c r="Q7" s="186"/>
      <c r="R7" s="186"/>
      <c r="S7" s="186"/>
      <c r="T7" s="186"/>
      <c r="U7" s="186"/>
      <c r="V7" s="186"/>
      <c r="W7" s="186"/>
      <c r="X7" s="186"/>
      <c r="Y7" s="186"/>
      <c r="Z7" s="186"/>
      <c r="AA7" s="186"/>
      <c r="AB7" s="186"/>
      <c r="AC7" s="186"/>
      <c r="AD7" s="186"/>
      <c r="AE7" s="186"/>
      <c r="AF7" s="186">
        <v>0</v>
      </c>
      <c r="AG7" s="186">
        <v>0</v>
      </c>
      <c r="AH7" s="511">
        <v>-7851977</v>
      </c>
      <c r="AI7" s="511">
        <v>-7851977</v>
      </c>
      <c r="AJ7" s="511">
        <v>-7851977</v>
      </c>
      <c r="AK7" s="511">
        <v>-7851977</v>
      </c>
      <c r="AL7" s="525">
        <v>-7851977</v>
      </c>
      <c r="AM7" s="525">
        <v>-10596977</v>
      </c>
      <c r="AN7" s="525">
        <v>-10596977</v>
      </c>
      <c r="AO7" s="525">
        <v>-10596977</v>
      </c>
      <c r="AP7" s="525">
        <v>-10596977</v>
      </c>
      <c r="AQ7" s="525">
        <v>-10596977</v>
      </c>
      <c r="AR7" s="525">
        <v>-10596977</v>
      </c>
      <c r="AS7" s="525">
        <v>-10596977</v>
      </c>
      <c r="AT7" s="525">
        <v>-10596977</v>
      </c>
      <c r="AU7" s="525">
        <v>-10596977</v>
      </c>
      <c r="AV7" s="525">
        <v>-10596977</v>
      </c>
      <c r="AW7" s="525">
        <v>-10596977</v>
      </c>
      <c r="AX7" s="525">
        <v>-10596977</v>
      </c>
      <c r="AY7" s="525">
        <v>-10596977</v>
      </c>
      <c r="AZ7" s="525">
        <v>-10596977</v>
      </c>
      <c r="BA7" s="525">
        <v>-10596977</v>
      </c>
      <c r="BB7" s="525">
        <v>-10596977</v>
      </c>
      <c r="BC7" s="525">
        <v>-10596977</v>
      </c>
      <c r="BD7" s="525">
        <v>-10596977</v>
      </c>
      <c r="BE7" s="525">
        <v>-10596977</v>
      </c>
      <c r="BF7" s="525">
        <v>-10596977</v>
      </c>
      <c r="BG7" s="525">
        <v>-10596977</v>
      </c>
      <c r="BH7" s="525">
        <v>-10596977</v>
      </c>
      <c r="BI7" s="525">
        <v>-10596977</v>
      </c>
      <c r="BJ7" s="525">
        <v>-10596977</v>
      </c>
      <c r="BK7" s="525">
        <v>-10596977</v>
      </c>
      <c r="BL7" s="525">
        <v>-10596977</v>
      </c>
      <c r="BM7" s="525">
        <v>-10596977</v>
      </c>
      <c r="BN7" s="525">
        <v>-10596977</v>
      </c>
      <c r="BO7" s="525">
        <v>-10596977</v>
      </c>
      <c r="BP7" s="525">
        <v>-10596977</v>
      </c>
      <c r="BQ7" s="525">
        <v>-10596977</v>
      </c>
      <c r="BR7" s="525">
        <v>-10596977</v>
      </c>
      <c r="BS7" s="525">
        <v>-10596977</v>
      </c>
      <c r="BT7" s="525">
        <v>-10596977</v>
      </c>
      <c r="BU7" s="525">
        <v>-10596977</v>
      </c>
      <c r="BV7" s="525">
        <v>-10596977</v>
      </c>
      <c r="BW7" s="525">
        <v>-10596977</v>
      </c>
      <c r="BX7" s="525">
        <v>-10596977</v>
      </c>
      <c r="BY7" s="525">
        <v>-10596977</v>
      </c>
      <c r="BZ7" s="525">
        <v>-10596977</v>
      </c>
      <c r="CA7" s="525">
        <v>-10596977</v>
      </c>
      <c r="CB7" s="525">
        <v>-10596977</v>
      </c>
      <c r="CC7" s="525">
        <v>-10596977</v>
      </c>
      <c r="CD7" s="525">
        <v>-10596977</v>
      </c>
      <c r="CE7" s="525">
        <v>-10596977</v>
      </c>
      <c r="CF7" s="525">
        <v>-10596977</v>
      </c>
      <c r="CG7" s="525">
        <v>-10596977</v>
      </c>
      <c r="CH7" s="525">
        <v>-10596977</v>
      </c>
      <c r="CI7" s="525">
        <v>-10596977</v>
      </c>
      <c r="CJ7" s="525">
        <v>-10596977</v>
      </c>
      <c r="CK7" s="525">
        <v>-10596977</v>
      </c>
      <c r="CL7" s="525">
        <v>-10596977</v>
      </c>
      <c r="CM7" s="525">
        <v>-10596977</v>
      </c>
      <c r="CN7" s="525">
        <v>-10596977</v>
      </c>
      <c r="CO7" s="525">
        <v>-10596977</v>
      </c>
      <c r="CP7" s="525">
        <v>-10596977</v>
      </c>
      <c r="CQ7" s="525">
        <v>-10596977</v>
      </c>
      <c r="CR7" s="525">
        <v>-10596977</v>
      </c>
      <c r="CS7" s="525">
        <v>-10596977</v>
      </c>
      <c r="CT7" s="525">
        <v>-10596977</v>
      </c>
      <c r="CU7" s="525">
        <v>-10596977</v>
      </c>
      <c r="CV7" s="525">
        <v>-10596977</v>
      </c>
    </row>
    <row r="8" spans="1:100">
      <c r="A8" s="541" t="str">
        <f t="shared" si="0"/>
        <v>1050000</v>
      </c>
      <c r="B8" s="802" t="s">
        <v>1482</v>
      </c>
      <c r="C8" s="825" t="s">
        <v>590</v>
      </c>
      <c r="D8" s="399">
        <v>1937574.45</v>
      </c>
      <c r="E8" s="399">
        <v>1939551.55</v>
      </c>
      <c r="F8" s="399">
        <v>1939551.55</v>
      </c>
      <c r="G8" s="399">
        <v>2983016.36</v>
      </c>
      <c r="H8" s="399">
        <v>2983016.36</v>
      </c>
      <c r="I8" s="399">
        <v>2983016.36</v>
      </c>
      <c r="J8" s="399">
        <v>2983016.36</v>
      </c>
      <c r="K8" s="399">
        <v>2983016.36</v>
      </c>
      <c r="L8" s="399">
        <v>2983016.36</v>
      </c>
      <c r="M8" s="399">
        <v>2983016.36</v>
      </c>
      <c r="N8" s="399">
        <v>2983066.99</v>
      </c>
      <c r="O8" s="399">
        <v>2983066.99</v>
      </c>
      <c r="P8" s="400">
        <v>2984633.79</v>
      </c>
      <c r="Q8" s="186">
        <v>2984633.79</v>
      </c>
      <c r="R8" s="186">
        <v>2984633.79</v>
      </c>
      <c r="S8" s="186">
        <v>2984633.79</v>
      </c>
      <c r="T8" s="186">
        <v>2984633.79</v>
      </c>
      <c r="U8" s="186">
        <v>2984633.79</v>
      </c>
      <c r="V8" s="186">
        <v>1939551.55</v>
      </c>
      <c r="W8" s="186">
        <v>1939551.55</v>
      </c>
      <c r="X8" s="186">
        <v>1939551.55</v>
      </c>
      <c r="Y8" s="186">
        <v>1939551.55</v>
      </c>
      <c r="Z8" s="186">
        <v>1939551.55</v>
      </c>
      <c r="AA8" s="186">
        <v>1939551.55</v>
      </c>
      <c r="AB8" s="186">
        <v>1939551.55</v>
      </c>
      <c r="AC8" s="186">
        <v>1939551.55</v>
      </c>
      <c r="AD8" s="186">
        <v>1939551.55</v>
      </c>
      <c r="AE8" s="186">
        <v>1939551.55</v>
      </c>
      <c r="AF8" s="186">
        <v>1939551.55</v>
      </c>
      <c r="AG8" s="186">
        <v>1939551.55</v>
      </c>
      <c r="AH8" s="186">
        <v>1939551.55</v>
      </c>
      <c r="AI8" s="186">
        <v>1939551.55</v>
      </c>
      <c r="AJ8" s="186">
        <v>1939551.55</v>
      </c>
      <c r="AK8" s="186">
        <v>1939551.55</v>
      </c>
      <c r="AL8" s="186">
        <v>1939551.55</v>
      </c>
      <c r="AM8" s="186">
        <v>1939551.55</v>
      </c>
      <c r="AN8" s="186">
        <v>1939551.55</v>
      </c>
      <c r="AO8" s="186">
        <v>1939551.55</v>
      </c>
      <c r="AP8" s="186">
        <v>1939551.55</v>
      </c>
      <c r="AQ8" s="186">
        <v>1939551.55</v>
      </c>
      <c r="AR8" s="186">
        <v>1939551.55</v>
      </c>
      <c r="AS8" s="186">
        <v>1939551.55</v>
      </c>
      <c r="AT8" s="186">
        <v>1939551.55</v>
      </c>
      <c r="AU8" s="186">
        <v>1939551.55</v>
      </c>
      <c r="AV8" s="186">
        <v>1939551.55</v>
      </c>
      <c r="AW8" s="186">
        <v>1939551.55</v>
      </c>
      <c r="AX8" s="186">
        <v>1939551.55</v>
      </c>
      <c r="AY8" s="186">
        <v>1939551.55</v>
      </c>
      <c r="AZ8" s="186">
        <v>1939551.55</v>
      </c>
      <c r="BA8" s="186">
        <v>1939551.55</v>
      </c>
      <c r="BB8" s="186">
        <v>1939551.55</v>
      </c>
      <c r="BC8" s="186">
        <v>1939551.55</v>
      </c>
      <c r="BD8" s="186">
        <v>1939551.55</v>
      </c>
      <c r="BE8" s="186">
        <v>1939551.55</v>
      </c>
      <c r="BF8" s="186">
        <v>1939551.55</v>
      </c>
      <c r="BG8" s="186">
        <v>1939551.55</v>
      </c>
      <c r="BH8" s="186">
        <v>1939551.55</v>
      </c>
      <c r="BI8" s="186">
        <v>1939551.55</v>
      </c>
      <c r="BJ8" s="186">
        <v>1939551.55</v>
      </c>
      <c r="BK8" s="186">
        <v>1939551.55</v>
      </c>
      <c r="BL8" s="186">
        <v>1939551.55</v>
      </c>
      <c r="BM8" s="186">
        <v>1939551.55</v>
      </c>
      <c r="BN8" s="186">
        <v>1939551.55</v>
      </c>
      <c r="BO8" s="186">
        <v>1939551.55</v>
      </c>
      <c r="BP8" s="186">
        <v>1939551.55</v>
      </c>
      <c r="BQ8" s="186">
        <v>1939551.55</v>
      </c>
      <c r="BR8" s="186">
        <v>1939551.55</v>
      </c>
      <c r="BS8" s="186">
        <v>1939551.55</v>
      </c>
      <c r="BT8" s="186">
        <v>1939551.55</v>
      </c>
      <c r="BU8" s="186">
        <v>1939551.55</v>
      </c>
      <c r="BV8" s="186">
        <v>1939551.55</v>
      </c>
      <c r="BW8" s="186">
        <v>1939551.55</v>
      </c>
      <c r="BX8" s="186">
        <v>1939551.55</v>
      </c>
      <c r="BY8" s="186">
        <v>1939551.55</v>
      </c>
      <c r="BZ8" s="186">
        <v>1939551.55</v>
      </c>
      <c r="CA8" s="186">
        <v>1939551.55</v>
      </c>
      <c r="CB8" s="186">
        <v>1939551.55</v>
      </c>
      <c r="CC8" s="186">
        <v>1939551.55</v>
      </c>
      <c r="CD8" s="186">
        <v>1939551.55</v>
      </c>
      <c r="CE8" s="186">
        <v>1939551.55</v>
      </c>
      <c r="CF8" s="186">
        <v>1939551.55</v>
      </c>
      <c r="CG8" s="186">
        <v>1939551.55</v>
      </c>
      <c r="CH8" s="186">
        <v>1939551.55</v>
      </c>
      <c r="CI8" s="186">
        <v>1939551.55</v>
      </c>
      <c r="CJ8" s="186">
        <v>1939551.55</v>
      </c>
      <c r="CK8" s="186">
        <v>1939551.55</v>
      </c>
      <c r="CL8" s="186">
        <v>1939551.55</v>
      </c>
      <c r="CM8" s="186">
        <v>1939551.55</v>
      </c>
      <c r="CN8" s="186">
        <v>1939551.55</v>
      </c>
      <c r="CO8" s="186">
        <v>1939551.55</v>
      </c>
      <c r="CP8" s="186">
        <v>1939551.55</v>
      </c>
      <c r="CQ8" s="186">
        <v>1939551.55</v>
      </c>
      <c r="CR8" s="186">
        <v>1939551.55</v>
      </c>
      <c r="CS8" s="186">
        <v>1939551.55</v>
      </c>
      <c r="CT8" s="186">
        <v>1939551.55</v>
      </c>
      <c r="CU8" s="186">
        <v>1939551.55</v>
      </c>
      <c r="CV8" s="186">
        <v>1939551.55</v>
      </c>
    </row>
    <row r="9" spans="1:100">
      <c r="A9" s="541" t="str">
        <f t="shared" si="0"/>
        <v>1060000</v>
      </c>
      <c r="B9" s="541" t="s">
        <v>1483</v>
      </c>
      <c r="C9" s="463" t="s">
        <v>591</v>
      </c>
      <c r="D9" s="397">
        <v>55155772.07</v>
      </c>
      <c r="E9" s="397">
        <v>59777134.939999998</v>
      </c>
      <c r="F9" s="397">
        <v>59522741.600000001</v>
      </c>
      <c r="G9" s="397">
        <v>59811525.289999999</v>
      </c>
      <c r="H9" s="397">
        <v>60269073.789999999</v>
      </c>
      <c r="I9" s="397">
        <v>60378387.729999997</v>
      </c>
      <c r="J9" s="397">
        <v>54234691.420000002</v>
      </c>
      <c r="K9" s="397">
        <v>53319052.539999999</v>
      </c>
      <c r="L9" s="397">
        <v>55502445.530000001</v>
      </c>
      <c r="M9" s="397">
        <v>59575230</v>
      </c>
      <c r="N9" s="397">
        <v>63821406.780000001</v>
      </c>
      <c r="O9" s="397">
        <v>65705035.090000004</v>
      </c>
      <c r="P9" s="398">
        <v>65158239.32</v>
      </c>
      <c r="Q9" s="186">
        <v>64389407.079999998</v>
      </c>
      <c r="R9" s="186">
        <v>68828252.959999993</v>
      </c>
      <c r="S9" s="186">
        <v>64965719.759999998</v>
      </c>
      <c r="T9" s="186">
        <v>72489418</v>
      </c>
      <c r="U9" s="186">
        <v>72631177.180000007</v>
      </c>
      <c r="V9" s="186">
        <v>80039720.680000007</v>
      </c>
      <c r="W9" s="186">
        <v>78249525.939999998</v>
      </c>
      <c r="X9" s="186">
        <v>79646995.340000004</v>
      </c>
      <c r="Y9" s="186">
        <v>83186059.040000007</v>
      </c>
      <c r="Z9" s="186">
        <v>87491897.939999998</v>
      </c>
      <c r="AA9" s="186">
        <v>91246711.870000005</v>
      </c>
      <c r="AB9" s="186">
        <v>86192242.730000004</v>
      </c>
      <c r="AC9" s="186">
        <v>94491003.510000005</v>
      </c>
      <c r="AD9" s="186">
        <v>95210306.680000007</v>
      </c>
      <c r="AE9" s="186">
        <v>90134370.25</v>
      </c>
      <c r="AF9" s="186">
        <v>89673217.290000007</v>
      </c>
      <c r="AG9" s="186">
        <v>88170581.299999997</v>
      </c>
      <c r="AH9" s="186">
        <v>101902285.98</v>
      </c>
      <c r="AI9" s="186">
        <v>97464103.069999993</v>
      </c>
      <c r="AJ9" s="186">
        <v>94939397.230000004</v>
      </c>
      <c r="AK9" s="186">
        <v>94936476.810000002</v>
      </c>
      <c r="AL9" s="186">
        <v>106629096.68000001</v>
      </c>
      <c r="AM9" s="186">
        <v>103796910.95</v>
      </c>
      <c r="AN9" s="186">
        <v>116017760.18000001</v>
      </c>
      <c r="AO9" s="186">
        <v>123478325.7</v>
      </c>
      <c r="AP9" s="186">
        <v>123104497.54000001</v>
      </c>
      <c r="AQ9" s="186">
        <v>121594992.75</v>
      </c>
      <c r="AR9" s="186">
        <v>126843059.06</v>
      </c>
      <c r="AS9" s="186">
        <v>130438687.8</v>
      </c>
      <c r="AT9" s="186">
        <v>124575686.33</v>
      </c>
      <c r="AU9" s="186">
        <v>126774655.27</v>
      </c>
      <c r="AV9" s="186">
        <v>137418686.12</v>
      </c>
      <c r="AW9" s="186">
        <v>137030683.94</v>
      </c>
      <c r="AX9" s="186">
        <v>139217028.97</v>
      </c>
      <c r="AY9" s="186">
        <v>145683536.13999999</v>
      </c>
      <c r="AZ9" s="186">
        <v>146308565.94</v>
      </c>
      <c r="BA9" s="186">
        <v>157102252.53999999</v>
      </c>
      <c r="BB9" s="186">
        <v>135334145.16999999</v>
      </c>
      <c r="BC9" s="186">
        <v>134638092.81</v>
      </c>
      <c r="BD9" s="186">
        <v>134348672.25</v>
      </c>
      <c r="BE9" s="186">
        <v>147286293.41999999</v>
      </c>
      <c r="BF9" s="186">
        <v>142572224.63</v>
      </c>
      <c r="BG9" s="186">
        <v>148353060.91999999</v>
      </c>
      <c r="BH9" s="186">
        <v>140643217.83000001</v>
      </c>
      <c r="BI9" s="186">
        <v>138692376.77000001</v>
      </c>
      <c r="BJ9" s="186">
        <v>147018174.91</v>
      </c>
      <c r="BK9" s="186">
        <v>170081630.19999999</v>
      </c>
      <c r="BL9" s="186">
        <v>178863957</v>
      </c>
      <c r="BM9" s="186">
        <v>187836788.50999999</v>
      </c>
      <c r="BN9" s="186">
        <v>201744680.5</v>
      </c>
      <c r="BO9" s="186">
        <v>205080951.90000001</v>
      </c>
      <c r="BP9" s="186">
        <v>206811472.78999999</v>
      </c>
      <c r="BQ9" s="186">
        <v>208625228.19</v>
      </c>
      <c r="BR9" s="186">
        <v>198920933.38999999</v>
      </c>
      <c r="BS9" s="186">
        <v>207592067.80000001</v>
      </c>
      <c r="BT9" s="186">
        <v>212178321.44</v>
      </c>
      <c r="BU9" s="186">
        <v>216700510.66999999</v>
      </c>
      <c r="BV9" s="186">
        <v>212255031.72999999</v>
      </c>
      <c r="BW9" s="186">
        <v>225486245.28999999</v>
      </c>
      <c r="BX9" s="186">
        <v>208469489.09</v>
      </c>
      <c r="BY9" s="186">
        <v>214740525.37</v>
      </c>
      <c r="BZ9" s="186">
        <v>233879588.15000001</v>
      </c>
      <c r="CA9" s="186">
        <v>236630022.56</v>
      </c>
      <c r="CB9" s="186">
        <v>245175601.69999999</v>
      </c>
      <c r="CC9" s="186">
        <v>243003938.44</v>
      </c>
      <c r="CD9" s="186">
        <v>239387266.99000001</v>
      </c>
      <c r="CE9" s="186">
        <v>244937641.88</v>
      </c>
      <c r="CF9" s="186">
        <v>262835663.27000001</v>
      </c>
      <c r="CG9" s="186">
        <v>255783925.18000001</v>
      </c>
      <c r="CH9" s="186">
        <v>331089860.20999998</v>
      </c>
      <c r="CI9" s="186">
        <v>349864270.37</v>
      </c>
      <c r="CJ9" s="186">
        <v>307437320.20999998</v>
      </c>
      <c r="CK9" s="186">
        <v>327435776.81</v>
      </c>
      <c r="CL9" s="186">
        <v>320782810.11000001</v>
      </c>
      <c r="CM9" s="186">
        <v>334363018.18000001</v>
      </c>
      <c r="CN9" s="186">
        <v>398104794.31999999</v>
      </c>
      <c r="CO9" s="186">
        <v>370986194.32999998</v>
      </c>
      <c r="CP9" s="186">
        <v>357640735.67000002</v>
      </c>
      <c r="CQ9" s="186">
        <v>292578511.06</v>
      </c>
      <c r="CR9" s="186">
        <v>302547183.81999999</v>
      </c>
      <c r="CS9" s="186">
        <v>247163875.91999999</v>
      </c>
      <c r="CT9" s="186">
        <v>243388959.18000001</v>
      </c>
      <c r="CU9" s="186">
        <v>300047316.99000001</v>
      </c>
      <c r="CV9" s="186">
        <v>297505685.51999998</v>
      </c>
    </row>
    <row r="10" spans="1:100">
      <c r="A10" s="541" t="str">
        <f t="shared" si="0"/>
        <v>1070000</v>
      </c>
      <c r="B10" s="541" t="s">
        <v>1484</v>
      </c>
      <c r="C10" s="463" t="s">
        <v>4</v>
      </c>
      <c r="D10" s="397">
        <v>37999178.799999997</v>
      </c>
      <c r="E10" s="397">
        <v>35807420.920000002</v>
      </c>
      <c r="F10" s="397">
        <v>39501441.969999999</v>
      </c>
      <c r="G10" s="397">
        <v>40111903.259999998</v>
      </c>
      <c r="H10" s="397">
        <v>40338458.479999997</v>
      </c>
      <c r="I10" s="397">
        <v>42218897.460000001</v>
      </c>
      <c r="J10" s="397">
        <v>45750443.969999999</v>
      </c>
      <c r="K10" s="397">
        <v>40929057.259999998</v>
      </c>
      <c r="L10" s="397">
        <v>43483994.240000002</v>
      </c>
      <c r="M10" s="397">
        <v>44285914.039999999</v>
      </c>
      <c r="N10" s="397">
        <v>40392561.509999998</v>
      </c>
      <c r="O10" s="397">
        <v>40115222.409999996</v>
      </c>
      <c r="P10" s="398">
        <v>46635954.68</v>
      </c>
      <c r="Q10" s="186">
        <v>46972143.590000004</v>
      </c>
      <c r="R10" s="186">
        <v>42466526.619999997</v>
      </c>
      <c r="S10" s="186">
        <v>44747851.289999999</v>
      </c>
      <c r="T10" s="186">
        <v>34317936.780000001</v>
      </c>
      <c r="U10" s="186">
        <v>31350733.390000001</v>
      </c>
      <c r="V10" s="186">
        <v>23330873.239999998</v>
      </c>
      <c r="W10" s="186">
        <v>26918285.91</v>
      </c>
      <c r="X10" s="186">
        <v>28581241</v>
      </c>
      <c r="Y10" s="186">
        <v>27609368.649999999</v>
      </c>
      <c r="Z10" s="186">
        <v>30037295.84</v>
      </c>
      <c r="AA10" s="186">
        <v>31116400.140000001</v>
      </c>
      <c r="AB10" s="186">
        <v>32173444.620000001</v>
      </c>
      <c r="AC10" s="186">
        <v>26347085.84</v>
      </c>
      <c r="AD10" s="186">
        <v>34957213.460000001</v>
      </c>
      <c r="AE10" s="186">
        <v>38950809.469999999</v>
      </c>
      <c r="AF10" s="186">
        <v>40408048.75</v>
      </c>
      <c r="AG10" s="186">
        <v>47638018.75</v>
      </c>
      <c r="AH10" s="186">
        <v>31292455.239999998</v>
      </c>
      <c r="AI10" s="186">
        <v>31457023.140000001</v>
      </c>
      <c r="AJ10" s="186">
        <v>32878080.420000002</v>
      </c>
      <c r="AK10" s="186">
        <v>39114341.969999999</v>
      </c>
      <c r="AL10" s="186">
        <v>30953975.800000001</v>
      </c>
      <c r="AM10" s="186">
        <v>33838173.210000001</v>
      </c>
      <c r="AN10" s="186">
        <v>27484714.870000001</v>
      </c>
      <c r="AO10" s="186">
        <v>23589092.920000002</v>
      </c>
      <c r="AP10" s="186">
        <v>25860519.969999999</v>
      </c>
      <c r="AQ10" s="186">
        <v>22431305.52</v>
      </c>
      <c r="AR10" s="186">
        <v>19601495.550000001</v>
      </c>
      <c r="AS10" s="186">
        <v>22896680.879999999</v>
      </c>
      <c r="AT10" s="186">
        <v>23021023.920000002</v>
      </c>
      <c r="AU10" s="186">
        <v>24466916.82</v>
      </c>
      <c r="AV10" s="186">
        <v>26444168.329999998</v>
      </c>
      <c r="AW10" s="186">
        <v>19059484.760000002</v>
      </c>
      <c r="AX10" s="186">
        <v>18962145</v>
      </c>
      <c r="AY10" s="186">
        <v>20898478.719999999</v>
      </c>
      <c r="AZ10" s="186">
        <v>22182235.109999999</v>
      </c>
      <c r="BA10" s="186">
        <v>18556747.960000001</v>
      </c>
      <c r="BB10" s="186">
        <v>20715951.399999999</v>
      </c>
      <c r="BC10" s="186">
        <v>22686371.66</v>
      </c>
      <c r="BD10" s="186">
        <v>24764408.57</v>
      </c>
      <c r="BE10" s="186">
        <v>22852997.649999999</v>
      </c>
      <c r="BF10" s="186">
        <v>25749403.039999999</v>
      </c>
      <c r="BG10" s="186">
        <v>27787371.550000001</v>
      </c>
      <c r="BH10" s="186">
        <v>32937378.98</v>
      </c>
      <c r="BI10" s="186">
        <v>42024779.399999999</v>
      </c>
      <c r="BJ10" s="186">
        <v>49273450.009999998</v>
      </c>
      <c r="BK10" s="186">
        <v>40575117.020000003</v>
      </c>
      <c r="BL10" s="186">
        <v>32694180.890000001</v>
      </c>
      <c r="BM10" s="186">
        <v>37233262.219999999</v>
      </c>
      <c r="BN10" s="186">
        <v>30935389.949999999</v>
      </c>
      <c r="BO10" s="186">
        <v>31118917.460000001</v>
      </c>
      <c r="BP10" s="186">
        <v>32041115.710000001</v>
      </c>
      <c r="BQ10" s="186">
        <v>37503290.119999997</v>
      </c>
      <c r="BR10" s="186">
        <v>39013136.270000003</v>
      </c>
      <c r="BS10" s="186">
        <v>43393050.829999998</v>
      </c>
      <c r="BT10" s="186">
        <v>55128154.759999998</v>
      </c>
      <c r="BU10" s="186">
        <v>55798695.200000003</v>
      </c>
      <c r="BV10" s="186">
        <v>62985742.700000003</v>
      </c>
      <c r="BW10" s="186">
        <v>59495069.460000001</v>
      </c>
      <c r="BX10" s="186">
        <v>71222206.430000007</v>
      </c>
      <c r="BY10" s="186">
        <v>87383269.209999993</v>
      </c>
      <c r="BZ10" s="186">
        <v>89788572.590000004</v>
      </c>
      <c r="CA10" s="186">
        <v>92714028.870000005</v>
      </c>
      <c r="CB10" s="186">
        <v>105186283.93000001</v>
      </c>
      <c r="CC10" s="186">
        <v>119487898.45</v>
      </c>
      <c r="CD10" s="186">
        <v>129123895.42</v>
      </c>
      <c r="CE10" s="186">
        <v>142981953.91999999</v>
      </c>
      <c r="CF10" s="186">
        <v>160185910.00999999</v>
      </c>
      <c r="CG10" s="186">
        <v>169862754.34</v>
      </c>
      <c r="CH10" s="186">
        <v>123028338.83</v>
      </c>
      <c r="CI10" s="186">
        <v>131449528.66</v>
      </c>
      <c r="CJ10" s="186">
        <v>140807877.94999999</v>
      </c>
      <c r="CK10" s="186">
        <v>142689499.03</v>
      </c>
      <c r="CL10" s="186">
        <v>158270839.91</v>
      </c>
      <c r="CM10" s="186">
        <v>168655143.25</v>
      </c>
      <c r="CN10" s="186">
        <v>116700530.19</v>
      </c>
      <c r="CO10" s="186">
        <v>118593709.79000001</v>
      </c>
      <c r="CP10" s="186">
        <v>130442949.62</v>
      </c>
      <c r="CQ10" s="186">
        <v>145786057.19</v>
      </c>
      <c r="CR10" s="186">
        <v>159472172.24000001</v>
      </c>
      <c r="CS10" s="186">
        <v>174423907.46000001</v>
      </c>
      <c r="CT10" s="186">
        <v>191413442.62</v>
      </c>
      <c r="CU10" s="186">
        <v>142092425.80000001</v>
      </c>
      <c r="CV10" s="186">
        <v>147483849.61000001</v>
      </c>
    </row>
    <row r="11" spans="1:100">
      <c r="A11" s="541" t="str">
        <f t="shared" si="0"/>
        <v>1080000</v>
      </c>
      <c r="B11" s="541" t="s">
        <v>1485</v>
      </c>
      <c r="C11" s="463" t="s">
        <v>592</v>
      </c>
      <c r="D11" s="397">
        <v>-597208178.04999995</v>
      </c>
      <c r="E11" s="397">
        <v>-592509311.39999998</v>
      </c>
      <c r="F11" s="397">
        <v>-595908048.98000002</v>
      </c>
      <c r="G11" s="397">
        <v>-599418150.00999999</v>
      </c>
      <c r="H11" s="397">
        <v>-603256827.03999996</v>
      </c>
      <c r="I11" s="397">
        <v>-606600008.27999997</v>
      </c>
      <c r="J11" s="397">
        <v>-610070200.69000006</v>
      </c>
      <c r="K11" s="397">
        <v>-613707624.03999996</v>
      </c>
      <c r="L11" s="397">
        <v>-617772110.08000004</v>
      </c>
      <c r="M11" s="397">
        <v>-621209354.09000003</v>
      </c>
      <c r="N11" s="397">
        <v>-624961167.44000006</v>
      </c>
      <c r="O11" s="397">
        <v>-628795738.15999997</v>
      </c>
      <c r="P11" s="398">
        <v>-633220786.64999998</v>
      </c>
      <c r="Q11" s="186">
        <v>-636284836.04999995</v>
      </c>
      <c r="R11" s="186">
        <v>-632257740.25999999</v>
      </c>
      <c r="S11" s="186">
        <v>-635762272.91999996</v>
      </c>
      <c r="T11" s="186">
        <v>-639827062.34000003</v>
      </c>
      <c r="U11" s="186">
        <v>-643141549.57000005</v>
      </c>
      <c r="V11" s="186">
        <v>-647276388.01999998</v>
      </c>
      <c r="W11" s="186">
        <v>-651791048.07000005</v>
      </c>
      <c r="X11" s="186">
        <v>-656400200.85000002</v>
      </c>
      <c r="Y11" s="186">
        <v>-661025209.54999995</v>
      </c>
      <c r="Z11" s="186">
        <v>-665759307.74000001</v>
      </c>
      <c r="AA11" s="186">
        <v>-670459565.41999996</v>
      </c>
      <c r="AB11" s="186">
        <v>-672064704.14999998</v>
      </c>
      <c r="AC11" s="186">
        <v>-676480501.44000006</v>
      </c>
      <c r="AD11" s="186">
        <v>-681119110.76999998</v>
      </c>
      <c r="AE11" s="186">
        <v>-684493394.60000002</v>
      </c>
      <c r="AF11" s="186">
        <v>-688949454.35000002</v>
      </c>
      <c r="AG11" s="186">
        <v>-693510562.95000005</v>
      </c>
      <c r="AH11" s="186">
        <v>-693182497.40999997</v>
      </c>
      <c r="AI11" s="186">
        <v>-697440570.17999995</v>
      </c>
      <c r="AJ11" s="186">
        <v>-701354831.95000005</v>
      </c>
      <c r="AK11" s="186">
        <v>-705482736.32000005</v>
      </c>
      <c r="AL11" s="186">
        <v>-709669546.79999995</v>
      </c>
      <c r="AM11" s="186">
        <v>-714151822.33000004</v>
      </c>
      <c r="AN11" s="186">
        <v>-696231457.83000004</v>
      </c>
      <c r="AO11" s="186">
        <v>-699359972.00999999</v>
      </c>
      <c r="AP11" s="186">
        <v>-702639485.67999995</v>
      </c>
      <c r="AQ11" s="186">
        <v>-703734692.99000001</v>
      </c>
      <c r="AR11" s="186">
        <v>-702713626.04999995</v>
      </c>
      <c r="AS11" s="186">
        <v>-705623877.79999995</v>
      </c>
      <c r="AT11" s="186">
        <v>-707442762.88</v>
      </c>
      <c r="AU11" s="186">
        <v>-709944965.30999994</v>
      </c>
      <c r="AV11" s="186">
        <v>-712909788.75999999</v>
      </c>
      <c r="AW11" s="186">
        <v>-714501123.39999998</v>
      </c>
      <c r="AX11" s="186">
        <v>-717214015.63999999</v>
      </c>
      <c r="AY11" s="186">
        <v>-721040598.99000001</v>
      </c>
      <c r="AZ11" s="186">
        <v>-721926119.83000004</v>
      </c>
      <c r="BA11" s="186">
        <v>-725822855.33000004</v>
      </c>
      <c r="BB11" s="186">
        <v>-728967555.46000004</v>
      </c>
      <c r="BC11" s="186">
        <v>-731607057.05999994</v>
      </c>
      <c r="BD11" s="186">
        <v>-735299762.21000004</v>
      </c>
      <c r="BE11" s="186">
        <v>-739136592.61000001</v>
      </c>
      <c r="BF11" s="186">
        <v>-742049200.66999996</v>
      </c>
      <c r="BG11" s="186">
        <v>-746185618</v>
      </c>
      <c r="BH11" s="186">
        <v>-749684606.33000004</v>
      </c>
      <c r="BI11" s="186">
        <v>-753040832.35000002</v>
      </c>
      <c r="BJ11" s="186">
        <v>-756678463.49000001</v>
      </c>
      <c r="BK11" s="186">
        <v>-760912458.79999995</v>
      </c>
      <c r="BL11" s="186">
        <v>-763366539.32000005</v>
      </c>
      <c r="BM11" s="186">
        <v>-766550564.46000004</v>
      </c>
      <c r="BN11" s="186">
        <v>-769130556.19000006</v>
      </c>
      <c r="BO11" s="186">
        <v>-771764544.87</v>
      </c>
      <c r="BP11" s="186">
        <v>-774392034.46000004</v>
      </c>
      <c r="BQ11" s="186">
        <v>-776788459.66999996</v>
      </c>
      <c r="BR11" s="186">
        <v>-777273857.89999998</v>
      </c>
      <c r="BS11" s="186">
        <v>-779663833.38</v>
      </c>
      <c r="BT11" s="186">
        <v>-783042629.38</v>
      </c>
      <c r="BU11" s="186">
        <v>-786565650.84000003</v>
      </c>
      <c r="BV11" s="186">
        <v>-789234015.55999994</v>
      </c>
      <c r="BW11" s="186">
        <v>-792658305.40999997</v>
      </c>
      <c r="BX11" s="186">
        <v>-792260827.19000006</v>
      </c>
      <c r="BY11" s="186">
        <v>-794749524.52999997</v>
      </c>
      <c r="BZ11" s="186">
        <v>-798094187.41999996</v>
      </c>
      <c r="CA11" s="186">
        <v>-801441902.24000001</v>
      </c>
      <c r="CB11" s="186">
        <v>-804632969.15999997</v>
      </c>
      <c r="CC11" s="186">
        <v>-807458306.64999998</v>
      </c>
      <c r="CD11" s="186">
        <v>-809022082.59000003</v>
      </c>
      <c r="CE11" s="186">
        <v>-812000239.71000004</v>
      </c>
      <c r="CF11" s="186">
        <v>-815873730.60000002</v>
      </c>
      <c r="CG11" s="186">
        <v>-818684472.36000001</v>
      </c>
      <c r="CH11" s="186">
        <v>-822505628.75999999</v>
      </c>
      <c r="CI11" s="186">
        <v>-826628034.94000006</v>
      </c>
      <c r="CJ11" s="186">
        <v>-824194814.04999995</v>
      </c>
      <c r="CK11" s="186">
        <v>-828540635.38</v>
      </c>
      <c r="CL11" s="186">
        <v>-828942212.5</v>
      </c>
      <c r="CM11" s="186">
        <v>-833319226.66999996</v>
      </c>
      <c r="CN11" s="186">
        <v>-837034956.15999997</v>
      </c>
      <c r="CO11" s="186">
        <v>-841539104.87</v>
      </c>
      <c r="CP11" s="186">
        <v>-845169155.41999996</v>
      </c>
      <c r="CQ11" s="186">
        <v>-849611542.49000001</v>
      </c>
      <c r="CR11" s="186">
        <v>-854339992.46000004</v>
      </c>
      <c r="CS11" s="186">
        <v>-857331156.26999998</v>
      </c>
      <c r="CT11" s="186">
        <v>-859741766.84000003</v>
      </c>
      <c r="CU11" s="186">
        <v>-863181558.33000004</v>
      </c>
      <c r="CV11" s="186">
        <v>-863797207.22000003</v>
      </c>
    </row>
    <row r="12" spans="1:100">
      <c r="A12" s="541" t="str">
        <f t="shared" si="0"/>
        <v>1080001</v>
      </c>
      <c r="B12" s="541" t="s">
        <v>1543</v>
      </c>
      <c r="C12" s="463" t="s">
        <v>593</v>
      </c>
      <c r="D12" s="397">
        <v>5475309.6699999999</v>
      </c>
      <c r="E12" s="397">
        <v>6070492.6100000003</v>
      </c>
      <c r="F12" s="397">
        <v>6193781.8600000003</v>
      </c>
      <c r="G12" s="397">
        <v>6024426.1799999997</v>
      </c>
      <c r="H12" s="397">
        <v>6061317.4000000004</v>
      </c>
      <c r="I12" s="397">
        <v>5786439.4199999999</v>
      </c>
      <c r="J12" s="397">
        <v>5811333.1299999999</v>
      </c>
      <c r="K12" s="397">
        <v>5641621.3799999999</v>
      </c>
      <c r="L12" s="397">
        <v>6105530.6500000004</v>
      </c>
      <c r="M12" s="397">
        <v>6017209.04</v>
      </c>
      <c r="N12" s="397">
        <v>6264177.7000000002</v>
      </c>
      <c r="O12" s="397">
        <v>5996988.4100000001</v>
      </c>
      <c r="P12" s="398">
        <v>6806563.4299999997</v>
      </c>
      <c r="Q12" s="186">
        <v>5987515.5</v>
      </c>
      <c r="R12" s="186">
        <v>6231278.0700000003</v>
      </c>
      <c r="S12" s="186">
        <v>6280485.1399999997</v>
      </c>
      <c r="T12" s="186">
        <v>6419367.4699999997</v>
      </c>
      <c r="U12" s="186">
        <v>6028288.3200000003</v>
      </c>
      <c r="V12" s="186">
        <v>6278540.7199999997</v>
      </c>
      <c r="W12" s="186">
        <v>6759615</v>
      </c>
      <c r="X12" s="186">
        <v>7187888.21</v>
      </c>
      <c r="Y12" s="186">
        <v>8099451.4000000004</v>
      </c>
      <c r="Z12" s="186">
        <v>8822057.6999999993</v>
      </c>
      <c r="AA12" s="186">
        <v>9240386.6400000006</v>
      </c>
      <c r="AB12" s="186">
        <v>7728729.25</v>
      </c>
      <c r="AC12" s="186">
        <v>8491114.7799999993</v>
      </c>
      <c r="AD12" s="186">
        <v>8812995.7699999996</v>
      </c>
      <c r="AE12" s="186">
        <v>8216345.25</v>
      </c>
      <c r="AF12" s="186">
        <v>8443568.9199999999</v>
      </c>
      <c r="AG12" s="186">
        <v>8676052.1300000008</v>
      </c>
      <c r="AH12" s="186">
        <v>8506988.5700000003</v>
      </c>
      <c r="AI12" s="186">
        <v>8786687.4499999993</v>
      </c>
      <c r="AJ12" s="186">
        <v>9470438.9100000001</v>
      </c>
      <c r="AK12" s="186">
        <v>9107765.9800000004</v>
      </c>
      <c r="AL12" s="186">
        <v>9025114.9100000001</v>
      </c>
      <c r="AM12" s="186">
        <v>9223965.7400000002</v>
      </c>
      <c r="AN12" s="186">
        <v>9023289.1199999992</v>
      </c>
      <c r="AO12" s="186">
        <v>9190137.4199999999</v>
      </c>
      <c r="AP12" s="186">
        <v>9485911.8699999992</v>
      </c>
      <c r="AQ12" s="186">
        <v>9462697.8599999994</v>
      </c>
      <c r="AR12" s="186">
        <v>9529161.0199999996</v>
      </c>
      <c r="AS12" s="186">
        <v>9650496.0999999996</v>
      </c>
      <c r="AT12" s="186">
        <v>8907929.3100000005</v>
      </c>
      <c r="AU12" s="186">
        <v>8629778.5899999999</v>
      </c>
      <c r="AV12" s="186">
        <v>8994819.2200000007</v>
      </c>
      <c r="AW12" s="186">
        <v>7779688.1500000004</v>
      </c>
      <c r="AX12" s="186">
        <v>7770589.4900000002</v>
      </c>
      <c r="AY12" s="186">
        <v>8916807.4499999993</v>
      </c>
      <c r="AZ12" s="186">
        <v>7422224.1200000001</v>
      </c>
      <c r="BA12" s="186">
        <v>7870417.71</v>
      </c>
      <c r="BB12" s="186">
        <v>8310679.8600000003</v>
      </c>
      <c r="BC12" s="186">
        <v>7824554.8600000003</v>
      </c>
      <c r="BD12" s="186">
        <v>7933428.5</v>
      </c>
      <c r="BE12" s="186">
        <v>8348728.4900000002</v>
      </c>
      <c r="BF12" s="186">
        <v>8410915.3499999996</v>
      </c>
      <c r="BG12" s="186">
        <v>8712829.8000000007</v>
      </c>
      <c r="BH12" s="186">
        <v>8716305.2799999993</v>
      </c>
      <c r="BI12" s="186">
        <v>8829637.8599999994</v>
      </c>
      <c r="BJ12" s="186">
        <v>9677481.0600000005</v>
      </c>
      <c r="BK12" s="186">
        <v>10141968.789999999</v>
      </c>
      <c r="BL12" s="186">
        <v>9945627.3800000008</v>
      </c>
      <c r="BM12" s="186">
        <v>10843632.92</v>
      </c>
      <c r="BN12" s="186">
        <v>11222013.439999999</v>
      </c>
      <c r="BO12" s="186">
        <v>11155382.73</v>
      </c>
      <c r="BP12" s="186">
        <v>11397942.220000001</v>
      </c>
      <c r="BQ12" s="186">
        <v>11847087.07</v>
      </c>
      <c r="BR12" s="186">
        <v>11136746.699999999</v>
      </c>
      <c r="BS12" s="186">
        <v>11512539.560000001</v>
      </c>
      <c r="BT12" s="186">
        <v>12447563.75</v>
      </c>
      <c r="BU12" s="186">
        <v>13248918.85</v>
      </c>
      <c r="BV12" s="186">
        <v>13786077.689999999</v>
      </c>
      <c r="BW12" s="186">
        <v>14318397.5</v>
      </c>
      <c r="BX12" s="186">
        <v>12667895.710000001</v>
      </c>
      <c r="BY12" s="186">
        <v>7188034.0899999999</v>
      </c>
      <c r="BZ12" s="186">
        <v>14090648.800000001</v>
      </c>
      <c r="CA12" s="186">
        <v>14713671.66</v>
      </c>
      <c r="CB12" s="186">
        <v>15130730.42</v>
      </c>
      <c r="CC12" s="186">
        <v>14934721.41</v>
      </c>
      <c r="CD12" s="186">
        <v>13714162.5</v>
      </c>
      <c r="CE12" s="186">
        <v>14234181.17</v>
      </c>
      <c r="CF12" s="186">
        <v>15037734.359999999</v>
      </c>
      <c r="CG12" s="186">
        <v>15011710.01</v>
      </c>
      <c r="CH12" s="186">
        <v>15771328.560000001</v>
      </c>
      <c r="CI12" s="186">
        <v>16697713.640000001</v>
      </c>
      <c r="CJ12" s="186">
        <v>14310749.710000001</v>
      </c>
      <c r="CK12" s="186">
        <v>13733020.98</v>
      </c>
      <c r="CL12" s="186">
        <v>14220008.640000001</v>
      </c>
      <c r="CM12" s="186">
        <v>15066620.789999999</v>
      </c>
      <c r="CN12" s="186">
        <v>15447519.75</v>
      </c>
      <c r="CO12" s="186">
        <v>16530432.9</v>
      </c>
      <c r="CP12" s="186">
        <v>17286137.559999999</v>
      </c>
      <c r="CQ12" s="186">
        <v>18879440.620000001</v>
      </c>
      <c r="CR12" s="186">
        <v>19735206.359999999</v>
      </c>
      <c r="CS12" s="186">
        <v>19651989.199999999</v>
      </c>
      <c r="CT12" s="186">
        <v>20495704.84</v>
      </c>
      <c r="CU12" s="186">
        <v>22214041.800000001</v>
      </c>
      <c r="CV12" s="186">
        <v>14177814.32</v>
      </c>
    </row>
    <row r="13" spans="1:100">
      <c r="A13" s="541" t="str">
        <f t="shared" si="0"/>
        <v>1080100</v>
      </c>
      <c r="B13" s="541" t="s">
        <v>1544</v>
      </c>
      <c r="C13" s="463" t="s">
        <v>594</v>
      </c>
      <c r="D13" s="397">
        <v>8308846.6600000001</v>
      </c>
      <c r="E13" s="397">
        <v>8312150.3300000001</v>
      </c>
      <c r="F13" s="397">
        <v>8326714</v>
      </c>
      <c r="G13" s="397">
        <v>8330300.4800000004</v>
      </c>
      <c r="H13" s="397">
        <v>8330452.5199999996</v>
      </c>
      <c r="I13" s="397">
        <v>8340869.96</v>
      </c>
      <c r="J13" s="397">
        <v>8334727.5499999998</v>
      </c>
      <c r="K13" s="397">
        <v>8341337.8099999996</v>
      </c>
      <c r="L13" s="397">
        <v>8344438.29</v>
      </c>
      <c r="M13" s="397">
        <v>8368880.9100000001</v>
      </c>
      <c r="N13" s="397">
        <v>8370306.4900000002</v>
      </c>
      <c r="O13" s="397">
        <v>8385606.7300000004</v>
      </c>
      <c r="P13" s="398">
        <v>8393768.2300000004</v>
      </c>
      <c r="Q13" s="186">
        <v>8405555.4900000002</v>
      </c>
      <c r="R13" s="186">
        <v>8379189.3600000003</v>
      </c>
      <c r="S13" s="186">
        <v>8400720.9399999995</v>
      </c>
      <c r="T13" s="186">
        <v>8408807.4800000004</v>
      </c>
      <c r="U13" s="186">
        <v>8421469.5700000003</v>
      </c>
      <c r="V13" s="186">
        <v>8407904.5</v>
      </c>
      <c r="W13" s="186">
        <v>8422924.0399999991</v>
      </c>
      <c r="X13" s="186">
        <v>8449577.2200000007</v>
      </c>
      <c r="Y13" s="186">
        <v>8477393</v>
      </c>
      <c r="Z13" s="186">
        <v>8499513.2200000007</v>
      </c>
      <c r="AA13" s="186">
        <v>8523264.0099999998</v>
      </c>
      <c r="AB13" s="186">
        <v>8547003.4000000004</v>
      </c>
      <c r="AC13" s="186">
        <v>8463248.1400000006</v>
      </c>
      <c r="AD13" s="186">
        <v>8442232.9700000007</v>
      </c>
      <c r="AE13" s="186">
        <v>8422590.9600000009</v>
      </c>
      <c r="AF13" s="186">
        <v>8486220.7699999996</v>
      </c>
      <c r="AG13" s="186">
        <v>8502774.25</v>
      </c>
      <c r="AH13" s="186">
        <v>8519206.4900000002</v>
      </c>
      <c r="AI13" s="186">
        <v>8498914.6300000008</v>
      </c>
      <c r="AJ13" s="186">
        <v>8519190.1699999999</v>
      </c>
      <c r="AK13" s="186">
        <v>8528675.0800000001</v>
      </c>
      <c r="AL13" s="186">
        <v>8522908.7100000009</v>
      </c>
      <c r="AM13" s="186">
        <v>8526203.0700000003</v>
      </c>
      <c r="AN13" s="186">
        <v>8538626</v>
      </c>
      <c r="AO13" s="186">
        <v>8636826.3000000007</v>
      </c>
      <c r="AP13" s="186">
        <v>8665557.6400000006</v>
      </c>
      <c r="AQ13" s="186">
        <v>8698674.1500000004</v>
      </c>
      <c r="AR13" s="186">
        <v>8711577.8000000007</v>
      </c>
      <c r="AS13" s="186">
        <v>8747881.2200000007</v>
      </c>
      <c r="AT13" s="186">
        <v>8765684.7300000004</v>
      </c>
      <c r="AU13" s="186">
        <v>8743362.8800000008</v>
      </c>
      <c r="AV13" s="186">
        <v>8751670.3399999999</v>
      </c>
      <c r="AW13" s="186">
        <v>8780268.7400000002</v>
      </c>
      <c r="AX13" s="186">
        <v>8738544.6300000008</v>
      </c>
      <c r="AY13" s="186">
        <v>8745431.2200000007</v>
      </c>
      <c r="AZ13" s="186">
        <v>8780648.6400000006</v>
      </c>
      <c r="BA13" s="186">
        <v>8748023.5500000007</v>
      </c>
      <c r="BB13" s="186">
        <v>8784757.7599999998</v>
      </c>
      <c r="BC13" s="186">
        <v>8795335.8200000003</v>
      </c>
      <c r="BD13" s="186">
        <v>8779903.0899999999</v>
      </c>
      <c r="BE13" s="186">
        <v>8805685.5399999991</v>
      </c>
      <c r="BF13" s="186">
        <v>8842790.4800000004</v>
      </c>
      <c r="BG13" s="186">
        <v>8844384.5399999991</v>
      </c>
      <c r="BH13" s="186">
        <v>8884621.0500000007</v>
      </c>
      <c r="BI13" s="186">
        <v>8896387.4299999997</v>
      </c>
      <c r="BJ13" s="186">
        <v>8916734.9900000002</v>
      </c>
      <c r="BK13" s="186">
        <v>8953077.6300000008</v>
      </c>
      <c r="BL13" s="186">
        <v>8990526.6300000008</v>
      </c>
      <c r="BM13" s="186">
        <v>8977840.8800000008</v>
      </c>
      <c r="BN13" s="186">
        <v>9005200.3800000008</v>
      </c>
      <c r="BO13" s="186">
        <v>9015577.3100000005</v>
      </c>
      <c r="BP13" s="186">
        <v>9016765.7799999993</v>
      </c>
      <c r="BQ13" s="186">
        <v>9016551.7799999993</v>
      </c>
      <c r="BR13" s="186">
        <v>9032829.3900000006</v>
      </c>
      <c r="BS13" s="186">
        <v>8978749.2599999998</v>
      </c>
      <c r="BT13" s="186">
        <v>8993094.8499999996</v>
      </c>
      <c r="BU13" s="186">
        <v>9025187.5299999993</v>
      </c>
      <c r="BV13" s="186">
        <v>9058107.6600000001</v>
      </c>
      <c r="BW13" s="186">
        <v>9065696.2300000004</v>
      </c>
      <c r="BX13" s="186">
        <v>9090008.8699999992</v>
      </c>
      <c r="BY13" s="186">
        <v>8987353.3499999996</v>
      </c>
      <c r="BZ13" s="186">
        <v>9017983.25</v>
      </c>
      <c r="CA13" s="186">
        <v>9053478.0899999999</v>
      </c>
      <c r="CB13" s="186">
        <v>9084514.8200000003</v>
      </c>
      <c r="CC13" s="186">
        <v>9112597.4199999999</v>
      </c>
      <c r="CD13" s="186">
        <v>9110198.0099999998</v>
      </c>
      <c r="CE13" s="186">
        <v>9060385.1899999995</v>
      </c>
      <c r="CF13" s="186">
        <v>9090297.0500000007</v>
      </c>
      <c r="CG13" s="186">
        <v>9130078.4299999997</v>
      </c>
      <c r="CH13" s="186">
        <v>9136048.8900000006</v>
      </c>
      <c r="CI13" s="186">
        <v>9169826.8599999994</v>
      </c>
      <c r="CJ13" s="186">
        <v>9210423.75</v>
      </c>
      <c r="CK13" s="186">
        <v>9339355.8100000005</v>
      </c>
      <c r="CL13" s="186">
        <v>9136802.3000000007</v>
      </c>
      <c r="CM13" s="186">
        <v>9182469.4299999997</v>
      </c>
      <c r="CN13" s="186">
        <v>9238806.6199999992</v>
      </c>
      <c r="CO13" s="186">
        <v>9272837.8800000008</v>
      </c>
      <c r="CP13" s="186">
        <v>9330865.5500000007</v>
      </c>
      <c r="CQ13" s="186">
        <v>9348903.8000000007</v>
      </c>
      <c r="CR13" s="186">
        <v>9399071.8200000003</v>
      </c>
      <c r="CS13" s="186">
        <v>9458150.6400000006</v>
      </c>
      <c r="CT13" s="186">
        <v>9439204.1300000008</v>
      </c>
      <c r="CU13" s="186">
        <v>9421009.8200000003</v>
      </c>
      <c r="CV13" s="186">
        <v>9459235.6400000006</v>
      </c>
    </row>
    <row r="14" spans="1:100">
      <c r="A14" s="541" t="str">
        <f t="shared" si="0"/>
        <v>1080110</v>
      </c>
      <c r="B14" s="541" t="s">
        <v>1545</v>
      </c>
      <c r="C14" s="463" t="s">
        <v>595</v>
      </c>
      <c r="D14" s="397">
        <v>-8308846.6600000001</v>
      </c>
      <c r="E14" s="397">
        <v>-8312150.3300000001</v>
      </c>
      <c r="F14" s="397">
        <v>-8326714</v>
      </c>
      <c r="G14" s="397">
        <v>-8330300.4800000004</v>
      </c>
      <c r="H14" s="397">
        <v>-8330452.5199999996</v>
      </c>
      <c r="I14" s="397">
        <v>-8340869.96</v>
      </c>
      <c r="J14" s="397">
        <v>-8334727.5499999998</v>
      </c>
      <c r="K14" s="397">
        <v>-8341337.8099999996</v>
      </c>
      <c r="L14" s="397">
        <v>-8344438.29</v>
      </c>
      <c r="M14" s="397">
        <v>-8368880.9100000001</v>
      </c>
      <c r="N14" s="397">
        <v>-8370306.4900000002</v>
      </c>
      <c r="O14" s="397">
        <v>-8385606.7300000004</v>
      </c>
      <c r="P14" s="398">
        <v>-8393768.2300000004</v>
      </c>
      <c r="Q14" s="186">
        <v>-8405555.4900000002</v>
      </c>
      <c r="R14" s="186">
        <v>-8379189.3600000003</v>
      </c>
      <c r="S14" s="186">
        <v>-8400720.9399999995</v>
      </c>
      <c r="T14" s="186">
        <v>-8408807.4800000004</v>
      </c>
      <c r="U14" s="186">
        <v>-8421469.5700000003</v>
      </c>
      <c r="V14" s="186">
        <v>-8407904.5</v>
      </c>
      <c r="W14" s="186">
        <v>-8422924.0399999991</v>
      </c>
      <c r="X14" s="186">
        <v>-8449577.2200000007</v>
      </c>
      <c r="Y14" s="186">
        <v>-8477393</v>
      </c>
      <c r="Z14" s="186">
        <v>-8499513.2200000007</v>
      </c>
      <c r="AA14" s="186">
        <v>-8523264.0099999998</v>
      </c>
      <c r="AB14" s="186">
        <v>-8547003.4000000004</v>
      </c>
      <c r="AC14" s="186">
        <v>-8463248.1400000006</v>
      </c>
      <c r="AD14" s="186">
        <v>-8442232.9700000007</v>
      </c>
      <c r="AE14" s="186">
        <v>-8422590.9600000009</v>
      </c>
      <c r="AF14" s="186">
        <v>-8486220.7699999996</v>
      </c>
      <c r="AG14" s="186">
        <v>-8502774.25</v>
      </c>
      <c r="AH14" s="186">
        <v>-8519206.4900000002</v>
      </c>
      <c r="AI14" s="186">
        <v>-8498914.6300000008</v>
      </c>
      <c r="AJ14" s="186">
        <v>-8519190.1699999999</v>
      </c>
      <c r="AK14" s="186">
        <v>-8528675.0800000001</v>
      </c>
      <c r="AL14" s="186">
        <v>-8522908.7100000009</v>
      </c>
      <c r="AM14" s="186">
        <v>-8526203.0700000003</v>
      </c>
      <c r="AN14" s="186">
        <v>-8538626</v>
      </c>
      <c r="AO14" s="186">
        <v>-8636826.3000000007</v>
      </c>
      <c r="AP14" s="186">
        <v>-8665557.6400000006</v>
      </c>
      <c r="AQ14" s="186">
        <v>-8698674.1500000004</v>
      </c>
      <c r="AR14" s="186">
        <v>-8711577.8000000007</v>
      </c>
      <c r="AS14" s="186">
        <v>-8747881.2200000007</v>
      </c>
      <c r="AT14" s="186">
        <v>-8765684.7300000004</v>
      </c>
      <c r="AU14" s="186">
        <v>-8743362.8800000008</v>
      </c>
      <c r="AV14" s="186">
        <v>-8751670.3399999999</v>
      </c>
      <c r="AW14" s="186">
        <v>-8780268.7400000002</v>
      </c>
      <c r="AX14" s="186">
        <v>-8738544.6300000008</v>
      </c>
      <c r="AY14" s="186">
        <v>-8745431.2200000007</v>
      </c>
      <c r="AZ14" s="186">
        <v>-8780648.6400000006</v>
      </c>
      <c r="BA14" s="186">
        <v>-8748023.5500000007</v>
      </c>
      <c r="BB14" s="186">
        <v>-8784757.7599999998</v>
      </c>
      <c r="BC14" s="186">
        <v>-8795335.8200000003</v>
      </c>
      <c r="BD14" s="186">
        <v>-8779903.0899999999</v>
      </c>
      <c r="BE14" s="186">
        <v>-8805685.5399999991</v>
      </c>
      <c r="BF14" s="186">
        <v>-8842790.4800000004</v>
      </c>
      <c r="BG14" s="186">
        <v>-8844384.5399999991</v>
      </c>
      <c r="BH14" s="186">
        <v>-8884621.0500000007</v>
      </c>
      <c r="BI14" s="186">
        <v>-8896387.4299999997</v>
      </c>
      <c r="BJ14" s="186">
        <v>-8916734.9900000002</v>
      </c>
      <c r="BK14" s="186">
        <v>-8953077.6300000008</v>
      </c>
      <c r="BL14" s="186">
        <v>-8990526.6300000008</v>
      </c>
      <c r="BM14" s="186">
        <v>-8977840.8800000008</v>
      </c>
      <c r="BN14" s="186">
        <v>-9005200.3800000008</v>
      </c>
      <c r="BO14" s="186">
        <v>-9015577.3100000005</v>
      </c>
      <c r="BP14" s="186">
        <v>-9016765.7799999993</v>
      </c>
      <c r="BQ14" s="186">
        <v>-9016551.7799999993</v>
      </c>
      <c r="BR14" s="186">
        <v>-9032829.3900000006</v>
      </c>
      <c r="BS14" s="186">
        <v>-8978749.2599999998</v>
      </c>
      <c r="BT14" s="186">
        <v>-8993094.8499999996</v>
      </c>
      <c r="BU14" s="186">
        <v>-9025187.5299999993</v>
      </c>
      <c r="BV14" s="186">
        <v>-9058107.6600000001</v>
      </c>
      <c r="BW14" s="186">
        <v>-9065696.2300000004</v>
      </c>
      <c r="BX14" s="186">
        <v>-9090008.8699999992</v>
      </c>
      <c r="BY14" s="186">
        <v>-8987353.3499999996</v>
      </c>
      <c r="BZ14" s="186">
        <v>-9017983.25</v>
      </c>
      <c r="CA14" s="186">
        <v>-9053478.0899999999</v>
      </c>
      <c r="CB14" s="186">
        <v>-9084514.8200000003</v>
      </c>
      <c r="CC14" s="186">
        <v>-9112597.4199999999</v>
      </c>
      <c r="CD14" s="186">
        <v>-9110198.0099999998</v>
      </c>
      <c r="CE14" s="186">
        <v>-9060385.1899999995</v>
      </c>
      <c r="CF14" s="186">
        <v>-9090297.0500000007</v>
      </c>
      <c r="CG14" s="186">
        <v>-9130078.4299999997</v>
      </c>
      <c r="CH14" s="186">
        <v>-9136048.8900000006</v>
      </c>
      <c r="CI14" s="186">
        <v>-9169826.8599999994</v>
      </c>
      <c r="CJ14" s="186">
        <v>-9210423.75</v>
      </c>
      <c r="CK14" s="186">
        <v>-9339355.8100000005</v>
      </c>
      <c r="CL14" s="186">
        <v>-9136802.3000000007</v>
      </c>
      <c r="CM14" s="186">
        <v>-9182469.4299999997</v>
      </c>
      <c r="CN14" s="186">
        <v>-9238806.6199999992</v>
      </c>
      <c r="CO14" s="186">
        <v>-9272837.8800000008</v>
      </c>
      <c r="CP14" s="186">
        <v>-9330865.5500000007</v>
      </c>
      <c r="CQ14" s="186">
        <v>-9348903.8000000007</v>
      </c>
      <c r="CR14" s="186">
        <v>-9399071.8200000003</v>
      </c>
      <c r="CS14" s="186">
        <v>-9458150.6400000006</v>
      </c>
      <c r="CT14" s="186">
        <v>-9439204.1300000008</v>
      </c>
      <c r="CU14" s="186">
        <v>-9421009.8200000003</v>
      </c>
      <c r="CV14" s="186">
        <v>-9459235.6400000006</v>
      </c>
    </row>
    <row r="15" spans="1:100">
      <c r="A15" s="541" t="str">
        <f t="shared" si="0"/>
        <v>1080200</v>
      </c>
      <c r="B15" s="541" t="s">
        <v>1486</v>
      </c>
      <c r="C15" s="463" t="s">
        <v>596</v>
      </c>
      <c r="D15" s="397">
        <v>157868086.47999999</v>
      </c>
      <c r="E15" s="397">
        <v>157930856.16999999</v>
      </c>
      <c r="F15" s="397">
        <v>158207566.02000001</v>
      </c>
      <c r="G15" s="397">
        <v>158275709.06999999</v>
      </c>
      <c r="H15" s="397">
        <v>158278597.81</v>
      </c>
      <c r="I15" s="397">
        <v>158476529.13999999</v>
      </c>
      <c r="J15" s="397">
        <v>158359823.44</v>
      </c>
      <c r="K15" s="397">
        <v>158485418.47</v>
      </c>
      <c r="L15" s="397">
        <v>158544327.53999999</v>
      </c>
      <c r="M15" s="397">
        <v>159008737.30000001</v>
      </c>
      <c r="N15" s="397">
        <v>159035823.40000001</v>
      </c>
      <c r="O15" s="397">
        <v>159326527.94</v>
      </c>
      <c r="P15" s="398">
        <v>159481596.38999999</v>
      </c>
      <c r="Q15" s="186">
        <v>159705554.24000001</v>
      </c>
      <c r="R15" s="186">
        <v>159204597.91999999</v>
      </c>
      <c r="S15" s="186">
        <v>159613697.81999999</v>
      </c>
      <c r="T15" s="186">
        <v>159767342.11000001</v>
      </c>
      <c r="U15" s="186">
        <v>160007921.80000001</v>
      </c>
      <c r="V15" s="186">
        <v>159750185.44999999</v>
      </c>
      <c r="W15" s="186">
        <v>160035556.69</v>
      </c>
      <c r="X15" s="186">
        <v>160541967.15000001</v>
      </c>
      <c r="Y15" s="186">
        <v>161070466.96000001</v>
      </c>
      <c r="Z15" s="186">
        <v>161490751.22</v>
      </c>
      <c r="AA15" s="186">
        <v>161942016.22</v>
      </c>
      <c r="AB15" s="186">
        <v>162393064.65000001</v>
      </c>
      <c r="AC15" s="186">
        <v>160801714.69</v>
      </c>
      <c r="AD15" s="186">
        <v>160402426.53</v>
      </c>
      <c r="AE15" s="186">
        <v>160029228.36000001</v>
      </c>
      <c r="AF15" s="186">
        <v>161238194.55000001</v>
      </c>
      <c r="AG15" s="186">
        <v>161552710.74000001</v>
      </c>
      <c r="AH15" s="186">
        <v>161864923.40000001</v>
      </c>
      <c r="AI15" s="186">
        <v>161479377.88999999</v>
      </c>
      <c r="AJ15" s="186">
        <v>161864613.31999999</v>
      </c>
      <c r="AK15" s="186">
        <v>162044826.52000001</v>
      </c>
      <c r="AL15" s="186">
        <v>161935265.44999999</v>
      </c>
      <c r="AM15" s="186">
        <v>161997858.31999999</v>
      </c>
      <c r="AN15" s="186">
        <v>162233894.02000001</v>
      </c>
      <c r="AO15" s="186">
        <v>164099699.75999999</v>
      </c>
      <c r="AP15" s="186">
        <v>164645595.13</v>
      </c>
      <c r="AQ15" s="186">
        <v>165274808.75999999</v>
      </c>
      <c r="AR15" s="186">
        <v>165519978.13</v>
      </c>
      <c r="AS15" s="186">
        <v>166209743.21000001</v>
      </c>
      <c r="AT15" s="186">
        <v>166548009.91</v>
      </c>
      <c r="AU15" s="186">
        <v>166123894.66999999</v>
      </c>
      <c r="AV15" s="186">
        <v>166281736.52000001</v>
      </c>
      <c r="AW15" s="186">
        <v>166825106.06999999</v>
      </c>
      <c r="AX15" s="186">
        <v>166032347.90000001</v>
      </c>
      <c r="AY15" s="186">
        <v>166163193.16</v>
      </c>
      <c r="AZ15" s="186">
        <v>166832324.09</v>
      </c>
      <c r="BA15" s="186">
        <v>166212447.55000001</v>
      </c>
      <c r="BB15" s="186">
        <v>166910397.46000001</v>
      </c>
      <c r="BC15" s="186">
        <v>167111380.50999999</v>
      </c>
      <c r="BD15" s="186">
        <v>166818158.69</v>
      </c>
      <c r="BE15" s="186">
        <v>167308025.24000001</v>
      </c>
      <c r="BF15" s="186">
        <v>168013019.05000001</v>
      </c>
      <c r="BG15" s="186">
        <v>168043306.24000001</v>
      </c>
      <c r="BH15" s="186">
        <v>168807799.96000001</v>
      </c>
      <c r="BI15" s="186">
        <v>169031361.13999999</v>
      </c>
      <c r="BJ15" s="186">
        <v>169417964.81999999</v>
      </c>
      <c r="BK15" s="186">
        <v>170108474.88999999</v>
      </c>
      <c r="BL15" s="186">
        <v>170820005.96000001</v>
      </c>
      <c r="BM15" s="186">
        <v>170578976.66</v>
      </c>
      <c r="BN15" s="186">
        <v>171098807.28999999</v>
      </c>
      <c r="BO15" s="186">
        <v>171295968.96000001</v>
      </c>
      <c r="BP15" s="186">
        <v>171318549.91</v>
      </c>
      <c r="BQ15" s="186">
        <v>171314483.88</v>
      </c>
      <c r="BR15" s="186">
        <v>171623758.41999999</v>
      </c>
      <c r="BS15" s="186">
        <v>170596236.03</v>
      </c>
      <c r="BT15" s="186">
        <v>170868802.15000001</v>
      </c>
      <c r="BU15" s="186">
        <v>171478563.11000001</v>
      </c>
      <c r="BV15" s="186">
        <v>172104045.53</v>
      </c>
      <c r="BW15" s="186">
        <v>172248228.46000001</v>
      </c>
      <c r="BX15" s="186">
        <v>172710168.47999999</v>
      </c>
      <c r="BY15" s="186">
        <v>170759713.66</v>
      </c>
      <c r="BZ15" s="186">
        <v>171341681.81999999</v>
      </c>
      <c r="CA15" s="186">
        <v>172016083.63</v>
      </c>
      <c r="CB15" s="186">
        <v>172605781.63</v>
      </c>
      <c r="CC15" s="186">
        <v>173139350.93000001</v>
      </c>
      <c r="CD15" s="186">
        <v>173093762.09999999</v>
      </c>
      <c r="CE15" s="186">
        <v>172147318.59999999</v>
      </c>
      <c r="CF15" s="186">
        <v>172715644.03999999</v>
      </c>
      <c r="CG15" s="186">
        <v>173471490.18000001</v>
      </c>
      <c r="CH15" s="186">
        <v>173584928.91999999</v>
      </c>
      <c r="CI15" s="186">
        <v>174226710.41</v>
      </c>
      <c r="CJ15" s="186">
        <v>174998051.16</v>
      </c>
      <c r="CK15" s="186">
        <v>177447760.31</v>
      </c>
      <c r="CL15" s="186">
        <v>173599243.78</v>
      </c>
      <c r="CM15" s="186">
        <v>174466919.24000001</v>
      </c>
      <c r="CN15" s="186">
        <v>175537325.78</v>
      </c>
      <c r="CO15" s="186">
        <v>176183919.80000001</v>
      </c>
      <c r="CP15" s="186">
        <v>177286445.44</v>
      </c>
      <c r="CQ15" s="186">
        <v>177629172.22999999</v>
      </c>
      <c r="CR15" s="186">
        <v>178582364.50999999</v>
      </c>
      <c r="CS15" s="186">
        <v>179704862.22</v>
      </c>
      <c r="CT15" s="186">
        <v>179344878.47</v>
      </c>
      <c r="CU15" s="186">
        <v>178999186.68000001</v>
      </c>
      <c r="CV15" s="186">
        <v>179725477.24000001</v>
      </c>
    </row>
    <row r="16" spans="1:100">
      <c r="A16" s="541" t="str">
        <f t="shared" si="0"/>
        <v>1080210</v>
      </c>
      <c r="B16" s="541" t="s">
        <v>1546</v>
      </c>
      <c r="C16" s="463" t="s">
        <v>597</v>
      </c>
      <c r="D16" s="397">
        <v>-157868086.47999999</v>
      </c>
      <c r="E16" s="397">
        <v>-157930856.16999999</v>
      </c>
      <c r="F16" s="397">
        <v>-158207566.02000001</v>
      </c>
      <c r="G16" s="397">
        <v>-158275709.06999999</v>
      </c>
      <c r="H16" s="397">
        <v>-158278597.81</v>
      </c>
      <c r="I16" s="397">
        <v>-158476529.13999999</v>
      </c>
      <c r="J16" s="397">
        <v>-158359823.44</v>
      </c>
      <c r="K16" s="397">
        <v>-158485418.47</v>
      </c>
      <c r="L16" s="397">
        <v>-158544327.53999999</v>
      </c>
      <c r="M16" s="397">
        <v>-159008737.30000001</v>
      </c>
      <c r="N16" s="397">
        <v>-159035823.40000001</v>
      </c>
      <c r="O16" s="397">
        <v>-159326527.94</v>
      </c>
      <c r="P16" s="398">
        <v>-159481596.38999999</v>
      </c>
      <c r="Q16" s="186">
        <v>-159705554.24000001</v>
      </c>
      <c r="R16" s="186">
        <v>-159204597.91999999</v>
      </c>
      <c r="S16" s="186">
        <v>-159613697.81999999</v>
      </c>
      <c r="T16" s="186">
        <v>-159767342.11000001</v>
      </c>
      <c r="U16" s="186">
        <v>-160007921.80000001</v>
      </c>
      <c r="V16" s="186">
        <v>-159750185.44999999</v>
      </c>
      <c r="W16" s="186">
        <v>-160035556.69</v>
      </c>
      <c r="X16" s="186">
        <v>-160541967.15000001</v>
      </c>
      <c r="Y16" s="186">
        <v>-161070466.96000001</v>
      </c>
      <c r="Z16" s="186">
        <v>-161490751.22</v>
      </c>
      <c r="AA16" s="186">
        <v>-161942016.22</v>
      </c>
      <c r="AB16" s="186">
        <v>-162393064.65000001</v>
      </c>
      <c r="AC16" s="186">
        <v>-160801714.69</v>
      </c>
      <c r="AD16" s="186">
        <v>-160402426.53</v>
      </c>
      <c r="AE16" s="186">
        <v>-160029228.36000001</v>
      </c>
      <c r="AF16" s="186">
        <v>-161238194.55000001</v>
      </c>
      <c r="AG16" s="186">
        <v>-161552710.74000001</v>
      </c>
      <c r="AH16" s="186">
        <v>-161864923.40000001</v>
      </c>
      <c r="AI16" s="186">
        <v>-161479377.88999999</v>
      </c>
      <c r="AJ16" s="186">
        <v>-161864613.31999999</v>
      </c>
      <c r="AK16" s="186">
        <v>-162044826.52000001</v>
      </c>
      <c r="AL16" s="186">
        <v>-161935265.44999999</v>
      </c>
      <c r="AM16" s="186">
        <v>-161997858.31999999</v>
      </c>
      <c r="AN16" s="186">
        <v>-162233894.02000001</v>
      </c>
      <c r="AO16" s="186">
        <v>-164099699.75999999</v>
      </c>
      <c r="AP16" s="186">
        <v>-164645595.13</v>
      </c>
      <c r="AQ16" s="186">
        <v>-165274808.75999999</v>
      </c>
      <c r="AR16" s="186">
        <v>-165519978.13</v>
      </c>
      <c r="AS16" s="186">
        <v>-166209743.21000001</v>
      </c>
      <c r="AT16" s="186">
        <v>-166548009.91</v>
      </c>
      <c r="AU16" s="186">
        <v>-166123894.66999999</v>
      </c>
      <c r="AV16" s="186">
        <v>-166281736.52000001</v>
      </c>
      <c r="AW16" s="186">
        <v>-166825106.06999999</v>
      </c>
      <c r="AX16" s="186">
        <v>-166032347.90000001</v>
      </c>
      <c r="AY16" s="186">
        <v>-166163193.16</v>
      </c>
      <c r="AZ16" s="186">
        <v>-166832324.09</v>
      </c>
      <c r="BA16" s="186">
        <v>-166212447.55000001</v>
      </c>
      <c r="BB16" s="186">
        <v>-166910397.46000001</v>
      </c>
      <c r="BC16" s="186">
        <v>-167111380.50999999</v>
      </c>
      <c r="BD16" s="186">
        <v>-166818158.69</v>
      </c>
      <c r="BE16" s="186">
        <v>-167308025.24000001</v>
      </c>
      <c r="BF16" s="186">
        <v>-168013019.05000001</v>
      </c>
      <c r="BG16" s="186">
        <v>-168043306.24000001</v>
      </c>
      <c r="BH16" s="186">
        <v>-168807799.96000001</v>
      </c>
      <c r="BI16" s="186">
        <v>-169031361.13999999</v>
      </c>
      <c r="BJ16" s="186">
        <v>-169417964.81999999</v>
      </c>
      <c r="BK16" s="186">
        <v>-170108474.88999999</v>
      </c>
      <c r="BL16" s="186">
        <v>-170820005.96000001</v>
      </c>
      <c r="BM16" s="186">
        <v>-170578976.66</v>
      </c>
      <c r="BN16" s="186">
        <v>-171098807.28999999</v>
      </c>
      <c r="BO16" s="186">
        <v>-171295968.96000001</v>
      </c>
      <c r="BP16" s="186">
        <v>-171318549.91</v>
      </c>
      <c r="BQ16" s="186">
        <v>-171314483.88</v>
      </c>
      <c r="BR16" s="186">
        <v>-171623758.41999999</v>
      </c>
      <c r="BS16" s="186">
        <v>-170596236.03</v>
      </c>
      <c r="BT16" s="186">
        <v>-170868802.15000001</v>
      </c>
      <c r="BU16" s="186">
        <v>-171478563.11000001</v>
      </c>
      <c r="BV16" s="186">
        <v>-172104045.53</v>
      </c>
      <c r="BW16" s="186">
        <v>-172248228.46000001</v>
      </c>
      <c r="BX16" s="186">
        <v>-172710168.47999999</v>
      </c>
      <c r="BY16" s="186">
        <v>-170759713.66</v>
      </c>
      <c r="BZ16" s="186">
        <v>-171341681.81999999</v>
      </c>
      <c r="CA16" s="186">
        <v>-172016083.63</v>
      </c>
      <c r="CB16" s="186">
        <v>-172605781.63</v>
      </c>
      <c r="CC16" s="186">
        <v>-173139350.93000001</v>
      </c>
      <c r="CD16" s="186">
        <v>-173093762.09999999</v>
      </c>
      <c r="CE16" s="186">
        <v>-172147318.59999999</v>
      </c>
      <c r="CF16" s="186">
        <v>-172715644.03999999</v>
      </c>
      <c r="CG16" s="186">
        <v>-173471490.18000001</v>
      </c>
      <c r="CH16" s="186">
        <v>-173584928.91999999</v>
      </c>
      <c r="CI16" s="186">
        <v>-174226710.41</v>
      </c>
      <c r="CJ16" s="186">
        <v>-174998051.16</v>
      </c>
      <c r="CK16" s="186">
        <v>-177447760.31</v>
      </c>
      <c r="CL16" s="186">
        <v>-173599243.78</v>
      </c>
      <c r="CM16" s="186">
        <v>-174466919.24000001</v>
      </c>
      <c r="CN16" s="186">
        <v>-175537325.78</v>
      </c>
      <c r="CO16" s="186">
        <v>-176183919.80000001</v>
      </c>
      <c r="CP16" s="186">
        <v>-177286445.44</v>
      </c>
      <c r="CQ16" s="186">
        <v>-177629172.22999999</v>
      </c>
      <c r="CR16" s="186">
        <v>-178582364.50999999</v>
      </c>
      <c r="CS16" s="186">
        <v>-179704862.22</v>
      </c>
      <c r="CT16" s="186">
        <v>-179344878.47</v>
      </c>
      <c r="CU16" s="186">
        <v>-178999186.68000001</v>
      </c>
      <c r="CV16" s="186">
        <v>-179725477.24000001</v>
      </c>
    </row>
    <row r="17" spans="1:100">
      <c r="A17" s="541" t="str">
        <f t="shared" si="0"/>
        <v>1080901</v>
      </c>
      <c r="B17" s="541" t="s">
        <v>1547</v>
      </c>
      <c r="C17" s="510" t="s">
        <v>1459</v>
      </c>
      <c r="D17" s="397"/>
      <c r="E17" s="397"/>
      <c r="F17" s="397"/>
      <c r="G17" s="397"/>
      <c r="H17" s="397"/>
      <c r="I17" s="397"/>
      <c r="J17" s="397"/>
      <c r="K17" s="397"/>
      <c r="L17" s="397"/>
      <c r="M17" s="397"/>
      <c r="N17" s="397"/>
      <c r="O17" s="397"/>
      <c r="P17" s="398"/>
      <c r="Q17" s="186"/>
      <c r="R17" s="186"/>
      <c r="S17" s="186"/>
      <c r="T17" s="186"/>
      <c r="U17" s="186"/>
      <c r="V17" s="186"/>
      <c r="W17" s="186"/>
      <c r="X17" s="186"/>
      <c r="Y17" s="186"/>
      <c r="Z17" s="186"/>
      <c r="AA17" s="186"/>
      <c r="AB17" s="186"/>
      <c r="AC17" s="186"/>
      <c r="AD17" s="186"/>
      <c r="AE17" s="186"/>
      <c r="AF17" s="186">
        <v>0</v>
      </c>
      <c r="AG17" s="186">
        <v>0</v>
      </c>
      <c r="AH17" s="511">
        <v>98151</v>
      </c>
      <c r="AI17" s="511">
        <v>130868</v>
      </c>
      <c r="AJ17" s="511">
        <v>163585</v>
      </c>
      <c r="AK17" s="511">
        <v>196302</v>
      </c>
      <c r="AL17" s="525">
        <v>229019</v>
      </c>
      <c r="AM17" s="525">
        <v>284611</v>
      </c>
      <c r="AN17" s="525">
        <v>328766</v>
      </c>
      <c r="AO17" s="525">
        <v>372921</v>
      </c>
      <c r="AP17" s="525">
        <v>417076</v>
      </c>
      <c r="AQ17" s="525">
        <v>461231</v>
      </c>
      <c r="AR17" s="525">
        <v>505386</v>
      </c>
      <c r="AS17" s="525">
        <v>549541</v>
      </c>
      <c r="AT17" s="525">
        <v>593696</v>
      </c>
      <c r="AU17" s="525">
        <v>637851</v>
      </c>
      <c r="AV17" s="525">
        <v>682006</v>
      </c>
      <c r="AW17" s="525">
        <v>726161</v>
      </c>
      <c r="AX17" s="525">
        <v>770316</v>
      </c>
      <c r="AY17" s="525">
        <v>814471</v>
      </c>
      <c r="AZ17" s="525">
        <v>858626</v>
      </c>
      <c r="BA17" s="525">
        <v>902781</v>
      </c>
      <c r="BB17" s="525">
        <v>946936</v>
      </c>
      <c r="BC17" s="525">
        <v>991091</v>
      </c>
      <c r="BD17" s="525">
        <v>1035246</v>
      </c>
      <c r="BE17" s="525">
        <v>1079401</v>
      </c>
      <c r="BF17" s="525">
        <v>1123556</v>
      </c>
      <c r="BG17" s="525">
        <v>1167711</v>
      </c>
      <c r="BH17" s="525">
        <v>1211866</v>
      </c>
      <c r="BI17" s="525">
        <v>1256021</v>
      </c>
      <c r="BJ17" s="525">
        <v>1300176</v>
      </c>
      <c r="BK17" s="525">
        <v>1344331</v>
      </c>
      <c r="BL17" s="525">
        <v>1388486</v>
      </c>
      <c r="BM17" s="525">
        <v>1432641</v>
      </c>
      <c r="BN17" s="525">
        <v>1476796</v>
      </c>
      <c r="BO17" s="525">
        <v>1520951</v>
      </c>
      <c r="BP17" s="525">
        <v>1565106</v>
      </c>
      <c r="BQ17" s="525">
        <v>1609261</v>
      </c>
      <c r="BR17" s="525">
        <v>1653416</v>
      </c>
      <c r="BS17" s="525">
        <v>1697571</v>
      </c>
      <c r="BT17" s="525">
        <v>1741726</v>
      </c>
      <c r="BU17" s="525">
        <v>1785881</v>
      </c>
      <c r="BV17" s="525">
        <v>1830036</v>
      </c>
      <c r="BW17" s="525">
        <v>1874191</v>
      </c>
      <c r="BX17" s="525">
        <v>1918346</v>
      </c>
      <c r="BY17" s="525">
        <v>1962501</v>
      </c>
      <c r="BZ17" s="525">
        <v>2006656</v>
      </c>
      <c r="CA17" s="525">
        <v>2050811</v>
      </c>
      <c r="CB17" s="525">
        <v>2094966</v>
      </c>
      <c r="CC17" s="525">
        <v>2139121</v>
      </c>
      <c r="CD17" s="525">
        <v>2183276</v>
      </c>
      <c r="CE17" s="525">
        <v>2227431</v>
      </c>
      <c r="CF17" s="525">
        <v>2271586</v>
      </c>
      <c r="CG17" s="525">
        <v>2315741</v>
      </c>
      <c r="CH17" s="525">
        <v>2359896</v>
      </c>
      <c r="CI17" s="525">
        <v>2404051</v>
      </c>
      <c r="CJ17" s="525">
        <v>2448206</v>
      </c>
      <c r="CK17" s="525">
        <v>2492361</v>
      </c>
      <c r="CL17" s="525">
        <v>2536516</v>
      </c>
      <c r="CM17" s="525">
        <v>2580671</v>
      </c>
      <c r="CN17" s="525">
        <v>2624826</v>
      </c>
      <c r="CO17" s="525">
        <v>2668981</v>
      </c>
      <c r="CP17" s="525">
        <v>2713136</v>
      </c>
      <c r="CQ17" s="525">
        <v>2757291</v>
      </c>
      <c r="CR17" s="525">
        <v>2801446</v>
      </c>
      <c r="CS17" s="525">
        <v>2845601</v>
      </c>
      <c r="CT17" s="525">
        <v>2889756</v>
      </c>
      <c r="CU17" s="525">
        <v>2933911</v>
      </c>
      <c r="CV17" s="525">
        <v>2978066</v>
      </c>
    </row>
    <row r="18" spans="1:100">
      <c r="A18" s="541" t="str">
        <f t="shared" si="0"/>
        <v>1140000</v>
      </c>
      <c r="B18" s="541" t="s">
        <v>1548</v>
      </c>
      <c r="C18" s="392" t="s">
        <v>598</v>
      </c>
      <c r="D18" s="397">
        <v>5031897.24</v>
      </c>
      <c r="E18" s="397">
        <v>5031897.24</v>
      </c>
      <c r="F18" s="397">
        <v>5031897.24</v>
      </c>
      <c r="G18" s="397">
        <v>5031897.24</v>
      </c>
      <c r="H18" s="397">
        <v>5031897.24</v>
      </c>
      <c r="I18" s="397">
        <v>5031897.24</v>
      </c>
      <c r="J18" s="397">
        <v>5031897.24</v>
      </c>
      <c r="K18" s="397">
        <v>5031897.24</v>
      </c>
      <c r="L18" s="397">
        <v>5031897.24</v>
      </c>
      <c r="M18" s="397">
        <v>5031897.24</v>
      </c>
      <c r="N18" s="397">
        <v>5031897.24</v>
      </c>
      <c r="O18" s="397">
        <v>5031897.24</v>
      </c>
      <c r="P18" s="398">
        <v>5031897.24</v>
      </c>
      <c r="Q18" s="186">
        <v>5031897.24</v>
      </c>
      <c r="R18" s="186">
        <v>5031897.24</v>
      </c>
      <c r="S18" s="186">
        <v>5031897.24</v>
      </c>
      <c r="T18" s="186">
        <v>5031897.24</v>
      </c>
      <c r="U18" s="186">
        <v>5031897.24</v>
      </c>
      <c r="V18" s="186">
        <v>5031897.24</v>
      </c>
      <c r="W18" s="186">
        <v>5031897.24</v>
      </c>
      <c r="X18" s="186">
        <v>5031897.24</v>
      </c>
      <c r="Y18" s="186">
        <v>5031897.24</v>
      </c>
      <c r="Z18" s="186">
        <v>5031897.24</v>
      </c>
      <c r="AA18" s="186">
        <v>5031897.24</v>
      </c>
      <c r="AB18" s="186">
        <v>5031897.24</v>
      </c>
      <c r="AC18" s="186">
        <v>5031897.24</v>
      </c>
      <c r="AD18" s="186">
        <v>5031897.24</v>
      </c>
      <c r="AE18" s="186">
        <v>5031897.24</v>
      </c>
      <c r="AF18" s="186">
        <v>5031897.24</v>
      </c>
      <c r="AG18" s="186">
        <v>5031897.24</v>
      </c>
      <c r="AH18" s="186">
        <v>5031897.24</v>
      </c>
      <c r="AI18" s="186">
        <v>5031897.24</v>
      </c>
      <c r="AJ18" s="186">
        <v>5031897.24</v>
      </c>
      <c r="AK18" s="186">
        <v>5031897.24</v>
      </c>
      <c r="AL18" s="186">
        <v>5031897.24</v>
      </c>
      <c r="AM18" s="186">
        <v>5031897.24</v>
      </c>
      <c r="AN18" s="186">
        <v>5031897.24</v>
      </c>
      <c r="AO18" s="186">
        <v>5031897.24</v>
      </c>
      <c r="AP18" s="186">
        <v>5031897.24</v>
      </c>
      <c r="AQ18" s="186">
        <v>5031897.24</v>
      </c>
      <c r="AR18" s="186">
        <v>5031897.24</v>
      </c>
      <c r="AS18" s="186">
        <v>5031897.24</v>
      </c>
      <c r="AT18" s="186">
        <v>5031897.24</v>
      </c>
      <c r="AU18" s="186">
        <v>5031897.24</v>
      </c>
      <c r="AV18" s="186">
        <v>5031897.24</v>
      </c>
      <c r="AW18" s="186">
        <v>5031897.24</v>
      </c>
      <c r="AX18" s="186">
        <v>5031897.24</v>
      </c>
      <c r="AY18" s="186">
        <v>5031897.24</v>
      </c>
      <c r="AZ18" s="186">
        <v>5031897.24</v>
      </c>
      <c r="BA18" s="186">
        <v>5031897.24</v>
      </c>
      <c r="BB18" s="186">
        <v>5031897.24</v>
      </c>
      <c r="BC18" s="186">
        <v>5031897.24</v>
      </c>
      <c r="BD18" s="186">
        <v>5031897.24</v>
      </c>
      <c r="BE18" s="186">
        <v>5031897.24</v>
      </c>
      <c r="BF18" s="186">
        <v>5031897.24</v>
      </c>
      <c r="BG18" s="186">
        <v>5031897.24</v>
      </c>
      <c r="BH18" s="186">
        <v>5031897.24</v>
      </c>
      <c r="BI18" s="186">
        <v>5031897.24</v>
      </c>
      <c r="BJ18" s="186">
        <v>5031897.24</v>
      </c>
      <c r="BK18" s="186">
        <v>5031897.24</v>
      </c>
      <c r="BL18" s="186">
        <v>5031897.24</v>
      </c>
      <c r="BM18" s="186">
        <v>5031897.24</v>
      </c>
      <c r="BN18" s="186">
        <v>5031897.24</v>
      </c>
      <c r="BO18" s="186">
        <v>5031897.24</v>
      </c>
      <c r="BP18" s="186">
        <v>5031897.24</v>
      </c>
      <c r="BQ18" s="186">
        <v>5031897.24</v>
      </c>
      <c r="BR18" s="186">
        <v>5031897.24</v>
      </c>
      <c r="BS18" s="186">
        <v>5031897.24</v>
      </c>
      <c r="BT18" s="186">
        <v>5031897.24</v>
      </c>
      <c r="BU18" s="186">
        <v>5031897.24</v>
      </c>
      <c r="BV18" s="186">
        <v>5031897.24</v>
      </c>
      <c r="BW18" s="186">
        <v>5031897.24</v>
      </c>
      <c r="BX18" s="186">
        <v>5031897.24</v>
      </c>
      <c r="BY18" s="186">
        <v>5031897.24</v>
      </c>
      <c r="BZ18" s="186">
        <v>5031897.24</v>
      </c>
      <c r="CA18" s="186">
        <v>5031897.24</v>
      </c>
      <c r="CB18" s="186">
        <v>5031897.24</v>
      </c>
      <c r="CC18" s="186">
        <v>5031897.24</v>
      </c>
      <c r="CD18" s="186">
        <v>5031897.24</v>
      </c>
      <c r="CE18" s="186">
        <v>5031897.24</v>
      </c>
      <c r="CF18" s="186">
        <v>5031897.24</v>
      </c>
      <c r="CG18" s="186">
        <v>5031897.24</v>
      </c>
      <c r="CH18" s="186">
        <v>5031897.24</v>
      </c>
      <c r="CI18" s="186">
        <v>5031897.24</v>
      </c>
      <c r="CJ18" s="186">
        <v>5031897.24</v>
      </c>
      <c r="CK18" s="186">
        <v>5031897.24</v>
      </c>
      <c r="CL18" s="186">
        <v>5031897.24</v>
      </c>
      <c r="CM18" s="186">
        <v>5031897.24</v>
      </c>
      <c r="CN18" s="186">
        <v>5031897.24</v>
      </c>
      <c r="CO18" s="186">
        <v>5031897.24</v>
      </c>
      <c r="CP18" s="186">
        <v>5031897.24</v>
      </c>
      <c r="CQ18" s="186">
        <v>5031897.24</v>
      </c>
      <c r="CR18" s="186">
        <v>5031897.24</v>
      </c>
      <c r="CS18" s="186">
        <v>5031897.24</v>
      </c>
      <c r="CT18" s="186">
        <v>5031897.24</v>
      </c>
      <c r="CU18" s="186">
        <v>5031897.24</v>
      </c>
      <c r="CV18" s="186">
        <v>5031897.24</v>
      </c>
    </row>
    <row r="19" spans="1:100">
      <c r="A19" s="541" t="str">
        <f t="shared" si="0"/>
        <v>1150000</v>
      </c>
      <c r="B19" s="541" t="s">
        <v>1549</v>
      </c>
      <c r="C19" s="392" t="s">
        <v>599</v>
      </c>
      <c r="D19" s="397">
        <v>-3962608.63</v>
      </c>
      <c r="E19" s="397">
        <v>-3975037.45</v>
      </c>
      <c r="F19" s="397">
        <v>-3987466.27</v>
      </c>
      <c r="G19" s="397">
        <v>-3999895.09</v>
      </c>
      <c r="H19" s="397">
        <v>-4012323.91</v>
      </c>
      <c r="I19" s="397">
        <v>-4024752.73</v>
      </c>
      <c r="J19" s="397">
        <v>-4037181.55</v>
      </c>
      <c r="K19" s="397">
        <v>-4049610.37</v>
      </c>
      <c r="L19" s="397">
        <v>-4062039.19</v>
      </c>
      <c r="M19" s="397">
        <v>-4074468.01</v>
      </c>
      <c r="N19" s="397">
        <v>-4086896.83</v>
      </c>
      <c r="O19" s="397">
        <v>-4099325.65</v>
      </c>
      <c r="P19" s="398">
        <v>-4111754.47</v>
      </c>
      <c r="Q19" s="186">
        <v>-4124183.29</v>
      </c>
      <c r="R19" s="186">
        <v>-4136612.11</v>
      </c>
      <c r="S19" s="186">
        <v>-4149040.93</v>
      </c>
      <c r="T19" s="186">
        <v>-4161469.75</v>
      </c>
      <c r="U19" s="186">
        <v>-4173898.57</v>
      </c>
      <c r="V19" s="186">
        <v>-4186327.39</v>
      </c>
      <c r="W19" s="186">
        <v>-4198756.21</v>
      </c>
      <c r="X19" s="186">
        <v>-4211185.03</v>
      </c>
      <c r="Y19" s="186">
        <v>-4223613.8499999996</v>
      </c>
      <c r="Z19" s="186">
        <v>-4236042.67</v>
      </c>
      <c r="AA19" s="186">
        <v>-4248471.49</v>
      </c>
      <c r="AB19" s="186">
        <v>-4260900.3099999996</v>
      </c>
      <c r="AC19" s="186">
        <v>-4273329.13</v>
      </c>
      <c r="AD19" s="186">
        <v>-4285757.95</v>
      </c>
      <c r="AE19" s="186">
        <v>-4298186.7699999996</v>
      </c>
      <c r="AF19" s="186">
        <v>-4310615.59</v>
      </c>
      <c r="AG19" s="186">
        <v>-4323044.41</v>
      </c>
      <c r="AH19" s="186">
        <v>-4335473.2300000004</v>
      </c>
      <c r="AI19" s="186">
        <v>-4347902.05</v>
      </c>
      <c r="AJ19" s="186">
        <v>-4360330.87</v>
      </c>
      <c r="AK19" s="186">
        <v>-4372759.6900000004</v>
      </c>
      <c r="AL19" s="186">
        <v>-4385188.51</v>
      </c>
      <c r="AM19" s="186">
        <v>-4397617.33</v>
      </c>
      <c r="AN19" s="186">
        <v>-4410046.1500000004</v>
      </c>
      <c r="AO19" s="186">
        <v>-4422474.97</v>
      </c>
      <c r="AP19" s="186">
        <v>-4434903.79</v>
      </c>
      <c r="AQ19" s="186">
        <v>-4447332.6100000003</v>
      </c>
      <c r="AR19" s="186">
        <v>-4459761.43</v>
      </c>
      <c r="AS19" s="186">
        <v>-4472190.25</v>
      </c>
      <c r="AT19" s="186">
        <v>-4484619.07</v>
      </c>
      <c r="AU19" s="186">
        <v>-4497047.8899999997</v>
      </c>
      <c r="AV19" s="186">
        <v>-4509476.71</v>
      </c>
      <c r="AW19" s="186">
        <v>-4521905.53</v>
      </c>
      <c r="AX19" s="186">
        <v>-4534334.3499999996</v>
      </c>
      <c r="AY19" s="186">
        <v>-4546763.17</v>
      </c>
      <c r="AZ19" s="186">
        <v>-4559191.99</v>
      </c>
      <c r="BA19" s="186">
        <v>-4571620.8099999996</v>
      </c>
      <c r="BB19" s="186">
        <v>-4584049.63</v>
      </c>
      <c r="BC19" s="186">
        <v>-4596478.45</v>
      </c>
      <c r="BD19" s="186">
        <v>-4608907.2699999996</v>
      </c>
      <c r="BE19" s="186">
        <v>-4621336.09</v>
      </c>
      <c r="BF19" s="186">
        <v>-4633764.91</v>
      </c>
      <c r="BG19" s="186">
        <v>-4646193.7300000004</v>
      </c>
      <c r="BH19" s="186">
        <v>-4658622.55</v>
      </c>
      <c r="BI19" s="186">
        <v>-4671051.37</v>
      </c>
      <c r="BJ19" s="186">
        <v>-4683480.1900000004</v>
      </c>
      <c r="BK19" s="186">
        <v>-4695909.01</v>
      </c>
      <c r="BL19" s="186">
        <v>-4708337.83</v>
      </c>
      <c r="BM19" s="186">
        <v>-4720766.6500000004</v>
      </c>
      <c r="BN19" s="186">
        <v>-4733195.47</v>
      </c>
      <c r="BO19" s="186">
        <v>-4745624.29</v>
      </c>
      <c r="BP19" s="186">
        <v>-4758053.1100000003</v>
      </c>
      <c r="BQ19" s="186">
        <v>-4770481.93</v>
      </c>
      <c r="BR19" s="186">
        <v>-4782910.75</v>
      </c>
      <c r="BS19" s="186">
        <v>-4795339.57</v>
      </c>
      <c r="BT19" s="186">
        <v>-4807768.3899999997</v>
      </c>
      <c r="BU19" s="186">
        <v>-4820197.21</v>
      </c>
      <c r="BV19" s="186">
        <v>-4832626.03</v>
      </c>
      <c r="BW19" s="186">
        <v>-4845054.8499999996</v>
      </c>
      <c r="BX19" s="186">
        <v>-4857483.67</v>
      </c>
      <c r="BY19" s="186">
        <v>-4869912.49</v>
      </c>
      <c r="BZ19" s="186">
        <v>-4882341.3099999996</v>
      </c>
      <c r="CA19" s="186">
        <v>-4894770.13</v>
      </c>
      <c r="CB19" s="186">
        <v>-4907198.95</v>
      </c>
      <c r="CC19" s="186">
        <v>-4919627.7699999996</v>
      </c>
      <c r="CD19" s="186">
        <v>-4932056.59</v>
      </c>
      <c r="CE19" s="186">
        <v>-4944485.41</v>
      </c>
      <c r="CF19" s="186">
        <v>-4956914.2300000004</v>
      </c>
      <c r="CG19" s="186">
        <v>-4969343.05</v>
      </c>
      <c r="CH19" s="186">
        <v>-4975292.78</v>
      </c>
      <c r="CI19" s="186">
        <v>-4981242.51</v>
      </c>
      <c r="CJ19" s="186">
        <v>-4987192.24</v>
      </c>
      <c r="CK19" s="186">
        <v>-4993141.97</v>
      </c>
      <c r="CL19" s="186">
        <v>-4999091.7</v>
      </c>
      <c r="CM19" s="186">
        <v>-5005041.43</v>
      </c>
      <c r="CN19" s="186">
        <v>-5010991.16</v>
      </c>
      <c r="CO19" s="186">
        <v>-5016940.8899999997</v>
      </c>
      <c r="CP19" s="186">
        <v>-5022890.62</v>
      </c>
      <c r="CQ19" s="186">
        <v>-5028840.3499999996</v>
      </c>
      <c r="CR19" s="186">
        <v>-5028152.9800000004</v>
      </c>
      <c r="CS19" s="186">
        <v>-5028152.9800000004</v>
      </c>
      <c r="CT19" s="186">
        <v>-5028152.9800000004</v>
      </c>
      <c r="CU19" s="186">
        <v>-5028152.9800000004</v>
      </c>
      <c r="CV19" s="186">
        <v>-5028152.9800000004</v>
      </c>
    </row>
    <row r="20" spans="1:100">
      <c r="A20" s="541" t="str">
        <f t="shared" si="0"/>
        <v>1231000</v>
      </c>
      <c r="B20" s="541" t="s">
        <v>1550</v>
      </c>
      <c r="C20" s="463" t="s">
        <v>600</v>
      </c>
      <c r="D20" s="397">
        <v>1072286.1399999999</v>
      </c>
      <c r="E20" s="397">
        <v>690737.44</v>
      </c>
      <c r="F20" s="397">
        <v>1021328.38</v>
      </c>
      <c r="G20" s="397">
        <v>1227819.6399999999</v>
      </c>
      <c r="H20" s="397">
        <v>789786.66</v>
      </c>
      <c r="I20" s="397">
        <v>968313.89</v>
      </c>
      <c r="J20" s="397">
        <v>1230761.6100000001</v>
      </c>
      <c r="K20" s="397">
        <v>805462.03</v>
      </c>
      <c r="L20" s="397">
        <v>1003294.07</v>
      </c>
      <c r="M20" s="397">
        <v>1072047.3899999999</v>
      </c>
      <c r="N20" s="397">
        <v>665438.34</v>
      </c>
      <c r="O20" s="397">
        <v>833785.45</v>
      </c>
      <c r="P20" s="398">
        <v>1026666.02</v>
      </c>
      <c r="Q20" s="186">
        <v>1417441.09</v>
      </c>
      <c r="R20" s="186">
        <v>1096979.0900000001</v>
      </c>
      <c r="S20" s="186">
        <v>1247742.3799999999</v>
      </c>
      <c r="T20" s="186">
        <v>570274.97</v>
      </c>
      <c r="U20" s="186">
        <v>794634.67</v>
      </c>
      <c r="V20" s="186">
        <v>1010928.84</v>
      </c>
      <c r="W20" s="186">
        <v>671653.09</v>
      </c>
      <c r="X20" s="186">
        <v>842696.67</v>
      </c>
      <c r="Y20" s="186">
        <v>1066034.9099999999</v>
      </c>
      <c r="Z20" s="186">
        <v>1196268.3899999999</v>
      </c>
      <c r="AA20" s="186">
        <v>846357.32</v>
      </c>
      <c r="AB20" s="186">
        <v>1550191.33</v>
      </c>
      <c r="AC20" s="186">
        <v>1846471.79</v>
      </c>
      <c r="AD20" s="186">
        <v>1665481.94</v>
      </c>
      <c r="AE20" s="186">
        <v>1768137.91</v>
      </c>
      <c r="AF20" s="186">
        <v>1890203.72</v>
      </c>
      <c r="AG20" s="186">
        <v>817696.9</v>
      </c>
      <c r="AH20" s="186">
        <v>451270.74</v>
      </c>
      <c r="AI20" s="186">
        <v>666141.99</v>
      </c>
      <c r="AJ20" s="186">
        <v>943907.39</v>
      </c>
      <c r="AK20" s="186">
        <v>1124178.3799999999</v>
      </c>
      <c r="AL20" s="186">
        <v>1893574.75</v>
      </c>
      <c r="AM20" s="186">
        <v>1455090.61</v>
      </c>
      <c r="AN20" s="186">
        <v>1676407.65</v>
      </c>
      <c r="AO20" s="186">
        <v>2030340.05</v>
      </c>
      <c r="AP20" s="186">
        <v>1185824.46</v>
      </c>
      <c r="AQ20" s="186">
        <v>1472993.61</v>
      </c>
      <c r="AR20" s="186">
        <v>1619962.16</v>
      </c>
      <c r="AS20" s="186">
        <v>1068540.05</v>
      </c>
      <c r="AT20" s="186">
        <v>915178.88</v>
      </c>
      <c r="AU20" s="186">
        <v>1208435.27</v>
      </c>
      <c r="AV20" s="186">
        <v>564156.92000000004</v>
      </c>
      <c r="AW20" s="186">
        <v>862127.45</v>
      </c>
      <c r="AX20" s="186">
        <v>1107738.21</v>
      </c>
      <c r="AY20" s="186">
        <v>1166609.79</v>
      </c>
      <c r="AZ20" s="186">
        <v>1715678.71</v>
      </c>
      <c r="BA20" s="186">
        <v>2142944.46</v>
      </c>
      <c r="BB20" s="186">
        <v>1123292.52</v>
      </c>
      <c r="BC20" s="186">
        <v>1235895.02</v>
      </c>
      <c r="BD20" s="186">
        <v>1742173.74</v>
      </c>
      <c r="BE20" s="186">
        <v>1049799.92</v>
      </c>
      <c r="BF20" s="186">
        <v>1272460.1100000001</v>
      </c>
      <c r="BG20" s="186">
        <v>1562003.94</v>
      </c>
      <c r="BH20" s="186">
        <v>760636.27</v>
      </c>
      <c r="BI20" s="186">
        <v>935108.73</v>
      </c>
      <c r="BJ20" s="186">
        <v>1188785.76</v>
      </c>
      <c r="BK20" s="186">
        <v>777880.49</v>
      </c>
      <c r="BL20" s="186">
        <v>1195217.6599999999</v>
      </c>
      <c r="BM20" s="186">
        <v>1451866.25</v>
      </c>
      <c r="BN20" s="186">
        <v>823643.62</v>
      </c>
      <c r="BO20" s="186">
        <v>1284772.3600000001</v>
      </c>
      <c r="BP20" s="186">
        <v>1701879.38</v>
      </c>
      <c r="BQ20" s="186">
        <v>1022397.48</v>
      </c>
      <c r="BR20" s="186">
        <v>1256931.8</v>
      </c>
      <c r="BS20" s="186">
        <v>1595861.92</v>
      </c>
      <c r="BT20" s="186">
        <v>1079865.1299999999</v>
      </c>
      <c r="BU20" s="186">
        <v>1299029.46</v>
      </c>
      <c r="BV20" s="186">
        <v>1496620.32</v>
      </c>
      <c r="BW20" s="186">
        <v>673250.97</v>
      </c>
      <c r="BX20" s="186">
        <v>902043.41</v>
      </c>
      <c r="BY20" s="186">
        <v>1028316.05</v>
      </c>
      <c r="BZ20" s="186">
        <v>832643.11</v>
      </c>
      <c r="CA20" s="186">
        <v>926542.53</v>
      </c>
      <c r="CB20" s="186">
        <v>1260989.77</v>
      </c>
      <c r="CC20" s="186">
        <v>1026254.93</v>
      </c>
      <c r="CD20" s="186">
        <v>1250596.3700000001</v>
      </c>
      <c r="CE20" s="186">
        <v>1439036.29</v>
      </c>
      <c r="CF20" s="186">
        <v>781252.78</v>
      </c>
      <c r="CG20" s="186">
        <v>1020483.08</v>
      </c>
      <c r="CH20" s="186">
        <v>1371276.5</v>
      </c>
      <c r="CI20" s="186">
        <v>841297.66</v>
      </c>
      <c r="CJ20" s="186">
        <v>1208345.97</v>
      </c>
      <c r="CK20" s="186">
        <v>1542480.94</v>
      </c>
      <c r="CL20" s="186">
        <v>1003468.87</v>
      </c>
      <c r="CM20" s="186">
        <v>1278830.19</v>
      </c>
      <c r="CN20" s="186">
        <v>612943.16</v>
      </c>
      <c r="CO20" s="186">
        <v>1003456.24</v>
      </c>
      <c r="CP20" s="186">
        <v>1274946.82</v>
      </c>
      <c r="CQ20" s="186">
        <v>1549067.57</v>
      </c>
      <c r="CR20" s="186">
        <v>892660.69</v>
      </c>
      <c r="CS20" s="186">
        <v>1188488.3400000001</v>
      </c>
      <c r="CT20" s="186">
        <v>1502236.12</v>
      </c>
      <c r="CU20" s="186">
        <v>868331.8</v>
      </c>
      <c r="CV20" s="186">
        <v>1027776.72</v>
      </c>
    </row>
    <row r="21" spans="1:100">
      <c r="A21" s="541" t="str">
        <f t="shared" si="0"/>
        <v>1310180</v>
      </c>
      <c r="B21" s="541" t="s">
        <v>1551</v>
      </c>
      <c r="C21" s="463" t="s">
        <v>601</v>
      </c>
      <c r="D21" s="397">
        <v>854815.57</v>
      </c>
      <c r="E21" s="397">
        <v>661843.68000000005</v>
      </c>
      <c r="F21" s="397">
        <v>924904.98</v>
      </c>
      <c r="G21" s="397">
        <v>1024070.57</v>
      </c>
      <c r="H21" s="397">
        <v>1305784.8</v>
      </c>
      <c r="I21" s="397">
        <v>10340489.99</v>
      </c>
      <c r="J21" s="397">
        <v>7815621.4199999999</v>
      </c>
      <c r="K21" s="397">
        <v>9387597.6600000001</v>
      </c>
      <c r="L21" s="397">
        <v>850191.94</v>
      </c>
      <c r="M21" s="397">
        <v>743876.29</v>
      </c>
      <c r="N21" s="397">
        <v>3692806.89</v>
      </c>
      <c r="O21" s="397">
        <v>4648640.5199999996</v>
      </c>
      <c r="P21" s="398">
        <v>585926.86</v>
      </c>
      <c r="Q21" s="186">
        <v>579112.88</v>
      </c>
      <c r="R21" s="186">
        <v>556338.87</v>
      </c>
      <c r="S21" s="186">
        <v>473980.34</v>
      </c>
      <c r="T21" s="186">
        <v>547609.64</v>
      </c>
      <c r="U21" s="186">
        <v>26328236.010000002</v>
      </c>
      <c r="V21" s="186">
        <v>21575472.969999999</v>
      </c>
      <c r="W21" s="186">
        <v>25276954.329999998</v>
      </c>
      <c r="X21" s="186">
        <v>25642033.100000001</v>
      </c>
      <c r="Y21" s="186">
        <v>23546556.809999999</v>
      </c>
      <c r="Z21" s="186">
        <v>8806099.6099999994</v>
      </c>
      <c r="AA21" s="186">
        <v>8378742.0599999996</v>
      </c>
      <c r="AB21" s="186">
        <v>1927001.38</v>
      </c>
      <c r="AC21" s="186">
        <v>549407.79</v>
      </c>
      <c r="AD21" s="186">
        <v>671614.12</v>
      </c>
      <c r="AE21" s="186">
        <v>22075282.539999999</v>
      </c>
      <c r="AF21" s="186">
        <v>297651.90999999997</v>
      </c>
      <c r="AG21" s="186">
        <v>662687.07999999996</v>
      </c>
      <c r="AH21" s="186">
        <v>599825.23</v>
      </c>
      <c r="AI21" s="186">
        <v>619928.79</v>
      </c>
      <c r="AJ21" s="186">
        <v>557419.53</v>
      </c>
      <c r="AK21" s="186">
        <v>656809.67000000004</v>
      </c>
      <c r="AL21" s="186">
        <v>572076.66</v>
      </c>
      <c r="AM21" s="186">
        <v>601132.79</v>
      </c>
      <c r="AN21" s="186">
        <v>818171.77</v>
      </c>
      <c r="AO21" s="186">
        <v>637802.86</v>
      </c>
      <c r="AP21" s="186">
        <v>646762.9</v>
      </c>
      <c r="AQ21" s="186">
        <v>675305.84</v>
      </c>
      <c r="AR21" s="186">
        <v>646663.01</v>
      </c>
      <c r="AS21" s="186">
        <v>571795.04</v>
      </c>
      <c r="AT21" s="186">
        <v>709690.96</v>
      </c>
      <c r="AU21" s="186">
        <v>614747.28</v>
      </c>
      <c r="AV21" s="186">
        <v>614391.43999999994</v>
      </c>
      <c r="AW21" s="186">
        <v>1095273.49</v>
      </c>
      <c r="AX21" s="186">
        <v>687301.89</v>
      </c>
      <c r="AY21" s="186">
        <v>730359.73</v>
      </c>
      <c r="AZ21" s="186">
        <v>681072.76</v>
      </c>
      <c r="BA21" s="186">
        <v>719315.4</v>
      </c>
      <c r="BB21" s="186">
        <v>696914.39</v>
      </c>
      <c r="BC21" s="186">
        <v>2644856.91</v>
      </c>
      <c r="BD21" s="186">
        <v>745369.21</v>
      </c>
      <c r="BE21" s="186">
        <v>640773.44999999995</v>
      </c>
      <c r="BF21" s="186">
        <v>708236.77</v>
      </c>
      <c r="BG21" s="186">
        <v>557876.63</v>
      </c>
      <c r="BH21" s="186">
        <v>678369.39</v>
      </c>
      <c r="BI21" s="186">
        <v>729174.77</v>
      </c>
      <c r="BJ21" s="186">
        <v>660169.24</v>
      </c>
      <c r="BK21" s="186">
        <v>709709.23</v>
      </c>
      <c r="BL21" s="186">
        <v>1018274.8</v>
      </c>
      <c r="BM21" s="186">
        <v>620747.97</v>
      </c>
      <c r="BN21" s="186">
        <v>1202930.22</v>
      </c>
      <c r="BO21" s="186">
        <v>704923.74</v>
      </c>
      <c r="BP21" s="186">
        <v>1063591.54</v>
      </c>
      <c r="BQ21" s="186">
        <v>1046393.18</v>
      </c>
      <c r="BR21" s="186">
        <v>911536.45</v>
      </c>
      <c r="BS21" s="186">
        <v>647143.74</v>
      </c>
      <c r="BT21" s="186">
        <v>1009822.93</v>
      </c>
      <c r="BU21" s="186">
        <v>1059380.8899999999</v>
      </c>
      <c r="BV21" s="186">
        <v>1198188.1399999999</v>
      </c>
      <c r="BW21" s="186">
        <v>8018323.5199999996</v>
      </c>
      <c r="BX21" s="186">
        <v>994252.87</v>
      </c>
      <c r="BY21" s="186">
        <v>630038.43999999994</v>
      </c>
      <c r="BZ21" s="186">
        <v>1538150.9</v>
      </c>
      <c r="CA21" s="186">
        <v>1044381.48</v>
      </c>
      <c r="CB21" s="186">
        <v>1015364.45</v>
      </c>
      <c r="CC21" s="186">
        <v>1034529.03</v>
      </c>
      <c r="CD21" s="186">
        <v>1010362.23</v>
      </c>
      <c r="CE21" s="186">
        <v>954111.76</v>
      </c>
      <c r="CF21" s="186">
        <v>944421.79</v>
      </c>
      <c r="CG21" s="186">
        <v>723426.49</v>
      </c>
      <c r="CH21" s="186">
        <v>614929.98</v>
      </c>
      <c r="CI21" s="186">
        <v>3866819.45</v>
      </c>
      <c r="CJ21" s="186">
        <v>1057359.6100000001</v>
      </c>
      <c r="CK21" s="186">
        <v>579831.86</v>
      </c>
      <c r="CL21" s="186">
        <v>704088.34</v>
      </c>
      <c r="CM21" s="186">
        <v>609290.61</v>
      </c>
      <c r="CN21" s="186">
        <v>642186.61</v>
      </c>
      <c r="CO21" s="186">
        <v>912798.05</v>
      </c>
      <c r="CP21" s="186">
        <v>761599.99</v>
      </c>
      <c r="CQ21" s="186">
        <v>714396.9</v>
      </c>
      <c r="CR21" s="186">
        <v>986515.46</v>
      </c>
      <c r="CS21" s="186">
        <v>980118.27</v>
      </c>
      <c r="CT21" s="186">
        <v>678663.65</v>
      </c>
      <c r="CU21" s="186">
        <v>884462.77</v>
      </c>
      <c r="CV21" s="186">
        <v>3275417.08</v>
      </c>
    </row>
    <row r="22" spans="1:100">
      <c r="A22" s="541" t="str">
        <f t="shared" si="0"/>
        <v>1310181</v>
      </c>
      <c r="B22" s="541" t="s">
        <v>1552</v>
      </c>
      <c r="C22" s="463" t="s">
        <v>1460</v>
      </c>
      <c r="D22" s="397"/>
      <c r="E22" s="397"/>
      <c r="F22" s="397"/>
      <c r="G22" s="397"/>
      <c r="H22" s="397"/>
      <c r="I22" s="397"/>
      <c r="J22" s="397"/>
      <c r="K22" s="397"/>
      <c r="L22" s="397"/>
      <c r="M22" s="397"/>
      <c r="N22" s="397"/>
      <c r="O22" s="397"/>
      <c r="P22" s="398"/>
      <c r="Q22" s="186"/>
      <c r="R22" s="186"/>
      <c r="S22" s="186"/>
      <c r="T22" s="186"/>
      <c r="U22" s="186"/>
      <c r="V22" s="186"/>
      <c r="W22" s="186"/>
      <c r="X22" s="186"/>
      <c r="Y22" s="186"/>
      <c r="Z22" s="186"/>
      <c r="AA22" s="186"/>
      <c r="AB22" s="186"/>
      <c r="AC22" s="186"/>
      <c r="AD22" s="186"/>
      <c r="AE22" s="186"/>
      <c r="AF22" s="186">
        <v>0</v>
      </c>
      <c r="AG22" s="186">
        <v>0</v>
      </c>
      <c r="AH22" s="186">
        <v>0</v>
      </c>
      <c r="AI22" s="186">
        <v>0</v>
      </c>
      <c r="AJ22" s="186">
        <v>0</v>
      </c>
      <c r="AK22" s="186">
        <v>0</v>
      </c>
      <c r="AL22" s="186">
        <v>0</v>
      </c>
      <c r="AM22" s="186">
        <v>0</v>
      </c>
      <c r="AN22" s="186">
        <v>0</v>
      </c>
      <c r="AO22" s="186">
        <v>0</v>
      </c>
      <c r="AP22" s="186">
        <v>0</v>
      </c>
      <c r="AQ22" s="186">
        <v>0</v>
      </c>
      <c r="AR22" s="186">
        <v>0</v>
      </c>
      <c r="AS22" s="186">
        <v>0</v>
      </c>
      <c r="AT22" s="186">
        <v>0</v>
      </c>
      <c r="AU22" s="186">
        <v>0</v>
      </c>
      <c r="AV22" s="186">
        <v>0</v>
      </c>
      <c r="AW22" s="186">
        <v>0</v>
      </c>
      <c r="AX22" s="186">
        <v>0</v>
      </c>
      <c r="AY22" s="186">
        <v>0</v>
      </c>
      <c r="AZ22" s="186">
        <v>0</v>
      </c>
      <c r="BA22" s="186">
        <v>0</v>
      </c>
      <c r="BB22" s="186">
        <v>0</v>
      </c>
      <c r="BC22" s="186">
        <v>0</v>
      </c>
      <c r="BD22" s="186">
        <v>0</v>
      </c>
      <c r="BE22" s="186">
        <v>0</v>
      </c>
      <c r="BF22" s="186">
        <v>0</v>
      </c>
      <c r="BG22" s="186">
        <v>0</v>
      </c>
      <c r="BH22" s="186">
        <v>0</v>
      </c>
      <c r="BI22" s="186">
        <v>0</v>
      </c>
      <c r="BJ22" s="186">
        <v>0</v>
      </c>
      <c r="BK22" s="186">
        <v>0</v>
      </c>
      <c r="BL22" s="186">
        <v>0</v>
      </c>
      <c r="BM22" s="186">
        <v>0</v>
      </c>
      <c r="BN22" s="186">
        <v>0</v>
      </c>
      <c r="BO22" s="186">
        <v>0</v>
      </c>
      <c r="BP22" s="186">
        <v>0</v>
      </c>
      <c r="BQ22" s="186">
        <v>0</v>
      </c>
      <c r="BR22" s="186">
        <v>0</v>
      </c>
      <c r="BS22" s="186">
        <v>0</v>
      </c>
      <c r="BT22" s="186">
        <v>0</v>
      </c>
      <c r="BU22" s="186">
        <v>0</v>
      </c>
      <c r="BV22" s="186">
        <v>0</v>
      </c>
      <c r="BW22" s="186">
        <v>0</v>
      </c>
      <c r="BX22" s="186">
        <v>0</v>
      </c>
      <c r="BY22" s="186">
        <v>0</v>
      </c>
      <c r="BZ22" s="186">
        <v>0</v>
      </c>
      <c r="CA22" s="186">
        <v>0</v>
      </c>
      <c r="CB22" s="186">
        <v>0</v>
      </c>
      <c r="CC22" s="186">
        <v>0</v>
      </c>
      <c r="CD22" s="186">
        <v>0</v>
      </c>
      <c r="CE22" s="186">
        <v>0</v>
      </c>
      <c r="CF22" s="186">
        <v>0</v>
      </c>
      <c r="CG22" s="186">
        <v>0</v>
      </c>
      <c r="CH22" s="186">
        <v>0</v>
      </c>
      <c r="CI22" s="186">
        <v>0</v>
      </c>
      <c r="CJ22" s="186">
        <v>0</v>
      </c>
      <c r="CK22" s="186">
        <v>0</v>
      </c>
      <c r="CL22" s="186">
        <v>0</v>
      </c>
      <c r="CM22" s="186">
        <v>0</v>
      </c>
      <c r="CN22" s="186">
        <v>0</v>
      </c>
      <c r="CO22" s="186">
        <v>0</v>
      </c>
      <c r="CP22" s="186">
        <v>0</v>
      </c>
      <c r="CQ22" s="186">
        <v>0</v>
      </c>
      <c r="CR22" s="186">
        <v>0</v>
      </c>
      <c r="CS22" s="186">
        <v>0</v>
      </c>
      <c r="CT22" s="186">
        <v>0</v>
      </c>
      <c r="CU22" s="186">
        <v>0</v>
      </c>
      <c r="CV22" s="186">
        <v>0</v>
      </c>
    </row>
    <row r="23" spans="1:100">
      <c r="A23" s="541" t="str">
        <f t="shared" si="0"/>
        <v>1310187</v>
      </c>
      <c r="B23" s="541" t="s">
        <v>1553</v>
      </c>
      <c r="C23" s="463" t="s">
        <v>602</v>
      </c>
      <c r="D23" s="397">
        <v>1000476.12</v>
      </c>
      <c r="E23" s="397">
        <v>514412.59</v>
      </c>
      <c r="F23" s="397">
        <v>826890.32</v>
      </c>
      <c r="G23" s="397">
        <v>319907.7</v>
      </c>
      <c r="H23" s="397">
        <v>414602.05</v>
      </c>
      <c r="I23" s="397">
        <v>692083.33</v>
      </c>
      <c r="J23" s="397">
        <v>617357.43000000005</v>
      </c>
      <c r="K23" s="397">
        <v>285129.64</v>
      </c>
      <c r="L23" s="397">
        <v>629758.16</v>
      </c>
      <c r="M23" s="397">
        <v>1041821.69</v>
      </c>
      <c r="N23" s="397">
        <v>822923.54</v>
      </c>
      <c r="O23" s="397">
        <v>1268260.1399999999</v>
      </c>
      <c r="P23" s="398">
        <v>1258474.46</v>
      </c>
      <c r="Q23" s="186">
        <v>570846.76</v>
      </c>
      <c r="R23" s="186">
        <v>249456</v>
      </c>
      <c r="S23" s="186">
        <v>688255.03</v>
      </c>
      <c r="T23" s="186">
        <v>669083.65</v>
      </c>
      <c r="U23" s="186">
        <v>1074762.75</v>
      </c>
      <c r="V23" s="186">
        <v>1292010.8799999999</v>
      </c>
      <c r="W23" s="186">
        <v>959054.16</v>
      </c>
      <c r="X23" s="186">
        <v>1142006.72</v>
      </c>
      <c r="Y23" s="186">
        <v>1649423.17</v>
      </c>
      <c r="Z23" s="186">
        <v>1180035.79</v>
      </c>
      <c r="AA23" s="186">
        <v>1194367.04</v>
      </c>
      <c r="AB23" s="186">
        <v>1450809.67</v>
      </c>
      <c r="AC23" s="186">
        <v>35947.31</v>
      </c>
      <c r="AD23" s="186">
        <v>237712.28</v>
      </c>
      <c r="AE23" s="186">
        <v>-21447.94</v>
      </c>
      <c r="AF23" s="186">
        <v>325285.39</v>
      </c>
      <c r="AG23" s="186">
        <v>1271006.3600000001</v>
      </c>
      <c r="AH23" s="186">
        <v>1794283.64</v>
      </c>
      <c r="AI23" s="186">
        <v>1303920.98</v>
      </c>
      <c r="AJ23" s="186">
        <v>1002082.64</v>
      </c>
      <c r="AK23" s="186">
        <v>741266.25</v>
      </c>
      <c r="AL23" s="186">
        <v>426507.98</v>
      </c>
      <c r="AM23" s="186">
        <v>-366003.82</v>
      </c>
      <c r="AN23" s="186">
        <v>477724.18</v>
      </c>
      <c r="AO23" s="186">
        <v>373031.27</v>
      </c>
      <c r="AP23" s="186">
        <v>1896689.58</v>
      </c>
      <c r="AQ23" s="186">
        <v>1980837.44</v>
      </c>
      <c r="AR23" s="186">
        <v>2625657.86</v>
      </c>
      <c r="AS23" s="186">
        <v>3260593.25</v>
      </c>
      <c r="AT23" s="186">
        <v>3438603.64</v>
      </c>
      <c r="AU23" s="186">
        <v>3286863.11</v>
      </c>
      <c r="AV23" s="186">
        <v>3754296.47</v>
      </c>
      <c r="AW23" s="186">
        <v>4247608.74</v>
      </c>
      <c r="AX23" s="186">
        <v>4182584.75</v>
      </c>
      <c r="AY23" s="186">
        <v>3880070.35</v>
      </c>
      <c r="AZ23" s="186">
        <v>4086700.25</v>
      </c>
      <c r="BA23" s="186">
        <v>2911185.93</v>
      </c>
      <c r="BB23" s="186">
        <v>4778478.55</v>
      </c>
      <c r="BC23" s="186">
        <v>4764918.57</v>
      </c>
      <c r="BD23" s="186">
        <v>4705005.87</v>
      </c>
      <c r="BE23" s="186">
        <v>5621894.6100000003</v>
      </c>
      <c r="BF23" s="186">
        <v>5295981.92</v>
      </c>
      <c r="BG23" s="186">
        <v>5045305.79</v>
      </c>
      <c r="BH23" s="186">
        <v>5840427.7199999997</v>
      </c>
      <c r="BI23" s="186">
        <v>5806311.6299999999</v>
      </c>
      <c r="BJ23" s="186">
        <v>5738346.0800000001</v>
      </c>
      <c r="BK23" s="186">
        <v>6056047.2300000004</v>
      </c>
      <c r="BL23" s="186">
        <v>6039023.0700000003</v>
      </c>
      <c r="BM23" s="186">
        <v>6880849.8099999996</v>
      </c>
      <c r="BN23" s="186">
        <v>7098255.2800000003</v>
      </c>
      <c r="BO23" s="186">
        <v>7117504.8799999999</v>
      </c>
      <c r="BP23" s="186">
        <v>7013590.6799999997</v>
      </c>
      <c r="BQ23" s="186">
        <v>7612102.7800000003</v>
      </c>
      <c r="BR23" s="186">
        <v>7697795.9299999997</v>
      </c>
      <c r="BS23" s="186">
        <v>7648262.1299999999</v>
      </c>
      <c r="BT23" s="186">
        <v>8492932.2699999996</v>
      </c>
      <c r="BU23" s="186">
        <v>8819620.75</v>
      </c>
      <c r="BV23" s="186">
        <v>8197965.4299999997</v>
      </c>
      <c r="BW23" s="186">
        <v>9022419.7400000002</v>
      </c>
      <c r="BX23" s="186">
        <v>9358422.9499999993</v>
      </c>
      <c r="BY23" s="186">
        <v>8782897.5999999996</v>
      </c>
      <c r="BZ23" s="186">
        <v>9922360.0099999998</v>
      </c>
      <c r="CA23" s="186">
        <v>9604001.5899999999</v>
      </c>
      <c r="CB23" s="186">
        <v>10116400.779999999</v>
      </c>
      <c r="CC23" s="186">
        <v>10104312.289999999</v>
      </c>
      <c r="CD23" s="186">
        <v>9855581.2599999998</v>
      </c>
      <c r="CE23" s="186">
        <v>9665812.9100000001</v>
      </c>
      <c r="CF23" s="186">
        <v>10417693.32</v>
      </c>
      <c r="CG23" s="186">
        <v>10371590.91</v>
      </c>
      <c r="CH23" s="186">
        <v>9788294.5</v>
      </c>
      <c r="CI23" s="186">
        <v>0</v>
      </c>
      <c r="CJ23" s="186">
        <v>0</v>
      </c>
      <c r="CK23" s="186">
        <v>0</v>
      </c>
      <c r="CL23" s="186">
        <v>0</v>
      </c>
      <c r="CM23" s="186">
        <v>0</v>
      </c>
      <c r="CN23" s="186">
        <v>0</v>
      </c>
      <c r="CO23" s="186">
        <v>0</v>
      </c>
      <c r="CP23" s="186">
        <v>0</v>
      </c>
      <c r="CQ23" s="186">
        <v>0</v>
      </c>
      <c r="CR23" s="186">
        <v>0</v>
      </c>
      <c r="CS23" s="186">
        <v>0</v>
      </c>
      <c r="CT23" s="186">
        <v>0</v>
      </c>
      <c r="CU23" s="186">
        <v>0</v>
      </c>
      <c r="CV23" s="186">
        <v>0</v>
      </c>
    </row>
    <row r="24" spans="1:100">
      <c r="A24" s="541" t="str">
        <f t="shared" si="0"/>
        <v>1310190</v>
      </c>
      <c r="B24" s="541" t="s">
        <v>1554</v>
      </c>
      <c r="C24" s="463" t="s">
        <v>603</v>
      </c>
      <c r="D24" s="397">
        <v>0</v>
      </c>
      <c r="E24" s="397">
        <v>0</v>
      </c>
      <c r="F24" s="397">
        <v>0</v>
      </c>
      <c r="G24" s="397">
        <v>0</v>
      </c>
      <c r="H24" s="397">
        <v>0</v>
      </c>
      <c r="I24" s="397">
        <v>0</v>
      </c>
      <c r="J24" s="397">
        <v>0</v>
      </c>
      <c r="K24" s="397">
        <v>0</v>
      </c>
      <c r="L24" s="397">
        <v>0</v>
      </c>
      <c r="M24" s="397">
        <v>0</v>
      </c>
      <c r="N24" s="397">
        <v>0</v>
      </c>
      <c r="O24" s="397">
        <v>0</v>
      </c>
      <c r="P24" s="398">
        <v>0</v>
      </c>
      <c r="Q24" s="186">
        <v>0</v>
      </c>
      <c r="R24" s="186">
        <v>0</v>
      </c>
      <c r="S24" s="186">
        <v>0</v>
      </c>
      <c r="T24" s="186">
        <v>0</v>
      </c>
      <c r="U24" s="186">
        <v>0</v>
      </c>
      <c r="V24" s="186">
        <v>0</v>
      </c>
      <c r="W24" s="186">
        <v>0</v>
      </c>
      <c r="X24" s="186">
        <v>0</v>
      </c>
      <c r="Y24" s="186">
        <v>0</v>
      </c>
      <c r="Z24" s="186">
        <v>0</v>
      </c>
      <c r="AA24" s="186">
        <v>0</v>
      </c>
      <c r="AB24" s="186">
        <v>0</v>
      </c>
      <c r="AC24" s="186">
        <v>0</v>
      </c>
      <c r="AD24" s="186">
        <v>0</v>
      </c>
      <c r="AE24" s="186">
        <v>0</v>
      </c>
      <c r="AF24" s="186">
        <v>0</v>
      </c>
      <c r="AG24" s="186">
        <v>0</v>
      </c>
      <c r="AH24" s="186">
        <v>0</v>
      </c>
      <c r="AI24" s="186">
        <v>0</v>
      </c>
      <c r="AJ24" s="186">
        <v>0</v>
      </c>
      <c r="AK24" s="186">
        <v>0</v>
      </c>
      <c r="AL24" s="186">
        <v>0</v>
      </c>
      <c r="AM24" s="186">
        <v>0</v>
      </c>
      <c r="AN24" s="186">
        <v>0</v>
      </c>
      <c r="AO24" s="186">
        <v>0</v>
      </c>
      <c r="AP24" s="186">
        <v>0</v>
      </c>
      <c r="AQ24" s="186">
        <v>0</v>
      </c>
      <c r="AR24" s="186">
        <v>0</v>
      </c>
      <c r="AS24" s="186">
        <v>0</v>
      </c>
      <c r="AT24" s="186">
        <v>0</v>
      </c>
      <c r="AU24" s="186">
        <v>0</v>
      </c>
      <c r="AV24" s="186">
        <v>0</v>
      </c>
      <c r="AW24" s="186">
        <v>0</v>
      </c>
      <c r="AX24" s="186">
        <v>0</v>
      </c>
      <c r="AY24" s="186">
        <v>0</v>
      </c>
      <c r="AZ24" s="186">
        <v>0</v>
      </c>
      <c r="BA24" s="186">
        <v>0</v>
      </c>
      <c r="BB24" s="186">
        <v>0</v>
      </c>
      <c r="BC24" s="186">
        <v>0</v>
      </c>
      <c r="BD24" s="186">
        <v>0</v>
      </c>
      <c r="BE24" s="186">
        <v>0</v>
      </c>
      <c r="BF24" s="186">
        <v>0</v>
      </c>
      <c r="BG24" s="186">
        <v>0</v>
      </c>
      <c r="BH24" s="186">
        <v>0</v>
      </c>
      <c r="BI24" s="186">
        <v>0</v>
      </c>
      <c r="BJ24" s="186">
        <v>0</v>
      </c>
      <c r="BK24" s="186">
        <v>0</v>
      </c>
      <c r="BL24" s="186">
        <v>0</v>
      </c>
      <c r="BM24" s="186">
        <v>0</v>
      </c>
      <c r="BN24" s="186">
        <v>0</v>
      </c>
      <c r="BO24" s="186">
        <v>0</v>
      </c>
      <c r="BP24" s="186">
        <v>0</v>
      </c>
      <c r="BQ24" s="186">
        <v>0</v>
      </c>
      <c r="BR24" s="186">
        <v>0</v>
      </c>
      <c r="BS24" s="186">
        <v>0</v>
      </c>
      <c r="BT24" s="186">
        <v>0</v>
      </c>
      <c r="BU24" s="186">
        <v>0</v>
      </c>
      <c r="BV24" s="186">
        <v>0</v>
      </c>
      <c r="BW24" s="186">
        <v>0</v>
      </c>
      <c r="BX24" s="186">
        <v>0</v>
      </c>
      <c r="BY24" s="186">
        <v>0</v>
      </c>
      <c r="BZ24" s="186">
        <v>0</v>
      </c>
      <c r="CA24" s="186">
        <v>0</v>
      </c>
      <c r="CB24" s="186">
        <v>0</v>
      </c>
      <c r="CC24" s="186">
        <v>0</v>
      </c>
      <c r="CD24" s="186">
        <v>0</v>
      </c>
      <c r="CE24" s="186">
        <v>0</v>
      </c>
      <c r="CF24" s="186">
        <v>0</v>
      </c>
      <c r="CG24" s="186">
        <v>0</v>
      </c>
      <c r="CH24" s="186">
        <v>0</v>
      </c>
      <c r="CI24" s="186">
        <v>0</v>
      </c>
      <c r="CJ24" s="186">
        <v>0</v>
      </c>
      <c r="CK24" s="186">
        <v>0</v>
      </c>
      <c r="CL24" s="186">
        <v>0</v>
      </c>
      <c r="CM24" s="186">
        <v>0</v>
      </c>
      <c r="CN24" s="186">
        <v>0</v>
      </c>
      <c r="CO24" s="186">
        <v>0</v>
      </c>
      <c r="CP24" s="186">
        <v>0</v>
      </c>
      <c r="CQ24" s="186">
        <v>0</v>
      </c>
      <c r="CR24" s="186">
        <v>0</v>
      </c>
      <c r="CS24" s="186">
        <v>0</v>
      </c>
      <c r="CT24" s="186">
        <v>0</v>
      </c>
      <c r="CU24" s="186">
        <v>0</v>
      </c>
      <c r="CV24" s="186">
        <v>0</v>
      </c>
    </row>
    <row r="25" spans="1:100">
      <c r="A25" s="541" t="str">
        <f t="shared" si="0"/>
        <v>1310191</v>
      </c>
      <c r="B25" s="541" t="s">
        <v>1555</v>
      </c>
      <c r="C25" s="463" t="s">
        <v>604</v>
      </c>
      <c r="D25" s="397">
        <v>0</v>
      </c>
      <c r="E25" s="397">
        <v>0</v>
      </c>
      <c r="F25" s="397">
        <v>0</v>
      </c>
      <c r="G25" s="397">
        <v>-9646.65</v>
      </c>
      <c r="H25" s="397">
        <v>0</v>
      </c>
      <c r="I25" s="397">
        <v>0</v>
      </c>
      <c r="J25" s="397">
        <v>-5152.2700000000004</v>
      </c>
      <c r="K25" s="397">
        <v>-447.44</v>
      </c>
      <c r="L25" s="397">
        <v>0</v>
      </c>
      <c r="M25" s="397">
        <v>0</v>
      </c>
      <c r="N25" s="397">
        <v>-4263.3999999999996</v>
      </c>
      <c r="O25" s="397">
        <v>0</v>
      </c>
      <c r="P25" s="398">
        <v>-1608.51</v>
      </c>
      <c r="Q25" s="186">
        <v>-9972.57</v>
      </c>
      <c r="R25" s="186">
        <v>0</v>
      </c>
      <c r="S25" s="186">
        <v>0</v>
      </c>
      <c r="T25" s="186">
        <v>-11369.06</v>
      </c>
      <c r="U25" s="186">
        <v>0</v>
      </c>
      <c r="V25" s="186">
        <v>-9993.23</v>
      </c>
      <c r="W25" s="186">
        <v>-11608.8</v>
      </c>
      <c r="X25" s="186">
        <v>-9744.02</v>
      </c>
      <c r="Y25" s="186">
        <v>0</v>
      </c>
      <c r="Z25" s="186">
        <v>0</v>
      </c>
      <c r="AA25" s="186">
        <v>-5708</v>
      </c>
      <c r="AB25" s="186">
        <v>-3657.68</v>
      </c>
      <c r="AC25" s="186">
        <v>-440</v>
      </c>
      <c r="AD25" s="186">
        <v>-1171.8699999999999</v>
      </c>
      <c r="AE25" s="186">
        <v>-1751</v>
      </c>
      <c r="AF25" s="186">
        <v>-16114.68</v>
      </c>
      <c r="AG25" s="186">
        <v>-6903.79</v>
      </c>
      <c r="AH25" s="186">
        <v>0</v>
      </c>
      <c r="AI25" s="186">
        <v>0</v>
      </c>
      <c r="AJ25" s="186">
        <v>0</v>
      </c>
      <c r="AK25" s="186">
        <v>0</v>
      </c>
      <c r="AL25" s="186">
        <v>0</v>
      </c>
      <c r="AM25" s="186">
        <v>0</v>
      </c>
      <c r="AN25" s="186">
        <v>0</v>
      </c>
      <c r="AO25" s="186">
        <v>0</v>
      </c>
      <c r="AP25" s="186">
        <v>0</v>
      </c>
      <c r="AQ25" s="186">
        <v>0</v>
      </c>
      <c r="AR25" s="186">
        <v>0</v>
      </c>
      <c r="AS25" s="186">
        <v>0</v>
      </c>
      <c r="AT25" s="186">
        <v>0</v>
      </c>
      <c r="AU25" s="186">
        <v>0</v>
      </c>
      <c r="AV25" s="186">
        <v>0</v>
      </c>
      <c r="AW25" s="186">
        <v>0</v>
      </c>
      <c r="AX25" s="186">
        <v>0</v>
      </c>
      <c r="AY25" s="186">
        <v>0</v>
      </c>
      <c r="AZ25" s="186">
        <v>0</v>
      </c>
      <c r="BA25" s="186">
        <v>0</v>
      </c>
      <c r="BB25" s="186">
        <v>0</v>
      </c>
      <c r="BC25" s="186">
        <v>0</v>
      </c>
      <c r="BD25" s="186">
        <v>0</v>
      </c>
      <c r="BE25" s="186">
        <v>0</v>
      </c>
      <c r="BF25" s="186">
        <v>0</v>
      </c>
      <c r="BG25" s="186">
        <v>0</v>
      </c>
      <c r="BH25" s="186">
        <v>0</v>
      </c>
      <c r="BI25" s="186">
        <v>0</v>
      </c>
      <c r="BJ25" s="186">
        <v>0</v>
      </c>
      <c r="BK25" s="186">
        <v>0</v>
      </c>
      <c r="BL25" s="186">
        <v>0</v>
      </c>
      <c r="BM25" s="186">
        <v>0</v>
      </c>
      <c r="BN25" s="186">
        <v>0</v>
      </c>
      <c r="BO25" s="186">
        <v>0</v>
      </c>
      <c r="BP25" s="186">
        <v>0</v>
      </c>
      <c r="BQ25" s="186">
        <v>0</v>
      </c>
      <c r="BR25" s="186">
        <v>0</v>
      </c>
      <c r="BS25" s="186">
        <v>0</v>
      </c>
      <c r="BT25" s="186">
        <v>0</v>
      </c>
      <c r="BU25" s="186">
        <v>0</v>
      </c>
      <c r="BV25" s="186">
        <v>0</v>
      </c>
      <c r="BW25" s="186">
        <v>0</v>
      </c>
      <c r="BX25" s="186">
        <v>0</v>
      </c>
      <c r="BY25" s="186">
        <v>0</v>
      </c>
      <c r="BZ25" s="186">
        <v>0</v>
      </c>
      <c r="CA25" s="186">
        <v>0</v>
      </c>
      <c r="CB25" s="186">
        <v>0</v>
      </c>
      <c r="CC25" s="186">
        <v>0</v>
      </c>
      <c r="CD25" s="186">
        <v>0</v>
      </c>
      <c r="CE25" s="186">
        <v>0</v>
      </c>
      <c r="CF25" s="186">
        <v>0</v>
      </c>
      <c r="CG25" s="186">
        <v>0</v>
      </c>
      <c r="CH25" s="186">
        <v>0</v>
      </c>
      <c r="CI25" s="186">
        <v>0</v>
      </c>
      <c r="CJ25" s="186">
        <v>0</v>
      </c>
      <c r="CK25" s="186">
        <v>0</v>
      </c>
      <c r="CL25" s="186">
        <v>0</v>
      </c>
      <c r="CM25" s="186">
        <v>0</v>
      </c>
      <c r="CN25" s="186">
        <v>0</v>
      </c>
      <c r="CO25" s="186">
        <v>0</v>
      </c>
      <c r="CP25" s="186">
        <v>0</v>
      </c>
      <c r="CQ25" s="186">
        <v>0</v>
      </c>
      <c r="CR25" s="186">
        <v>0</v>
      </c>
      <c r="CS25" s="186">
        <v>0</v>
      </c>
      <c r="CT25" s="186">
        <v>0</v>
      </c>
      <c r="CU25" s="186">
        <v>0</v>
      </c>
      <c r="CV25" s="186">
        <v>0</v>
      </c>
    </row>
    <row r="26" spans="1:100">
      <c r="A26" s="541" t="str">
        <f t="shared" si="0"/>
        <v>1310192</v>
      </c>
      <c r="B26" s="541" t="s">
        <v>1556</v>
      </c>
      <c r="C26" s="463" t="s">
        <v>605</v>
      </c>
      <c r="D26" s="397">
        <v>0</v>
      </c>
      <c r="E26" s="397">
        <v>0</v>
      </c>
      <c r="F26" s="397">
        <v>0</v>
      </c>
      <c r="G26" s="397">
        <v>0</v>
      </c>
      <c r="H26" s="397">
        <v>0</v>
      </c>
      <c r="I26" s="397">
        <v>0</v>
      </c>
      <c r="J26" s="397">
        <v>0</v>
      </c>
      <c r="K26" s="397">
        <v>0</v>
      </c>
      <c r="L26" s="397">
        <v>0</v>
      </c>
      <c r="M26" s="397">
        <v>0</v>
      </c>
      <c r="N26" s="397">
        <v>0</v>
      </c>
      <c r="O26" s="397">
        <v>0</v>
      </c>
      <c r="P26" s="398">
        <v>0</v>
      </c>
      <c r="Q26" s="186">
        <v>0</v>
      </c>
      <c r="R26" s="186">
        <v>0</v>
      </c>
      <c r="S26" s="186">
        <v>0</v>
      </c>
      <c r="T26" s="186">
        <v>0</v>
      </c>
      <c r="U26" s="186">
        <v>0</v>
      </c>
      <c r="V26" s="186">
        <v>0</v>
      </c>
      <c r="W26" s="186">
        <v>0</v>
      </c>
      <c r="X26" s="186">
        <v>0</v>
      </c>
      <c r="Y26" s="186">
        <v>0</v>
      </c>
      <c r="Z26" s="186">
        <v>0</v>
      </c>
      <c r="AA26" s="186">
        <v>0</v>
      </c>
      <c r="AB26" s="186">
        <v>0</v>
      </c>
      <c r="AC26" s="186">
        <v>0</v>
      </c>
      <c r="AD26" s="186">
        <v>0</v>
      </c>
      <c r="AE26" s="186">
        <v>0</v>
      </c>
      <c r="AF26" s="186">
        <v>0</v>
      </c>
      <c r="AG26" s="186">
        <v>0</v>
      </c>
      <c r="AH26" s="186">
        <v>0</v>
      </c>
      <c r="AI26" s="186">
        <v>0</v>
      </c>
      <c r="AJ26" s="186">
        <v>0</v>
      </c>
      <c r="AK26" s="186">
        <v>0</v>
      </c>
      <c r="AL26" s="186">
        <v>0</v>
      </c>
      <c r="AM26" s="186">
        <v>0</v>
      </c>
      <c r="AN26" s="186">
        <v>0</v>
      </c>
      <c r="AO26" s="186">
        <v>0</v>
      </c>
      <c r="AP26" s="186">
        <v>0</v>
      </c>
      <c r="AQ26" s="186">
        <v>0</v>
      </c>
      <c r="AR26" s="186">
        <v>0</v>
      </c>
      <c r="AS26" s="186">
        <v>0</v>
      </c>
      <c r="AT26" s="186">
        <v>0</v>
      </c>
      <c r="AU26" s="186">
        <v>0</v>
      </c>
      <c r="AV26" s="186">
        <v>0</v>
      </c>
      <c r="AW26" s="186">
        <v>0</v>
      </c>
      <c r="AX26" s="186">
        <v>0</v>
      </c>
      <c r="AY26" s="186">
        <v>0</v>
      </c>
      <c r="AZ26" s="186">
        <v>0</v>
      </c>
      <c r="BA26" s="186">
        <v>0</v>
      </c>
      <c r="BB26" s="186">
        <v>0</v>
      </c>
      <c r="BC26" s="186">
        <v>0</v>
      </c>
      <c r="BD26" s="186">
        <v>0</v>
      </c>
      <c r="BE26" s="186">
        <v>0</v>
      </c>
      <c r="BF26" s="186">
        <v>0</v>
      </c>
      <c r="BG26" s="186">
        <v>0</v>
      </c>
      <c r="BH26" s="186">
        <v>0</v>
      </c>
      <c r="BI26" s="186">
        <v>0</v>
      </c>
      <c r="BJ26" s="186">
        <v>0</v>
      </c>
      <c r="BK26" s="186">
        <v>0</v>
      </c>
      <c r="BL26" s="186">
        <v>0</v>
      </c>
      <c r="BM26" s="186">
        <v>0</v>
      </c>
      <c r="BN26" s="186">
        <v>0</v>
      </c>
      <c r="BO26" s="186">
        <v>0</v>
      </c>
      <c r="BP26" s="186">
        <v>0</v>
      </c>
      <c r="BQ26" s="186">
        <v>0</v>
      </c>
      <c r="BR26" s="186">
        <v>0</v>
      </c>
      <c r="BS26" s="186">
        <v>0</v>
      </c>
      <c r="BT26" s="186">
        <v>0</v>
      </c>
      <c r="BU26" s="186">
        <v>0</v>
      </c>
      <c r="BV26" s="186">
        <v>0</v>
      </c>
      <c r="BW26" s="186">
        <v>0</v>
      </c>
      <c r="BX26" s="186">
        <v>0</v>
      </c>
      <c r="BY26" s="186">
        <v>0</v>
      </c>
      <c r="BZ26" s="186">
        <v>0</v>
      </c>
      <c r="CA26" s="186">
        <v>0</v>
      </c>
      <c r="CB26" s="186">
        <v>0</v>
      </c>
      <c r="CC26" s="186">
        <v>0</v>
      </c>
      <c r="CD26" s="186">
        <v>0</v>
      </c>
      <c r="CE26" s="186">
        <v>0</v>
      </c>
      <c r="CF26" s="186">
        <v>0</v>
      </c>
      <c r="CG26" s="186">
        <v>0</v>
      </c>
      <c r="CH26" s="186">
        <v>0</v>
      </c>
      <c r="CI26" s="186">
        <v>0</v>
      </c>
      <c r="CJ26" s="186">
        <v>0</v>
      </c>
      <c r="CK26" s="186">
        <v>0</v>
      </c>
      <c r="CL26" s="186">
        <v>0</v>
      </c>
      <c r="CM26" s="186">
        <v>0</v>
      </c>
      <c r="CN26" s="186">
        <v>0</v>
      </c>
      <c r="CO26" s="186">
        <v>0</v>
      </c>
      <c r="CP26" s="186">
        <v>0</v>
      </c>
      <c r="CQ26" s="186">
        <v>0</v>
      </c>
      <c r="CR26" s="186">
        <v>0</v>
      </c>
      <c r="CS26" s="186">
        <v>0</v>
      </c>
      <c r="CT26" s="186">
        <v>0</v>
      </c>
      <c r="CU26" s="186">
        <v>0</v>
      </c>
      <c r="CV26" s="186">
        <v>0</v>
      </c>
    </row>
    <row r="27" spans="1:100">
      <c r="A27" s="541" t="str">
        <f t="shared" si="0"/>
        <v>1310193</v>
      </c>
      <c r="B27" s="541" t="s">
        <v>1557</v>
      </c>
      <c r="C27" s="463" t="s">
        <v>606</v>
      </c>
      <c r="D27" s="397">
        <v>0</v>
      </c>
      <c r="E27" s="397">
        <v>0</v>
      </c>
      <c r="F27" s="397">
        <v>0</v>
      </c>
      <c r="G27" s="397">
        <v>0</v>
      </c>
      <c r="H27" s="397">
        <v>0</v>
      </c>
      <c r="I27" s="397">
        <v>0</v>
      </c>
      <c r="J27" s="397">
        <v>0</v>
      </c>
      <c r="K27" s="397">
        <v>0</v>
      </c>
      <c r="L27" s="397">
        <v>0</v>
      </c>
      <c r="M27" s="397">
        <v>0</v>
      </c>
      <c r="N27" s="397">
        <v>0</v>
      </c>
      <c r="O27" s="397">
        <v>0</v>
      </c>
      <c r="P27" s="398">
        <v>0</v>
      </c>
      <c r="Q27" s="186">
        <v>0</v>
      </c>
      <c r="R27" s="186">
        <v>0</v>
      </c>
      <c r="S27" s="186">
        <v>0</v>
      </c>
      <c r="T27" s="186">
        <v>0</v>
      </c>
      <c r="U27" s="186">
        <v>0</v>
      </c>
      <c r="V27" s="186">
        <v>0</v>
      </c>
      <c r="W27" s="186">
        <v>0</v>
      </c>
      <c r="X27" s="186">
        <v>0</v>
      </c>
      <c r="Y27" s="186">
        <v>0</v>
      </c>
      <c r="Z27" s="186">
        <v>0</v>
      </c>
      <c r="AA27" s="186">
        <v>0</v>
      </c>
      <c r="AB27" s="186">
        <v>0</v>
      </c>
      <c r="AC27" s="186">
        <v>0</v>
      </c>
      <c r="AD27" s="186">
        <v>0</v>
      </c>
      <c r="AE27" s="186">
        <v>0</v>
      </c>
      <c r="AF27" s="186">
        <v>0</v>
      </c>
      <c r="AG27" s="186">
        <v>0</v>
      </c>
      <c r="AH27" s="186">
        <v>0</v>
      </c>
      <c r="AI27" s="186">
        <v>0</v>
      </c>
      <c r="AJ27" s="186">
        <v>0</v>
      </c>
      <c r="AK27" s="186">
        <v>0</v>
      </c>
      <c r="AL27" s="186">
        <v>0</v>
      </c>
      <c r="AM27" s="186">
        <v>0</v>
      </c>
      <c r="AN27" s="186">
        <v>0</v>
      </c>
      <c r="AO27" s="186">
        <v>0</v>
      </c>
      <c r="AP27" s="186">
        <v>0</v>
      </c>
      <c r="AQ27" s="186">
        <v>0</v>
      </c>
      <c r="AR27" s="186">
        <v>0</v>
      </c>
      <c r="AS27" s="186">
        <v>0</v>
      </c>
      <c r="AT27" s="186">
        <v>0</v>
      </c>
      <c r="AU27" s="186">
        <v>0</v>
      </c>
      <c r="AV27" s="186">
        <v>0</v>
      </c>
      <c r="AW27" s="186">
        <v>0</v>
      </c>
      <c r="AX27" s="186">
        <v>0</v>
      </c>
      <c r="AY27" s="186">
        <v>0</v>
      </c>
      <c r="AZ27" s="186">
        <v>0</v>
      </c>
      <c r="BA27" s="186">
        <v>0</v>
      </c>
      <c r="BB27" s="186">
        <v>0</v>
      </c>
      <c r="BC27" s="186">
        <v>0</v>
      </c>
      <c r="BD27" s="186">
        <v>0</v>
      </c>
      <c r="BE27" s="186">
        <v>0</v>
      </c>
      <c r="BF27" s="186">
        <v>0</v>
      </c>
      <c r="BG27" s="186">
        <v>0</v>
      </c>
      <c r="BH27" s="186">
        <v>0</v>
      </c>
      <c r="BI27" s="186">
        <v>0</v>
      </c>
      <c r="BJ27" s="186">
        <v>0</v>
      </c>
      <c r="BK27" s="186">
        <v>0</v>
      </c>
      <c r="BL27" s="186">
        <v>0</v>
      </c>
      <c r="BM27" s="186">
        <v>0</v>
      </c>
      <c r="BN27" s="186">
        <v>0</v>
      </c>
      <c r="BO27" s="186">
        <v>0</v>
      </c>
      <c r="BP27" s="186">
        <v>0</v>
      </c>
      <c r="BQ27" s="186">
        <v>0</v>
      </c>
      <c r="BR27" s="186">
        <v>0</v>
      </c>
      <c r="BS27" s="186">
        <v>0</v>
      </c>
      <c r="BT27" s="186">
        <v>0</v>
      </c>
      <c r="BU27" s="186">
        <v>0</v>
      </c>
      <c r="BV27" s="186">
        <v>0</v>
      </c>
      <c r="BW27" s="186">
        <v>0</v>
      </c>
      <c r="BX27" s="186">
        <v>0</v>
      </c>
      <c r="BY27" s="186">
        <v>0</v>
      </c>
      <c r="BZ27" s="186">
        <v>0</v>
      </c>
      <c r="CA27" s="186">
        <v>0</v>
      </c>
      <c r="CB27" s="186">
        <v>0</v>
      </c>
      <c r="CC27" s="186">
        <v>0</v>
      </c>
      <c r="CD27" s="186">
        <v>0</v>
      </c>
      <c r="CE27" s="186">
        <v>0</v>
      </c>
      <c r="CF27" s="186">
        <v>0</v>
      </c>
      <c r="CG27" s="186">
        <v>0</v>
      </c>
      <c r="CH27" s="186">
        <v>0</v>
      </c>
      <c r="CI27" s="186">
        <v>0</v>
      </c>
      <c r="CJ27" s="186">
        <v>0</v>
      </c>
      <c r="CK27" s="186">
        <v>0</v>
      </c>
      <c r="CL27" s="186">
        <v>0</v>
      </c>
      <c r="CM27" s="186">
        <v>0</v>
      </c>
      <c r="CN27" s="186">
        <v>0</v>
      </c>
      <c r="CO27" s="186">
        <v>0</v>
      </c>
      <c r="CP27" s="186">
        <v>0</v>
      </c>
      <c r="CQ27" s="186">
        <v>0</v>
      </c>
      <c r="CR27" s="186">
        <v>0</v>
      </c>
      <c r="CS27" s="186">
        <v>0</v>
      </c>
      <c r="CT27" s="186">
        <v>0</v>
      </c>
      <c r="CU27" s="186">
        <v>0</v>
      </c>
      <c r="CV27" s="186">
        <v>0</v>
      </c>
    </row>
    <row r="28" spans="1:100">
      <c r="A28" s="541" t="str">
        <f t="shared" si="0"/>
        <v>1310194</v>
      </c>
      <c r="B28" s="541" t="s">
        <v>1558</v>
      </c>
      <c r="C28" s="463" t="s">
        <v>1461</v>
      </c>
      <c r="D28" s="397"/>
      <c r="E28" s="397"/>
      <c r="F28" s="397"/>
      <c r="G28" s="397"/>
      <c r="H28" s="397"/>
      <c r="I28" s="397"/>
      <c r="J28" s="397"/>
      <c r="K28" s="397"/>
      <c r="L28" s="397"/>
      <c r="M28" s="397"/>
      <c r="N28" s="397"/>
      <c r="O28" s="397"/>
      <c r="P28" s="398"/>
      <c r="Q28" s="186"/>
      <c r="R28" s="186"/>
      <c r="S28" s="186"/>
      <c r="T28" s="186"/>
      <c r="U28" s="186"/>
      <c r="V28" s="186"/>
      <c r="W28" s="186"/>
      <c r="X28" s="186"/>
      <c r="Y28" s="186"/>
      <c r="Z28" s="186"/>
      <c r="AA28" s="186"/>
      <c r="AB28" s="186"/>
      <c r="AC28" s="186"/>
      <c r="AD28" s="186"/>
      <c r="AE28" s="186"/>
      <c r="AF28" s="186">
        <v>0</v>
      </c>
      <c r="AG28" s="186">
        <v>0</v>
      </c>
      <c r="AH28" s="186">
        <v>0</v>
      </c>
      <c r="AI28" s="186">
        <v>0</v>
      </c>
      <c r="AJ28" s="186">
        <v>0</v>
      </c>
      <c r="AK28" s="186">
        <v>0</v>
      </c>
      <c r="AL28" s="186">
        <v>0</v>
      </c>
      <c r="AM28" s="186">
        <v>0</v>
      </c>
      <c r="AN28" s="186">
        <v>0</v>
      </c>
      <c r="AO28" s="186">
        <v>0</v>
      </c>
      <c r="AP28" s="186">
        <v>0</v>
      </c>
      <c r="AQ28" s="186">
        <v>0</v>
      </c>
      <c r="AR28" s="186">
        <v>0</v>
      </c>
      <c r="AS28" s="186">
        <v>0</v>
      </c>
      <c r="AT28" s="186">
        <v>0</v>
      </c>
      <c r="AU28" s="186">
        <v>0</v>
      </c>
      <c r="AV28" s="186">
        <v>0</v>
      </c>
      <c r="AW28" s="186">
        <v>0</v>
      </c>
      <c r="AX28" s="186">
        <v>0</v>
      </c>
      <c r="AY28" s="186">
        <v>0</v>
      </c>
      <c r="AZ28" s="186">
        <v>0</v>
      </c>
      <c r="BA28" s="186">
        <v>0</v>
      </c>
      <c r="BB28" s="186">
        <v>0</v>
      </c>
      <c r="BC28" s="186">
        <v>0</v>
      </c>
      <c r="BD28" s="186">
        <v>0</v>
      </c>
      <c r="BE28" s="186">
        <v>0</v>
      </c>
      <c r="BF28" s="186">
        <v>0</v>
      </c>
      <c r="BG28" s="186">
        <v>0</v>
      </c>
      <c r="BH28" s="186">
        <v>0</v>
      </c>
      <c r="BI28" s="186">
        <v>0</v>
      </c>
      <c r="BJ28" s="186">
        <v>0</v>
      </c>
      <c r="BK28" s="186">
        <v>0</v>
      </c>
      <c r="BL28" s="186">
        <v>0</v>
      </c>
      <c r="BM28" s="186">
        <v>0</v>
      </c>
      <c r="BN28" s="186">
        <v>0</v>
      </c>
      <c r="BO28" s="186">
        <v>0</v>
      </c>
      <c r="BP28" s="186">
        <v>0</v>
      </c>
      <c r="BQ28" s="186">
        <v>0</v>
      </c>
      <c r="BR28" s="186">
        <v>0</v>
      </c>
      <c r="BS28" s="186">
        <v>0</v>
      </c>
      <c r="BT28" s="186">
        <v>0</v>
      </c>
      <c r="BU28" s="186">
        <v>0</v>
      </c>
      <c r="BV28" s="186">
        <v>0</v>
      </c>
      <c r="BW28" s="186">
        <v>0</v>
      </c>
      <c r="BX28" s="186">
        <v>0</v>
      </c>
      <c r="BY28" s="186">
        <v>0</v>
      </c>
      <c r="BZ28" s="186">
        <v>0</v>
      </c>
      <c r="CA28" s="186">
        <v>0</v>
      </c>
      <c r="CB28" s="186">
        <v>0</v>
      </c>
      <c r="CC28" s="186">
        <v>0</v>
      </c>
      <c r="CD28" s="186">
        <v>0</v>
      </c>
      <c r="CE28" s="186">
        <v>0</v>
      </c>
      <c r="CF28" s="186">
        <v>0</v>
      </c>
      <c r="CG28" s="186">
        <v>0</v>
      </c>
      <c r="CH28" s="186">
        <v>0</v>
      </c>
      <c r="CI28" s="186">
        <v>0</v>
      </c>
      <c r="CJ28" s="186">
        <v>0</v>
      </c>
      <c r="CK28" s="186">
        <v>0</v>
      </c>
      <c r="CL28" s="186">
        <v>0</v>
      </c>
      <c r="CM28" s="186">
        <v>0</v>
      </c>
      <c r="CN28" s="186">
        <v>0</v>
      </c>
      <c r="CO28" s="186">
        <v>0</v>
      </c>
      <c r="CP28" s="186">
        <v>0</v>
      </c>
      <c r="CQ28" s="186">
        <v>0</v>
      </c>
      <c r="CR28" s="186">
        <v>0</v>
      </c>
      <c r="CS28" s="186">
        <v>0</v>
      </c>
      <c r="CT28" s="186">
        <v>0</v>
      </c>
      <c r="CU28" s="186">
        <v>0</v>
      </c>
      <c r="CV28" s="186">
        <v>0</v>
      </c>
    </row>
    <row r="29" spans="1:100">
      <c r="A29" s="541" t="str">
        <f t="shared" si="0"/>
        <v>1310200</v>
      </c>
      <c r="B29" s="541" t="s">
        <v>1559</v>
      </c>
      <c r="C29" s="463" t="s">
        <v>607</v>
      </c>
      <c r="D29" s="397">
        <v>0</v>
      </c>
      <c r="E29" s="397">
        <v>0</v>
      </c>
      <c r="F29" s="397">
        <v>0</v>
      </c>
      <c r="G29" s="397">
        <v>0</v>
      </c>
      <c r="H29" s="397">
        <v>0</v>
      </c>
      <c r="I29" s="397">
        <v>0</v>
      </c>
      <c r="J29" s="397">
        <v>0</v>
      </c>
      <c r="K29" s="397">
        <v>0</v>
      </c>
      <c r="L29" s="397">
        <v>0</v>
      </c>
      <c r="M29" s="397">
        <v>0</v>
      </c>
      <c r="N29" s="397">
        <v>0</v>
      </c>
      <c r="O29" s="397">
        <v>0</v>
      </c>
      <c r="P29" s="398">
        <v>0</v>
      </c>
      <c r="Q29" s="186">
        <v>0</v>
      </c>
      <c r="R29" s="186">
        <v>0</v>
      </c>
      <c r="S29" s="186">
        <v>0</v>
      </c>
      <c r="T29" s="186">
        <v>0</v>
      </c>
      <c r="U29" s="186">
        <v>0</v>
      </c>
      <c r="V29" s="186">
        <v>0</v>
      </c>
      <c r="W29" s="186">
        <v>0</v>
      </c>
      <c r="X29" s="186">
        <v>0</v>
      </c>
      <c r="Y29" s="186">
        <v>0</v>
      </c>
      <c r="Z29" s="186">
        <v>0</v>
      </c>
      <c r="AA29" s="186">
        <v>0</v>
      </c>
      <c r="AB29" s="186">
        <v>0</v>
      </c>
      <c r="AC29" s="186">
        <v>0</v>
      </c>
      <c r="AD29" s="186">
        <v>0</v>
      </c>
      <c r="AE29" s="186">
        <v>0</v>
      </c>
      <c r="AF29" s="186">
        <v>0</v>
      </c>
      <c r="AG29" s="186">
        <v>0</v>
      </c>
      <c r="AH29" s="186">
        <v>0</v>
      </c>
      <c r="AI29" s="186">
        <v>0</v>
      </c>
      <c r="AJ29" s="186">
        <v>0</v>
      </c>
      <c r="AK29" s="186">
        <v>0</v>
      </c>
      <c r="AL29" s="186">
        <v>0</v>
      </c>
      <c r="AM29" s="186">
        <v>0</v>
      </c>
      <c r="AN29" s="186">
        <v>0</v>
      </c>
      <c r="AO29" s="186">
        <v>0</v>
      </c>
      <c r="AP29" s="186">
        <v>0</v>
      </c>
      <c r="AQ29" s="186">
        <v>0</v>
      </c>
      <c r="AR29" s="186">
        <v>0</v>
      </c>
      <c r="AS29" s="186">
        <v>0</v>
      </c>
      <c r="AT29" s="186">
        <v>0</v>
      </c>
      <c r="AU29" s="186">
        <v>0</v>
      </c>
      <c r="AV29" s="186">
        <v>0</v>
      </c>
      <c r="AW29" s="186">
        <v>0</v>
      </c>
      <c r="AX29" s="186">
        <v>0</v>
      </c>
      <c r="AY29" s="186">
        <v>0</v>
      </c>
      <c r="AZ29" s="186">
        <v>0</v>
      </c>
      <c r="BA29" s="186">
        <v>0</v>
      </c>
      <c r="BB29" s="186">
        <v>0</v>
      </c>
      <c r="BC29" s="186">
        <v>0</v>
      </c>
      <c r="BD29" s="186">
        <v>0</v>
      </c>
      <c r="BE29" s="186">
        <v>0</v>
      </c>
      <c r="BF29" s="186">
        <v>0</v>
      </c>
      <c r="BG29" s="186">
        <v>0</v>
      </c>
      <c r="BH29" s="186">
        <v>0</v>
      </c>
      <c r="BI29" s="186">
        <v>0</v>
      </c>
      <c r="BJ29" s="186">
        <v>0</v>
      </c>
      <c r="BK29" s="186">
        <v>0</v>
      </c>
      <c r="BL29" s="186">
        <v>0</v>
      </c>
      <c r="BM29" s="186">
        <v>0</v>
      </c>
      <c r="BN29" s="186">
        <v>0</v>
      </c>
      <c r="BO29" s="186">
        <v>0</v>
      </c>
      <c r="BP29" s="186">
        <v>0</v>
      </c>
      <c r="BQ29" s="186">
        <v>0</v>
      </c>
      <c r="BR29" s="186">
        <v>0</v>
      </c>
      <c r="BS29" s="186">
        <v>0</v>
      </c>
      <c r="BT29" s="186">
        <v>0</v>
      </c>
      <c r="BU29" s="186">
        <v>0</v>
      </c>
      <c r="BV29" s="186">
        <v>0</v>
      </c>
      <c r="BW29" s="186">
        <v>0</v>
      </c>
      <c r="BX29" s="186">
        <v>0</v>
      </c>
      <c r="BY29" s="186">
        <v>0</v>
      </c>
      <c r="BZ29" s="186">
        <v>0</v>
      </c>
      <c r="CA29" s="186">
        <v>0</v>
      </c>
      <c r="CB29" s="186">
        <v>0</v>
      </c>
      <c r="CC29" s="186">
        <v>0</v>
      </c>
      <c r="CD29" s="186">
        <v>0</v>
      </c>
      <c r="CE29" s="186">
        <v>0</v>
      </c>
      <c r="CF29" s="186">
        <v>0</v>
      </c>
      <c r="CG29" s="186">
        <v>0</v>
      </c>
      <c r="CH29" s="186">
        <v>0</v>
      </c>
      <c r="CI29" s="186">
        <v>0</v>
      </c>
      <c r="CJ29" s="186">
        <v>0</v>
      </c>
      <c r="CK29" s="186">
        <v>0</v>
      </c>
      <c r="CL29" s="186">
        <v>0</v>
      </c>
      <c r="CM29" s="186">
        <v>0</v>
      </c>
      <c r="CN29" s="186">
        <v>0</v>
      </c>
      <c r="CO29" s="186">
        <v>0</v>
      </c>
      <c r="CP29" s="186">
        <v>0</v>
      </c>
      <c r="CQ29" s="186">
        <v>0</v>
      </c>
      <c r="CR29" s="186">
        <v>0</v>
      </c>
      <c r="CS29" s="186">
        <v>0</v>
      </c>
      <c r="CT29" s="186">
        <v>0</v>
      </c>
      <c r="CU29" s="186">
        <v>0</v>
      </c>
      <c r="CV29" s="186">
        <v>0</v>
      </c>
    </row>
    <row r="30" spans="1:100">
      <c r="A30" s="541" t="str">
        <f t="shared" si="0"/>
        <v>1310201</v>
      </c>
      <c r="B30" s="541" t="s">
        <v>1560</v>
      </c>
      <c r="C30" s="463" t="s">
        <v>608</v>
      </c>
      <c r="D30" s="397">
        <v>0</v>
      </c>
      <c r="E30" s="397">
        <v>0</v>
      </c>
      <c r="F30" s="397">
        <v>0</v>
      </c>
      <c r="G30" s="397">
        <v>0</v>
      </c>
      <c r="H30" s="397">
        <v>0</v>
      </c>
      <c r="I30" s="397">
        <v>0</v>
      </c>
      <c r="J30" s="397">
        <v>0</v>
      </c>
      <c r="K30" s="397">
        <v>0</v>
      </c>
      <c r="L30" s="397">
        <v>0</v>
      </c>
      <c r="M30" s="397">
        <v>0</v>
      </c>
      <c r="N30" s="397">
        <v>0</v>
      </c>
      <c r="O30" s="397">
        <v>0</v>
      </c>
      <c r="P30" s="398">
        <v>0</v>
      </c>
      <c r="Q30" s="186">
        <v>0</v>
      </c>
      <c r="R30" s="186">
        <v>0</v>
      </c>
      <c r="S30" s="186">
        <v>0</v>
      </c>
      <c r="T30" s="186">
        <v>0</v>
      </c>
      <c r="U30" s="186">
        <v>1591.87</v>
      </c>
      <c r="V30" s="186">
        <v>0</v>
      </c>
      <c r="W30" s="186">
        <v>0</v>
      </c>
      <c r="X30" s="186">
        <v>0</v>
      </c>
      <c r="Y30" s="186">
        <v>0</v>
      </c>
      <c r="Z30" s="186">
        <v>0</v>
      </c>
      <c r="AA30" s="186">
        <v>0</v>
      </c>
      <c r="AB30" s="186">
        <v>0</v>
      </c>
      <c r="AC30" s="186">
        <v>0</v>
      </c>
      <c r="AD30" s="186">
        <v>0</v>
      </c>
      <c r="AE30" s="186">
        <v>0</v>
      </c>
      <c r="AF30" s="186">
        <v>0</v>
      </c>
      <c r="AG30" s="186">
        <v>0</v>
      </c>
      <c r="AH30" s="186">
        <v>0</v>
      </c>
      <c r="AI30" s="186">
        <v>0</v>
      </c>
      <c r="AJ30" s="186">
        <v>0</v>
      </c>
      <c r="AK30" s="186">
        <v>0</v>
      </c>
      <c r="AL30" s="186">
        <v>0</v>
      </c>
      <c r="AM30" s="186">
        <v>0</v>
      </c>
      <c r="AN30" s="186">
        <v>0</v>
      </c>
      <c r="AO30" s="186">
        <v>0</v>
      </c>
      <c r="AP30" s="186">
        <v>0</v>
      </c>
      <c r="AQ30" s="186">
        <v>0</v>
      </c>
      <c r="AR30" s="186">
        <v>0</v>
      </c>
      <c r="AS30" s="186">
        <v>0</v>
      </c>
      <c r="AT30" s="186">
        <v>0</v>
      </c>
      <c r="AU30" s="186">
        <v>608.38</v>
      </c>
      <c r="AV30" s="186">
        <v>0</v>
      </c>
      <c r="AW30" s="186">
        <v>0</v>
      </c>
      <c r="AX30" s="186">
        <v>0</v>
      </c>
      <c r="AY30" s="186">
        <v>0</v>
      </c>
      <c r="AZ30" s="186">
        <v>0</v>
      </c>
      <c r="BA30" s="186">
        <v>0</v>
      </c>
      <c r="BB30" s="186">
        <v>0</v>
      </c>
      <c r="BC30" s="186">
        <v>0</v>
      </c>
      <c r="BD30" s="186">
        <v>0</v>
      </c>
      <c r="BE30" s="186">
        <v>0</v>
      </c>
      <c r="BF30" s="186">
        <v>0</v>
      </c>
      <c r="BG30" s="186">
        <v>0</v>
      </c>
      <c r="BH30" s="186">
        <v>0</v>
      </c>
      <c r="BI30" s="186">
        <v>0</v>
      </c>
      <c r="BJ30" s="186">
        <v>0</v>
      </c>
      <c r="BK30" s="186">
        <v>750.01</v>
      </c>
      <c r="BL30" s="186">
        <v>260</v>
      </c>
      <c r="BM30" s="186">
        <v>260</v>
      </c>
      <c r="BN30" s="186">
        <v>0</v>
      </c>
      <c r="BO30" s="186">
        <v>0</v>
      </c>
      <c r="BP30" s="186">
        <v>0</v>
      </c>
      <c r="BQ30" s="186">
        <v>0</v>
      </c>
      <c r="BR30" s="186">
        <v>0</v>
      </c>
      <c r="BS30" s="186">
        <v>0</v>
      </c>
      <c r="BT30" s="186">
        <v>0</v>
      </c>
      <c r="BU30" s="186">
        <v>0</v>
      </c>
      <c r="BV30" s="186">
        <v>539.24</v>
      </c>
      <c r="BW30" s="186">
        <v>0</v>
      </c>
      <c r="BX30" s="186">
        <v>0</v>
      </c>
      <c r="BY30" s="186">
        <v>0</v>
      </c>
      <c r="BZ30" s="186">
        <v>0</v>
      </c>
      <c r="CA30" s="186">
        <v>0</v>
      </c>
      <c r="CB30" s="186">
        <v>0</v>
      </c>
      <c r="CC30" s="186">
        <v>0</v>
      </c>
      <c r="CD30" s="186">
        <v>0</v>
      </c>
      <c r="CE30" s="186">
        <v>0</v>
      </c>
      <c r="CF30" s="186">
        <v>0</v>
      </c>
      <c r="CG30" s="186">
        <v>0</v>
      </c>
      <c r="CH30" s="186">
        <v>0</v>
      </c>
      <c r="CI30" s="186">
        <v>0</v>
      </c>
      <c r="CJ30" s="186">
        <v>0</v>
      </c>
      <c r="CK30" s="186">
        <v>0</v>
      </c>
      <c r="CL30" s="186">
        <v>0</v>
      </c>
      <c r="CM30" s="186">
        <v>0</v>
      </c>
      <c r="CN30" s="186">
        <v>0</v>
      </c>
      <c r="CO30" s="186">
        <v>0</v>
      </c>
      <c r="CP30" s="186">
        <v>0</v>
      </c>
      <c r="CQ30" s="186">
        <v>0</v>
      </c>
      <c r="CR30" s="186">
        <v>0</v>
      </c>
      <c r="CS30" s="186">
        <v>0</v>
      </c>
      <c r="CT30" s="186">
        <v>0</v>
      </c>
      <c r="CU30" s="186">
        <v>0</v>
      </c>
      <c r="CV30" s="186">
        <v>0</v>
      </c>
    </row>
    <row r="31" spans="1:100">
      <c r="A31" s="541" t="str">
        <f t="shared" si="0"/>
        <v>1310202</v>
      </c>
      <c r="B31" s="541" t="s">
        <v>1561</v>
      </c>
      <c r="C31" s="463" t="s">
        <v>609</v>
      </c>
      <c r="D31" s="397">
        <v>0</v>
      </c>
      <c r="E31" s="397">
        <v>0</v>
      </c>
      <c r="F31" s="397">
        <v>0</v>
      </c>
      <c r="G31" s="397">
        <v>0</v>
      </c>
      <c r="H31" s="397">
        <v>0</v>
      </c>
      <c r="I31" s="397">
        <v>0</v>
      </c>
      <c r="J31" s="397">
        <v>0</v>
      </c>
      <c r="K31" s="397">
        <v>0</v>
      </c>
      <c r="L31" s="397">
        <v>0</v>
      </c>
      <c r="M31" s="397">
        <v>0</v>
      </c>
      <c r="N31" s="397">
        <v>0</v>
      </c>
      <c r="O31" s="397">
        <v>0</v>
      </c>
      <c r="P31" s="398">
        <v>0</v>
      </c>
      <c r="Q31" s="186">
        <v>0</v>
      </c>
      <c r="R31" s="186">
        <v>0</v>
      </c>
      <c r="S31" s="186">
        <v>0</v>
      </c>
      <c r="T31" s="186">
        <v>0</v>
      </c>
      <c r="U31" s="186">
        <v>0</v>
      </c>
      <c r="V31" s="186">
        <v>0</v>
      </c>
      <c r="W31" s="186">
        <v>0</v>
      </c>
      <c r="X31" s="186">
        <v>0</v>
      </c>
      <c r="Y31" s="186">
        <v>0</v>
      </c>
      <c r="Z31" s="186">
        <v>0</v>
      </c>
      <c r="AA31" s="186">
        <v>0</v>
      </c>
      <c r="AB31" s="186">
        <v>0</v>
      </c>
      <c r="AC31" s="186">
        <v>0</v>
      </c>
      <c r="AD31" s="186">
        <v>0</v>
      </c>
      <c r="AE31" s="186">
        <v>0</v>
      </c>
      <c r="AF31" s="186">
        <v>0</v>
      </c>
      <c r="AG31" s="186">
        <v>0</v>
      </c>
      <c r="AH31" s="186">
        <v>0</v>
      </c>
      <c r="AI31" s="186">
        <v>0</v>
      </c>
      <c r="AJ31" s="186">
        <v>0</v>
      </c>
      <c r="AK31" s="186">
        <v>0</v>
      </c>
      <c r="AL31" s="186">
        <v>0</v>
      </c>
      <c r="AM31" s="186">
        <v>0</v>
      </c>
      <c r="AN31" s="186">
        <v>0</v>
      </c>
      <c r="AO31" s="186">
        <v>0</v>
      </c>
      <c r="AP31" s="186">
        <v>0</v>
      </c>
      <c r="AQ31" s="186">
        <v>0</v>
      </c>
      <c r="AR31" s="186">
        <v>0</v>
      </c>
      <c r="AS31" s="186">
        <v>0</v>
      </c>
      <c r="AT31" s="186">
        <v>0</v>
      </c>
      <c r="AU31" s="186">
        <v>0</v>
      </c>
      <c r="AV31" s="186">
        <v>0</v>
      </c>
      <c r="AW31" s="186">
        <v>0</v>
      </c>
      <c r="AX31" s="186">
        <v>0</v>
      </c>
      <c r="AY31" s="186">
        <v>0</v>
      </c>
      <c r="AZ31" s="186">
        <v>0</v>
      </c>
      <c r="BA31" s="186">
        <v>0</v>
      </c>
      <c r="BB31" s="186">
        <v>0</v>
      </c>
      <c r="BC31" s="186">
        <v>0</v>
      </c>
      <c r="BD31" s="186">
        <v>0</v>
      </c>
      <c r="BE31" s="186">
        <v>0</v>
      </c>
      <c r="BF31" s="186">
        <v>0</v>
      </c>
      <c r="BG31" s="186">
        <v>0</v>
      </c>
      <c r="BH31" s="186">
        <v>0</v>
      </c>
      <c r="BI31" s="186">
        <v>-500.01</v>
      </c>
      <c r="BJ31" s="186">
        <v>-500.01</v>
      </c>
      <c r="BK31" s="186">
        <v>-500.01</v>
      </c>
      <c r="BL31" s="186">
        <v>0</v>
      </c>
      <c r="BM31" s="186">
        <v>0</v>
      </c>
      <c r="BN31" s="186">
        <v>0</v>
      </c>
      <c r="BO31" s="186">
        <v>0</v>
      </c>
      <c r="BP31" s="186">
        <v>0</v>
      </c>
      <c r="BQ31" s="186">
        <v>0</v>
      </c>
      <c r="BR31" s="186">
        <v>0</v>
      </c>
      <c r="BS31" s="186">
        <v>0</v>
      </c>
      <c r="BT31" s="186">
        <v>0</v>
      </c>
      <c r="BU31" s="186">
        <v>0</v>
      </c>
      <c r="BV31" s="186">
        <v>0</v>
      </c>
      <c r="BW31" s="186">
        <v>0</v>
      </c>
      <c r="BX31" s="186">
        <v>0</v>
      </c>
      <c r="BY31" s="186">
        <v>0</v>
      </c>
      <c r="BZ31" s="186">
        <v>0</v>
      </c>
      <c r="CA31" s="186">
        <v>0</v>
      </c>
      <c r="CB31" s="186">
        <v>0</v>
      </c>
      <c r="CC31" s="186">
        <v>0</v>
      </c>
      <c r="CD31" s="186">
        <v>0</v>
      </c>
      <c r="CE31" s="186">
        <v>0</v>
      </c>
      <c r="CF31" s="186">
        <v>0</v>
      </c>
      <c r="CG31" s="186">
        <v>0</v>
      </c>
      <c r="CH31" s="186">
        <v>0</v>
      </c>
      <c r="CI31" s="186">
        <v>0</v>
      </c>
      <c r="CJ31" s="186">
        <v>0</v>
      </c>
      <c r="CK31" s="186">
        <v>0</v>
      </c>
      <c r="CL31" s="186">
        <v>0</v>
      </c>
      <c r="CM31" s="186">
        <v>0</v>
      </c>
      <c r="CN31" s="186">
        <v>0</v>
      </c>
      <c r="CO31" s="186">
        <v>0</v>
      </c>
      <c r="CP31" s="186">
        <v>0</v>
      </c>
      <c r="CQ31" s="186">
        <v>0</v>
      </c>
      <c r="CR31" s="186">
        <v>0</v>
      </c>
      <c r="CS31" s="186">
        <v>0</v>
      </c>
      <c r="CT31" s="186">
        <v>0</v>
      </c>
      <c r="CU31" s="186">
        <v>0</v>
      </c>
      <c r="CV31" s="186">
        <v>0</v>
      </c>
    </row>
    <row r="32" spans="1:100">
      <c r="A32" s="541" t="str">
        <f t="shared" si="0"/>
        <v>1310205</v>
      </c>
      <c r="B32" s="541" t="s">
        <v>1562</v>
      </c>
      <c r="C32" s="463" t="s">
        <v>610</v>
      </c>
      <c r="D32" s="397">
        <v>-13257.76</v>
      </c>
      <c r="E32" s="397">
        <v>-301304.73</v>
      </c>
      <c r="F32" s="397">
        <v>-21503.85</v>
      </c>
      <c r="G32" s="397">
        <v>-100</v>
      </c>
      <c r="H32" s="397">
        <v>-550</v>
      </c>
      <c r="I32" s="397">
        <v>-21010.68</v>
      </c>
      <c r="J32" s="397">
        <v>-5455.42</v>
      </c>
      <c r="K32" s="397">
        <v>-3607.4</v>
      </c>
      <c r="L32" s="397">
        <v>-271.73</v>
      </c>
      <c r="M32" s="397">
        <v>-100</v>
      </c>
      <c r="N32" s="397">
        <v>-9714.24</v>
      </c>
      <c r="O32" s="397">
        <v>-8559.6</v>
      </c>
      <c r="P32" s="398">
        <v>-6879.98</v>
      </c>
      <c r="Q32" s="186">
        <v>-2919.89</v>
      </c>
      <c r="R32" s="186">
        <v>-35288.730000000003</v>
      </c>
      <c r="S32" s="186">
        <v>-11292.99</v>
      </c>
      <c r="T32" s="186">
        <v>-27956.58</v>
      </c>
      <c r="U32" s="186">
        <v>-27248.080000000002</v>
      </c>
      <c r="V32" s="186">
        <v>-4982.0600000000004</v>
      </c>
      <c r="W32" s="186">
        <v>-5315.16</v>
      </c>
      <c r="X32" s="186">
        <v>-1721.25</v>
      </c>
      <c r="Y32" s="186">
        <v>-150</v>
      </c>
      <c r="Z32" s="186">
        <v>-13828.77</v>
      </c>
      <c r="AA32" s="186">
        <v>-3567.17</v>
      </c>
      <c r="AB32" s="186">
        <v>-3663.21</v>
      </c>
      <c r="AC32" s="186">
        <v>-1490.67</v>
      </c>
      <c r="AD32" s="186">
        <v>-17112.330000000002</v>
      </c>
      <c r="AE32" s="186">
        <v>-28371.25</v>
      </c>
      <c r="AF32" s="186">
        <v>-10459.879999999999</v>
      </c>
      <c r="AG32" s="186">
        <v>-8331.75</v>
      </c>
      <c r="AH32" s="186">
        <v>-1324.29</v>
      </c>
      <c r="AI32" s="186">
        <v>-3832.29</v>
      </c>
      <c r="AJ32" s="186">
        <v>-7023.53</v>
      </c>
      <c r="AK32" s="186">
        <v>-14996.98</v>
      </c>
      <c r="AL32" s="186">
        <v>-8728.73</v>
      </c>
      <c r="AM32" s="186">
        <v>-4498.34</v>
      </c>
      <c r="AN32" s="186">
        <v>-14942.15</v>
      </c>
      <c r="AO32" s="186">
        <v>-5963.33</v>
      </c>
      <c r="AP32" s="186">
        <v>-18833.71</v>
      </c>
      <c r="AQ32" s="186">
        <v>-7716.83</v>
      </c>
      <c r="AR32" s="186">
        <v>-8180.13</v>
      </c>
      <c r="AS32" s="186">
        <v>-598.87</v>
      </c>
      <c r="AT32" s="186">
        <v>-100</v>
      </c>
      <c r="AU32" s="186">
        <v>-1008.38</v>
      </c>
      <c r="AV32" s="186">
        <v>-14572.69</v>
      </c>
      <c r="AW32" s="186">
        <v>-7555.14</v>
      </c>
      <c r="AX32" s="186">
        <v>-350</v>
      </c>
      <c r="AY32" s="186">
        <v>-1371.96</v>
      </c>
      <c r="AZ32" s="186">
        <v>0</v>
      </c>
      <c r="BA32" s="186">
        <v>0</v>
      </c>
      <c r="BB32" s="186">
        <v>-23774.11</v>
      </c>
      <c r="BC32" s="186">
        <v>-11726.02</v>
      </c>
      <c r="BD32" s="186">
        <v>-11753.33</v>
      </c>
      <c r="BE32" s="186">
        <v>-1549.55</v>
      </c>
      <c r="BF32" s="186">
        <v>-968.3</v>
      </c>
      <c r="BG32" s="186">
        <v>-600</v>
      </c>
      <c r="BH32" s="186">
        <v>-5538.9</v>
      </c>
      <c r="BI32" s="186">
        <v>-1789.64</v>
      </c>
      <c r="BJ32" s="186">
        <v>-1478.18</v>
      </c>
      <c r="BK32" s="186">
        <v>-1352.58</v>
      </c>
      <c r="BL32" s="186">
        <v>-460</v>
      </c>
      <c r="BM32" s="186">
        <v>-12426.09</v>
      </c>
      <c r="BN32" s="186">
        <v>-50373.03</v>
      </c>
      <c r="BO32" s="186">
        <v>-25402.09</v>
      </c>
      <c r="BP32" s="186">
        <v>-3065.88</v>
      </c>
      <c r="BQ32" s="186">
        <v>-3195.88</v>
      </c>
      <c r="BR32" s="186">
        <v>-2562.56</v>
      </c>
      <c r="BS32" s="186">
        <v>-3063.36</v>
      </c>
      <c r="BT32" s="186">
        <v>-6748.27</v>
      </c>
      <c r="BU32" s="186">
        <v>-5624.05</v>
      </c>
      <c r="BV32" s="186">
        <v>-1446.63</v>
      </c>
      <c r="BW32" s="186">
        <v>-612.39</v>
      </c>
      <c r="BX32" s="186">
        <v>-407.39</v>
      </c>
      <c r="BY32" s="186">
        <v>-5934.37</v>
      </c>
      <c r="BZ32" s="186">
        <v>-133267.64000000001</v>
      </c>
      <c r="CA32" s="186">
        <v>-9887.8799999999992</v>
      </c>
      <c r="CB32" s="186">
        <v>-7649.72</v>
      </c>
      <c r="CC32" s="186">
        <v>-7474.4</v>
      </c>
      <c r="CD32" s="186">
        <v>-7431.1</v>
      </c>
      <c r="CE32" s="186">
        <v>-4934.46</v>
      </c>
      <c r="CF32" s="186">
        <v>-4718.4399999999996</v>
      </c>
      <c r="CG32" s="186">
        <v>-2800.24</v>
      </c>
      <c r="CH32" s="186">
        <v>-362.39</v>
      </c>
      <c r="CI32" s="186">
        <v>-412.39</v>
      </c>
      <c r="CJ32" s="186">
        <v>-2630.73</v>
      </c>
      <c r="CK32" s="186">
        <v>-2460.25</v>
      </c>
      <c r="CL32" s="186">
        <v>-4205.13</v>
      </c>
      <c r="CM32" s="186">
        <v>-8637.61</v>
      </c>
      <c r="CN32" s="186">
        <v>-2095.3200000000002</v>
      </c>
      <c r="CO32" s="186">
        <v>-6089.56</v>
      </c>
      <c r="CP32" s="186">
        <v>-730.69</v>
      </c>
      <c r="CQ32" s="186">
        <v>-3941.39</v>
      </c>
      <c r="CR32" s="186">
        <v>-3331.67</v>
      </c>
      <c r="CS32" s="186">
        <v>-1902.4</v>
      </c>
      <c r="CT32" s="186">
        <v>-2583.36</v>
      </c>
      <c r="CU32" s="186">
        <v>-2574.37</v>
      </c>
      <c r="CV32" s="186">
        <v>-9339.5</v>
      </c>
    </row>
    <row r="33" spans="1:100">
      <c r="A33" s="541" t="str">
        <f t="shared" si="0"/>
        <v>1310210</v>
      </c>
      <c r="B33" s="541" t="s">
        <v>1563</v>
      </c>
      <c r="C33" s="463" t="s">
        <v>611</v>
      </c>
      <c r="D33" s="397">
        <v>331516.73</v>
      </c>
      <c r="E33" s="397">
        <v>359162.04</v>
      </c>
      <c r="F33" s="397">
        <v>423137.69</v>
      </c>
      <c r="G33" s="397">
        <v>773711.35</v>
      </c>
      <c r="H33" s="397">
        <v>309413.56</v>
      </c>
      <c r="I33" s="397">
        <v>325689.78000000003</v>
      </c>
      <c r="J33" s="397">
        <v>544866.37</v>
      </c>
      <c r="K33" s="397">
        <v>259699.26</v>
      </c>
      <c r="L33" s="397">
        <v>301394.03000000003</v>
      </c>
      <c r="M33" s="397">
        <v>360264.69</v>
      </c>
      <c r="N33" s="397">
        <v>433255.08</v>
      </c>
      <c r="O33" s="397">
        <v>-130796.44</v>
      </c>
      <c r="P33" s="398">
        <v>519844.98</v>
      </c>
      <c r="Q33" s="186">
        <v>560518.25</v>
      </c>
      <c r="R33" s="186">
        <v>499837.21</v>
      </c>
      <c r="S33" s="186">
        <v>675487.96</v>
      </c>
      <c r="T33" s="186">
        <v>428689.11</v>
      </c>
      <c r="U33" s="186">
        <v>329444.87</v>
      </c>
      <c r="V33" s="186">
        <v>741175.49</v>
      </c>
      <c r="W33" s="186">
        <v>368123.21</v>
      </c>
      <c r="X33" s="186">
        <v>696842.45</v>
      </c>
      <c r="Y33" s="186">
        <v>410674.09</v>
      </c>
      <c r="Z33" s="186">
        <v>341710.23</v>
      </c>
      <c r="AA33" s="186">
        <v>537902.91</v>
      </c>
      <c r="AB33" s="186">
        <v>417095.05</v>
      </c>
      <c r="AC33" s="186">
        <v>402000.85</v>
      </c>
      <c r="AD33" s="186">
        <v>1188155.99</v>
      </c>
      <c r="AE33" s="186">
        <v>362769.37</v>
      </c>
      <c r="AF33" s="186">
        <v>434510.4</v>
      </c>
      <c r="AG33" s="186">
        <v>925107.95</v>
      </c>
      <c r="AH33" s="186">
        <v>297086.21000000002</v>
      </c>
      <c r="AI33" s="186">
        <v>346666.34</v>
      </c>
      <c r="AJ33" s="186">
        <v>306152.3</v>
      </c>
      <c r="AK33" s="186">
        <v>361351.54</v>
      </c>
      <c r="AL33" s="186">
        <v>588213.24</v>
      </c>
      <c r="AM33" s="186">
        <v>356927.72</v>
      </c>
      <c r="AN33" s="186">
        <v>329481.73</v>
      </c>
      <c r="AO33" s="186">
        <v>-11322</v>
      </c>
      <c r="AP33" s="186">
        <v>0</v>
      </c>
      <c r="AQ33" s="186">
        <v>0</v>
      </c>
      <c r="AR33" s="186">
        <v>0</v>
      </c>
      <c r="AS33" s="186">
        <v>0</v>
      </c>
      <c r="AT33" s="186">
        <v>0</v>
      </c>
      <c r="AU33" s="186">
        <v>0</v>
      </c>
      <c r="AV33" s="186">
        <v>0</v>
      </c>
      <c r="AW33" s="186">
        <v>411238.87</v>
      </c>
      <c r="AX33" s="186">
        <v>309290.62</v>
      </c>
      <c r="AY33" s="186">
        <v>310760</v>
      </c>
      <c r="AZ33" s="186">
        <v>471487.29</v>
      </c>
      <c r="BA33" s="186">
        <v>318668.86</v>
      </c>
      <c r="BB33" s="186">
        <v>323691.55</v>
      </c>
      <c r="BC33" s="186">
        <v>343377.04</v>
      </c>
      <c r="BD33" s="186">
        <v>308499.93</v>
      </c>
      <c r="BE33" s="186">
        <v>599300.32999999996</v>
      </c>
      <c r="BF33" s="186">
        <v>320219.67</v>
      </c>
      <c r="BG33" s="186">
        <v>300732.37</v>
      </c>
      <c r="BH33" s="186">
        <v>331434.61</v>
      </c>
      <c r="BI33" s="186">
        <v>292031.21999999997</v>
      </c>
      <c r="BJ33" s="186">
        <v>313236.09000000003</v>
      </c>
      <c r="BK33" s="186">
        <v>316105.76</v>
      </c>
      <c r="BL33" s="186">
        <v>337051.8</v>
      </c>
      <c r="BM33" s="186">
        <v>330015.09000000003</v>
      </c>
      <c r="BN33" s="186">
        <v>320490.51</v>
      </c>
      <c r="BO33" s="186">
        <v>298183.77</v>
      </c>
      <c r="BP33" s="186">
        <v>302068.11</v>
      </c>
      <c r="BQ33" s="186">
        <v>304740.34000000003</v>
      </c>
      <c r="BR33" s="186">
        <v>305652.53000000003</v>
      </c>
      <c r="BS33" s="186">
        <v>292641.87</v>
      </c>
      <c r="BT33" s="186">
        <v>304532.93</v>
      </c>
      <c r="BU33" s="186">
        <v>331380.88</v>
      </c>
      <c r="BV33" s="186">
        <v>306659.65000000002</v>
      </c>
      <c r="BW33" s="186">
        <v>353765.99</v>
      </c>
      <c r="BX33" s="186">
        <v>297929.49</v>
      </c>
      <c r="BY33" s="186">
        <v>334104.07</v>
      </c>
      <c r="BZ33" s="186">
        <v>302487.90999999997</v>
      </c>
      <c r="CA33" s="186">
        <v>280574.49</v>
      </c>
      <c r="CB33" s="186">
        <v>304854.78000000003</v>
      </c>
      <c r="CC33" s="186">
        <v>303331.44</v>
      </c>
      <c r="CD33" s="186">
        <v>289934.71000000002</v>
      </c>
      <c r="CE33" s="186">
        <v>299163.99</v>
      </c>
      <c r="CF33" s="186">
        <v>288106.71999999997</v>
      </c>
      <c r="CG33" s="186">
        <v>282336.65000000002</v>
      </c>
      <c r="CH33" s="186">
        <v>241442.18</v>
      </c>
      <c r="CI33" s="186">
        <v>286211.15000000002</v>
      </c>
      <c r="CJ33" s="186">
        <v>246961.59</v>
      </c>
      <c r="CK33" s="186">
        <v>230630.47</v>
      </c>
      <c r="CL33" s="186">
        <v>250057.51</v>
      </c>
      <c r="CM33" s="186">
        <v>182155.12</v>
      </c>
      <c r="CN33" s="186">
        <v>100255.54</v>
      </c>
      <c r="CO33" s="186">
        <v>50047.85</v>
      </c>
      <c r="CP33" s="186">
        <v>10569.87</v>
      </c>
      <c r="CQ33" s="186">
        <v>0</v>
      </c>
      <c r="CR33" s="186">
        <v>0</v>
      </c>
      <c r="CS33" s="186">
        <v>0</v>
      </c>
      <c r="CT33" s="186">
        <v>0</v>
      </c>
      <c r="CU33" s="186">
        <v>0</v>
      </c>
      <c r="CV33" s="186">
        <v>0</v>
      </c>
    </row>
    <row r="34" spans="1:100">
      <c r="A34" s="541" t="str">
        <f t="shared" si="0"/>
        <v>1310220</v>
      </c>
      <c r="B34" s="541" t="s">
        <v>1564</v>
      </c>
      <c r="C34" s="463" t="s">
        <v>612</v>
      </c>
      <c r="D34" s="397">
        <v>0</v>
      </c>
      <c r="E34" s="397">
        <v>0</v>
      </c>
      <c r="F34" s="397">
        <v>0</v>
      </c>
      <c r="G34" s="397">
        <v>0</v>
      </c>
      <c r="H34" s="397">
        <v>0</v>
      </c>
      <c r="I34" s="397">
        <v>0</v>
      </c>
      <c r="J34" s="397">
        <v>0</v>
      </c>
      <c r="K34" s="397">
        <v>0</v>
      </c>
      <c r="L34" s="397">
        <v>0</v>
      </c>
      <c r="M34" s="397">
        <v>0</v>
      </c>
      <c r="N34" s="397">
        <v>0</v>
      </c>
      <c r="O34" s="397">
        <v>0</v>
      </c>
      <c r="P34" s="398">
        <v>0</v>
      </c>
      <c r="Q34" s="186">
        <v>0</v>
      </c>
      <c r="R34" s="186">
        <v>0</v>
      </c>
      <c r="S34" s="186">
        <v>0</v>
      </c>
      <c r="T34" s="186">
        <v>0</v>
      </c>
      <c r="U34" s="186">
        <v>0</v>
      </c>
      <c r="V34" s="186">
        <v>0</v>
      </c>
      <c r="W34" s="186">
        <v>0</v>
      </c>
      <c r="X34" s="186">
        <v>0</v>
      </c>
      <c r="Y34" s="186">
        <v>0</v>
      </c>
      <c r="Z34" s="186">
        <v>0</v>
      </c>
      <c r="AA34" s="186">
        <v>0</v>
      </c>
      <c r="AB34" s="186">
        <v>0</v>
      </c>
      <c r="AC34" s="186">
        <v>0</v>
      </c>
      <c r="AD34" s="186">
        <v>0</v>
      </c>
      <c r="AE34" s="186">
        <v>0</v>
      </c>
      <c r="AF34" s="186">
        <v>0</v>
      </c>
      <c r="AG34" s="186">
        <v>0</v>
      </c>
      <c r="AH34" s="186">
        <v>0</v>
      </c>
      <c r="AI34" s="186">
        <v>0</v>
      </c>
      <c r="AJ34" s="186">
        <v>0</v>
      </c>
      <c r="AK34" s="186">
        <v>0</v>
      </c>
      <c r="AL34" s="186">
        <v>0</v>
      </c>
      <c r="AM34" s="186">
        <v>0</v>
      </c>
      <c r="AN34" s="186">
        <v>0</v>
      </c>
      <c r="AO34" s="186">
        <v>0</v>
      </c>
      <c r="AP34" s="186">
        <v>0</v>
      </c>
      <c r="AQ34" s="186">
        <v>0</v>
      </c>
      <c r="AR34" s="186">
        <v>0</v>
      </c>
      <c r="AS34" s="186">
        <v>0</v>
      </c>
      <c r="AT34" s="186">
        <v>0</v>
      </c>
      <c r="AU34" s="186">
        <v>0</v>
      </c>
      <c r="AV34" s="186">
        <v>0</v>
      </c>
      <c r="AW34" s="186">
        <v>0</v>
      </c>
      <c r="AX34" s="186">
        <v>0</v>
      </c>
      <c r="AY34" s="186">
        <v>0</v>
      </c>
      <c r="AZ34" s="186">
        <v>0</v>
      </c>
      <c r="BA34" s="186">
        <v>0</v>
      </c>
      <c r="BB34" s="186">
        <v>0</v>
      </c>
      <c r="BC34" s="186">
        <v>0</v>
      </c>
      <c r="BD34" s="186">
        <v>0</v>
      </c>
      <c r="BE34" s="186">
        <v>0</v>
      </c>
      <c r="BF34" s="186">
        <v>0</v>
      </c>
      <c r="BG34" s="186">
        <v>0</v>
      </c>
      <c r="BH34" s="186">
        <v>0</v>
      </c>
      <c r="BI34" s="186">
        <v>0</v>
      </c>
      <c r="BJ34" s="186">
        <v>0</v>
      </c>
      <c r="BK34" s="186">
        <v>0</v>
      </c>
      <c r="BL34" s="186">
        <v>0</v>
      </c>
      <c r="BM34" s="186">
        <v>0</v>
      </c>
      <c r="BN34" s="186">
        <v>0</v>
      </c>
      <c r="BO34" s="186">
        <v>0</v>
      </c>
      <c r="BP34" s="186">
        <v>0</v>
      </c>
      <c r="BQ34" s="186">
        <v>0</v>
      </c>
      <c r="BR34" s="186">
        <v>0</v>
      </c>
      <c r="BS34" s="186">
        <v>0</v>
      </c>
      <c r="BT34" s="186">
        <v>0</v>
      </c>
      <c r="BU34" s="186">
        <v>0</v>
      </c>
      <c r="BV34" s="186">
        <v>0</v>
      </c>
      <c r="BW34" s="186">
        <v>0</v>
      </c>
      <c r="BX34" s="186">
        <v>0</v>
      </c>
      <c r="BY34" s="186">
        <v>0</v>
      </c>
      <c r="BZ34" s="186">
        <v>0</v>
      </c>
      <c r="CA34" s="186">
        <v>0</v>
      </c>
      <c r="CB34" s="186">
        <v>0</v>
      </c>
      <c r="CC34" s="186">
        <v>0</v>
      </c>
      <c r="CD34" s="186">
        <v>0</v>
      </c>
      <c r="CE34" s="186">
        <v>0</v>
      </c>
      <c r="CF34" s="186">
        <v>0</v>
      </c>
      <c r="CG34" s="186">
        <v>0</v>
      </c>
      <c r="CH34" s="186">
        <v>0</v>
      </c>
      <c r="CI34" s="186">
        <v>0</v>
      </c>
      <c r="CJ34" s="186">
        <v>0</v>
      </c>
      <c r="CK34" s="186">
        <v>0</v>
      </c>
      <c r="CL34" s="186">
        <v>0</v>
      </c>
      <c r="CM34" s="186">
        <v>0</v>
      </c>
      <c r="CN34" s="186">
        <v>0</v>
      </c>
      <c r="CO34" s="186">
        <v>0</v>
      </c>
      <c r="CP34" s="186">
        <v>0</v>
      </c>
      <c r="CQ34" s="186">
        <v>0</v>
      </c>
      <c r="CR34" s="186">
        <v>0</v>
      </c>
      <c r="CS34" s="186">
        <v>0</v>
      </c>
      <c r="CT34" s="186">
        <v>0</v>
      </c>
      <c r="CU34" s="186">
        <v>0</v>
      </c>
      <c r="CV34" s="186">
        <v>0</v>
      </c>
    </row>
    <row r="35" spans="1:100">
      <c r="A35" s="541" t="str">
        <f t="shared" si="0"/>
        <v>1310222</v>
      </c>
      <c r="B35" s="541" t="s">
        <v>1565</v>
      </c>
      <c r="C35" s="463" t="s">
        <v>1462</v>
      </c>
      <c r="D35" s="397"/>
      <c r="E35" s="397"/>
      <c r="F35" s="397"/>
      <c r="G35" s="397"/>
      <c r="H35" s="397"/>
      <c r="I35" s="397"/>
      <c r="J35" s="397"/>
      <c r="K35" s="397"/>
      <c r="L35" s="397"/>
      <c r="M35" s="397"/>
      <c r="N35" s="397"/>
      <c r="O35" s="397"/>
      <c r="P35" s="398"/>
      <c r="Q35" s="186"/>
      <c r="R35" s="186"/>
      <c r="S35" s="186"/>
      <c r="T35" s="186"/>
      <c r="U35" s="186"/>
      <c r="V35" s="186"/>
      <c r="W35" s="186"/>
      <c r="X35" s="186"/>
      <c r="Y35" s="186"/>
      <c r="Z35" s="186"/>
      <c r="AA35" s="186"/>
      <c r="AB35" s="186"/>
      <c r="AC35" s="186"/>
      <c r="AD35" s="186"/>
      <c r="AE35" s="186"/>
      <c r="AF35" s="186">
        <v>0</v>
      </c>
      <c r="AG35" s="186">
        <v>0</v>
      </c>
      <c r="AH35" s="186">
        <v>0</v>
      </c>
      <c r="AI35" s="186">
        <v>0</v>
      </c>
      <c r="AJ35" s="186">
        <v>0</v>
      </c>
      <c r="AK35" s="186">
        <v>0</v>
      </c>
      <c r="AL35" s="186">
        <v>0</v>
      </c>
      <c r="AM35" s="186">
        <v>0</v>
      </c>
      <c r="AN35" s="186">
        <v>0</v>
      </c>
      <c r="AO35" s="186">
        <v>0</v>
      </c>
      <c r="AP35" s="186">
        <v>0</v>
      </c>
      <c r="AQ35" s="186">
        <v>0</v>
      </c>
      <c r="AR35" s="186">
        <v>0</v>
      </c>
      <c r="AS35" s="186">
        <v>0</v>
      </c>
      <c r="AT35" s="186">
        <v>0</v>
      </c>
      <c r="AU35" s="186">
        <v>0</v>
      </c>
      <c r="AV35" s="186">
        <v>0</v>
      </c>
      <c r="AW35" s="186">
        <v>0</v>
      </c>
      <c r="AX35" s="186">
        <v>0</v>
      </c>
      <c r="AY35" s="186">
        <v>0</v>
      </c>
      <c r="AZ35" s="186">
        <v>0</v>
      </c>
      <c r="BA35" s="186">
        <v>0</v>
      </c>
      <c r="BB35" s="186">
        <v>0</v>
      </c>
      <c r="BC35" s="186">
        <v>0</v>
      </c>
      <c r="BD35" s="186">
        <v>0</v>
      </c>
      <c r="BE35" s="186">
        <v>0</v>
      </c>
      <c r="BF35" s="186">
        <v>0</v>
      </c>
      <c r="BG35" s="186">
        <v>0</v>
      </c>
      <c r="BH35" s="186">
        <v>0</v>
      </c>
      <c r="BI35" s="186">
        <v>0</v>
      </c>
      <c r="BJ35" s="186">
        <v>0</v>
      </c>
      <c r="BK35" s="186">
        <v>0</v>
      </c>
      <c r="BL35" s="186">
        <v>0</v>
      </c>
      <c r="BM35" s="186">
        <v>0</v>
      </c>
      <c r="BN35" s="186">
        <v>0</v>
      </c>
      <c r="BO35" s="186">
        <v>0</v>
      </c>
      <c r="BP35" s="186">
        <v>0</v>
      </c>
      <c r="BQ35" s="186">
        <v>0</v>
      </c>
      <c r="BR35" s="186">
        <v>0</v>
      </c>
      <c r="BS35" s="186">
        <v>0</v>
      </c>
      <c r="BT35" s="186">
        <v>0</v>
      </c>
      <c r="BU35" s="186">
        <v>0</v>
      </c>
      <c r="BV35" s="186">
        <v>0</v>
      </c>
      <c r="BW35" s="186">
        <v>0</v>
      </c>
      <c r="BX35" s="186">
        <v>0</v>
      </c>
      <c r="BY35" s="186">
        <v>0</v>
      </c>
      <c r="BZ35" s="186">
        <v>0</v>
      </c>
      <c r="CA35" s="186">
        <v>0</v>
      </c>
      <c r="CB35" s="186">
        <v>0</v>
      </c>
      <c r="CC35" s="186">
        <v>0</v>
      </c>
      <c r="CD35" s="186">
        <v>0</v>
      </c>
      <c r="CE35" s="186">
        <v>0</v>
      </c>
      <c r="CF35" s="186">
        <v>0</v>
      </c>
      <c r="CG35" s="186">
        <v>0</v>
      </c>
      <c r="CH35" s="186">
        <v>0</v>
      </c>
      <c r="CI35" s="186">
        <v>0</v>
      </c>
      <c r="CJ35" s="186">
        <v>0</v>
      </c>
      <c r="CK35" s="186">
        <v>0</v>
      </c>
      <c r="CL35" s="186">
        <v>0</v>
      </c>
      <c r="CM35" s="186">
        <v>0</v>
      </c>
      <c r="CN35" s="186">
        <v>0</v>
      </c>
      <c r="CO35" s="186">
        <v>0</v>
      </c>
      <c r="CP35" s="186">
        <v>0</v>
      </c>
      <c r="CQ35" s="186">
        <v>0</v>
      </c>
      <c r="CR35" s="186">
        <v>0</v>
      </c>
      <c r="CS35" s="186">
        <v>0</v>
      </c>
      <c r="CT35" s="186">
        <v>0</v>
      </c>
      <c r="CU35" s="186">
        <v>0</v>
      </c>
      <c r="CV35" s="186">
        <v>0</v>
      </c>
    </row>
    <row r="36" spans="1:100">
      <c r="A36" s="541" t="str">
        <f t="shared" si="0"/>
        <v>1310225</v>
      </c>
      <c r="B36" s="541" t="s">
        <v>1566</v>
      </c>
      <c r="C36" s="463" t="s">
        <v>613</v>
      </c>
      <c r="D36" s="397">
        <v>-2370541.0699999998</v>
      </c>
      <c r="E36" s="397">
        <v>-2044057.99</v>
      </c>
      <c r="F36" s="397">
        <v>-2674540.5699999998</v>
      </c>
      <c r="G36" s="397">
        <v>-3052885.51</v>
      </c>
      <c r="H36" s="397">
        <v>-1813071.55</v>
      </c>
      <c r="I36" s="397">
        <v>-3951649.9</v>
      </c>
      <c r="J36" s="397">
        <v>-1563913.01</v>
      </c>
      <c r="K36" s="397">
        <v>-4752099.24</v>
      </c>
      <c r="L36" s="397">
        <v>-4384239.3600000003</v>
      </c>
      <c r="M36" s="397">
        <v>-1538841.52</v>
      </c>
      <c r="N36" s="397">
        <v>-3367764.12</v>
      </c>
      <c r="O36" s="397">
        <v>-9623367.5700000003</v>
      </c>
      <c r="P36" s="398">
        <v>-4131703.24</v>
      </c>
      <c r="Q36" s="186">
        <v>-3347661.83</v>
      </c>
      <c r="R36" s="186">
        <v>-2828654.47</v>
      </c>
      <c r="S36" s="186">
        <v>-2779070.5</v>
      </c>
      <c r="T36" s="186">
        <v>-2554148.63</v>
      </c>
      <c r="U36" s="186">
        <v>-2724584.12</v>
      </c>
      <c r="V36" s="186">
        <v>-2383334.81</v>
      </c>
      <c r="W36" s="186">
        <v>-3574636.32</v>
      </c>
      <c r="X36" s="186">
        <v>-1956018.17</v>
      </c>
      <c r="Y36" s="186">
        <v>-1909404.19</v>
      </c>
      <c r="Z36" s="186">
        <v>-3762827.1</v>
      </c>
      <c r="AA36" s="186">
        <v>-11587292.57</v>
      </c>
      <c r="AB36" s="186">
        <v>-5199026.66</v>
      </c>
      <c r="AC36" s="186">
        <v>-3463796.64</v>
      </c>
      <c r="AD36" s="186">
        <v>-2184041.4900000002</v>
      </c>
      <c r="AE36" s="186">
        <v>-2697977.18</v>
      </c>
      <c r="AF36" s="186">
        <v>-3421366.7</v>
      </c>
      <c r="AG36" s="186">
        <v>-2811076.32</v>
      </c>
      <c r="AH36" s="186">
        <v>-4782727.0999999996</v>
      </c>
      <c r="AI36" s="186">
        <v>-5113250.17</v>
      </c>
      <c r="AJ36" s="186">
        <v>-2554941.6</v>
      </c>
      <c r="AK36" s="186">
        <v>-3040279</v>
      </c>
      <c r="AL36" s="186">
        <v>-2743304.77</v>
      </c>
      <c r="AM36" s="186">
        <v>-11928813.5</v>
      </c>
      <c r="AN36" s="186">
        <v>-4724928.26</v>
      </c>
      <c r="AO36" s="186">
        <v>-3405068.69</v>
      </c>
      <c r="AP36" s="186">
        <v>-4361477.6500000004</v>
      </c>
      <c r="AQ36" s="186">
        <v>-3022413.99</v>
      </c>
      <c r="AR36" s="186">
        <v>-4115127.65</v>
      </c>
      <c r="AS36" s="186">
        <v>-1929115.33</v>
      </c>
      <c r="AT36" s="186">
        <v>-2878917.53</v>
      </c>
      <c r="AU36" s="186">
        <v>-3908483.49</v>
      </c>
      <c r="AV36" s="186">
        <v>-4192152.78</v>
      </c>
      <c r="AW36" s="186">
        <v>-3241713.72</v>
      </c>
      <c r="AX36" s="186">
        <v>-3135936.63</v>
      </c>
      <c r="AY36" s="186">
        <v>-11486450.210000001</v>
      </c>
      <c r="AZ36" s="186">
        <v>-3789351.71</v>
      </c>
      <c r="BA36" s="186">
        <v>-4217556.17</v>
      </c>
      <c r="BB36" s="186">
        <v>-5339645.58</v>
      </c>
      <c r="BC36" s="186">
        <v>-3315187.89</v>
      </c>
      <c r="BD36" s="186">
        <v>-4664021.45</v>
      </c>
      <c r="BE36" s="186">
        <v>-2902368.64</v>
      </c>
      <c r="BF36" s="186">
        <v>-2873925.17</v>
      </c>
      <c r="BG36" s="186">
        <v>-3857807.3599999999</v>
      </c>
      <c r="BH36" s="186">
        <v>-4843347.79</v>
      </c>
      <c r="BI36" s="186">
        <v>-4575029.45</v>
      </c>
      <c r="BJ36" s="186">
        <v>-4711247.55</v>
      </c>
      <c r="BK36" s="186">
        <v>-16069622.77</v>
      </c>
      <c r="BL36" s="186">
        <v>-2779740.87</v>
      </c>
      <c r="BM36" s="186">
        <v>-5528011.9299999997</v>
      </c>
      <c r="BN36" s="186">
        <v>-3617192.48</v>
      </c>
      <c r="BO36" s="186">
        <v>-6810435.7699999996</v>
      </c>
      <c r="BP36" s="186">
        <v>-4379667.3099999996</v>
      </c>
      <c r="BQ36" s="186">
        <v>-6145212.8700000001</v>
      </c>
      <c r="BR36" s="186">
        <v>-5321949.3</v>
      </c>
      <c r="BS36" s="186">
        <v>-4752946.21</v>
      </c>
      <c r="BT36" s="186">
        <v>-7470187.6100000003</v>
      </c>
      <c r="BU36" s="186">
        <v>-3986960.41</v>
      </c>
      <c r="BV36" s="186">
        <v>-5637158.0199999996</v>
      </c>
      <c r="BW36" s="186">
        <v>-15457815.689999999</v>
      </c>
      <c r="BX36" s="186">
        <v>-5558714.2300000004</v>
      </c>
      <c r="BY36" s="186">
        <v>-8815252.5700000003</v>
      </c>
      <c r="BZ36" s="186">
        <v>-11664648.67</v>
      </c>
      <c r="CA36" s="186">
        <v>-5098236.76</v>
      </c>
      <c r="CB36" s="186">
        <v>-12022634.84</v>
      </c>
      <c r="CC36" s="186">
        <v>-12235991.26</v>
      </c>
      <c r="CD36" s="186">
        <v>-6255599.9100000001</v>
      </c>
      <c r="CE36" s="186">
        <v>-6597190.1600000001</v>
      </c>
      <c r="CF36" s="186">
        <v>-7959815.0899999999</v>
      </c>
      <c r="CG36" s="186">
        <v>-8952373.5399999991</v>
      </c>
      <c r="CH36" s="186">
        <v>-13272435.5</v>
      </c>
      <c r="CI36" s="186">
        <v>-18610627.030000001</v>
      </c>
      <c r="CJ36" s="186">
        <v>-6483106.7699999996</v>
      </c>
      <c r="CK36" s="186">
        <v>-10064488.9</v>
      </c>
      <c r="CL36" s="186">
        <v>-8998838.2300000004</v>
      </c>
      <c r="CM36" s="186">
        <v>-10144623.07</v>
      </c>
      <c r="CN36" s="186">
        <v>-6984037.4900000002</v>
      </c>
      <c r="CO36" s="186">
        <v>-5003484.3499999996</v>
      </c>
      <c r="CP36" s="186">
        <v>-5664906.1200000001</v>
      </c>
      <c r="CQ36" s="186">
        <v>-5947057.4199999999</v>
      </c>
      <c r="CR36" s="186">
        <v>-6030549.9000000004</v>
      </c>
      <c r="CS36" s="186">
        <v>-6149570.7599999998</v>
      </c>
      <c r="CT36" s="186">
        <v>-5255895.1100000003</v>
      </c>
      <c r="CU36" s="186">
        <v>-17982022.609999999</v>
      </c>
      <c r="CV36" s="186">
        <v>-3781353.35</v>
      </c>
    </row>
    <row r="37" spans="1:100">
      <c r="A37" s="541" t="str">
        <f t="shared" si="0"/>
        <v>1310227</v>
      </c>
      <c r="B37" s="541" t="s">
        <v>1567</v>
      </c>
      <c r="C37" s="463" t="s">
        <v>614</v>
      </c>
      <c r="D37" s="397">
        <v>0</v>
      </c>
      <c r="E37" s="397">
        <v>0</v>
      </c>
      <c r="F37" s="397">
        <v>0</v>
      </c>
      <c r="G37" s="397">
        <v>0</v>
      </c>
      <c r="H37" s="397">
        <v>0</v>
      </c>
      <c r="I37" s="397">
        <v>0</v>
      </c>
      <c r="J37" s="397">
        <v>0</v>
      </c>
      <c r="K37" s="397">
        <v>0</v>
      </c>
      <c r="L37" s="397">
        <v>0</v>
      </c>
      <c r="M37" s="397">
        <v>0</v>
      </c>
      <c r="N37" s="397">
        <v>0</v>
      </c>
      <c r="O37" s="397">
        <v>0</v>
      </c>
      <c r="P37" s="398">
        <v>0</v>
      </c>
      <c r="Q37" s="186">
        <v>0</v>
      </c>
      <c r="R37" s="186">
        <v>0</v>
      </c>
      <c r="S37" s="186">
        <v>0</v>
      </c>
      <c r="T37" s="186">
        <v>0</v>
      </c>
      <c r="U37" s="186">
        <v>0</v>
      </c>
      <c r="V37" s="186">
        <v>0</v>
      </c>
      <c r="W37" s="186">
        <v>0</v>
      </c>
      <c r="X37" s="186">
        <v>0</v>
      </c>
      <c r="Y37" s="186">
        <v>0</v>
      </c>
      <c r="Z37" s="186">
        <v>0</v>
      </c>
      <c r="AA37" s="186">
        <v>0</v>
      </c>
      <c r="AB37" s="186">
        <v>0</v>
      </c>
      <c r="AC37" s="186">
        <v>0</v>
      </c>
      <c r="AD37" s="186">
        <v>0</v>
      </c>
      <c r="AE37" s="186">
        <v>0</v>
      </c>
      <c r="AF37" s="186">
        <v>0</v>
      </c>
      <c r="AG37" s="186">
        <v>0</v>
      </c>
      <c r="AH37" s="186">
        <v>0</v>
      </c>
      <c r="AI37" s="186">
        <v>0</v>
      </c>
      <c r="AJ37" s="186">
        <v>0</v>
      </c>
      <c r="AK37" s="186">
        <v>0</v>
      </c>
      <c r="AL37" s="186">
        <v>0</v>
      </c>
      <c r="AM37" s="186">
        <v>0</v>
      </c>
      <c r="AN37" s="186">
        <v>0</v>
      </c>
      <c r="AO37" s="186">
        <v>0</v>
      </c>
      <c r="AP37" s="186">
        <v>0</v>
      </c>
      <c r="AQ37" s="186">
        <v>0</v>
      </c>
      <c r="AR37" s="186">
        <v>0</v>
      </c>
      <c r="AS37" s="186">
        <v>0</v>
      </c>
      <c r="AT37" s="186">
        <v>0</v>
      </c>
      <c r="AU37" s="186">
        <v>0</v>
      </c>
      <c r="AV37" s="186">
        <v>0</v>
      </c>
      <c r="AW37" s="186">
        <v>0</v>
      </c>
      <c r="AX37" s="186">
        <v>0</v>
      </c>
      <c r="AY37" s="186">
        <v>0</v>
      </c>
      <c r="AZ37" s="186">
        <v>0</v>
      </c>
      <c r="BA37" s="186">
        <v>0</v>
      </c>
      <c r="BB37" s="186">
        <v>0</v>
      </c>
      <c r="BC37" s="186">
        <v>0</v>
      </c>
      <c r="BD37" s="186">
        <v>0</v>
      </c>
      <c r="BE37" s="186">
        <v>0</v>
      </c>
      <c r="BF37" s="186">
        <v>0</v>
      </c>
      <c r="BG37" s="186">
        <v>0</v>
      </c>
      <c r="BH37" s="186">
        <v>0</v>
      </c>
      <c r="BI37" s="186">
        <v>0</v>
      </c>
      <c r="BJ37" s="186">
        <v>0</v>
      </c>
      <c r="BK37" s="186">
        <v>0</v>
      </c>
      <c r="BL37" s="186">
        <v>0</v>
      </c>
      <c r="BM37" s="186">
        <v>0</v>
      </c>
      <c r="BN37" s="186">
        <v>0</v>
      </c>
      <c r="BO37" s="186">
        <v>0</v>
      </c>
      <c r="BP37" s="186">
        <v>0</v>
      </c>
      <c r="BQ37" s="186">
        <v>0</v>
      </c>
      <c r="BR37" s="186">
        <v>0</v>
      </c>
      <c r="BS37" s="186">
        <v>0</v>
      </c>
      <c r="BT37" s="186">
        <v>0</v>
      </c>
      <c r="BU37" s="186">
        <v>0</v>
      </c>
      <c r="BV37" s="186">
        <v>0</v>
      </c>
      <c r="BW37" s="186">
        <v>0</v>
      </c>
      <c r="BX37" s="186">
        <v>0</v>
      </c>
      <c r="BY37" s="186">
        <v>0</v>
      </c>
      <c r="BZ37" s="186">
        <v>0</v>
      </c>
      <c r="CA37" s="186">
        <v>0</v>
      </c>
      <c r="CB37" s="186">
        <v>0</v>
      </c>
      <c r="CC37" s="186">
        <v>0</v>
      </c>
      <c r="CD37" s="186">
        <v>0</v>
      </c>
      <c r="CE37" s="186">
        <v>0</v>
      </c>
      <c r="CF37" s="186">
        <v>0</v>
      </c>
      <c r="CG37" s="186">
        <v>0</v>
      </c>
      <c r="CH37" s="186">
        <v>0</v>
      </c>
      <c r="CI37" s="186">
        <v>0</v>
      </c>
      <c r="CJ37" s="186">
        <v>0</v>
      </c>
      <c r="CK37" s="186">
        <v>0</v>
      </c>
      <c r="CL37" s="186">
        <v>0</v>
      </c>
      <c r="CM37" s="186">
        <v>0</v>
      </c>
      <c r="CN37" s="186">
        <v>0</v>
      </c>
      <c r="CO37" s="186">
        <v>0</v>
      </c>
      <c r="CP37" s="186">
        <v>0</v>
      </c>
      <c r="CQ37" s="186">
        <v>0</v>
      </c>
      <c r="CR37" s="186">
        <v>0</v>
      </c>
      <c r="CS37" s="186">
        <v>0</v>
      </c>
      <c r="CT37" s="186">
        <v>0</v>
      </c>
      <c r="CU37" s="186">
        <v>0</v>
      </c>
      <c r="CV37" s="186">
        <v>0</v>
      </c>
    </row>
    <row r="38" spans="1:100">
      <c r="A38" s="541" t="str">
        <f t="shared" si="0"/>
        <v>1310230</v>
      </c>
      <c r="B38" s="541" t="s">
        <v>1568</v>
      </c>
      <c r="C38" s="463" t="s">
        <v>615</v>
      </c>
      <c r="D38" s="397">
        <v>-322038.68</v>
      </c>
      <c r="E38" s="397">
        <v>-455865.56</v>
      </c>
      <c r="F38" s="397">
        <v>-403675.91</v>
      </c>
      <c r="G38" s="397">
        <v>-294865.08</v>
      </c>
      <c r="H38" s="397">
        <v>-327946.67</v>
      </c>
      <c r="I38" s="397">
        <v>-409966.66</v>
      </c>
      <c r="J38" s="397">
        <v>-325633.15000000002</v>
      </c>
      <c r="K38" s="397">
        <v>-476118.4</v>
      </c>
      <c r="L38" s="397">
        <v>-392171.98</v>
      </c>
      <c r="M38" s="397">
        <v>-437777.5</v>
      </c>
      <c r="N38" s="397">
        <v>-362181.07</v>
      </c>
      <c r="O38" s="397">
        <v>-276568.8</v>
      </c>
      <c r="P38" s="398">
        <v>-247085.77</v>
      </c>
      <c r="Q38" s="186">
        <v>-532304.59</v>
      </c>
      <c r="R38" s="186">
        <v>-402145.3</v>
      </c>
      <c r="S38" s="186">
        <v>-343452.95</v>
      </c>
      <c r="T38" s="186">
        <v>-357601.66</v>
      </c>
      <c r="U38" s="186">
        <v>-374770.26</v>
      </c>
      <c r="V38" s="186">
        <v>-342617.15</v>
      </c>
      <c r="W38" s="186">
        <v>-460744.51</v>
      </c>
      <c r="X38" s="186">
        <v>-317950.59000000003</v>
      </c>
      <c r="Y38" s="186">
        <v>-383937.26</v>
      </c>
      <c r="Z38" s="186">
        <v>-523546.67</v>
      </c>
      <c r="AA38" s="186">
        <v>-332156.76</v>
      </c>
      <c r="AB38" s="186">
        <v>-316509.26</v>
      </c>
      <c r="AC38" s="186">
        <v>-349245.15</v>
      </c>
      <c r="AD38" s="186">
        <v>-432412.31</v>
      </c>
      <c r="AE38" s="186">
        <v>-494138.25</v>
      </c>
      <c r="AF38" s="186">
        <v>-545407.54</v>
      </c>
      <c r="AG38" s="186">
        <v>-341872.69</v>
      </c>
      <c r="AH38" s="186">
        <v>-418234.89</v>
      </c>
      <c r="AI38" s="186">
        <v>-476125</v>
      </c>
      <c r="AJ38" s="186">
        <v>-430403</v>
      </c>
      <c r="AK38" s="186">
        <v>-462621</v>
      </c>
      <c r="AL38" s="186">
        <v>-540400</v>
      </c>
      <c r="AM38" s="186">
        <v>-437805</v>
      </c>
      <c r="AN38" s="186">
        <v>-784228.43</v>
      </c>
      <c r="AO38" s="186">
        <v>-118500</v>
      </c>
      <c r="AP38" s="186">
        <v>-107050</v>
      </c>
      <c r="AQ38" s="186">
        <v>-96300</v>
      </c>
      <c r="AR38" s="186">
        <v>-94700</v>
      </c>
      <c r="AS38" s="186">
        <v>-93000</v>
      </c>
      <c r="AT38" s="186">
        <v>-89600</v>
      </c>
      <c r="AU38" s="186">
        <v>-87850</v>
      </c>
      <c r="AV38" s="186">
        <v>0</v>
      </c>
      <c r="AW38" s="186">
        <v>0</v>
      </c>
      <c r="AX38" s="186">
        <v>0</v>
      </c>
      <c r="AY38" s="186">
        <v>0</v>
      </c>
      <c r="AZ38" s="186">
        <v>0</v>
      </c>
      <c r="BA38" s="186">
        <v>0</v>
      </c>
      <c r="BB38" s="186">
        <v>0</v>
      </c>
      <c r="BC38" s="186">
        <v>0</v>
      </c>
      <c r="BD38" s="186">
        <v>0</v>
      </c>
      <c r="BE38" s="186">
        <v>0</v>
      </c>
      <c r="BF38" s="186">
        <v>0</v>
      </c>
      <c r="BG38" s="186">
        <v>0</v>
      </c>
      <c r="BH38" s="186">
        <v>0</v>
      </c>
      <c r="BI38" s="186">
        <v>0</v>
      </c>
      <c r="BJ38" s="186">
        <v>0</v>
      </c>
      <c r="BK38" s="186">
        <v>0</v>
      </c>
      <c r="BL38" s="186">
        <v>0</v>
      </c>
      <c r="BM38" s="186">
        <v>0</v>
      </c>
      <c r="BN38" s="186">
        <v>0</v>
      </c>
      <c r="BO38" s="186">
        <v>0</v>
      </c>
      <c r="BP38" s="186">
        <v>0</v>
      </c>
      <c r="BQ38" s="186">
        <v>0</v>
      </c>
      <c r="BR38" s="186">
        <v>0</v>
      </c>
      <c r="BS38" s="186">
        <v>0</v>
      </c>
      <c r="BT38" s="186">
        <v>0</v>
      </c>
      <c r="BU38" s="186">
        <v>0</v>
      </c>
      <c r="BV38" s="186">
        <v>0</v>
      </c>
      <c r="BW38" s="186">
        <v>0</v>
      </c>
      <c r="BX38" s="186">
        <v>0</v>
      </c>
      <c r="BY38" s="186">
        <v>0</v>
      </c>
      <c r="BZ38" s="186">
        <v>0</v>
      </c>
      <c r="CA38" s="186">
        <v>0</v>
      </c>
      <c r="CB38" s="186">
        <v>0</v>
      </c>
      <c r="CC38" s="186">
        <v>0</v>
      </c>
      <c r="CD38" s="186">
        <v>0</v>
      </c>
      <c r="CE38" s="186">
        <v>0</v>
      </c>
      <c r="CF38" s="186">
        <v>0</v>
      </c>
      <c r="CG38" s="186">
        <v>0</v>
      </c>
      <c r="CH38" s="186">
        <v>0</v>
      </c>
      <c r="CI38" s="186">
        <v>0</v>
      </c>
      <c r="CJ38" s="186">
        <v>0</v>
      </c>
      <c r="CK38" s="186">
        <v>0</v>
      </c>
      <c r="CL38" s="186">
        <v>0</v>
      </c>
      <c r="CM38" s="186">
        <v>0</v>
      </c>
      <c r="CN38" s="186">
        <v>0</v>
      </c>
      <c r="CO38" s="186">
        <v>0</v>
      </c>
      <c r="CP38" s="186">
        <v>0</v>
      </c>
      <c r="CQ38" s="186">
        <v>0</v>
      </c>
      <c r="CR38" s="186">
        <v>0</v>
      </c>
      <c r="CS38" s="186">
        <v>0</v>
      </c>
      <c r="CT38" s="186">
        <v>0</v>
      </c>
      <c r="CU38" s="186">
        <v>0</v>
      </c>
      <c r="CV38" s="186">
        <v>0</v>
      </c>
    </row>
    <row r="39" spans="1:100">
      <c r="A39" s="541" t="str">
        <f t="shared" si="0"/>
        <v>1310240</v>
      </c>
      <c r="B39" s="541" t="s">
        <v>1569</v>
      </c>
      <c r="C39" s="463" t="s">
        <v>616</v>
      </c>
      <c r="D39" s="397">
        <v>504520.2</v>
      </c>
      <c r="E39" s="397">
        <v>553582.18000000005</v>
      </c>
      <c r="F39" s="397">
        <v>564847.35</v>
      </c>
      <c r="G39" s="397">
        <v>1951793.59</v>
      </c>
      <c r="H39" s="397">
        <v>515886.66</v>
      </c>
      <c r="I39" s="397">
        <v>7611670.46</v>
      </c>
      <c r="J39" s="397">
        <v>4997939.5199999996</v>
      </c>
      <c r="K39" s="397">
        <v>478861.22</v>
      </c>
      <c r="L39" s="397">
        <v>599142.36</v>
      </c>
      <c r="M39" s="397">
        <v>507131.77</v>
      </c>
      <c r="N39" s="397">
        <v>514773.31</v>
      </c>
      <c r="O39" s="397">
        <v>587544.47</v>
      </c>
      <c r="P39" s="398">
        <v>447096.37</v>
      </c>
      <c r="Q39" s="186">
        <v>338984.74</v>
      </c>
      <c r="R39" s="186">
        <v>249254.28</v>
      </c>
      <c r="S39" s="186">
        <v>3540006.9</v>
      </c>
      <c r="T39" s="186">
        <v>240227.84</v>
      </c>
      <c r="U39" s="186">
        <v>6139924.0499999998</v>
      </c>
      <c r="V39" s="186">
        <v>408616.18</v>
      </c>
      <c r="W39" s="186">
        <v>571609.93999999994</v>
      </c>
      <c r="X39" s="186">
        <v>553867.56999999995</v>
      </c>
      <c r="Y39" s="186">
        <v>771043.21</v>
      </c>
      <c r="Z39" s="186">
        <v>15540894.460000001</v>
      </c>
      <c r="AA39" s="186">
        <v>353534.41</v>
      </c>
      <c r="AB39" s="186">
        <v>1038483.82</v>
      </c>
      <c r="AC39" s="186">
        <v>1920970.31</v>
      </c>
      <c r="AD39" s="186">
        <v>815180.99</v>
      </c>
      <c r="AE39" s="186">
        <v>708480.02</v>
      </c>
      <c r="AF39" s="186">
        <v>213536.73</v>
      </c>
      <c r="AG39" s="186">
        <v>662781.6</v>
      </c>
      <c r="AH39" s="186">
        <v>250458.45</v>
      </c>
      <c r="AI39" s="186">
        <v>356261.25</v>
      </c>
      <c r="AJ39" s="186">
        <v>678540.4</v>
      </c>
      <c r="AK39" s="186">
        <v>382178.71</v>
      </c>
      <c r="AL39" s="186">
        <v>1455836.03</v>
      </c>
      <c r="AM39" s="186">
        <v>369276.74</v>
      </c>
      <c r="AN39" s="186">
        <v>573045.17000000004</v>
      </c>
      <c r="AO39" s="186">
        <v>443761.23</v>
      </c>
      <c r="AP39" s="186">
        <v>522167.86</v>
      </c>
      <c r="AQ39" s="186">
        <v>634944.36</v>
      </c>
      <c r="AR39" s="186">
        <v>556017.22</v>
      </c>
      <c r="AS39" s="186">
        <v>554884.29</v>
      </c>
      <c r="AT39" s="186">
        <v>547441.44999999995</v>
      </c>
      <c r="AU39" s="186">
        <v>512643.88</v>
      </c>
      <c r="AV39" s="186">
        <v>496777.64</v>
      </c>
      <c r="AW39" s="186">
        <v>0</v>
      </c>
      <c r="AX39" s="186">
        <v>0</v>
      </c>
      <c r="AY39" s="186">
        <v>0</v>
      </c>
      <c r="AZ39" s="186">
        <v>0</v>
      </c>
      <c r="BA39" s="186">
        <v>0</v>
      </c>
      <c r="BB39" s="186">
        <v>0</v>
      </c>
      <c r="BC39" s="186">
        <v>0</v>
      </c>
      <c r="BD39" s="186">
        <v>0</v>
      </c>
      <c r="BE39" s="186">
        <v>0</v>
      </c>
      <c r="BF39" s="186">
        <v>0</v>
      </c>
      <c r="BG39" s="186">
        <v>0</v>
      </c>
      <c r="BH39" s="186">
        <v>0</v>
      </c>
      <c r="BI39" s="186">
        <v>0</v>
      </c>
      <c r="BJ39" s="186">
        <v>0</v>
      </c>
      <c r="BK39" s="186">
        <v>0</v>
      </c>
      <c r="BL39" s="186">
        <v>0</v>
      </c>
      <c r="BM39" s="186">
        <v>0</v>
      </c>
      <c r="BN39" s="186">
        <v>0</v>
      </c>
      <c r="BO39" s="186">
        <v>0</v>
      </c>
      <c r="BP39" s="186">
        <v>0</v>
      </c>
      <c r="BQ39" s="186">
        <v>0</v>
      </c>
      <c r="BR39" s="186">
        <v>0</v>
      </c>
      <c r="BS39" s="186">
        <v>0</v>
      </c>
      <c r="BT39" s="186">
        <v>0</v>
      </c>
      <c r="BU39" s="186">
        <v>0</v>
      </c>
      <c r="BV39" s="186">
        <v>0</v>
      </c>
      <c r="BW39" s="186">
        <v>0</v>
      </c>
      <c r="BX39" s="186">
        <v>0</v>
      </c>
      <c r="BY39" s="186">
        <v>0</v>
      </c>
      <c r="BZ39" s="186">
        <v>0</v>
      </c>
      <c r="CA39" s="186">
        <v>0</v>
      </c>
      <c r="CB39" s="186">
        <v>0</v>
      </c>
      <c r="CC39" s="186">
        <v>0</v>
      </c>
      <c r="CD39" s="186">
        <v>0</v>
      </c>
      <c r="CE39" s="186">
        <v>0</v>
      </c>
      <c r="CF39" s="186">
        <v>0</v>
      </c>
      <c r="CG39" s="186">
        <v>0</v>
      </c>
      <c r="CH39" s="186">
        <v>0</v>
      </c>
      <c r="CI39" s="186">
        <v>0</v>
      </c>
      <c r="CJ39" s="186">
        <v>0</v>
      </c>
      <c r="CK39" s="186">
        <v>0</v>
      </c>
      <c r="CL39" s="186">
        <v>0</v>
      </c>
      <c r="CM39" s="186">
        <v>0</v>
      </c>
      <c r="CN39" s="186">
        <v>0</v>
      </c>
      <c r="CO39" s="186">
        <v>0</v>
      </c>
      <c r="CP39" s="186">
        <v>0</v>
      </c>
      <c r="CQ39" s="186">
        <v>0</v>
      </c>
      <c r="CR39" s="186">
        <v>0</v>
      </c>
      <c r="CS39" s="186">
        <v>0</v>
      </c>
      <c r="CT39" s="186">
        <v>0</v>
      </c>
      <c r="CU39" s="186">
        <v>0</v>
      </c>
      <c r="CV39" s="186">
        <v>0</v>
      </c>
    </row>
    <row r="40" spans="1:100">
      <c r="A40" s="541" t="str">
        <f t="shared" si="0"/>
        <v>1310241</v>
      </c>
      <c r="B40" s="541" t="s">
        <v>1570</v>
      </c>
      <c r="C40" s="463" t="s">
        <v>617</v>
      </c>
      <c r="D40" s="397">
        <v>0</v>
      </c>
      <c r="E40" s="397">
        <v>0</v>
      </c>
      <c r="F40" s="397">
        <v>0</v>
      </c>
      <c r="G40" s="397">
        <v>0</v>
      </c>
      <c r="H40" s="397">
        <v>0</v>
      </c>
      <c r="I40" s="397">
        <v>0</v>
      </c>
      <c r="J40" s="397">
        <v>0</v>
      </c>
      <c r="K40" s="397">
        <v>0</v>
      </c>
      <c r="L40" s="397">
        <v>0</v>
      </c>
      <c r="M40" s="397">
        <v>0</v>
      </c>
      <c r="N40" s="397">
        <v>0</v>
      </c>
      <c r="O40" s="397">
        <v>0</v>
      </c>
      <c r="P40" s="398">
        <v>0</v>
      </c>
      <c r="Q40" s="186">
        <v>0</v>
      </c>
      <c r="R40" s="186">
        <v>0</v>
      </c>
      <c r="S40" s="186">
        <v>0</v>
      </c>
      <c r="T40" s="186">
        <v>0</v>
      </c>
      <c r="U40" s="186">
        <v>0</v>
      </c>
      <c r="V40" s="186">
        <v>0</v>
      </c>
      <c r="W40" s="186">
        <v>0</v>
      </c>
      <c r="X40" s="186">
        <v>0</v>
      </c>
      <c r="Y40" s="186">
        <v>0</v>
      </c>
      <c r="Z40" s="186">
        <v>0</v>
      </c>
      <c r="AA40" s="186">
        <v>0</v>
      </c>
      <c r="AB40" s="186">
        <v>0</v>
      </c>
      <c r="AC40" s="186">
        <v>0</v>
      </c>
      <c r="AD40" s="186">
        <v>0</v>
      </c>
      <c r="AE40" s="186">
        <v>0</v>
      </c>
      <c r="AF40" s="186">
        <v>0</v>
      </c>
      <c r="AG40" s="186">
        <v>0</v>
      </c>
      <c r="AH40" s="186">
        <v>0</v>
      </c>
      <c r="AI40" s="186">
        <v>0</v>
      </c>
      <c r="AJ40" s="186">
        <v>0</v>
      </c>
      <c r="AK40" s="186">
        <v>0</v>
      </c>
      <c r="AL40" s="186">
        <v>0</v>
      </c>
      <c r="AM40" s="186">
        <v>0</v>
      </c>
      <c r="AN40" s="186">
        <v>0</v>
      </c>
      <c r="AO40" s="186">
        <v>0</v>
      </c>
      <c r="AP40" s="186">
        <v>0</v>
      </c>
      <c r="AQ40" s="186">
        <v>0</v>
      </c>
      <c r="AR40" s="186">
        <v>0</v>
      </c>
      <c r="AS40" s="186">
        <v>0</v>
      </c>
      <c r="AT40" s="186">
        <v>0</v>
      </c>
      <c r="AU40" s="186">
        <v>0</v>
      </c>
      <c r="AV40" s="186">
        <v>0</v>
      </c>
      <c r="AW40" s="186">
        <v>0</v>
      </c>
      <c r="AX40" s="186">
        <v>0</v>
      </c>
      <c r="AY40" s="186">
        <v>0</v>
      </c>
      <c r="AZ40" s="186">
        <v>0</v>
      </c>
      <c r="BA40" s="186">
        <v>0</v>
      </c>
      <c r="BB40" s="186">
        <v>0</v>
      </c>
      <c r="BC40" s="186">
        <v>0</v>
      </c>
      <c r="BD40" s="186">
        <v>0</v>
      </c>
      <c r="BE40" s="186">
        <v>0</v>
      </c>
      <c r="BF40" s="186">
        <v>0</v>
      </c>
      <c r="BG40" s="186">
        <v>0</v>
      </c>
      <c r="BH40" s="186">
        <v>0</v>
      </c>
      <c r="BI40" s="186">
        <v>0</v>
      </c>
      <c r="BJ40" s="186">
        <v>0</v>
      </c>
      <c r="BK40" s="186">
        <v>0</v>
      </c>
      <c r="BL40" s="186">
        <v>0</v>
      </c>
      <c r="BM40" s="186">
        <v>0</v>
      </c>
      <c r="BN40" s="186">
        <v>0</v>
      </c>
      <c r="BO40" s="186">
        <v>0</v>
      </c>
      <c r="BP40" s="186">
        <v>0</v>
      </c>
      <c r="BQ40" s="186">
        <v>0</v>
      </c>
      <c r="BR40" s="186">
        <v>0</v>
      </c>
      <c r="BS40" s="186">
        <v>0</v>
      </c>
      <c r="BT40" s="186">
        <v>0</v>
      </c>
      <c r="BU40" s="186">
        <v>0</v>
      </c>
      <c r="BV40" s="186">
        <v>0</v>
      </c>
      <c r="BW40" s="186">
        <v>0</v>
      </c>
      <c r="BX40" s="186">
        <v>0</v>
      </c>
      <c r="BY40" s="186">
        <v>0</v>
      </c>
      <c r="BZ40" s="186">
        <v>0</v>
      </c>
      <c r="CA40" s="186">
        <v>0</v>
      </c>
      <c r="CB40" s="186">
        <v>0</v>
      </c>
      <c r="CC40" s="186">
        <v>0</v>
      </c>
      <c r="CD40" s="186">
        <v>0</v>
      </c>
      <c r="CE40" s="186">
        <v>0</v>
      </c>
      <c r="CF40" s="186">
        <v>0</v>
      </c>
      <c r="CG40" s="186">
        <v>0</v>
      </c>
      <c r="CH40" s="186">
        <v>0</v>
      </c>
      <c r="CI40" s="186">
        <v>0</v>
      </c>
      <c r="CJ40" s="186">
        <v>0</v>
      </c>
      <c r="CK40" s="186">
        <v>0</v>
      </c>
      <c r="CL40" s="186">
        <v>0</v>
      </c>
      <c r="CM40" s="186">
        <v>0</v>
      </c>
      <c r="CN40" s="186">
        <v>0</v>
      </c>
      <c r="CO40" s="186">
        <v>0</v>
      </c>
      <c r="CP40" s="186">
        <v>0</v>
      </c>
      <c r="CQ40" s="186">
        <v>0</v>
      </c>
      <c r="CR40" s="186">
        <v>0</v>
      </c>
      <c r="CS40" s="186">
        <v>0</v>
      </c>
      <c r="CT40" s="186">
        <v>0</v>
      </c>
      <c r="CU40" s="186">
        <v>0</v>
      </c>
      <c r="CV40" s="186">
        <v>0</v>
      </c>
    </row>
    <row r="41" spans="1:100">
      <c r="A41" s="541" t="str">
        <f t="shared" si="0"/>
        <v>1310242</v>
      </c>
      <c r="B41" s="541" t="s">
        <v>1571</v>
      </c>
      <c r="C41" s="463" t="s">
        <v>618</v>
      </c>
      <c r="D41" s="397">
        <v>0</v>
      </c>
      <c r="E41" s="397">
        <v>0</v>
      </c>
      <c r="F41" s="397">
        <v>0</v>
      </c>
      <c r="G41" s="397">
        <v>0</v>
      </c>
      <c r="H41" s="397">
        <v>0</v>
      </c>
      <c r="I41" s="397">
        <v>0</v>
      </c>
      <c r="J41" s="397">
        <v>0</v>
      </c>
      <c r="K41" s="397">
        <v>0</v>
      </c>
      <c r="L41" s="397">
        <v>0</v>
      </c>
      <c r="M41" s="397">
        <v>0</v>
      </c>
      <c r="N41" s="397">
        <v>0</v>
      </c>
      <c r="O41" s="397">
        <v>0</v>
      </c>
      <c r="P41" s="398">
        <v>0</v>
      </c>
      <c r="Q41" s="186">
        <v>0</v>
      </c>
      <c r="R41" s="186">
        <v>0</v>
      </c>
      <c r="S41" s="186">
        <v>0</v>
      </c>
      <c r="T41" s="186">
        <v>0</v>
      </c>
      <c r="U41" s="186">
        <v>0</v>
      </c>
      <c r="V41" s="186">
        <v>0</v>
      </c>
      <c r="W41" s="186">
        <v>0</v>
      </c>
      <c r="X41" s="186">
        <v>0</v>
      </c>
      <c r="Y41" s="186">
        <v>0</v>
      </c>
      <c r="Z41" s="186">
        <v>0</v>
      </c>
      <c r="AA41" s="186">
        <v>0</v>
      </c>
      <c r="AB41" s="186">
        <v>0</v>
      </c>
      <c r="AC41" s="186">
        <v>0</v>
      </c>
      <c r="AD41" s="186">
        <v>0</v>
      </c>
      <c r="AE41" s="186">
        <v>0</v>
      </c>
      <c r="AF41" s="186">
        <v>0</v>
      </c>
      <c r="AG41" s="186">
        <v>0</v>
      </c>
      <c r="AH41" s="186">
        <v>0</v>
      </c>
      <c r="AI41" s="186">
        <v>0</v>
      </c>
      <c r="AJ41" s="186">
        <v>0</v>
      </c>
      <c r="AK41" s="186">
        <v>0</v>
      </c>
      <c r="AL41" s="186">
        <v>0</v>
      </c>
      <c r="AM41" s="186">
        <v>0</v>
      </c>
      <c r="AN41" s="186">
        <v>0</v>
      </c>
      <c r="AO41" s="186">
        <v>0</v>
      </c>
      <c r="AP41" s="186">
        <v>0</v>
      </c>
      <c r="AQ41" s="186">
        <v>0</v>
      </c>
      <c r="AR41" s="186">
        <v>0</v>
      </c>
      <c r="AS41" s="186">
        <v>0</v>
      </c>
      <c r="AT41" s="186">
        <v>0</v>
      </c>
      <c r="AU41" s="186">
        <v>0</v>
      </c>
      <c r="AV41" s="186">
        <v>0</v>
      </c>
      <c r="AW41" s="186">
        <v>0</v>
      </c>
      <c r="AX41" s="186">
        <v>0</v>
      </c>
      <c r="AY41" s="186">
        <v>0</v>
      </c>
      <c r="AZ41" s="186">
        <v>0</v>
      </c>
      <c r="BA41" s="186">
        <v>0</v>
      </c>
      <c r="BB41" s="186">
        <v>0</v>
      </c>
      <c r="BC41" s="186">
        <v>0</v>
      </c>
      <c r="BD41" s="186">
        <v>0</v>
      </c>
      <c r="BE41" s="186">
        <v>0</v>
      </c>
      <c r="BF41" s="186">
        <v>0</v>
      </c>
      <c r="BG41" s="186">
        <v>0</v>
      </c>
      <c r="BH41" s="186">
        <v>0</v>
      </c>
      <c r="BI41" s="186">
        <v>0</v>
      </c>
      <c r="BJ41" s="186">
        <v>0</v>
      </c>
      <c r="BK41" s="186">
        <v>0</v>
      </c>
      <c r="BL41" s="186">
        <v>0</v>
      </c>
      <c r="BM41" s="186">
        <v>0</v>
      </c>
      <c r="BN41" s="186">
        <v>0</v>
      </c>
      <c r="BO41" s="186">
        <v>0</v>
      </c>
      <c r="BP41" s="186">
        <v>0</v>
      </c>
      <c r="BQ41" s="186">
        <v>0</v>
      </c>
      <c r="BR41" s="186">
        <v>0</v>
      </c>
      <c r="BS41" s="186">
        <v>0</v>
      </c>
      <c r="BT41" s="186">
        <v>0</v>
      </c>
      <c r="BU41" s="186">
        <v>0</v>
      </c>
      <c r="BV41" s="186">
        <v>0</v>
      </c>
      <c r="BW41" s="186">
        <v>0</v>
      </c>
      <c r="BX41" s="186">
        <v>0</v>
      </c>
      <c r="BY41" s="186">
        <v>0</v>
      </c>
      <c r="BZ41" s="186">
        <v>0</v>
      </c>
      <c r="CA41" s="186">
        <v>0</v>
      </c>
      <c r="CB41" s="186">
        <v>0</v>
      </c>
      <c r="CC41" s="186">
        <v>0</v>
      </c>
      <c r="CD41" s="186">
        <v>0</v>
      </c>
      <c r="CE41" s="186">
        <v>0</v>
      </c>
      <c r="CF41" s="186">
        <v>0</v>
      </c>
      <c r="CG41" s="186">
        <v>0</v>
      </c>
      <c r="CH41" s="186">
        <v>0</v>
      </c>
      <c r="CI41" s="186">
        <v>0</v>
      </c>
      <c r="CJ41" s="186">
        <v>0</v>
      </c>
      <c r="CK41" s="186">
        <v>0</v>
      </c>
      <c r="CL41" s="186">
        <v>0</v>
      </c>
      <c r="CM41" s="186">
        <v>0</v>
      </c>
      <c r="CN41" s="186">
        <v>0</v>
      </c>
      <c r="CO41" s="186">
        <v>0</v>
      </c>
      <c r="CP41" s="186">
        <v>0</v>
      </c>
      <c r="CQ41" s="186">
        <v>0</v>
      </c>
      <c r="CR41" s="186">
        <v>0</v>
      </c>
      <c r="CS41" s="186">
        <v>0</v>
      </c>
      <c r="CT41" s="186">
        <v>0</v>
      </c>
      <c r="CU41" s="186">
        <v>0</v>
      </c>
      <c r="CV41" s="186">
        <v>0</v>
      </c>
    </row>
    <row r="42" spans="1:100">
      <c r="A42" s="541" t="str">
        <f t="shared" si="0"/>
        <v>1310243</v>
      </c>
      <c r="B42" s="541" t="s">
        <v>1572</v>
      </c>
      <c r="C42" s="463" t="s">
        <v>1463</v>
      </c>
      <c r="D42" s="397"/>
      <c r="E42" s="397"/>
      <c r="F42" s="397"/>
      <c r="G42" s="397"/>
      <c r="H42" s="397"/>
      <c r="I42" s="397"/>
      <c r="J42" s="397"/>
      <c r="K42" s="397"/>
      <c r="L42" s="397"/>
      <c r="M42" s="397"/>
      <c r="N42" s="397"/>
      <c r="O42" s="397"/>
      <c r="P42" s="398"/>
      <c r="Q42" s="186"/>
      <c r="R42" s="186"/>
      <c r="S42" s="186"/>
      <c r="T42" s="186"/>
      <c r="U42" s="186"/>
      <c r="V42" s="186"/>
      <c r="W42" s="186"/>
      <c r="X42" s="186"/>
      <c r="Y42" s="186"/>
      <c r="Z42" s="186"/>
      <c r="AA42" s="186"/>
      <c r="AB42" s="186"/>
      <c r="AC42" s="186"/>
      <c r="AD42" s="186"/>
      <c r="AE42" s="186"/>
      <c r="AF42" s="186">
        <v>0</v>
      </c>
      <c r="AG42" s="186">
        <v>0</v>
      </c>
      <c r="AH42" s="186">
        <v>0</v>
      </c>
      <c r="AI42" s="186">
        <v>0</v>
      </c>
      <c r="AJ42" s="186">
        <v>0</v>
      </c>
      <c r="AK42" s="186">
        <v>0</v>
      </c>
      <c r="AL42" s="186">
        <v>0</v>
      </c>
      <c r="AM42" s="186">
        <v>0</v>
      </c>
      <c r="AN42" s="186">
        <v>0</v>
      </c>
      <c r="AO42" s="186">
        <v>0</v>
      </c>
      <c r="AP42" s="186">
        <v>0</v>
      </c>
      <c r="AQ42" s="186">
        <v>0</v>
      </c>
      <c r="AR42" s="186">
        <v>0</v>
      </c>
      <c r="AS42" s="186">
        <v>0</v>
      </c>
      <c r="AT42" s="186">
        <v>0</v>
      </c>
      <c r="AU42" s="186">
        <v>0</v>
      </c>
      <c r="AV42" s="186">
        <v>0</v>
      </c>
      <c r="AW42" s="186">
        <v>0</v>
      </c>
      <c r="AX42" s="186">
        <v>0</v>
      </c>
      <c r="AY42" s="186">
        <v>0</v>
      </c>
      <c r="AZ42" s="186">
        <v>0</v>
      </c>
      <c r="BA42" s="186">
        <v>0</v>
      </c>
      <c r="BB42" s="186">
        <v>0</v>
      </c>
      <c r="BC42" s="186">
        <v>0</v>
      </c>
      <c r="BD42" s="186">
        <v>0</v>
      </c>
      <c r="BE42" s="186">
        <v>0</v>
      </c>
      <c r="BF42" s="186">
        <v>0</v>
      </c>
      <c r="BG42" s="186">
        <v>0</v>
      </c>
      <c r="BH42" s="186">
        <v>0</v>
      </c>
      <c r="BI42" s="186">
        <v>0</v>
      </c>
      <c r="BJ42" s="186">
        <v>0</v>
      </c>
      <c r="BK42" s="186">
        <v>0</v>
      </c>
      <c r="BL42" s="186">
        <v>0</v>
      </c>
      <c r="BM42" s="186">
        <v>0</v>
      </c>
      <c r="BN42" s="186">
        <v>0</v>
      </c>
      <c r="BO42" s="186">
        <v>0</v>
      </c>
      <c r="BP42" s="186">
        <v>0</v>
      </c>
      <c r="BQ42" s="186">
        <v>0</v>
      </c>
      <c r="BR42" s="186">
        <v>0</v>
      </c>
      <c r="BS42" s="186">
        <v>0</v>
      </c>
      <c r="BT42" s="186">
        <v>0</v>
      </c>
      <c r="BU42" s="186">
        <v>0</v>
      </c>
      <c r="BV42" s="186">
        <v>0</v>
      </c>
      <c r="BW42" s="186">
        <v>0</v>
      </c>
      <c r="BX42" s="186">
        <v>0</v>
      </c>
      <c r="BY42" s="186">
        <v>0</v>
      </c>
      <c r="BZ42" s="186">
        <v>0</v>
      </c>
      <c r="CA42" s="186">
        <v>0</v>
      </c>
      <c r="CB42" s="186">
        <v>0</v>
      </c>
      <c r="CC42" s="186">
        <v>0</v>
      </c>
      <c r="CD42" s="186">
        <v>0</v>
      </c>
      <c r="CE42" s="186">
        <v>0</v>
      </c>
      <c r="CF42" s="186">
        <v>0</v>
      </c>
      <c r="CG42" s="186">
        <v>0</v>
      </c>
      <c r="CH42" s="186">
        <v>0</v>
      </c>
      <c r="CI42" s="186">
        <v>0</v>
      </c>
      <c r="CJ42" s="186">
        <v>0</v>
      </c>
      <c r="CK42" s="186">
        <v>0</v>
      </c>
      <c r="CL42" s="186">
        <v>0</v>
      </c>
      <c r="CM42" s="186">
        <v>0</v>
      </c>
      <c r="CN42" s="186">
        <v>0</v>
      </c>
      <c r="CO42" s="186">
        <v>0</v>
      </c>
      <c r="CP42" s="186">
        <v>0</v>
      </c>
      <c r="CQ42" s="186">
        <v>0</v>
      </c>
      <c r="CR42" s="186">
        <v>0</v>
      </c>
      <c r="CS42" s="186">
        <v>0</v>
      </c>
      <c r="CT42" s="186">
        <v>0</v>
      </c>
      <c r="CU42" s="186">
        <v>0</v>
      </c>
      <c r="CV42" s="186">
        <v>0</v>
      </c>
    </row>
    <row r="43" spans="1:100">
      <c r="A43" s="541" t="str">
        <f t="shared" si="0"/>
        <v>1310244</v>
      </c>
      <c r="B43" s="541" t="s">
        <v>1574</v>
      </c>
      <c r="C43" s="463" t="s">
        <v>619</v>
      </c>
      <c r="D43" s="397">
        <v>0</v>
      </c>
      <c r="E43" s="397">
        <v>0</v>
      </c>
      <c r="F43" s="397">
        <v>0</v>
      </c>
      <c r="G43" s="397">
        <v>0</v>
      </c>
      <c r="H43" s="397">
        <v>0</v>
      </c>
      <c r="I43" s="397">
        <v>0</v>
      </c>
      <c r="J43" s="397">
        <v>0</v>
      </c>
      <c r="K43" s="397">
        <v>0</v>
      </c>
      <c r="L43" s="397">
        <v>0</v>
      </c>
      <c r="M43" s="397">
        <v>0</v>
      </c>
      <c r="N43" s="397">
        <v>0</v>
      </c>
      <c r="O43" s="397">
        <v>0</v>
      </c>
      <c r="P43" s="398">
        <v>0</v>
      </c>
      <c r="Q43" s="186">
        <v>0</v>
      </c>
      <c r="R43" s="186">
        <v>0</v>
      </c>
      <c r="S43" s="186">
        <v>0</v>
      </c>
      <c r="T43" s="186">
        <v>0</v>
      </c>
      <c r="U43" s="186">
        <v>0</v>
      </c>
      <c r="V43" s="186">
        <v>0</v>
      </c>
      <c r="W43" s="186">
        <v>0</v>
      </c>
      <c r="X43" s="186">
        <v>0</v>
      </c>
      <c r="Y43" s="186">
        <v>0</v>
      </c>
      <c r="Z43" s="186">
        <v>0</v>
      </c>
      <c r="AA43" s="186">
        <v>0</v>
      </c>
      <c r="AB43" s="186">
        <v>0</v>
      </c>
      <c r="AC43" s="186">
        <v>0</v>
      </c>
      <c r="AD43" s="186">
        <v>0</v>
      </c>
      <c r="AE43" s="186">
        <v>0</v>
      </c>
      <c r="AF43" s="186">
        <v>0</v>
      </c>
      <c r="AG43" s="186">
        <v>0</v>
      </c>
      <c r="AH43" s="186">
        <v>0</v>
      </c>
      <c r="AI43" s="186">
        <v>0</v>
      </c>
      <c r="AJ43" s="186">
        <v>0</v>
      </c>
      <c r="AK43" s="186">
        <v>0</v>
      </c>
      <c r="AL43" s="186">
        <v>0</v>
      </c>
      <c r="AM43" s="186">
        <v>0</v>
      </c>
      <c r="AN43" s="186">
        <v>0</v>
      </c>
      <c r="AO43" s="186">
        <v>0</v>
      </c>
      <c r="AP43" s="186">
        <v>0</v>
      </c>
      <c r="AQ43" s="186">
        <v>0</v>
      </c>
      <c r="AR43" s="186">
        <v>0</v>
      </c>
      <c r="AS43" s="186">
        <v>0</v>
      </c>
      <c r="AT43" s="186">
        <v>0</v>
      </c>
      <c r="AU43" s="186">
        <v>0</v>
      </c>
      <c r="AV43" s="186">
        <v>0</v>
      </c>
      <c r="AW43" s="186">
        <v>0</v>
      </c>
      <c r="AX43" s="186">
        <v>0</v>
      </c>
      <c r="AY43" s="186">
        <v>0</v>
      </c>
      <c r="AZ43" s="186">
        <v>0</v>
      </c>
      <c r="BA43" s="186">
        <v>0</v>
      </c>
      <c r="BB43" s="186">
        <v>0</v>
      </c>
      <c r="BC43" s="186">
        <v>0</v>
      </c>
      <c r="BD43" s="186">
        <v>0</v>
      </c>
      <c r="BE43" s="186">
        <v>0</v>
      </c>
      <c r="BF43" s="186">
        <v>0</v>
      </c>
      <c r="BG43" s="186">
        <v>0</v>
      </c>
      <c r="BH43" s="186">
        <v>0</v>
      </c>
      <c r="BI43" s="186">
        <v>0</v>
      </c>
      <c r="BJ43" s="186">
        <v>0</v>
      </c>
      <c r="BK43" s="186">
        <v>0</v>
      </c>
      <c r="BL43" s="186">
        <v>0</v>
      </c>
      <c r="BM43" s="186">
        <v>0</v>
      </c>
      <c r="BN43" s="186">
        <v>0</v>
      </c>
      <c r="BO43" s="186">
        <v>0</v>
      </c>
      <c r="BP43" s="186">
        <v>0</v>
      </c>
      <c r="BQ43" s="186">
        <v>0</v>
      </c>
      <c r="BR43" s="186">
        <v>0</v>
      </c>
      <c r="BS43" s="186">
        <v>0</v>
      </c>
      <c r="BT43" s="186">
        <v>0</v>
      </c>
      <c r="BU43" s="186">
        <v>0</v>
      </c>
      <c r="BV43" s="186">
        <v>0</v>
      </c>
      <c r="BW43" s="186">
        <v>0</v>
      </c>
      <c r="BX43" s="186">
        <v>0</v>
      </c>
      <c r="BY43" s="186">
        <v>0</v>
      </c>
      <c r="BZ43" s="186">
        <v>0</v>
      </c>
      <c r="CA43" s="186">
        <v>0</v>
      </c>
      <c r="CB43" s="186">
        <v>0</v>
      </c>
      <c r="CC43" s="186">
        <v>0</v>
      </c>
      <c r="CD43" s="186">
        <v>0</v>
      </c>
      <c r="CE43" s="186">
        <v>0</v>
      </c>
      <c r="CF43" s="186">
        <v>0</v>
      </c>
      <c r="CG43" s="186">
        <v>0</v>
      </c>
      <c r="CH43" s="186">
        <v>0</v>
      </c>
      <c r="CI43" s="186">
        <v>0</v>
      </c>
      <c r="CJ43" s="186">
        <v>0</v>
      </c>
      <c r="CK43" s="186">
        <v>0</v>
      </c>
      <c r="CL43" s="186">
        <v>0</v>
      </c>
      <c r="CM43" s="186">
        <v>0</v>
      </c>
      <c r="CN43" s="186">
        <v>0</v>
      </c>
      <c r="CO43" s="186">
        <v>0</v>
      </c>
      <c r="CP43" s="186">
        <v>0</v>
      </c>
      <c r="CQ43" s="186">
        <v>0</v>
      </c>
      <c r="CR43" s="186">
        <v>0</v>
      </c>
      <c r="CS43" s="186">
        <v>0</v>
      </c>
      <c r="CT43" s="186">
        <v>0</v>
      </c>
      <c r="CU43" s="186">
        <v>0</v>
      </c>
      <c r="CV43" s="186">
        <v>0</v>
      </c>
    </row>
    <row r="44" spans="1:100">
      <c r="A44" s="541" t="str">
        <f t="shared" si="0"/>
        <v>1310247</v>
      </c>
      <c r="B44" s="541" t="s">
        <v>1573</v>
      </c>
      <c r="C44" s="463" t="s">
        <v>620</v>
      </c>
      <c r="D44" s="397">
        <v>0</v>
      </c>
      <c r="E44" s="397">
        <v>0</v>
      </c>
      <c r="F44" s="397">
        <v>0</v>
      </c>
      <c r="G44" s="397">
        <v>0</v>
      </c>
      <c r="H44" s="397">
        <v>0</v>
      </c>
      <c r="I44" s="397">
        <v>0</v>
      </c>
      <c r="J44" s="397">
        <v>0</v>
      </c>
      <c r="K44" s="397">
        <v>0</v>
      </c>
      <c r="L44" s="397">
        <v>0</v>
      </c>
      <c r="M44" s="397">
        <v>0</v>
      </c>
      <c r="N44" s="397">
        <v>0</v>
      </c>
      <c r="O44" s="397">
        <v>0</v>
      </c>
      <c r="P44" s="398">
        <v>0</v>
      </c>
      <c r="Q44" s="186">
        <v>0</v>
      </c>
      <c r="R44" s="186">
        <v>0</v>
      </c>
      <c r="S44" s="186">
        <v>0</v>
      </c>
      <c r="T44" s="186">
        <v>0</v>
      </c>
      <c r="U44" s="186">
        <v>0</v>
      </c>
      <c r="V44" s="186">
        <v>0</v>
      </c>
      <c r="W44" s="186">
        <v>0</v>
      </c>
      <c r="X44" s="186">
        <v>0</v>
      </c>
      <c r="Y44" s="186">
        <v>0</v>
      </c>
      <c r="Z44" s="186">
        <v>0</v>
      </c>
      <c r="AA44" s="186">
        <v>0</v>
      </c>
      <c r="AB44" s="186">
        <v>0</v>
      </c>
      <c r="AC44" s="186">
        <v>0</v>
      </c>
      <c r="AD44" s="186">
        <v>0</v>
      </c>
      <c r="AE44" s="186">
        <v>0</v>
      </c>
      <c r="AF44" s="186">
        <v>0</v>
      </c>
      <c r="AG44" s="186">
        <v>0</v>
      </c>
      <c r="AH44" s="186">
        <v>0</v>
      </c>
      <c r="AI44" s="186">
        <v>0</v>
      </c>
      <c r="AJ44" s="186">
        <v>0</v>
      </c>
      <c r="AK44" s="186">
        <v>0</v>
      </c>
      <c r="AL44" s="186">
        <v>0</v>
      </c>
      <c r="AM44" s="186">
        <v>0</v>
      </c>
      <c r="AN44" s="186">
        <v>0</v>
      </c>
      <c r="AO44" s="186">
        <v>0</v>
      </c>
      <c r="AP44" s="186">
        <v>0</v>
      </c>
      <c r="AQ44" s="186">
        <v>0</v>
      </c>
      <c r="AR44" s="186">
        <v>0</v>
      </c>
      <c r="AS44" s="186">
        <v>0</v>
      </c>
      <c r="AT44" s="186">
        <v>0</v>
      </c>
      <c r="AU44" s="186">
        <v>0</v>
      </c>
      <c r="AV44" s="186">
        <v>0</v>
      </c>
      <c r="AW44" s="186">
        <v>0</v>
      </c>
      <c r="AX44" s="186">
        <v>0</v>
      </c>
      <c r="AY44" s="186">
        <v>0</v>
      </c>
      <c r="AZ44" s="186">
        <v>0</v>
      </c>
      <c r="BA44" s="186">
        <v>0</v>
      </c>
      <c r="BB44" s="186">
        <v>0</v>
      </c>
      <c r="BC44" s="186">
        <v>0</v>
      </c>
      <c r="BD44" s="186">
        <v>0</v>
      </c>
      <c r="BE44" s="186">
        <v>0</v>
      </c>
      <c r="BF44" s="186">
        <v>0</v>
      </c>
      <c r="BG44" s="186">
        <v>0</v>
      </c>
      <c r="BH44" s="186">
        <v>0</v>
      </c>
      <c r="BI44" s="186">
        <v>0</v>
      </c>
      <c r="BJ44" s="186">
        <v>0</v>
      </c>
      <c r="BK44" s="186">
        <v>0</v>
      </c>
      <c r="BL44" s="186">
        <v>0</v>
      </c>
      <c r="BM44" s="186">
        <v>0</v>
      </c>
      <c r="BN44" s="186">
        <v>0</v>
      </c>
      <c r="BO44" s="186">
        <v>0</v>
      </c>
      <c r="BP44" s="186">
        <v>0</v>
      </c>
      <c r="BQ44" s="186">
        <v>0</v>
      </c>
      <c r="BR44" s="186">
        <v>0</v>
      </c>
      <c r="BS44" s="186">
        <v>0</v>
      </c>
      <c r="BT44" s="186">
        <v>0</v>
      </c>
      <c r="BU44" s="186">
        <v>0</v>
      </c>
      <c r="BV44" s="186">
        <v>0</v>
      </c>
      <c r="BW44" s="186">
        <v>0</v>
      </c>
      <c r="BX44" s="186">
        <v>0</v>
      </c>
      <c r="BY44" s="186">
        <v>0</v>
      </c>
      <c r="BZ44" s="186">
        <v>0</v>
      </c>
      <c r="CA44" s="186">
        <v>0</v>
      </c>
      <c r="CB44" s="186">
        <v>0</v>
      </c>
      <c r="CC44" s="186">
        <v>0</v>
      </c>
      <c r="CD44" s="186">
        <v>0</v>
      </c>
      <c r="CE44" s="186">
        <v>0</v>
      </c>
      <c r="CF44" s="186">
        <v>0</v>
      </c>
      <c r="CG44" s="186">
        <v>0</v>
      </c>
      <c r="CH44" s="186">
        <v>0</v>
      </c>
      <c r="CI44" s="186">
        <v>0</v>
      </c>
      <c r="CJ44" s="186">
        <v>0</v>
      </c>
      <c r="CK44" s="186">
        <v>0</v>
      </c>
      <c r="CL44" s="186">
        <v>0</v>
      </c>
      <c r="CM44" s="186">
        <v>0</v>
      </c>
      <c r="CN44" s="186">
        <v>0</v>
      </c>
      <c r="CO44" s="186">
        <v>0</v>
      </c>
      <c r="CP44" s="186">
        <v>0</v>
      </c>
      <c r="CQ44" s="186">
        <v>0</v>
      </c>
      <c r="CR44" s="186">
        <v>0</v>
      </c>
      <c r="CS44" s="186">
        <v>0</v>
      </c>
      <c r="CT44" s="186">
        <v>0</v>
      </c>
      <c r="CU44" s="186">
        <v>0</v>
      </c>
      <c r="CV44" s="186">
        <v>0</v>
      </c>
    </row>
    <row r="45" spans="1:100">
      <c r="A45" s="541" t="str">
        <f t="shared" si="0"/>
        <v>1310250</v>
      </c>
      <c r="B45" s="541" t="s">
        <v>1575</v>
      </c>
      <c r="C45" s="463" t="s">
        <v>621</v>
      </c>
      <c r="D45" s="397">
        <v>-356803.24</v>
      </c>
      <c r="E45" s="397">
        <v>-417463.6</v>
      </c>
      <c r="F45" s="397">
        <v>-380435.3</v>
      </c>
      <c r="G45" s="397">
        <v>-460815.83</v>
      </c>
      <c r="H45" s="397">
        <v>-349953.66</v>
      </c>
      <c r="I45" s="397">
        <v>-326217.86</v>
      </c>
      <c r="J45" s="397">
        <v>-369621.2</v>
      </c>
      <c r="K45" s="397">
        <v>-372966.15</v>
      </c>
      <c r="L45" s="397">
        <v>-402892.79999999999</v>
      </c>
      <c r="M45" s="397">
        <v>-340277.47</v>
      </c>
      <c r="N45" s="397">
        <v>-418507.59</v>
      </c>
      <c r="O45" s="397">
        <v>-542687.42000000004</v>
      </c>
      <c r="P45" s="398">
        <v>-276683</v>
      </c>
      <c r="Q45" s="186">
        <v>-460783.61</v>
      </c>
      <c r="R45" s="186">
        <v>-393263.08</v>
      </c>
      <c r="S45" s="186">
        <v>-409361.95</v>
      </c>
      <c r="T45" s="186">
        <v>-447910.36</v>
      </c>
      <c r="U45" s="186">
        <v>-432316.01</v>
      </c>
      <c r="V45" s="186">
        <v>-390083.87</v>
      </c>
      <c r="W45" s="186">
        <v>-400888.99</v>
      </c>
      <c r="X45" s="186">
        <v>-383254.5</v>
      </c>
      <c r="Y45" s="186">
        <v>-372637.4</v>
      </c>
      <c r="Z45" s="186">
        <v>-382827.51</v>
      </c>
      <c r="AA45" s="186">
        <v>-396305.4</v>
      </c>
      <c r="AB45" s="186">
        <v>-334906.07</v>
      </c>
      <c r="AC45" s="186">
        <v>-397485.49</v>
      </c>
      <c r="AD45" s="186">
        <v>-713422.99</v>
      </c>
      <c r="AE45" s="186">
        <v>-375115.14</v>
      </c>
      <c r="AF45" s="186">
        <v>-468384.95</v>
      </c>
      <c r="AG45" s="186">
        <v>-453761.13</v>
      </c>
      <c r="AH45" s="186">
        <v>-457769.58</v>
      </c>
      <c r="AI45" s="186">
        <v>-652898.51</v>
      </c>
      <c r="AJ45" s="186">
        <v>-485868.28</v>
      </c>
      <c r="AK45" s="186">
        <v>-607450.02</v>
      </c>
      <c r="AL45" s="186">
        <v>-471575.98</v>
      </c>
      <c r="AM45" s="186">
        <v>-432099.42</v>
      </c>
      <c r="AN45" s="186">
        <v>-721228.27</v>
      </c>
      <c r="AO45" s="186">
        <v>-281703.28999999998</v>
      </c>
      <c r="AP45" s="186">
        <v>-209866.08</v>
      </c>
      <c r="AQ45" s="186">
        <v>-143926.03</v>
      </c>
      <c r="AR45" s="186">
        <v>-106715.1</v>
      </c>
      <c r="AS45" s="186">
        <v>-79006.38</v>
      </c>
      <c r="AT45" s="186">
        <v>-41469.46</v>
      </c>
      <c r="AU45" s="186">
        <v>-19663.14</v>
      </c>
      <c r="AV45" s="186">
        <v>0</v>
      </c>
      <c r="AW45" s="186">
        <v>0</v>
      </c>
      <c r="AX45" s="186">
        <v>0</v>
      </c>
      <c r="AY45" s="186">
        <v>0</v>
      </c>
      <c r="AZ45" s="186">
        <v>0</v>
      </c>
      <c r="BA45" s="186">
        <v>0</v>
      </c>
      <c r="BB45" s="186">
        <v>0</v>
      </c>
      <c r="BC45" s="186">
        <v>0</v>
      </c>
      <c r="BD45" s="186">
        <v>0</v>
      </c>
      <c r="BE45" s="186">
        <v>0</v>
      </c>
      <c r="BF45" s="186">
        <v>0</v>
      </c>
      <c r="BG45" s="186">
        <v>0</v>
      </c>
      <c r="BH45" s="186">
        <v>0</v>
      </c>
      <c r="BI45" s="186">
        <v>0</v>
      </c>
      <c r="BJ45" s="186">
        <v>0</v>
      </c>
      <c r="BK45" s="186">
        <v>0</v>
      </c>
      <c r="BL45" s="186">
        <v>0</v>
      </c>
      <c r="BM45" s="186">
        <v>0</v>
      </c>
      <c r="BN45" s="186">
        <v>0</v>
      </c>
      <c r="BO45" s="186">
        <v>0</v>
      </c>
      <c r="BP45" s="186">
        <v>0</v>
      </c>
      <c r="BQ45" s="186">
        <v>0</v>
      </c>
      <c r="BR45" s="186">
        <v>0</v>
      </c>
      <c r="BS45" s="186">
        <v>0</v>
      </c>
      <c r="BT45" s="186">
        <v>0</v>
      </c>
      <c r="BU45" s="186">
        <v>0</v>
      </c>
      <c r="BV45" s="186">
        <v>0</v>
      </c>
      <c r="BW45" s="186">
        <v>0</v>
      </c>
      <c r="BX45" s="186">
        <v>0</v>
      </c>
      <c r="BY45" s="186">
        <v>0</v>
      </c>
      <c r="BZ45" s="186">
        <v>0</v>
      </c>
      <c r="CA45" s="186">
        <v>0</v>
      </c>
      <c r="CB45" s="186">
        <v>0</v>
      </c>
      <c r="CC45" s="186">
        <v>0</v>
      </c>
      <c r="CD45" s="186">
        <v>0</v>
      </c>
      <c r="CE45" s="186">
        <v>0</v>
      </c>
      <c r="CF45" s="186">
        <v>0</v>
      </c>
      <c r="CG45" s="186">
        <v>0</v>
      </c>
      <c r="CH45" s="186">
        <v>0</v>
      </c>
      <c r="CI45" s="186">
        <v>0</v>
      </c>
      <c r="CJ45" s="186">
        <v>0</v>
      </c>
      <c r="CK45" s="186">
        <v>0</v>
      </c>
      <c r="CL45" s="186">
        <v>0</v>
      </c>
      <c r="CM45" s="186">
        <v>0</v>
      </c>
      <c r="CN45" s="186">
        <v>0</v>
      </c>
      <c r="CO45" s="186">
        <v>0</v>
      </c>
      <c r="CP45" s="186">
        <v>0</v>
      </c>
      <c r="CQ45" s="186">
        <v>0</v>
      </c>
      <c r="CR45" s="186">
        <v>0</v>
      </c>
      <c r="CS45" s="186">
        <v>0</v>
      </c>
      <c r="CT45" s="186">
        <v>0</v>
      </c>
      <c r="CU45" s="186">
        <v>0</v>
      </c>
      <c r="CV45" s="186">
        <v>0</v>
      </c>
    </row>
    <row r="46" spans="1:100">
      <c r="A46" s="541" t="str">
        <f t="shared" si="0"/>
        <v>1310260</v>
      </c>
      <c r="B46" s="541" t="s">
        <v>1576</v>
      </c>
      <c r="C46" s="463" t="s">
        <v>622</v>
      </c>
      <c r="D46" s="397">
        <v>1253758.56</v>
      </c>
      <c r="E46" s="397">
        <v>1208633.3899999999</v>
      </c>
      <c r="F46" s="397">
        <v>1370390.39</v>
      </c>
      <c r="G46" s="397">
        <v>1298478.0900000001</v>
      </c>
      <c r="H46" s="397">
        <v>977517.92</v>
      </c>
      <c r="I46" s="397">
        <v>1315182.0800000001</v>
      </c>
      <c r="J46" s="397">
        <v>1062625</v>
      </c>
      <c r="K46" s="397">
        <v>1175544.54</v>
      </c>
      <c r="L46" s="397">
        <v>900315.79</v>
      </c>
      <c r="M46" s="397">
        <v>919544.19</v>
      </c>
      <c r="N46" s="397">
        <v>796260.2</v>
      </c>
      <c r="O46" s="397">
        <v>312750.59000000003</v>
      </c>
      <c r="P46" s="398">
        <v>1595655.14</v>
      </c>
      <c r="Q46" s="186">
        <v>1096771.6000000001</v>
      </c>
      <c r="R46" s="186">
        <v>1314102.25</v>
      </c>
      <c r="S46" s="186">
        <v>1741844.72</v>
      </c>
      <c r="T46" s="186">
        <v>1017457.64</v>
      </c>
      <c r="U46" s="186">
        <v>927737.13</v>
      </c>
      <c r="V46" s="186">
        <v>1351838.23</v>
      </c>
      <c r="W46" s="186">
        <v>870913.26</v>
      </c>
      <c r="X46" s="186">
        <v>858623.45</v>
      </c>
      <c r="Y46" s="186">
        <v>1070461.26</v>
      </c>
      <c r="Z46" s="186">
        <v>794315.85</v>
      </c>
      <c r="AA46" s="186">
        <v>1261527.5900000001</v>
      </c>
      <c r="AB46" s="186">
        <v>1211935.99</v>
      </c>
      <c r="AC46" s="186">
        <v>1152146.48</v>
      </c>
      <c r="AD46" s="186">
        <v>1175384.51</v>
      </c>
      <c r="AE46" s="186">
        <v>1049060.23</v>
      </c>
      <c r="AF46" s="186">
        <v>953963.55</v>
      </c>
      <c r="AG46" s="186">
        <v>836624.24</v>
      </c>
      <c r="AH46" s="186">
        <v>920757.31</v>
      </c>
      <c r="AI46" s="186">
        <v>1167407.1399999999</v>
      </c>
      <c r="AJ46" s="186">
        <v>910043.2</v>
      </c>
      <c r="AK46" s="186">
        <v>749417.82</v>
      </c>
      <c r="AL46" s="186">
        <v>860510.84</v>
      </c>
      <c r="AM46" s="186">
        <v>1661382.56</v>
      </c>
      <c r="AN46" s="186">
        <v>1462190.73</v>
      </c>
      <c r="AO46" s="186">
        <v>293542.01</v>
      </c>
      <c r="AP46" s="186">
        <v>301609.02</v>
      </c>
      <c r="AQ46" s="186">
        <v>301261.84000000003</v>
      </c>
      <c r="AR46" s="186">
        <v>299824.65999999997</v>
      </c>
      <c r="AS46" s="186">
        <v>298770.2</v>
      </c>
      <c r="AT46" s="186">
        <v>298746.92</v>
      </c>
      <c r="AU46" s="186">
        <v>298617.02</v>
      </c>
      <c r="AV46" s="186">
        <v>298617.02</v>
      </c>
      <c r="AW46" s="186">
        <v>0</v>
      </c>
      <c r="AX46" s="186">
        <v>0</v>
      </c>
      <c r="AY46" s="186">
        <v>0</v>
      </c>
      <c r="AZ46" s="186">
        <v>0</v>
      </c>
      <c r="BA46" s="186">
        <v>0</v>
      </c>
      <c r="BB46" s="186">
        <v>0</v>
      </c>
      <c r="BC46" s="186">
        <v>0</v>
      </c>
      <c r="BD46" s="186">
        <v>0</v>
      </c>
      <c r="BE46" s="186">
        <v>0</v>
      </c>
      <c r="BF46" s="186">
        <v>0</v>
      </c>
      <c r="BG46" s="186">
        <v>0</v>
      </c>
      <c r="BH46" s="186">
        <v>0</v>
      </c>
      <c r="BI46" s="186">
        <v>0</v>
      </c>
      <c r="BJ46" s="186">
        <v>0</v>
      </c>
      <c r="BK46" s="186">
        <v>0</v>
      </c>
      <c r="BL46" s="186">
        <v>0</v>
      </c>
      <c r="BM46" s="186">
        <v>0</v>
      </c>
      <c r="BN46" s="186">
        <v>0</v>
      </c>
      <c r="BO46" s="186">
        <v>0</v>
      </c>
      <c r="BP46" s="186">
        <v>0</v>
      </c>
      <c r="BQ46" s="186">
        <v>0</v>
      </c>
      <c r="BR46" s="186">
        <v>0</v>
      </c>
      <c r="BS46" s="186">
        <v>0</v>
      </c>
      <c r="BT46" s="186">
        <v>0</v>
      </c>
      <c r="BU46" s="186">
        <v>0</v>
      </c>
      <c r="BV46" s="186">
        <v>0</v>
      </c>
      <c r="BW46" s="186">
        <v>0</v>
      </c>
      <c r="BX46" s="186">
        <v>0</v>
      </c>
      <c r="BY46" s="186">
        <v>0</v>
      </c>
      <c r="BZ46" s="186">
        <v>0</v>
      </c>
      <c r="CA46" s="186">
        <v>0</v>
      </c>
      <c r="CB46" s="186">
        <v>0</v>
      </c>
      <c r="CC46" s="186">
        <v>0</v>
      </c>
      <c r="CD46" s="186">
        <v>0</v>
      </c>
      <c r="CE46" s="186">
        <v>0</v>
      </c>
      <c r="CF46" s="186">
        <v>0</v>
      </c>
      <c r="CG46" s="186">
        <v>0</v>
      </c>
      <c r="CH46" s="186">
        <v>0</v>
      </c>
      <c r="CI46" s="186">
        <v>0</v>
      </c>
      <c r="CJ46" s="186">
        <v>0</v>
      </c>
      <c r="CK46" s="186">
        <v>0</v>
      </c>
      <c r="CL46" s="186">
        <v>0</v>
      </c>
      <c r="CM46" s="186">
        <v>0</v>
      </c>
      <c r="CN46" s="186">
        <v>0</v>
      </c>
      <c r="CO46" s="186">
        <v>0</v>
      </c>
      <c r="CP46" s="186">
        <v>0</v>
      </c>
      <c r="CQ46" s="186">
        <v>0</v>
      </c>
      <c r="CR46" s="186">
        <v>0</v>
      </c>
      <c r="CS46" s="186">
        <v>0</v>
      </c>
      <c r="CT46" s="186">
        <v>0</v>
      </c>
      <c r="CU46" s="186">
        <v>0</v>
      </c>
      <c r="CV46" s="186">
        <v>0</v>
      </c>
    </row>
    <row r="47" spans="1:100">
      <c r="A47" s="541" t="str">
        <f t="shared" si="0"/>
        <v>1310630</v>
      </c>
      <c r="B47" s="541" t="s">
        <v>1577</v>
      </c>
      <c r="C47" s="463" t="s">
        <v>623</v>
      </c>
      <c r="D47" s="397">
        <v>170751</v>
      </c>
      <c r="E47" s="397">
        <v>170761.15</v>
      </c>
      <c r="F47" s="397">
        <v>170771.31</v>
      </c>
      <c r="G47" s="397">
        <v>170779.59</v>
      </c>
      <c r="H47" s="397">
        <v>170788.29</v>
      </c>
      <c r="I47" s="397">
        <v>170796.71</v>
      </c>
      <c r="J47" s="397">
        <v>0</v>
      </c>
      <c r="K47" s="397">
        <v>0</v>
      </c>
      <c r="L47" s="397">
        <v>0</v>
      </c>
      <c r="M47" s="397">
        <v>0</v>
      </c>
      <c r="N47" s="397">
        <v>0</v>
      </c>
      <c r="O47" s="397">
        <v>0</v>
      </c>
      <c r="P47" s="398">
        <v>0</v>
      </c>
      <c r="Q47" s="186">
        <v>0</v>
      </c>
      <c r="R47" s="186">
        <v>0</v>
      </c>
      <c r="S47" s="186">
        <v>0</v>
      </c>
      <c r="T47" s="186">
        <v>0</v>
      </c>
      <c r="U47" s="186">
        <v>0</v>
      </c>
      <c r="V47" s="186">
        <v>0</v>
      </c>
      <c r="W47" s="186">
        <v>0</v>
      </c>
      <c r="X47" s="186">
        <v>0</v>
      </c>
      <c r="Y47" s="186">
        <v>0</v>
      </c>
      <c r="Z47" s="186">
        <v>0</v>
      </c>
      <c r="AA47" s="186">
        <v>0</v>
      </c>
      <c r="AB47" s="186">
        <v>0</v>
      </c>
      <c r="AC47" s="186">
        <v>0</v>
      </c>
      <c r="AD47" s="186">
        <v>0</v>
      </c>
      <c r="AE47" s="186">
        <v>0</v>
      </c>
      <c r="AF47" s="186">
        <v>0</v>
      </c>
      <c r="AG47" s="186">
        <v>0</v>
      </c>
      <c r="AH47" s="186">
        <v>0</v>
      </c>
      <c r="AI47" s="186">
        <v>0</v>
      </c>
      <c r="AJ47" s="186">
        <v>0</v>
      </c>
      <c r="AK47" s="186">
        <v>0</v>
      </c>
      <c r="AL47" s="186">
        <v>0</v>
      </c>
      <c r="AM47" s="186">
        <v>0</v>
      </c>
      <c r="AN47" s="186">
        <v>0</v>
      </c>
      <c r="AO47" s="186">
        <v>0</v>
      </c>
      <c r="AP47" s="186">
        <v>0</v>
      </c>
      <c r="AQ47" s="186">
        <v>0</v>
      </c>
      <c r="AR47" s="186">
        <v>0</v>
      </c>
      <c r="AS47" s="186">
        <v>0</v>
      </c>
      <c r="AT47" s="186">
        <v>0</v>
      </c>
      <c r="AU47" s="186">
        <v>0</v>
      </c>
      <c r="AV47" s="186">
        <v>0</v>
      </c>
      <c r="AW47" s="186">
        <v>0</v>
      </c>
      <c r="AX47" s="186">
        <v>0</v>
      </c>
      <c r="AY47" s="186">
        <v>0</v>
      </c>
      <c r="AZ47" s="186">
        <v>0</v>
      </c>
      <c r="BA47" s="186">
        <v>0</v>
      </c>
      <c r="BB47" s="186">
        <v>0</v>
      </c>
      <c r="BC47" s="186">
        <v>0</v>
      </c>
      <c r="BD47" s="186">
        <v>0</v>
      </c>
      <c r="BE47" s="186">
        <v>0</v>
      </c>
      <c r="BF47" s="186">
        <v>0</v>
      </c>
      <c r="BG47" s="186">
        <v>0</v>
      </c>
      <c r="BH47" s="186">
        <v>0</v>
      </c>
      <c r="BI47" s="186">
        <v>0</v>
      </c>
      <c r="BJ47" s="186">
        <v>0</v>
      </c>
      <c r="BK47" s="186">
        <v>0</v>
      </c>
      <c r="BL47" s="186">
        <v>0</v>
      </c>
      <c r="BM47" s="186">
        <v>0</v>
      </c>
      <c r="BN47" s="186">
        <v>0</v>
      </c>
      <c r="BO47" s="186">
        <v>0</v>
      </c>
      <c r="BP47" s="186">
        <v>0</v>
      </c>
      <c r="BQ47" s="186">
        <v>0</v>
      </c>
      <c r="BR47" s="186">
        <v>0</v>
      </c>
      <c r="BS47" s="186">
        <v>0</v>
      </c>
      <c r="BT47" s="186">
        <v>0</v>
      </c>
      <c r="BU47" s="186">
        <v>0</v>
      </c>
      <c r="BV47" s="186">
        <v>0</v>
      </c>
      <c r="BW47" s="186">
        <v>0</v>
      </c>
      <c r="BX47" s="186">
        <v>0</v>
      </c>
      <c r="BY47" s="186">
        <v>0</v>
      </c>
      <c r="BZ47" s="186">
        <v>0</v>
      </c>
      <c r="CA47" s="186">
        <v>0</v>
      </c>
      <c r="CB47" s="186">
        <v>0</v>
      </c>
      <c r="CC47" s="186">
        <v>0</v>
      </c>
      <c r="CD47" s="186">
        <v>0</v>
      </c>
      <c r="CE47" s="186">
        <v>0</v>
      </c>
      <c r="CF47" s="186">
        <v>0</v>
      </c>
      <c r="CG47" s="186">
        <v>0</v>
      </c>
      <c r="CH47" s="186">
        <v>0</v>
      </c>
      <c r="CI47" s="186">
        <v>0</v>
      </c>
      <c r="CJ47" s="186">
        <v>0</v>
      </c>
      <c r="CK47" s="186">
        <v>0</v>
      </c>
      <c r="CL47" s="186">
        <v>0</v>
      </c>
      <c r="CM47" s="186">
        <v>0</v>
      </c>
      <c r="CN47" s="186">
        <v>0</v>
      </c>
      <c r="CO47" s="186">
        <v>0</v>
      </c>
      <c r="CP47" s="186">
        <v>0</v>
      </c>
      <c r="CQ47" s="186">
        <v>0</v>
      </c>
      <c r="CR47" s="186">
        <v>0</v>
      </c>
      <c r="CS47" s="186">
        <v>0</v>
      </c>
      <c r="CT47" s="186">
        <v>0</v>
      </c>
      <c r="CU47" s="186">
        <v>0</v>
      </c>
      <c r="CV47" s="186">
        <v>0</v>
      </c>
    </row>
    <row r="48" spans="1:100">
      <c r="A48" s="541" t="str">
        <f t="shared" si="0"/>
        <v>1310690</v>
      </c>
      <c r="B48" s="541" t="s">
        <v>1740</v>
      </c>
      <c r="C48" s="463" t="s">
        <v>1741</v>
      </c>
      <c r="D48" s="397"/>
      <c r="E48" s="397"/>
      <c r="F48" s="397"/>
      <c r="G48" s="397"/>
      <c r="H48" s="397"/>
      <c r="I48" s="397"/>
      <c r="J48" s="397"/>
      <c r="K48" s="397"/>
      <c r="L48" s="397"/>
      <c r="M48" s="397"/>
      <c r="N48" s="397"/>
      <c r="O48" s="397"/>
      <c r="P48" s="398"/>
      <c r="Q48" s="186"/>
      <c r="R48" s="186"/>
      <c r="S48" s="186"/>
      <c r="T48" s="186"/>
      <c r="U48" s="186"/>
      <c r="V48" s="186"/>
      <c r="W48" s="186"/>
      <c r="X48" s="186"/>
      <c r="Y48" s="186"/>
      <c r="Z48" s="186"/>
      <c r="AA48" s="186"/>
      <c r="AB48" s="186"/>
      <c r="AC48" s="186"/>
      <c r="AD48" s="186"/>
      <c r="AE48" s="186"/>
      <c r="AF48" s="186"/>
      <c r="AG48" s="186"/>
      <c r="AH48" s="186"/>
      <c r="AI48" s="186"/>
      <c r="AJ48" s="186"/>
      <c r="AK48" s="186"/>
      <c r="AL48" s="186">
        <v>0</v>
      </c>
      <c r="AM48" s="186">
        <v>0</v>
      </c>
      <c r="AN48" s="186">
        <v>43.24</v>
      </c>
      <c r="AO48" s="186">
        <v>150621.59</v>
      </c>
      <c r="AP48" s="186">
        <v>122740.56</v>
      </c>
      <c r="AQ48" s="186">
        <v>172100.26</v>
      </c>
      <c r="AR48" s="186">
        <v>100000</v>
      </c>
      <c r="AS48" s="186">
        <v>154945.56</v>
      </c>
      <c r="AT48" s="186">
        <v>113341.6</v>
      </c>
      <c r="AU48" s="186">
        <v>107607.95</v>
      </c>
      <c r="AV48" s="186">
        <v>7307093.8600000003</v>
      </c>
      <c r="AW48" s="186">
        <v>133232</v>
      </c>
      <c r="AX48" s="186">
        <v>171919.03</v>
      </c>
      <c r="AY48" s="186">
        <v>100000</v>
      </c>
      <c r="AZ48" s="186">
        <v>209687.65</v>
      </c>
      <c r="BA48" s="186">
        <v>130776.02</v>
      </c>
      <c r="BB48" s="186">
        <v>108119</v>
      </c>
      <c r="BC48" s="186">
        <v>108249</v>
      </c>
      <c r="BD48" s="186">
        <v>132510.87</v>
      </c>
      <c r="BE48" s="186">
        <v>187942.09</v>
      </c>
      <c r="BF48" s="186">
        <v>129253</v>
      </c>
      <c r="BG48" s="186">
        <v>177675</v>
      </c>
      <c r="BH48" s="186">
        <v>118549</v>
      </c>
      <c r="BI48" s="186">
        <v>129104.23</v>
      </c>
      <c r="BJ48" s="186">
        <v>107054.99</v>
      </c>
      <c r="BK48" s="186">
        <v>282556.82</v>
      </c>
      <c r="BL48" s="186">
        <v>108185</v>
      </c>
      <c r="BM48" s="186">
        <v>144716.17000000001</v>
      </c>
      <c r="BN48" s="186">
        <v>151436</v>
      </c>
      <c r="BO48" s="186">
        <v>131623.15</v>
      </c>
      <c r="BP48" s="186">
        <v>231156.13</v>
      </c>
      <c r="BQ48" s="186">
        <v>203186</v>
      </c>
      <c r="BR48" s="186">
        <v>177164</v>
      </c>
      <c r="BS48" s="186">
        <v>199575</v>
      </c>
      <c r="BT48" s="186">
        <v>195807.26</v>
      </c>
      <c r="BU48" s="186">
        <v>139391</v>
      </c>
      <c r="BV48" s="186">
        <v>244831.52</v>
      </c>
      <c r="BW48" s="186">
        <v>117510</v>
      </c>
      <c r="BX48" s="186">
        <v>152460</v>
      </c>
      <c r="BY48" s="186">
        <v>156051.66</v>
      </c>
      <c r="BZ48" s="186">
        <v>293510.21000000002</v>
      </c>
      <c r="CA48" s="186">
        <v>141126.46</v>
      </c>
      <c r="CB48" s="186">
        <v>134525</v>
      </c>
      <c r="CC48" s="186">
        <v>142383.70000000001</v>
      </c>
      <c r="CD48" s="186">
        <v>178839.71</v>
      </c>
      <c r="CE48" s="186">
        <v>250489</v>
      </c>
      <c r="CF48" s="186">
        <v>117011</v>
      </c>
      <c r="CG48" s="186">
        <v>116132.78</v>
      </c>
      <c r="CH48" s="186">
        <v>258135.39</v>
      </c>
      <c r="CI48" s="186">
        <v>100360</v>
      </c>
      <c r="CJ48" s="186">
        <v>219961.26</v>
      </c>
      <c r="CK48" s="186">
        <v>185639.67999999999</v>
      </c>
      <c r="CL48" s="186">
        <v>155650.71</v>
      </c>
      <c r="CM48" s="186">
        <v>200254.38</v>
      </c>
      <c r="CN48" s="186">
        <v>427903.01</v>
      </c>
      <c r="CO48" s="186">
        <v>141417.48000000001</v>
      </c>
      <c r="CP48" s="186">
        <v>187367.08</v>
      </c>
      <c r="CQ48" s="186">
        <v>217337</v>
      </c>
      <c r="CR48" s="186">
        <v>120254</v>
      </c>
      <c r="CS48" s="186">
        <v>424748.46</v>
      </c>
      <c r="CT48" s="186">
        <v>458112.84</v>
      </c>
      <c r="CU48" s="186">
        <v>116068</v>
      </c>
      <c r="CV48" s="186">
        <v>100300</v>
      </c>
    </row>
    <row r="49" spans="1:100">
      <c r="A49" s="541" t="str">
        <f t="shared" si="0"/>
        <v>1310990</v>
      </c>
      <c r="B49" s="541" t="s">
        <v>1578</v>
      </c>
      <c r="C49" s="463" t="s">
        <v>624</v>
      </c>
      <c r="D49" s="397">
        <v>2207825.1800000002</v>
      </c>
      <c r="E49" s="397">
        <v>2556848.2000000002</v>
      </c>
      <c r="F49" s="397">
        <v>2555250.65</v>
      </c>
      <c r="G49" s="397">
        <v>2794242.5</v>
      </c>
      <c r="H49" s="397">
        <v>1185737.08</v>
      </c>
      <c r="I49" s="397">
        <v>326217.86</v>
      </c>
      <c r="J49" s="397">
        <v>369621.2</v>
      </c>
      <c r="K49" s="397">
        <v>372966.15</v>
      </c>
      <c r="L49" s="397">
        <v>4329383.93</v>
      </c>
      <c r="M49" s="397">
        <v>1573120.2</v>
      </c>
      <c r="N49" s="397">
        <v>-469623.53</v>
      </c>
      <c r="O49" s="397">
        <v>4863295.8099999996</v>
      </c>
      <c r="P49" s="398">
        <v>4078033.64</v>
      </c>
      <c r="Q49" s="186">
        <v>3774529.61</v>
      </c>
      <c r="R49" s="186">
        <v>3103012.71</v>
      </c>
      <c r="S49" s="186">
        <v>3069198.05</v>
      </c>
      <c r="T49" s="186">
        <v>2851376.65</v>
      </c>
      <c r="U49" s="186">
        <v>432316.01</v>
      </c>
      <c r="V49" s="186">
        <v>390083.87</v>
      </c>
      <c r="W49" s="186">
        <v>400888.99</v>
      </c>
      <c r="X49" s="186">
        <v>383254.5</v>
      </c>
      <c r="Y49" s="186">
        <v>372637.4</v>
      </c>
      <c r="Z49" s="186">
        <v>382827.51</v>
      </c>
      <c r="AA49" s="186">
        <v>3946287.84</v>
      </c>
      <c r="AB49" s="186">
        <v>3930761.5</v>
      </c>
      <c r="AC49" s="186">
        <v>3663050.16</v>
      </c>
      <c r="AD49" s="186">
        <v>2676546.87</v>
      </c>
      <c r="AE49" s="186">
        <v>375115.14</v>
      </c>
      <c r="AF49" s="186">
        <v>4164081.84</v>
      </c>
      <c r="AG49" s="186">
        <v>2959258.6</v>
      </c>
      <c r="AH49" s="186">
        <v>5060230.62</v>
      </c>
      <c r="AI49" s="186">
        <v>5626177.1799999997</v>
      </c>
      <c r="AJ49" s="186">
        <v>2920816.88</v>
      </c>
      <c r="AK49" s="186">
        <v>3468537.33</v>
      </c>
      <c r="AL49" s="186">
        <v>3191932.82</v>
      </c>
      <c r="AM49" s="186">
        <v>12202083.470000001</v>
      </c>
      <c r="AN49" s="186">
        <v>5427155.3399999999</v>
      </c>
      <c r="AO49" s="186">
        <v>611972.86</v>
      </c>
      <c r="AP49" s="186">
        <v>8890266.5899999999</v>
      </c>
      <c r="AQ49" s="186">
        <v>5033891.47</v>
      </c>
      <c r="AR49" s="186">
        <v>10828878.630000001</v>
      </c>
      <c r="AS49" s="186">
        <v>10369734.470000001</v>
      </c>
      <c r="AT49" s="186">
        <v>5137481.8</v>
      </c>
      <c r="AU49" s="186">
        <v>8650716.8000000007</v>
      </c>
      <c r="AV49" s="186">
        <v>-4281506.63</v>
      </c>
      <c r="AW49" s="186">
        <v>6657507.8300000001</v>
      </c>
      <c r="AX49" s="186">
        <v>7341958.0099999998</v>
      </c>
      <c r="AY49" s="186">
        <v>15752138.189999999</v>
      </c>
      <c r="AZ49" s="186">
        <v>8017752.7699999996</v>
      </c>
      <c r="BA49" s="186">
        <v>7826133.7199999997</v>
      </c>
      <c r="BB49" s="186">
        <v>10366444.890000001</v>
      </c>
      <c r="BC49" s="186">
        <v>4144097.38</v>
      </c>
      <c r="BD49" s="186">
        <v>5989570.2400000002</v>
      </c>
      <c r="BE49" s="186">
        <v>5378519.8300000001</v>
      </c>
      <c r="BF49" s="186">
        <v>5402843.1100000003</v>
      </c>
      <c r="BG49" s="186">
        <v>6414039.2000000002</v>
      </c>
      <c r="BH49" s="186">
        <v>7025110.0700000003</v>
      </c>
      <c r="BI49" s="186">
        <v>7039902.4500000002</v>
      </c>
      <c r="BJ49" s="186">
        <v>6855747.6799999997</v>
      </c>
      <c r="BK49" s="186">
        <v>17691226.23</v>
      </c>
      <c r="BL49" s="186">
        <v>3759221.39</v>
      </c>
      <c r="BM49" s="186">
        <v>6747072.9299999997</v>
      </c>
      <c r="BN49" s="186">
        <v>3644616.55</v>
      </c>
      <c r="BO49" s="186">
        <v>7055143.9500000002</v>
      </c>
      <c r="BP49" s="186">
        <v>3804055.28</v>
      </c>
      <c r="BQ49" s="186">
        <v>5420424.9299999997</v>
      </c>
      <c r="BR49" s="186">
        <v>4353729.2</v>
      </c>
      <c r="BS49" s="186">
        <v>3877103.13</v>
      </c>
      <c r="BT49" s="186">
        <v>5982709.7699999996</v>
      </c>
      <c r="BU49" s="186">
        <v>2177468.23</v>
      </c>
      <c r="BV49" s="186">
        <v>3471258.92</v>
      </c>
      <c r="BW49" s="186">
        <v>6032045.4800000004</v>
      </c>
      <c r="BX49" s="186">
        <v>3059925.6</v>
      </c>
      <c r="BY49" s="186">
        <v>6220611.0199999996</v>
      </c>
      <c r="BZ49" s="186">
        <v>8029323.21</v>
      </c>
      <c r="CA49" s="186">
        <v>1363862.25</v>
      </c>
      <c r="CB49" s="186">
        <v>9038231.4700000007</v>
      </c>
      <c r="CC49" s="186">
        <v>8598774.1500000004</v>
      </c>
      <c r="CD49" s="186">
        <v>4145603.57</v>
      </c>
      <c r="CE49" s="186">
        <v>4181538.25</v>
      </c>
      <c r="CF49" s="186">
        <v>5288490.38</v>
      </c>
      <c r="CG49" s="186">
        <v>6155639.7199999997</v>
      </c>
      <c r="CH49" s="186">
        <v>10279420.67</v>
      </c>
      <c r="CI49" s="186">
        <v>12028358.17</v>
      </c>
      <c r="CJ49" s="186">
        <v>2444274.5299999998</v>
      </c>
      <c r="CK49" s="186">
        <v>6381098.21</v>
      </c>
      <c r="CL49" s="186">
        <v>4731190.66</v>
      </c>
      <c r="CM49" s="186">
        <v>-2239962.9</v>
      </c>
      <c r="CN49" s="186">
        <v>306434.31</v>
      </c>
      <c r="CO49" s="186">
        <v>-2555683.4500000002</v>
      </c>
      <c r="CP49" s="186">
        <v>-2242925.3199999998</v>
      </c>
      <c r="CQ49" s="186">
        <v>-2379188.7200000002</v>
      </c>
      <c r="CR49" s="186">
        <v>-3300505.6000000001</v>
      </c>
      <c r="CS49" s="186">
        <v>-3019248.11</v>
      </c>
      <c r="CT49" s="186">
        <v>-3348659.75</v>
      </c>
      <c r="CU49" s="186">
        <v>9248676.8599999994</v>
      </c>
      <c r="CV49" s="186">
        <v>2519272.86</v>
      </c>
    </row>
    <row r="50" spans="1:100">
      <c r="A50" s="541" t="str">
        <f t="shared" si="0"/>
        <v>1340200</v>
      </c>
      <c r="B50" s="541" t="s">
        <v>1487</v>
      </c>
      <c r="C50" s="463" t="s">
        <v>625</v>
      </c>
      <c r="D50" s="397">
        <v>25000</v>
      </c>
      <c r="E50" s="397">
        <v>25000</v>
      </c>
      <c r="F50" s="397">
        <v>25000</v>
      </c>
      <c r="G50" s="397">
        <v>25000</v>
      </c>
      <c r="H50" s="397">
        <v>25000</v>
      </c>
      <c r="I50" s="397">
        <v>25000</v>
      </c>
      <c r="J50" s="397">
        <v>25000</v>
      </c>
      <c r="K50" s="397">
        <v>25000</v>
      </c>
      <c r="L50" s="397">
        <v>25000</v>
      </c>
      <c r="M50" s="397">
        <v>25000</v>
      </c>
      <c r="N50" s="397">
        <v>25000</v>
      </c>
      <c r="O50" s="397">
        <v>25000</v>
      </c>
      <c r="P50" s="398">
        <v>25000</v>
      </c>
      <c r="Q50" s="186">
        <v>25000</v>
      </c>
      <c r="R50" s="186">
        <v>25000</v>
      </c>
      <c r="S50" s="186">
        <v>25000</v>
      </c>
      <c r="T50" s="186">
        <v>25000</v>
      </c>
      <c r="U50" s="186">
        <v>25000</v>
      </c>
      <c r="V50" s="186">
        <v>25000</v>
      </c>
      <c r="W50" s="186">
        <v>25000</v>
      </c>
      <c r="X50" s="186">
        <v>25000</v>
      </c>
      <c r="Y50" s="186">
        <v>25000</v>
      </c>
      <c r="Z50" s="186">
        <v>25000</v>
      </c>
      <c r="AA50" s="186">
        <v>25000</v>
      </c>
      <c r="AB50" s="186">
        <v>25000</v>
      </c>
      <c r="AC50" s="186">
        <v>25000</v>
      </c>
      <c r="AD50" s="186">
        <v>25000</v>
      </c>
      <c r="AE50" s="186">
        <v>25000</v>
      </c>
      <c r="AF50" s="186">
        <v>25000</v>
      </c>
      <c r="AG50" s="186">
        <v>25000</v>
      </c>
      <c r="AH50" s="186">
        <v>25000</v>
      </c>
      <c r="AI50" s="186">
        <v>25000</v>
      </c>
      <c r="AJ50" s="186">
        <v>25000</v>
      </c>
      <c r="AK50" s="186">
        <v>25000</v>
      </c>
      <c r="AL50" s="186">
        <v>25000</v>
      </c>
      <c r="AM50" s="186">
        <v>25000</v>
      </c>
      <c r="AN50" s="186">
        <v>25000</v>
      </c>
      <c r="AO50" s="186">
        <v>25000</v>
      </c>
      <c r="AP50" s="186">
        <v>25000</v>
      </c>
      <c r="AQ50" s="186">
        <v>25000</v>
      </c>
      <c r="AR50" s="186">
        <v>25000</v>
      </c>
      <c r="AS50" s="186">
        <v>25000</v>
      </c>
      <c r="AT50" s="186">
        <v>25000</v>
      </c>
      <c r="AU50" s="186">
        <v>25000</v>
      </c>
      <c r="AV50" s="186">
        <v>25000</v>
      </c>
      <c r="AW50" s="186">
        <v>25000</v>
      </c>
      <c r="AX50" s="186">
        <v>25000</v>
      </c>
      <c r="AY50" s="186">
        <v>25000</v>
      </c>
      <c r="AZ50" s="186">
        <v>25000</v>
      </c>
      <c r="BA50" s="186">
        <v>25000</v>
      </c>
      <c r="BB50" s="186">
        <v>25000</v>
      </c>
      <c r="BC50" s="186">
        <v>25000</v>
      </c>
      <c r="BD50" s="186">
        <v>25000</v>
      </c>
      <c r="BE50" s="186">
        <v>25000</v>
      </c>
      <c r="BF50" s="186">
        <v>25000</v>
      </c>
      <c r="BG50" s="186">
        <v>25000</v>
      </c>
      <c r="BH50" s="186">
        <v>25000</v>
      </c>
      <c r="BI50" s="186">
        <v>25000</v>
      </c>
      <c r="BJ50" s="186">
        <v>25000</v>
      </c>
      <c r="BK50" s="186">
        <v>25000</v>
      </c>
      <c r="BL50" s="186">
        <v>25000</v>
      </c>
      <c r="BM50" s="186">
        <v>25000</v>
      </c>
      <c r="BN50" s="186">
        <v>25000</v>
      </c>
      <c r="BO50" s="186">
        <v>25000</v>
      </c>
      <c r="BP50" s="186">
        <v>25000</v>
      </c>
      <c r="BQ50" s="186">
        <v>25000</v>
      </c>
      <c r="BR50" s="186">
        <v>25000</v>
      </c>
      <c r="BS50" s="186">
        <v>25000</v>
      </c>
      <c r="BT50" s="186">
        <v>25000</v>
      </c>
      <c r="BU50" s="186">
        <v>25000</v>
      </c>
      <c r="BV50" s="186">
        <v>25000</v>
      </c>
      <c r="BW50" s="186">
        <v>25000</v>
      </c>
      <c r="BX50" s="186">
        <v>25000</v>
      </c>
      <c r="BY50" s="186">
        <v>25000</v>
      </c>
      <c r="BZ50" s="186">
        <v>25000</v>
      </c>
      <c r="CA50" s="186">
        <v>25000</v>
      </c>
      <c r="CB50" s="186">
        <v>25000</v>
      </c>
      <c r="CC50" s="186">
        <v>25000</v>
      </c>
      <c r="CD50" s="186">
        <v>25000</v>
      </c>
      <c r="CE50" s="186">
        <v>25000</v>
      </c>
      <c r="CF50" s="186">
        <v>25000</v>
      </c>
      <c r="CG50" s="186">
        <v>25000</v>
      </c>
      <c r="CH50" s="186">
        <v>25000</v>
      </c>
      <c r="CI50" s="186">
        <v>25000</v>
      </c>
      <c r="CJ50" s="186">
        <v>25000</v>
      </c>
      <c r="CK50" s="186">
        <v>25000</v>
      </c>
      <c r="CL50" s="186">
        <v>25000</v>
      </c>
      <c r="CM50" s="186">
        <v>25000</v>
      </c>
      <c r="CN50" s="186">
        <v>25000</v>
      </c>
      <c r="CO50" s="186">
        <v>25000</v>
      </c>
      <c r="CP50" s="186">
        <v>25000</v>
      </c>
      <c r="CQ50" s="186">
        <v>25000</v>
      </c>
      <c r="CR50" s="186">
        <v>25000</v>
      </c>
      <c r="CS50" s="186">
        <v>25000</v>
      </c>
      <c r="CT50" s="186">
        <v>25000</v>
      </c>
      <c r="CU50" s="186">
        <v>25000</v>
      </c>
      <c r="CV50" s="186">
        <v>25000</v>
      </c>
    </row>
    <row r="51" spans="1:100">
      <c r="A51" s="541" t="str">
        <f t="shared" si="0"/>
        <v>1350000</v>
      </c>
      <c r="B51" s="541" t="s">
        <v>1488</v>
      </c>
      <c r="C51" s="463" t="s">
        <v>626</v>
      </c>
      <c r="D51" s="397">
        <v>3500</v>
      </c>
      <c r="E51" s="397">
        <v>3500</v>
      </c>
      <c r="F51" s="397">
        <v>3500</v>
      </c>
      <c r="G51" s="397">
        <v>3500</v>
      </c>
      <c r="H51" s="397">
        <v>3500</v>
      </c>
      <c r="I51" s="397">
        <v>3500</v>
      </c>
      <c r="J51" s="397">
        <v>3500</v>
      </c>
      <c r="K51" s="397">
        <v>3450</v>
      </c>
      <c r="L51" s="397">
        <v>3450</v>
      </c>
      <c r="M51" s="397">
        <v>3450</v>
      </c>
      <c r="N51" s="397">
        <v>3450</v>
      </c>
      <c r="O51" s="397">
        <v>3450</v>
      </c>
      <c r="P51" s="398">
        <v>3450</v>
      </c>
      <c r="Q51" s="186">
        <v>3450</v>
      </c>
      <c r="R51" s="186">
        <v>3450</v>
      </c>
      <c r="S51" s="186">
        <v>3450</v>
      </c>
      <c r="T51" s="186">
        <v>3450</v>
      </c>
      <c r="U51" s="186">
        <v>2950</v>
      </c>
      <c r="V51" s="186">
        <v>2950</v>
      </c>
      <c r="W51" s="186">
        <v>2950</v>
      </c>
      <c r="X51" s="186">
        <v>2950</v>
      </c>
      <c r="Y51" s="186">
        <v>2950</v>
      </c>
      <c r="Z51" s="186">
        <v>2950</v>
      </c>
      <c r="AA51" s="186">
        <v>2950</v>
      </c>
      <c r="AB51" s="186">
        <v>2950</v>
      </c>
      <c r="AC51" s="186">
        <v>2950</v>
      </c>
      <c r="AD51" s="186">
        <v>2950</v>
      </c>
      <c r="AE51" s="186">
        <v>2950</v>
      </c>
      <c r="AF51" s="186">
        <v>2950</v>
      </c>
      <c r="AG51" s="186">
        <v>2950</v>
      </c>
      <c r="AH51" s="186">
        <v>2950</v>
      </c>
      <c r="AI51" s="186">
        <v>2950</v>
      </c>
      <c r="AJ51" s="186">
        <v>2950</v>
      </c>
      <c r="AK51" s="186">
        <v>3450</v>
      </c>
      <c r="AL51" s="186">
        <v>3450</v>
      </c>
      <c r="AM51" s="186">
        <v>2950</v>
      </c>
      <c r="AN51" s="186">
        <v>2950</v>
      </c>
      <c r="AO51" s="186">
        <v>2950</v>
      </c>
      <c r="AP51" s="186">
        <v>2950</v>
      </c>
      <c r="AQ51" s="186">
        <v>2950</v>
      </c>
      <c r="AR51" s="186">
        <v>2950</v>
      </c>
      <c r="AS51" s="186">
        <v>2950</v>
      </c>
      <c r="AT51" s="186">
        <v>2950</v>
      </c>
      <c r="AU51" s="186">
        <v>2950</v>
      </c>
      <c r="AV51" s="186">
        <v>2950</v>
      </c>
      <c r="AW51" s="186">
        <v>2950</v>
      </c>
      <c r="AX51" s="186">
        <v>2950</v>
      </c>
      <c r="AY51" s="186">
        <v>2950</v>
      </c>
      <c r="AZ51" s="186">
        <v>2950</v>
      </c>
      <c r="BA51" s="186">
        <v>2950</v>
      </c>
      <c r="BB51" s="186">
        <v>2950</v>
      </c>
      <c r="BC51" s="186">
        <v>2950</v>
      </c>
      <c r="BD51" s="186">
        <v>2950</v>
      </c>
      <c r="BE51" s="186">
        <v>2950</v>
      </c>
      <c r="BF51" s="186">
        <v>2950</v>
      </c>
      <c r="BG51" s="186">
        <v>2950</v>
      </c>
      <c r="BH51" s="186">
        <v>2950</v>
      </c>
      <c r="BI51" s="186">
        <v>2950</v>
      </c>
      <c r="BJ51" s="186">
        <v>2950</v>
      </c>
      <c r="BK51" s="186">
        <v>2950</v>
      </c>
      <c r="BL51" s="186">
        <v>2950</v>
      </c>
      <c r="BM51" s="186">
        <v>2950</v>
      </c>
      <c r="BN51" s="186">
        <v>2950</v>
      </c>
      <c r="BO51" s="186">
        <v>2950</v>
      </c>
      <c r="BP51" s="186">
        <v>2950</v>
      </c>
      <c r="BQ51" s="186">
        <v>2950</v>
      </c>
      <c r="BR51" s="186">
        <v>2950</v>
      </c>
      <c r="BS51" s="186">
        <v>2950</v>
      </c>
      <c r="BT51" s="186">
        <v>2950</v>
      </c>
      <c r="BU51" s="186">
        <v>2950</v>
      </c>
      <c r="BV51" s="186">
        <v>2950</v>
      </c>
      <c r="BW51" s="186">
        <v>2950</v>
      </c>
      <c r="BX51" s="186">
        <v>2950</v>
      </c>
      <c r="BY51" s="186">
        <v>2950</v>
      </c>
      <c r="BZ51" s="186">
        <v>2950</v>
      </c>
      <c r="CA51" s="186">
        <v>2950</v>
      </c>
      <c r="CB51" s="186">
        <v>2950</v>
      </c>
      <c r="CC51" s="186">
        <v>2950</v>
      </c>
      <c r="CD51" s="186">
        <v>2950</v>
      </c>
      <c r="CE51" s="186">
        <v>2950</v>
      </c>
      <c r="CF51" s="186">
        <v>2950</v>
      </c>
      <c r="CG51" s="186">
        <v>2950</v>
      </c>
      <c r="CH51" s="186">
        <v>2950</v>
      </c>
      <c r="CI51" s="186">
        <v>2950</v>
      </c>
      <c r="CJ51" s="186">
        <v>2950</v>
      </c>
      <c r="CK51" s="186">
        <v>2950</v>
      </c>
      <c r="CL51" s="186">
        <v>2950</v>
      </c>
      <c r="CM51" s="186">
        <v>2950</v>
      </c>
      <c r="CN51" s="186">
        <v>2950</v>
      </c>
      <c r="CO51" s="186">
        <v>2950</v>
      </c>
      <c r="CP51" s="186">
        <v>2950</v>
      </c>
      <c r="CQ51" s="186">
        <v>2950</v>
      </c>
      <c r="CR51" s="186">
        <v>2950</v>
      </c>
      <c r="CS51" s="186">
        <v>2950</v>
      </c>
      <c r="CT51" s="186">
        <v>2950</v>
      </c>
      <c r="CU51" s="186">
        <v>2950</v>
      </c>
      <c r="CV51" s="186">
        <v>2950</v>
      </c>
    </row>
    <row r="52" spans="1:100">
      <c r="A52" s="541" t="str">
        <f t="shared" si="0"/>
        <v>1420400</v>
      </c>
      <c r="B52" s="541" t="s">
        <v>1775</v>
      </c>
      <c r="C52" s="463" t="s">
        <v>1773</v>
      </c>
      <c r="D52" s="397"/>
      <c r="E52" s="397"/>
      <c r="F52" s="397"/>
      <c r="G52" s="397"/>
      <c r="H52" s="397"/>
      <c r="I52" s="397"/>
      <c r="J52" s="397"/>
      <c r="K52" s="397"/>
      <c r="L52" s="397"/>
      <c r="M52" s="397"/>
      <c r="N52" s="397"/>
      <c r="O52" s="397"/>
      <c r="P52" s="398"/>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v>25568247.780000001</v>
      </c>
      <c r="AP52" s="186">
        <v>26752718.670000002</v>
      </c>
      <c r="AQ52" s="186">
        <v>22643359.32</v>
      </c>
      <c r="AR52" s="186">
        <v>24049024.02</v>
      </c>
      <c r="AS52" s="186">
        <v>20824640.829999998</v>
      </c>
      <c r="AT52" s="186">
        <v>19134322.170000002</v>
      </c>
      <c r="AU52" s="186">
        <v>18573233.079999998</v>
      </c>
      <c r="AV52" s="186">
        <v>14873248.439999999</v>
      </c>
      <c r="AW52" s="186">
        <v>19546545.170000002</v>
      </c>
      <c r="AX52" s="186">
        <v>17574397.530000001</v>
      </c>
      <c r="AY52" s="186">
        <v>21378201.82</v>
      </c>
      <c r="AZ52" s="186">
        <v>25220364.420000002</v>
      </c>
      <c r="BA52" s="186">
        <v>33998061.049999997</v>
      </c>
      <c r="BB52" s="186">
        <v>31050787.07</v>
      </c>
      <c r="BC52" s="186">
        <v>26543834.23</v>
      </c>
      <c r="BD52" s="186">
        <v>27168187.940000001</v>
      </c>
      <c r="BE52" s="186">
        <v>22659335.059999999</v>
      </c>
      <c r="BF52" s="186">
        <v>21542336.32</v>
      </c>
      <c r="BG52" s="186">
        <v>20060723.140000001</v>
      </c>
      <c r="BH52" s="186">
        <v>16932231.059999999</v>
      </c>
      <c r="BI52" s="186">
        <v>22029116.82</v>
      </c>
      <c r="BJ52" s="186">
        <v>19584560.550000001</v>
      </c>
      <c r="BK52" s="186">
        <v>21530275.149999999</v>
      </c>
      <c r="BL52" s="186">
        <v>25510306.289999999</v>
      </c>
      <c r="BM52" s="186">
        <v>28138943.129999999</v>
      </c>
      <c r="BN52" s="186">
        <v>29865132.850000001</v>
      </c>
      <c r="BO52" s="186">
        <v>27188493.48</v>
      </c>
      <c r="BP52" s="186">
        <v>24115802.109999999</v>
      </c>
      <c r="BQ52" s="186">
        <v>21043844.59</v>
      </c>
      <c r="BR52" s="186">
        <v>20508936.23</v>
      </c>
      <c r="BS52" s="186">
        <v>18497831.829999998</v>
      </c>
      <c r="BT52" s="186">
        <v>17018307.600000001</v>
      </c>
      <c r="BU52" s="186">
        <v>19383604.25</v>
      </c>
      <c r="BV52" s="186">
        <v>17383938.379999999</v>
      </c>
      <c r="BW52" s="186">
        <v>21813502.469999999</v>
      </c>
      <c r="BX52" s="186">
        <v>26207841.449999999</v>
      </c>
      <c r="BY52" s="186">
        <v>28814229.329999998</v>
      </c>
      <c r="BZ52" s="186">
        <v>29457788.809999999</v>
      </c>
      <c r="CA52" s="186">
        <v>26732166.68</v>
      </c>
      <c r="CB52" s="186">
        <v>24042297.670000002</v>
      </c>
      <c r="CC52" s="186">
        <v>23768990.760000002</v>
      </c>
      <c r="CD52" s="186">
        <v>21895029.829999998</v>
      </c>
      <c r="CE52" s="186">
        <v>20012870.460000001</v>
      </c>
      <c r="CF52" s="186">
        <v>20937102.98</v>
      </c>
      <c r="CG52" s="186">
        <v>20879257.16</v>
      </c>
      <c r="CH52" s="186">
        <v>20212337.640000001</v>
      </c>
      <c r="CI52" s="186">
        <v>24110219.210000001</v>
      </c>
      <c r="CJ52" s="186">
        <v>27398149.84</v>
      </c>
      <c r="CK52" s="186">
        <v>39748767.259999998</v>
      </c>
      <c r="CL52" s="186">
        <v>40559043.670000002</v>
      </c>
      <c r="CM52" s="186">
        <v>34244077.100000001</v>
      </c>
      <c r="CN52" s="186">
        <v>33226670.600000001</v>
      </c>
      <c r="CO52" s="186">
        <v>29943858.16</v>
      </c>
      <c r="CP52" s="186">
        <v>27209510.16</v>
      </c>
      <c r="CQ52" s="186">
        <v>27514498.629999999</v>
      </c>
      <c r="CR52" s="186">
        <v>24352948.850000001</v>
      </c>
      <c r="CS52" s="186">
        <v>26152595.670000002</v>
      </c>
      <c r="CT52" s="186">
        <v>26343935.699999999</v>
      </c>
      <c r="CU52" s="186">
        <v>29144009.329999998</v>
      </c>
      <c r="CV52" s="186">
        <v>35036564.810000002</v>
      </c>
    </row>
    <row r="53" spans="1:100">
      <c r="A53" s="541" t="str">
        <f t="shared" si="0"/>
        <v>1420401</v>
      </c>
      <c r="B53" s="541" t="s">
        <v>1776</v>
      </c>
      <c r="C53" s="463" t="s">
        <v>1774</v>
      </c>
      <c r="D53" s="397"/>
      <c r="E53" s="397"/>
      <c r="F53" s="397"/>
      <c r="G53" s="397"/>
      <c r="H53" s="397"/>
      <c r="I53" s="397"/>
      <c r="J53" s="397"/>
      <c r="K53" s="397"/>
      <c r="L53" s="397"/>
      <c r="M53" s="397"/>
      <c r="N53" s="397"/>
      <c r="O53" s="397"/>
      <c r="P53" s="398"/>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v>11185.56</v>
      </c>
      <c r="AP53" s="186">
        <v>30777.66</v>
      </c>
      <c r="AQ53" s="186">
        <v>36501.519999999997</v>
      </c>
      <c r="AR53" s="186">
        <v>-80484.22</v>
      </c>
      <c r="AS53" s="186">
        <v>-16606.82</v>
      </c>
      <c r="AT53" s="186">
        <v>4028.45</v>
      </c>
      <c r="AU53" s="186">
        <v>6724.84</v>
      </c>
      <c r="AV53" s="186">
        <v>263.73</v>
      </c>
      <c r="AW53" s="186">
        <v>-1191.98</v>
      </c>
      <c r="AX53" s="186">
        <v>-108914.4</v>
      </c>
      <c r="AY53" s="186">
        <v>-10940.85</v>
      </c>
      <c r="AZ53" s="186">
        <v>-13449.28</v>
      </c>
      <c r="BA53" s="186">
        <v>-25965.27</v>
      </c>
      <c r="BB53" s="186">
        <v>-40801.53</v>
      </c>
      <c r="BC53" s="186">
        <v>-48348.22</v>
      </c>
      <c r="BD53" s="186">
        <v>-47002.96</v>
      </c>
      <c r="BE53" s="186">
        <v>-53685.38</v>
      </c>
      <c r="BF53" s="186">
        <v>-51878.73</v>
      </c>
      <c r="BG53" s="186">
        <v>-51179.11</v>
      </c>
      <c r="BH53" s="186">
        <v>-50901.94</v>
      </c>
      <c r="BI53" s="186">
        <v>-42058.879999999997</v>
      </c>
      <c r="BJ53" s="186">
        <v>-49684.160000000003</v>
      </c>
      <c r="BK53" s="186">
        <v>-53384.21</v>
      </c>
      <c r="BL53" s="186">
        <v>-71966.92</v>
      </c>
      <c r="BM53" s="186">
        <v>-68560.490000000005</v>
      </c>
      <c r="BN53" s="186">
        <v>-63792.56</v>
      </c>
      <c r="BO53" s="186">
        <v>-72149.61</v>
      </c>
      <c r="BP53" s="186">
        <v>-69111.31</v>
      </c>
      <c r="BQ53" s="186">
        <v>-78826.31</v>
      </c>
      <c r="BR53" s="186">
        <v>-78177.960000000006</v>
      </c>
      <c r="BS53" s="186">
        <v>-68677.62</v>
      </c>
      <c r="BT53" s="186">
        <v>-75885.05</v>
      </c>
      <c r="BU53" s="186">
        <v>-68324.73</v>
      </c>
      <c r="BV53" s="186">
        <v>-112332.35</v>
      </c>
      <c r="BW53" s="186">
        <v>-81968.179999999993</v>
      </c>
      <c r="BX53" s="186">
        <v>-97196.91</v>
      </c>
      <c r="BY53" s="186">
        <v>-93024.48</v>
      </c>
      <c r="BZ53" s="186">
        <v>-95902.14</v>
      </c>
      <c r="CA53" s="186">
        <v>-105822.94</v>
      </c>
      <c r="CB53" s="186">
        <v>-109230.5</v>
      </c>
      <c r="CC53" s="186">
        <v>-112703.52</v>
      </c>
      <c r="CD53" s="186">
        <v>-120985.16</v>
      </c>
      <c r="CE53" s="186">
        <v>-122686.29</v>
      </c>
      <c r="CF53" s="186">
        <v>-130415.29</v>
      </c>
      <c r="CG53" s="186">
        <v>-135428.31</v>
      </c>
      <c r="CH53" s="186">
        <v>-139068.22</v>
      </c>
      <c r="CI53" s="186">
        <v>-140837.76999999999</v>
      </c>
      <c r="CJ53" s="186">
        <v>-159921.63</v>
      </c>
      <c r="CK53" s="186">
        <v>-145598.48000000001</v>
      </c>
      <c r="CL53" s="186">
        <v>-140101.26</v>
      </c>
      <c r="CM53" s="186">
        <v>-183278.41</v>
      </c>
      <c r="CN53" s="186">
        <v>-182658.71</v>
      </c>
      <c r="CO53" s="186">
        <v>-176968.09</v>
      </c>
      <c r="CP53" s="186">
        <v>-166008.39000000001</v>
      </c>
      <c r="CQ53" s="186">
        <v>-170118.2</v>
      </c>
      <c r="CR53" s="186">
        <v>-171818.75</v>
      </c>
      <c r="CS53" s="186">
        <v>-150318.01</v>
      </c>
      <c r="CT53" s="186">
        <v>-156516.12</v>
      </c>
      <c r="CU53" s="186">
        <v>-169089.47</v>
      </c>
      <c r="CV53" s="186">
        <v>-194939.71</v>
      </c>
    </row>
    <row r="54" spans="1:100">
      <c r="A54" s="541" t="str">
        <f t="shared" si="0"/>
        <v>1420500</v>
      </c>
      <c r="B54" s="541" t="s">
        <v>1489</v>
      </c>
      <c r="C54" s="463" t="s">
        <v>627</v>
      </c>
      <c r="D54" s="397">
        <v>20129818.18</v>
      </c>
      <c r="E54" s="397">
        <v>27584524.829999998</v>
      </c>
      <c r="F54" s="397">
        <v>27329632.710000001</v>
      </c>
      <c r="G54" s="397">
        <v>24242990.359999999</v>
      </c>
      <c r="H54" s="397">
        <v>21283098.43</v>
      </c>
      <c r="I54" s="397">
        <v>18624678.899999999</v>
      </c>
      <c r="J54" s="397">
        <v>17741900.280000001</v>
      </c>
      <c r="K54" s="397">
        <v>17780622.300000001</v>
      </c>
      <c r="L54" s="397">
        <v>15694632.060000001</v>
      </c>
      <c r="M54" s="397">
        <v>16187363.539999999</v>
      </c>
      <c r="N54" s="397">
        <v>17331657.289999999</v>
      </c>
      <c r="O54" s="397">
        <v>18519179.260000002</v>
      </c>
      <c r="P54" s="398">
        <v>22554790.969999999</v>
      </c>
      <c r="Q54" s="186">
        <v>26841211.82</v>
      </c>
      <c r="R54" s="186">
        <v>25861303.079999998</v>
      </c>
      <c r="S54" s="186">
        <v>24515305.02</v>
      </c>
      <c r="T54" s="186">
        <v>20821888.870000001</v>
      </c>
      <c r="U54" s="186">
        <v>17359076.68</v>
      </c>
      <c r="V54" s="186">
        <v>17899073.399999999</v>
      </c>
      <c r="W54" s="186">
        <v>19745102.52</v>
      </c>
      <c r="X54" s="186">
        <v>16469940.49</v>
      </c>
      <c r="Y54" s="186">
        <v>17441519.629999999</v>
      </c>
      <c r="Z54" s="186">
        <v>17980077.600000001</v>
      </c>
      <c r="AA54" s="186">
        <v>17055092.949999999</v>
      </c>
      <c r="AB54" s="186">
        <v>19380147.300000001</v>
      </c>
      <c r="AC54" s="186">
        <v>24902354.800000001</v>
      </c>
      <c r="AD54" s="186">
        <v>26165765.68</v>
      </c>
      <c r="AE54" s="186">
        <v>22452608.18</v>
      </c>
      <c r="AF54" s="186">
        <v>20112518.43</v>
      </c>
      <c r="AG54" s="186">
        <v>17311711.41</v>
      </c>
      <c r="AH54" s="186">
        <v>17600430.510000002</v>
      </c>
      <c r="AI54" s="186">
        <v>13948883.41</v>
      </c>
      <c r="AJ54" s="186">
        <v>12810488.74</v>
      </c>
      <c r="AK54" s="186">
        <v>13124306.140000001</v>
      </c>
      <c r="AL54" s="186">
        <v>13062235.960000001</v>
      </c>
      <c r="AM54" s="186">
        <v>14169123.369999999</v>
      </c>
      <c r="AN54" s="186">
        <v>17217019.07</v>
      </c>
      <c r="AO54" s="186">
        <v>0</v>
      </c>
      <c r="AP54" s="186">
        <v>0</v>
      </c>
      <c r="AQ54" s="186">
        <v>0</v>
      </c>
      <c r="AR54" s="186">
        <v>0</v>
      </c>
      <c r="AS54" s="186">
        <v>0</v>
      </c>
      <c r="AT54" s="186">
        <v>0</v>
      </c>
      <c r="AU54" s="186">
        <v>0</v>
      </c>
      <c r="AV54" s="186">
        <v>0</v>
      </c>
      <c r="AW54" s="186">
        <v>0</v>
      </c>
      <c r="AX54" s="186">
        <v>0</v>
      </c>
      <c r="AY54" s="186">
        <v>0</v>
      </c>
      <c r="AZ54" s="186">
        <v>0</v>
      </c>
      <c r="BA54" s="186">
        <v>0</v>
      </c>
      <c r="BB54" s="186">
        <v>0</v>
      </c>
      <c r="BC54" s="186">
        <v>0</v>
      </c>
      <c r="BD54" s="186">
        <v>0</v>
      </c>
      <c r="BE54" s="186">
        <v>0</v>
      </c>
      <c r="BF54" s="186">
        <v>0</v>
      </c>
      <c r="BG54" s="186">
        <v>0</v>
      </c>
      <c r="BH54" s="186">
        <v>0</v>
      </c>
      <c r="BI54" s="186">
        <v>0</v>
      </c>
      <c r="BJ54" s="186">
        <v>0</v>
      </c>
      <c r="BK54" s="186">
        <v>0</v>
      </c>
      <c r="BL54" s="186">
        <v>0</v>
      </c>
      <c r="BM54" s="186">
        <v>0</v>
      </c>
      <c r="BN54" s="186">
        <v>0</v>
      </c>
      <c r="BO54" s="186">
        <v>0</v>
      </c>
      <c r="BP54" s="186">
        <v>0</v>
      </c>
      <c r="BQ54" s="186">
        <v>0</v>
      </c>
      <c r="BR54" s="186">
        <v>0</v>
      </c>
      <c r="BS54" s="186">
        <v>0</v>
      </c>
      <c r="BT54" s="186">
        <v>0</v>
      </c>
      <c r="BU54" s="186">
        <v>0</v>
      </c>
      <c r="BV54" s="186">
        <v>0</v>
      </c>
      <c r="BW54" s="186">
        <v>0</v>
      </c>
      <c r="BX54" s="186">
        <v>0</v>
      </c>
      <c r="BY54" s="186">
        <v>0</v>
      </c>
      <c r="BZ54" s="186">
        <v>0</v>
      </c>
      <c r="CA54" s="186">
        <v>0</v>
      </c>
      <c r="CB54" s="186">
        <v>0</v>
      </c>
      <c r="CC54" s="186">
        <v>0</v>
      </c>
      <c r="CD54" s="186">
        <v>0</v>
      </c>
      <c r="CE54" s="186">
        <v>0</v>
      </c>
      <c r="CF54" s="186">
        <v>0</v>
      </c>
      <c r="CG54" s="186">
        <v>0</v>
      </c>
      <c r="CH54" s="186">
        <v>0</v>
      </c>
      <c r="CI54" s="186">
        <v>0</v>
      </c>
      <c r="CJ54" s="186">
        <v>0</v>
      </c>
      <c r="CK54" s="186">
        <v>0</v>
      </c>
      <c r="CL54" s="186">
        <v>0</v>
      </c>
      <c r="CM54" s="186">
        <v>0</v>
      </c>
      <c r="CN54" s="186">
        <v>0</v>
      </c>
      <c r="CO54" s="186">
        <v>0</v>
      </c>
      <c r="CP54" s="186">
        <v>0</v>
      </c>
      <c r="CQ54" s="186">
        <v>0</v>
      </c>
      <c r="CR54" s="186">
        <v>0</v>
      </c>
      <c r="CS54" s="186">
        <v>0</v>
      </c>
      <c r="CT54" s="186">
        <v>0</v>
      </c>
      <c r="CU54" s="186">
        <v>0</v>
      </c>
      <c r="CV54" s="186">
        <v>0</v>
      </c>
    </row>
    <row r="55" spans="1:100">
      <c r="A55" s="541" t="str">
        <f t="shared" si="0"/>
        <v>1420510</v>
      </c>
      <c r="B55" s="541" t="s">
        <v>1579</v>
      </c>
      <c r="C55" s="463" t="s">
        <v>628</v>
      </c>
      <c r="D55" s="397">
        <v>70754.850000000006</v>
      </c>
      <c r="E55" s="397">
        <v>64414.31</v>
      </c>
      <c r="F55" s="397">
        <v>56935.39</v>
      </c>
      <c r="G55" s="397">
        <v>47934.86</v>
      </c>
      <c r="H55" s="397">
        <v>38911.870000000003</v>
      </c>
      <c r="I55" s="397">
        <v>34064.43</v>
      </c>
      <c r="J55" s="397">
        <v>33648.629999999997</v>
      </c>
      <c r="K55" s="397">
        <v>37341.449999999997</v>
      </c>
      <c r="L55" s="397">
        <v>110549.43</v>
      </c>
      <c r="M55" s="397">
        <v>102103.26</v>
      </c>
      <c r="N55" s="397">
        <v>93326.68</v>
      </c>
      <c r="O55" s="397">
        <v>83176.320000000007</v>
      </c>
      <c r="P55" s="398">
        <v>79871.990000000005</v>
      </c>
      <c r="Q55" s="186">
        <v>73946.179999999993</v>
      </c>
      <c r="R55" s="186">
        <v>71365.38</v>
      </c>
      <c r="S55" s="186">
        <v>66523.58</v>
      </c>
      <c r="T55" s="186">
        <v>61791.71</v>
      </c>
      <c r="U55" s="186">
        <v>57416.47</v>
      </c>
      <c r="V55" s="186">
        <v>53400.95</v>
      </c>
      <c r="W55" s="186">
        <v>147881.82999999999</v>
      </c>
      <c r="X55" s="186">
        <v>142368.29</v>
      </c>
      <c r="Y55" s="186">
        <v>121855.74</v>
      </c>
      <c r="Z55" s="186">
        <v>137988.62</v>
      </c>
      <c r="AA55" s="186">
        <v>132441.56</v>
      </c>
      <c r="AB55" s="186">
        <v>126894.5</v>
      </c>
      <c r="AC55" s="186">
        <v>123164.26</v>
      </c>
      <c r="AD55" s="186">
        <v>139340</v>
      </c>
      <c r="AE55" s="186">
        <v>111689.03</v>
      </c>
      <c r="AF55" s="186">
        <v>105960.87</v>
      </c>
      <c r="AG55" s="186">
        <v>100232.67</v>
      </c>
      <c r="AH55" s="186">
        <v>14538.78</v>
      </c>
      <c r="AI55" s="186">
        <v>11680.56</v>
      </c>
      <c r="AJ55" s="186">
        <v>5973.62</v>
      </c>
      <c r="AK55" s="186">
        <v>3594.75</v>
      </c>
      <c r="AL55" s="186">
        <v>4690.54</v>
      </c>
      <c r="AM55" s="186">
        <v>3903.08</v>
      </c>
      <c r="AN55" s="186">
        <v>3115.62</v>
      </c>
      <c r="AO55" s="186">
        <v>0</v>
      </c>
      <c r="AP55" s="186">
        <v>0</v>
      </c>
      <c r="AQ55" s="186">
        <v>0</v>
      </c>
      <c r="AR55" s="186">
        <v>0</v>
      </c>
      <c r="AS55" s="186">
        <v>0</v>
      </c>
      <c r="AT55" s="186">
        <v>0</v>
      </c>
      <c r="AU55" s="186">
        <v>0</v>
      </c>
      <c r="AV55" s="186">
        <v>0</v>
      </c>
      <c r="AW55" s="186">
        <v>0</v>
      </c>
      <c r="AX55" s="186">
        <v>0</v>
      </c>
      <c r="AY55" s="186">
        <v>0</v>
      </c>
      <c r="AZ55" s="186">
        <v>0</v>
      </c>
      <c r="BA55" s="186">
        <v>0</v>
      </c>
      <c r="BB55" s="186">
        <v>0</v>
      </c>
      <c r="BC55" s="186">
        <v>0</v>
      </c>
      <c r="BD55" s="186">
        <v>0</v>
      </c>
      <c r="BE55" s="186">
        <v>0</v>
      </c>
      <c r="BF55" s="186">
        <v>0</v>
      </c>
      <c r="BG55" s="186">
        <v>0</v>
      </c>
      <c r="BH55" s="186">
        <v>0</v>
      </c>
      <c r="BI55" s="186">
        <v>0</v>
      </c>
      <c r="BJ55" s="186">
        <v>0</v>
      </c>
      <c r="BK55" s="186">
        <v>0</v>
      </c>
      <c r="BL55" s="186">
        <v>0</v>
      </c>
      <c r="BM55" s="186">
        <v>0</v>
      </c>
      <c r="BN55" s="186">
        <v>0</v>
      </c>
      <c r="BO55" s="186">
        <v>0</v>
      </c>
      <c r="BP55" s="186">
        <v>0</v>
      </c>
      <c r="BQ55" s="186">
        <v>0</v>
      </c>
      <c r="BR55" s="186">
        <v>0</v>
      </c>
      <c r="BS55" s="186">
        <v>0</v>
      </c>
      <c r="BT55" s="186">
        <v>0</v>
      </c>
      <c r="BU55" s="186">
        <v>0</v>
      </c>
      <c r="BV55" s="186">
        <v>0</v>
      </c>
      <c r="BW55" s="186">
        <v>0</v>
      </c>
      <c r="BX55" s="186">
        <v>0</v>
      </c>
      <c r="BY55" s="186">
        <v>0</v>
      </c>
      <c r="BZ55" s="186">
        <v>0</v>
      </c>
      <c r="CA55" s="186">
        <v>0</v>
      </c>
      <c r="CB55" s="186">
        <v>0</v>
      </c>
      <c r="CC55" s="186">
        <v>0</v>
      </c>
      <c r="CD55" s="186">
        <v>0</v>
      </c>
      <c r="CE55" s="186">
        <v>0</v>
      </c>
      <c r="CF55" s="186">
        <v>0</v>
      </c>
      <c r="CG55" s="186">
        <v>0</v>
      </c>
      <c r="CH55" s="186">
        <v>0</v>
      </c>
      <c r="CI55" s="186">
        <v>0</v>
      </c>
      <c r="CJ55" s="186">
        <v>0</v>
      </c>
      <c r="CK55" s="186">
        <v>0</v>
      </c>
      <c r="CL55" s="186">
        <v>0</v>
      </c>
      <c r="CM55" s="186">
        <v>0</v>
      </c>
      <c r="CN55" s="186">
        <v>0</v>
      </c>
      <c r="CO55" s="186">
        <v>0</v>
      </c>
      <c r="CP55" s="186">
        <v>0</v>
      </c>
      <c r="CQ55" s="186">
        <v>0</v>
      </c>
      <c r="CR55" s="186">
        <v>0</v>
      </c>
      <c r="CS55" s="186">
        <v>0</v>
      </c>
      <c r="CT55" s="186">
        <v>0</v>
      </c>
      <c r="CU55" s="186">
        <v>0</v>
      </c>
      <c r="CV55" s="186">
        <v>0</v>
      </c>
    </row>
    <row r="56" spans="1:100">
      <c r="A56" s="541" t="str">
        <f t="shared" si="0"/>
        <v>1420520</v>
      </c>
      <c r="B56" s="541" t="s">
        <v>1490</v>
      </c>
      <c r="C56" s="463" t="s">
        <v>629</v>
      </c>
      <c r="D56" s="397">
        <v>1327072.03</v>
      </c>
      <c r="E56" s="397">
        <v>1908100.53</v>
      </c>
      <c r="F56" s="397">
        <v>4463299.4000000004</v>
      </c>
      <c r="G56" s="397">
        <v>3440441.12</v>
      </c>
      <c r="H56" s="397">
        <v>2273487.92</v>
      </c>
      <c r="I56" s="397">
        <v>1330001.8899999999</v>
      </c>
      <c r="J56" s="397">
        <v>2845900.51</v>
      </c>
      <c r="K56" s="397">
        <v>990899.55</v>
      </c>
      <c r="L56" s="397">
        <v>1353672.99</v>
      </c>
      <c r="M56" s="397">
        <v>2181265.06</v>
      </c>
      <c r="N56" s="397">
        <v>1362877.2</v>
      </c>
      <c r="O56" s="397">
        <v>4302890.16</v>
      </c>
      <c r="P56" s="398">
        <v>1314846.26</v>
      </c>
      <c r="Q56" s="186">
        <v>1860125.01</v>
      </c>
      <c r="R56" s="186">
        <v>4666893.54</v>
      </c>
      <c r="S56" s="186">
        <v>2956490.68</v>
      </c>
      <c r="T56" s="186">
        <v>1099732.3799999999</v>
      </c>
      <c r="U56" s="186">
        <v>2768620.87</v>
      </c>
      <c r="V56" s="186">
        <v>1853795.3</v>
      </c>
      <c r="W56" s="186">
        <v>1396030.7</v>
      </c>
      <c r="X56" s="186">
        <v>2523857.06</v>
      </c>
      <c r="Y56" s="186">
        <v>2064367.11</v>
      </c>
      <c r="Z56" s="186">
        <v>1324333.74</v>
      </c>
      <c r="AA56" s="186">
        <v>2950424.98</v>
      </c>
      <c r="AB56" s="186">
        <v>1704245.09</v>
      </c>
      <c r="AC56" s="186">
        <v>3812336.37</v>
      </c>
      <c r="AD56" s="186">
        <v>4467347.3899999997</v>
      </c>
      <c r="AE56" s="186">
        <v>1217972.8600000001</v>
      </c>
      <c r="AF56" s="186">
        <v>1711305.73</v>
      </c>
      <c r="AG56" s="186">
        <v>3165735.05</v>
      </c>
      <c r="AH56" s="186">
        <v>921447.94</v>
      </c>
      <c r="AI56" s="186">
        <v>2744242.89</v>
      </c>
      <c r="AJ56" s="186">
        <v>1335160.45</v>
      </c>
      <c r="AK56" s="186">
        <v>1206590.51</v>
      </c>
      <c r="AL56" s="186">
        <v>1594943.04</v>
      </c>
      <c r="AM56" s="186">
        <v>952464.56</v>
      </c>
      <c r="AN56" s="186">
        <v>0</v>
      </c>
      <c r="AO56" s="186">
        <v>0</v>
      </c>
      <c r="AP56" s="186">
        <v>0</v>
      </c>
      <c r="AQ56" s="186">
        <v>0</v>
      </c>
      <c r="AR56" s="186">
        <v>0</v>
      </c>
      <c r="AS56" s="186">
        <v>0</v>
      </c>
      <c r="AT56" s="186">
        <v>0</v>
      </c>
      <c r="AU56" s="186">
        <v>0</v>
      </c>
      <c r="AV56" s="186">
        <v>0</v>
      </c>
      <c r="AW56" s="186">
        <v>0</v>
      </c>
      <c r="AX56" s="186">
        <v>0</v>
      </c>
      <c r="AY56" s="186">
        <v>0</v>
      </c>
      <c r="AZ56" s="186">
        <v>0</v>
      </c>
      <c r="BA56" s="186">
        <v>0</v>
      </c>
      <c r="BB56" s="186">
        <v>0</v>
      </c>
      <c r="BC56" s="186">
        <v>0</v>
      </c>
      <c r="BD56" s="186">
        <v>0</v>
      </c>
      <c r="BE56" s="186">
        <v>0</v>
      </c>
      <c r="BF56" s="186">
        <v>0</v>
      </c>
      <c r="BG56" s="186">
        <v>0</v>
      </c>
      <c r="BH56" s="186">
        <v>0</v>
      </c>
      <c r="BI56" s="186">
        <v>0</v>
      </c>
      <c r="BJ56" s="186">
        <v>0</v>
      </c>
      <c r="BK56" s="186">
        <v>0</v>
      </c>
      <c r="BL56" s="186">
        <v>0</v>
      </c>
      <c r="BM56" s="186">
        <v>0</v>
      </c>
      <c r="BN56" s="186">
        <v>0</v>
      </c>
      <c r="BO56" s="186">
        <v>0</v>
      </c>
      <c r="BP56" s="186">
        <v>0</v>
      </c>
      <c r="BQ56" s="186">
        <v>0</v>
      </c>
      <c r="BR56" s="186">
        <v>0</v>
      </c>
      <c r="BS56" s="186">
        <v>0</v>
      </c>
      <c r="BT56" s="186">
        <v>0</v>
      </c>
      <c r="BU56" s="186">
        <v>0</v>
      </c>
      <c r="BV56" s="186">
        <v>0</v>
      </c>
      <c r="BW56" s="186">
        <v>0</v>
      </c>
      <c r="BX56" s="186">
        <v>0</v>
      </c>
      <c r="BY56" s="186">
        <v>0</v>
      </c>
      <c r="BZ56" s="186">
        <v>0</v>
      </c>
      <c r="CA56" s="186">
        <v>0</v>
      </c>
      <c r="CB56" s="186">
        <v>0</v>
      </c>
      <c r="CC56" s="186">
        <v>0</v>
      </c>
      <c r="CD56" s="186">
        <v>0</v>
      </c>
      <c r="CE56" s="186">
        <v>0</v>
      </c>
      <c r="CF56" s="186">
        <v>0</v>
      </c>
      <c r="CG56" s="186">
        <v>0</v>
      </c>
      <c r="CH56" s="186">
        <v>0</v>
      </c>
      <c r="CI56" s="186">
        <v>0</v>
      </c>
      <c r="CJ56" s="186">
        <v>0</v>
      </c>
      <c r="CK56" s="186">
        <v>0</v>
      </c>
      <c r="CL56" s="186">
        <v>0</v>
      </c>
      <c r="CM56" s="186">
        <v>0</v>
      </c>
      <c r="CN56" s="186">
        <v>0</v>
      </c>
      <c r="CO56" s="186">
        <v>0</v>
      </c>
      <c r="CP56" s="186">
        <v>0</v>
      </c>
      <c r="CQ56" s="186">
        <v>0</v>
      </c>
      <c r="CR56" s="186">
        <v>0</v>
      </c>
      <c r="CS56" s="186">
        <v>0</v>
      </c>
      <c r="CT56" s="186">
        <v>0</v>
      </c>
      <c r="CU56" s="186">
        <v>0</v>
      </c>
      <c r="CV56" s="186">
        <v>0</v>
      </c>
    </row>
    <row r="57" spans="1:100">
      <c r="A57" s="541" t="str">
        <f t="shared" si="0"/>
        <v>1420530</v>
      </c>
      <c r="B57" s="541" t="s">
        <v>1491</v>
      </c>
      <c r="C57" s="463" t="s">
        <v>630</v>
      </c>
      <c r="D57" s="397">
        <v>-6363.95</v>
      </c>
      <c r="E57" s="397">
        <v>-6251.5</v>
      </c>
      <c r="F57" s="397">
        <v>-36118.18</v>
      </c>
      <c r="G57" s="397">
        <v>-16776.57</v>
      </c>
      <c r="H57" s="397">
        <v>-3698.28</v>
      </c>
      <c r="I57" s="397">
        <v>-6412.59</v>
      </c>
      <c r="J57" s="397">
        <v>-79432.350000000006</v>
      </c>
      <c r="K57" s="397">
        <v>-42417.58</v>
      </c>
      <c r="L57" s="397">
        <v>-10055.700000000001</v>
      </c>
      <c r="M57" s="397">
        <v>-13019.47</v>
      </c>
      <c r="N57" s="397">
        <v>4156.46</v>
      </c>
      <c r="O57" s="397">
        <v>-19411.650000000001</v>
      </c>
      <c r="P57" s="398">
        <v>15557.33</v>
      </c>
      <c r="Q57" s="186">
        <v>360</v>
      </c>
      <c r="R57" s="186">
        <v>6143.82</v>
      </c>
      <c r="S57" s="186">
        <v>-26200.67</v>
      </c>
      <c r="T57" s="186">
        <v>-15776.46</v>
      </c>
      <c r="U57" s="186">
        <v>-16857.54</v>
      </c>
      <c r="V57" s="186">
        <v>-51908.37</v>
      </c>
      <c r="W57" s="186">
        <v>1202.04</v>
      </c>
      <c r="X57" s="186">
        <v>-2230.4499999999998</v>
      </c>
      <c r="Y57" s="186">
        <v>-13613.6</v>
      </c>
      <c r="Z57" s="186">
        <v>11393.56</v>
      </c>
      <c r="AA57" s="186">
        <v>-49576.98</v>
      </c>
      <c r="AB57" s="186">
        <v>-938.9</v>
      </c>
      <c r="AC57" s="186">
        <v>15526.97</v>
      </c>
      <c r="AD57" s="186">
        <v>7139.49</v>
      </c>
      <c r="AE57" s="186">
        <v>-66138.720000000001</v>
      </c>
      <c r="AF57" s="186">
        <v>-18045.240000000002</v>
      </c>
      <c r="AG57" s="186">
        <v>-59676.1</v>
      </c>
      <c r="AH57" s="186">
        <v>-3977.46</v>
      </c>
      <c r="AI57" s="186">
        <v>-26629.69</v>
      </c>
      <c r="AJ57" s="186">
        <v>-1280.29</v>
      </c>
      <c r="AK57" s="186">
        <v>-33628.36</v>
      </c>
      <c r="AL57" s="186">
        <v>-7452.89</v>
      </c>
      <c r="AM57" s="186">
        <v>16191.22</v>
      </c>
      <c r="AN57" s="186">
        <v>70767.570000000007</v>
      </c>
      <c r="AO57" s="186">
        <v>70767.570000000007</v>
      </c>
      <c r="AP57" s="186">
        <v>70767.570000000007</v>
      </c>
      <c r="AQ57" s="186">
        <v>70767.570000000007</v>
      </c>
      <c r="AR57" s="186">
        <v>70767.570000000007</v>
      </c>
      <c r="AS57" s="186">
        <v>70767.570000000007</v>
      </c>
      <c r="AT57" s="186">
        <v>70767.570000000007</v>
      </c>
      <c r="AU57" s="186">
        <v>70767.570000000007</v>
      </c>
      <c r="AV57" s="186">
        <v>70767.570000000007</v>
      </c>
      <c r="AW57" s="186">
        <v>70767.570000000007</v>
      </c>
      <c r="AX57" s="186">
        <v>70767.570000000007</v>
      </c>
      <c r="AY57" s="186">
        <v>70767.570000000007</v>
      </c>
      <c r="AZ57" s="186">
        <v>70767.570000000007</v>
      </c>
      <c r="BA57" s="186">
        <v>70767.570000000007</v>
      </c>
      <c r="BB57" s="186">
        <v>70767.570000000007</v>
      </c>
      <c r="BC57" s="186">
        <v>70767.570000000007</v>
      </c>
      <c r="BD57" s="186">
        <v>70767.570000000007</v>
      </c>
      <c r="BE57" s="186">
        <v>70767.570000000007</v>
      </c>
      <c r="BF57" s="186">
        <v>70767.570000000007</v>
      </c>
      <c r="BG57" s="186">
        <v>70767.570000000007</v>
      </c>
      <c r="BH57" s="186">
        <v>70767.570000000007</v>
      </c>
      <c r="BI57" s="186">
        <v>70767.570000000007</v>
      </c>
      <c r="BJ57" s="186">
        <v>70767.570000000007</v>
      </c>
      <c r="BK57" s="186">
        <v>70767.570000000007</v>
      </c>
      <c r="BL57" s="186">
        <v>70767.570000000007</v>
      </c>
      <c r="BM57" s="186">
        <v>70767.570000000007</v>
      </c>
      <c r="BN57" s="186">
        <v>70767.570000000007</v>
      </c>
      <c r="BO57" s="186">
        <v>70767.570000000007</v>
      </c>
      <c r="BP57" s="186">
        <v>70767.570000000007</v>
      </c>
      <c r="BQ57" s="186">
        <v>70767.570000000007</v>
      </c>
      <c r="BR57" s="186">
        <v>70767.570000000007</v>
      </c>
      <c r="BS57" s="186">
        <v>70767.570000000007</v>
      </c>
      <c r="BT57" s="186">
        <v>70767.570000000007</v>
      </c>
      <c r="BU57" s="186">
        <v>70767.570000000007</v>
      </c>
      <c r="BV57" s="186">
        <v>70767.570000000007</v>
      </c>
      <c r="BW57" s="186">
        <v>70767.570000000007</v>
      </c>
      <c r="BX57" s="186">
        <v>70767.570000000007</v>
      </c>
      <c r="BY57" s="186">
        <v>70767.570000000007</v>
      </c>
      <c r="BZ57" s="186">
        <v>70767.570000000007</v>
      </c>
      <c r="CA57" s="186">
        <v>70767.570000000007</v>
      </c>
      <c r="CB57" s="186">
        <v>70767.570000000007</v>
      </c>
      <c r="CC57" s="186">
        <v>70767.570000000007</v>
      </c>
      <c r="CD57" s="186">
        <v>70767.570000000007</v>
      </c>
      <c r="CE57" s="186">
        <v>70767.570000000007</v>
      </c>
      <c r="CF57" s="186">
        <v>70767.570000000007</v>
      </c>
      <c r="CG57" s="186">
        <v>70767.570000000007</v>
      </c>
      <c r="CH57" s="186">
        <v>70767.570000000007</v>
      </c>
      <c r="CI57" s="186">
        <v>70767.570000000007</v>
      </c>
      <c r="CJ57" s="186">
        <v>70767.570000000007</v>
      </c>
      <c r="CK57" s="186">
        <v>70767.570000000007</v>
      </c>
      <c r="CL57" s="186">
        <v>70767.570000000007</v>
      </c>
      <c r="CM57" s="186">
        <v>70767.570000000007</v>
      </c>
      <c r="CN57" s="186">
        <v>70767.570000000007</v>
      </c>
      <c r="CO57" s="186">
        <v>70767.570000000007</v>
      </c>
      <c r="CP57" s="186">
        <v>70767.570000000007</v>
      </c>
      <c r="CQ57" s="186">
        <v>70767.570000000007</v>
      </c>
      <c r="CR57" s="186">
        <v>70767.570000000007</v>
      </c>
      <c r="CS57" s="186">
        <v>70767.570000000007</v>
      </c>
      <c r="CT57" s="186">
        <v>70767.570000000007</v>
      </c>
      <c r="CU57" s="186">
        <v>70767.570000000007</v>
      </c>
      <c r="CV57" s="186">
        <v>70767.570000000007</v>
      </c>
    </row>
    <row r="58" spans="1:100">
      <c r="A58" s="541" t="str">
        <f t="shared" si="0"/>
        <v>1420540</v>
      </c>
      <c r="B58" s="541" t="s">
        <v>1492</v>
      </c>
      <c r="C58" s="463" t="s">
        <v>631</v>
      </c>
      <c r="D58" s="397">
        <v>-23117.73</v>
      </c>
      <c r="E58" s="397">
        <v>29928.59</v>
      </c>
      <c r="F58" s="397">
        <v>91079.83</v>
      </c>
      <c r="G58" s="397">
        <v>109965.01</v>
      </c>
      <c r="H58" s="397">
        <v>112363.27</v>
      </c>
      <c r="I58" s="397">
        <v>96677.2</v>
      </c>
      <c r="J58" s="397">
        <v>78251.09</v>
      </c>
      <c r="K58" s="397">
        <v>56532.74</v>
      </c>
      <c r="L58" s="397">
        <v>32965.660000000003</v>
      </c>
      <c r="M58" s="397">
        <v>10532.9</v>
      </c>
      <c r="N58" s="397">
        <v>-10885.25</v>
      </c>
      <c r="O58" s="397">
        <v>-19932.900000000001</v>
      </c>
      <c r="P58" s="398">
        <v>2021.01</v>
      </c>
      <c r="Q58" s="186">
        <v>38223.129999999997</v>
      </c>
      <c r="R58" s="186">
        <v>80063.199999999997</v>
      </c>
      <c r="S58" s="186">
        <v>108079.05</v>
      </c>
      <c r="T58" s="186">
        <v>91099.77</v>
      </c>
      <c r="U58" s="186">
        <v>65397.68</v>
      </c>
      <c r="V58" s="186">
        <v>41150.94</v>
      </c>
      <c r="W58" s="186">
        <v>13704.1</v>
      </c>
      <c r="X58" s="186">
        <v>-12349.01</v>
      </c>
      <c r="Y58" s="186">
        <v>-38996.639999999999</v>
      </c>
      <c r="Z58" s="186">
        <v>-62015.61</v>
      </c>
      <c r="AA58" s="186">
        <v>-84519.34</v>
      </c>
      <c r="AB58" s="186">
        <v>-95784.65</v>
      </c>
      <c r="AC58" s="186">
        <v>-74276.789999999994</v>
      </c>
      <c r="AD58" s="186">
        <v>-26768.38</v>
      </c>
      <c r="AE58" s="186">
        <v>-5592.68</v>
      </c>
      <c r="AF58" s="186">
        <v>-7674.08</v>
      </c>
      <c r="AG58" s="186">
        <v>-15191.9</v>
      </c>
      <c r="AH58" s="186">
        <v>-27083.91</v>
      </c>
      <c r="AI58" s="186">
        <v>-42907.11</v>
      </c>
      <c r="AJ58" s="186">
        <v>-57591.67</v>
      </c>
      <c r="AK58" s="186">
        <v>-70843.039999999994</v>
      </c>
      <c r="AL58" s="186">
        <v>-82154</v>
      </c>
      <c r="AM58" s="186">
        <v>-87895.61</v>
      </c>
      <c r="AN58" s="186">
        <v>-82215.710000000006</v>
      </c>
      <c r="AO58" s="186">
        <v>0</v>
      </c>
      <c r="AP58" s="186">
        <v>0</v>
      </c>
      <c r="AQ58" s="186">
        <v>0</v>
      </c>
      <c r="AR58" s="186">
        <v>0</v>
      </c>
      <c r="AS58" s="186">
        <v>0</v>
      </c>
      <c r="AT58" s="186">
        <v>0</v>
      </c>
      <c r="AU58" s="186">
        <v>0</v>
      </c>
      <c r="AV58" s="186">
        <v>0</v>
      </c>
      <c r="AW58" s="186">
        <v>0</v>
      </c>
      <c r="AX58" s="186">
        <v>0</v>
      </c>
      <c r="AY58" s="186">
        <v>0</v>
      </c>
      <c r="AZ58" s="186">
        <v>0</v>
      </c>
      <c r="BA58" s="186">
        <v>0</v>
      </c>
      <c r="BB58" s="186">
        <v>0</v>
      </c>
      <c r="BC58" s="186">
        <v>0</v>
      </c>
      <c r="BD58" s="186">
        <v>0</v>
      </c>
      <c r="BE58" s="186">
        <v>0</v>
      </c>
      <c r="BF58" s="186">
        <v>0</v>
      </c>
      <c r="BG58" s="186">
        <v>0</v>
      </c>
      <c r="BH58" s="186">
        <v>0</v>
      </c>
      <c r="BI58" s="186">
        <v>0</v>
      </c>
      <c r="BJ58" s="186">
        <v>0</v>
      </c>
      <c r="BK58" s="186">
        <v>0</v>
      </c>
      <c r="BL58" s="186">
        <v>0</v>
      </c>
      <c r="BM58" s="186">
        <v>0</v>
      </c>
      <c r="BN58" s="186">
        <v>0</v>
      </c>
      <c r="BO58" s="186">
        <v>0</v>
      </c>
      <c r="BP58" s="186">
        <v>0</v>
      </c>
      <c r="BQ58" s="186">
        <v>0</v>
      </c>
      <c r="BR58" s="186">
        <v>0</v>
      </c>
      <c r="BS58" s="186">
        <v>0</v>
      </c>
      <c r="BT58" s="186">
        <v>0</v>
      </c>
      <c r="BU58" s="186">
        <v>0</v>
      </c>
      <c r="BV58" s="186">
        <v>0</v>
      </c>
      <c r="BW58" s="186">
        <v>0</v>
      </c>
      <c r="BX58" s="186">
        <v>0</v>
      </c>
      <c r="BY58" s="186">
        <v>0</v>
      </c>
      <c r="BZ58" s="186">
        <v>0</v>
      </c>
      <c r="CA58" s="186">
        <v>0</v>
      </c>
      <c r="CB58" s="186">
        <v>0</v>
      </c>
      <c r="CC58" s="186">
        <v>0</v>
      </c>
      <c r="CD58" s="186">
        <v>0</v>
      </c>
      <c r="CE58" s="186">
        <v>0</v>
      </c>
      <c r="CF58" s="186">
        <v>0</v>
      </c>
      <c r="CG58" s="186">
        <v>0</v>
      </c>
      <c r="CH58" s="186">
        <v>0</v>
      </c>
      <c r="CI58" s="186">
        <v>0</v>
      </c>
      <c r="CJ58" s="186">
        <v>0</v>
      </c>
      <c r="CK58" s="186">
        <v>0</v>
      </c>
      <c r="CL58" s="186">
        <v>0</v>
      </c>
      <c r="CM58" s="186">
        <v>0</v>
      </c>
      <c r="CN58" s="186">
        <v>0</v>
      </c>
      <c r="CO58" s="186">
        <v>0</v>
      </c>
      <c r="CP58" s="186">
        <v>0</v>
      </c>
      <c r="CQ58" s="186">
        <v>0</v>
      </c>
      <c r="CR58" s="186">
        <v>0</v>
      </c>
      <c r="CS58" s="186">
        <v>0</v>
      </c>
      <c r="CT58" s="186">
        <v>0</v>
      </c>
      <c r="CU58" s="186">
        <v>0</v>
      </c>
      <c r="CV58" s="186">
        <v>0</v>
      </c>
    </row>
    <row r="59" spans="1:100">
      <c r="A59" s="541" t="str">
        <f t="shared" si="0"/>
        <v>1420600</v>
      </c>
      <c r="B59" s="541" t="s">
        <v>1493</v>
      </c>
      <c r="C59" s="463" t="s">
        <v>632</v>
      </c>
      <c r="D59" s="397">
        <v>-3.53</v>
      </c>
      <c r="E59" s="397">
        <v>0</v>
      </c>
      <c r="F59" s="397">
        <v>4755.1400000000003</v>
      </c>
      <c r="G59" s="397">
        <v>0</v>
      </c>
      <c r="H59" s="397">
        <v>72520</v>
      </c>
      <c r="I59" s="397">
        <v>0</v>
      </c>
      <c r="J59" s="397">
        <v>0</v>
      </c>
      <c r="K59" s="397">
        <v>0</v>
      </c>
      <c r="L59" s="397">
        <v>0</v>
      </c>
      <c r="M59" s="397">
        <v>562941.38</v>
      </c>
      <c r="N59" s="397">
        <v>290</v>
      </c>
      <c r="O59" s="397">
        <v>26161.74</v>
      </c>
      <c r="P59" s="398">
        <v>0</v>
      </c>
      <c r="Q59" s="186">
        <v>65790</v>
      </c>
      <c r="R59" s="186">
        <v>184000.01</v>
      </c>
      <c r="S59" s="186">
        <v>9987.8700000000008</v>
      </c>
      <c r="T59" s="186">
        <v>90486.1</v>
      </c>
      <c r="U59" s="186">
        <v>0.12</v>
      </c>
      <c r="V59" s="186">
        <v>138.78</v>
      </c>
      <c r="W59" s="186">
        <v>17898.38</v>
      </c>
      <c r="X59" s="186">
        <v>15471.5</v>
      </c>
      <c r="Y59" s="186">
        <v>49548.35</v>
      </c>
      <c r="Z59" s="186">
        <v>1920.12</v>
      </c>
      <c r="AA59" s="186">
        <v>1920.14</v>
      </c>
      <c r="AB59" s="186">
        <v>1943.17</v>
      </c>
      <c r="AC59" s="186">
        <v>1920.27</v>
      </c>
      <c r="AD59" s="186">
        <v>2505.77</v>
      </c>
      <c r="AE59" s="186">
        <v>4793.37</v>
      </c>
      <c r="AF59" s="186">
        <v>0.27</v>
      </c>
      <c r="AG59" s="186">
        <v>0.27</v>
      </c>
      <c r="AH59" s="186">
        <v>0.27</v>
      </c>
      <c r="AI59" s="186">
        <v>0.27</v>
      </c>
      <c r="AJ59" s="186">
        <v>41452.58</v>
      </c>
      <c r="AK59" s="186">
        <v>274.64999999999998</v>
      </c>
      <c r="AL59" s="186">
        <v>65322.09</v>
      </c>
      <c r="AM59" s="186">
        <v>0.3</v>
      </c>
      <c r="AN59" s="186">
        <v>0.3</v>
      </c>
      <c r="AO59" s="186">
        <v>328590.34999999998</v>
      </c>
      <c r="AP59" s="186">
        <v>27523.74</v>
      </c>
      <c r="AQ59" s="186">
        <v>0.3</v>
      </c>
      <c r="AR59" s="186">
        <v>0.3</v>
      </c>
      <c r="AS59" s="186">
        <v>1190968.8</v>
      </c>
      <c r="AT59" s="186">
        <v>0.16</v>
      </c>
      <c r="AU59" s="186">
        <v>211796.64</v>
      </c>
      <c r="AV59" s="186">
        <v>0.17</v>
      </c>
      <c r="AW59" s="186">
        <v>1032616.92</v>
      </c>
      <c r="AX59" s="186">
        <v>139745.32</v>
      </c>
      <c r="AY59" s="186">
        <v>783295.53</v>
      </c>
      <c r="AZ59" s="186">
        <v>62085.45</v>
      </c>
      <c r="BA59" s="186">
        <v>0.14000000000000001</v>
      </c>
      <c r="BB59" s="186">
        <v>1213.0899999999999</v>
      </c>
      <c r="BC59" s="186">
        <v>0</v>
      </c>
      <c r="BD59" s="186">
        <v>1183.5999999999999</v>
      </c>
      <c r="BE59" s="186">
        <v>0</v>
      </c>
      <c r="BF59" s="186">
        <v>0</v>
      </c>
      <c r="BG59" s="186">
        <v>0</v>
      </c>
      <c r="BH59" s="186">
        <v>114017.46</v>
      </c>
      <c r="BI59" s="186">
        <v>0</v>
      </c>
      <c r="BJ59" s="186">
        <v>0</v>
      </c>
      <c r="BK59" s="186">
        <v>102450</v>
      </c>
      <c r="BL59" s="186">
        <v>23750</v>
      </c>
      <c r="BM59" s="186">
        <v>440000</v>
      </c>
      <c r="BN59" s="186">
        <v>0</v>
      </c>
      <c r="BO59" s="186">
        <v>0</v>
      </c>
      <c r="BP59" s="186">
        <v>0</v>
      </c>
      <c r="BQ59" s="186">
        <v>0</v>
      </c>
      <c r="BR59" s="186">
        <v>0</v>
      </c>
      <c r="BS59" s="186">
        <v>0</v>
      </c>
      <c r="BT59" s="186">
        <v>89590</v>
      </c>
      <c r="BU59" s="186">
        <v>0</v>
      </c>
      <c r="BV59" s="186">
        <v>64575</v>
      </c>
      <c r="BW59" s="186">
        <v>0.01</v>
      </c>
      <c r="BX59" s="186">
        <v>0</v>
      </c>
      <c r="BY59" s="186">
        <v>2264304.36</v>
      </c>
      <c r="BZ59" s="186">
        <v>0.01</v>
      </c>
      <c r="CA59" s="186">
        <v>0</v>
      </c>
      <c r="CB59" s="186">
        <v>0</v>
      </c>
      <c r="CC59" s="186">
        <v>0</v>
      </c>
      <c r="CD59" s="186">
        <v>0</v>
      </c>
      <c r="CE59" s="186">
        <v>0</v>
      </c>
      <c r="CF59" s="186">
        <v>0.02</v>
      </c>
      <c r="CG59" s="186">
        <v>0</v>
      </c>
      <c r="CH59" s="186">
        <v>0</v>
      </c>
      <c r="CI59" s="186">
        <v>0</v>
      </c>
      <c r="CJ59" s="186">
        <v>0</v>
      </c>
      <c r="CK59" s="186">
        <v>0</v>
      </c>
      <c r="CL59" s="186">
        <v>0</v>
      </c>
      <c r="CM59" s="186">
        <v>32237.040000000001</v>
      </c>
      <c r="CN59" s="186">
        <v>0</v>
      </c>
      <c r="CO59" s="186">
        <v>684.06</v>
      </c>
      <c r="CP59" s="186">
        <v>0</v>
      </c>
      <c r="CQ59" s="186">
        <v>0</v>
      </c>
      <c r="CR59" s="186">
        <v>0</v>
      </c>
      <c r="CS59" s="186">
        <v>204155.14</v>
      </c>
      <c r="CT59" s="186">
        <v>204155.14</v>
      </c>
      <c r="CU59" s="186">
        <v>253907.98</v>
      </c>
      <c r="CV59" s="186">
        <v>0</v>
      </c>
    </row>
    <row r="60" spans="1:100">
      <c r="A60" s="541" t="str">
        <f t="shared" si="0"/>
        <v>1420601</v>
      </c>
      <c r="B60" s="541" t="s">
        <v>1580</v>
      </c>
      <c r="C60" s="463" t="s">
        <v>633</v>
      </c>
      <c r="D60" s="397">
        <v>1151097.06</v>
      </c>
      <c r="E60" s="397">
        <v>3191986.66</v>
      </c>
      <c r="F60" s="397">
        <v>2178407.2999999998</v>
      </c>
      <c r="G60" s="397">
        <v>2270435</v>
      </c>
      <c r="H60" s="397">
        <v>5253425.95</v>
      </c>
      <c r="I60" s="397">
        <v>1883610.21</v>
      </c>
      <c r="J60" s="397">
        <v>1176115.3600000001</v>
      </c>
      <c r="K60" s="397">
        <v>3709294.66</v>
      </c>
      <c r="L60" s="397">
        <v>5924963.1600000001</v>
      </c>
      <c r="M60" s="397">
        <v>1170890.25</v>
      </c>
      <c r="N60" s="397">
        <v>3017292.35</v>
      </c>
      <c r="O60" s="397">
        <v>3080973.08</v>
      </c>
      <c r="P60" s="398">
        <v>2067738.76</v>
      </c>
      <c r="Q60" s="186">
        <v>3053747.31</v>
      </c>
      <c r="R60" s="186">
        <v>2975653.25</v>
      </c>
      <c r="S60" s="186">
        <v>1869718.57</v>
      </c>
      <c r="T60" s="186">
        <v>6082661.0499999998</v>
      </c>
      <c r="U60" s="186">
        <v>3525655.2</v>
      </c>
      <c r="V60" s="186">
        <v>4279807.0199999996</v>
      </c>
      <c r="W60" s="186">
        <v>2402261.14</v>
      </c>
      <c r="X60" s="186">
        <v>5125792.0599999996</v>
      </c>
      <c r="Y60" s="186">
        <v>4191578.34</v>
      </c>
      <c r="Z60" s="186">
        <v>4335537.4000000004</v>
      </c>
      <c r="AA60" s="186">
        <v>6512951.0800000001</v>
      </c>
      <c r="AB60" s="186">
        <v>2253798.31</v>
      </c>
      <c r="AC60" s="186">
        <v>3069509.29</v>
      </c>
      <c r="AD60" s="186">
        <v>2904974.37</v>
      </c>
      <c r="AE60" s="186">
        <v>3803744</v>
      </c>
      <c r="AF60" s="186">
        <v>5018376.1100000003</v>
      </c>
      <c r="AG60" s="186">
        <v>5177661.0999999996</v>
      </c>
      <c r="AH60" s="186">
        <v>6653040.3200000003</v>
      </c>
      <c r="AI60" s="186">
        <v>10779824.75</v>
      </c>
      <c r="AJ60" s="186">
        <v>9260621.1999999993</v>
      </c>
      <c r="AK60" s="186">
        <v>6999268.0300000003</v>
      </c>
      <c r="AL60" s="186">
        <v>8029251.1799999997</v>
      </c>
      <c r="AM60" s="186">
        <v>2717893.6</v>
      </c>
      <c r="AN60" s="186">
        <v>3363227.31</v>
      </c>
      <c r="AO60" s="186">
        <v>3796641.09</v>
      </c>
      <c r="AP60" s="186">
        <v>3614441.34</v>
      </c>
      <c r="AQ60" s="186">
        <v>2568021.61</v>
      </c>
      <c r="AR60" s="186">
        <v>5098656.41</v>
      </c>
      <c r="AS60" s="186">
        <v>4819269.18</v>
      </c>
      <c r="AT60" s="186">
        <v>4569270.62</v>
      </c>
      <c r="AU60" s="186">
        <v>6004250.2800000003</v>
      </c>
      <c r="AV60" s="186">
        <v>4221796.59</v>
      </c>
      <c r="AW60" s="186">
        <v>4422087.12</v>
      </c>
      <c r="AX60" s="186">
        <v>3687066.8</v>
      </c>
      <c r="AY60" s="186">
        <v>2594799</v>
      </c>
      <c r="AZ60" s="186">
        <v>4082935.15</v>
      </c>
      <c r="BA60" s="186">
        <v>5099773.99</v>
      </c>
      <c r="BB60" s="186">
        <v>2400995.42</v>
      </c>
      <c r="BC60" s="186">
        <v>1803712.03</v>
      </c>
      <c r="BD60" s="186">
        <v>3154301.15</v>
      </c>
      <c r="BE60" s="186">
        <v>3785072.36</v>
      </c>
      <c r="BF60" s="186">
        <v>4761823.41</v>
      </c>
      <c r="BG60" s="186">
        <v>7597477.7599999998</v>
      </c>
      <c r="BH60" s="186">
        <v>5356690.22</v>
      </c>
      <c r="BI60" s="186">
        <v>4923337.6900000004</v>
      </c>
      <c r="BJ60" s="186">
        <v>5710084.0499999998</v>
      </c>
      <c r="BK60" s="186">
        <v>2508493.1</v>
      </c>
      <c r="BL60" s="186">
        <v>3443743.14</v>
      </c>
      <c r="BM60" s="186">
        <v>3847388.49</v>
      </c>
      <c r="BN60" s="186">
        <v>2323705.79</v>
      </c>
      <c r="BO60" s="186">
        <v>1599108.11</v>
      </c>
      <c r="BP60" s="186">
        <v>3040663.06</v>
      </c>
      <c r="BQ60" s="186">
        <v>4606565.49</v>
      </c>
      <c r="BR60" s="186">
        <v>3379699.51</v>
      </c>
      <c r="BS60" s="186">
        <v>2900805.94</v>
      </c>
      <c r="BT60" s="186">
        <v>2902458.8</v>
      </c>
      <c r="BU60" s="186">
        <v>4184109.81</v>
      </c>
      <c r="BV60" s="186">
        <v>3514813.75</v>
      </c>
      <c r="BW60" s="186">
        <v>3159589.52</v>
      </c>
      <c r="BX60" s="186">
        <v>2264304.35</v>
      </c>
      <c r="BY60" s="186">
        <v>2611828.88</v>
      </c>
      <c r="BZ60" s="186">
        <v>2002312.12</v>
      </c>
      <c r="CA60" s="186">
        <v>2072057.08</v>
      </c>
      <c r="CB60" s="186">
        <v>2059955.3</v>
      </c>
      <c r="CC60" s="186">
        <v>1911048.47</v>
      </c>
      <c r="CD60" s="186">
        <v>2786815.94</v>
      </c>
      <c r="CE60" s="186">
        <v>2718366.71</v>
      </c>
      <c r="CF60" s="186">
        <v>1214795.58</v>
      </c>
      <c r="CG60" s="186">
        <v>1991150.76</v>
      </c>
      <c r="CH60" s="186">
        <v>1323104.93</v>
      </c>
      <c r="CI60" s="186">
        <v>1522218.8</v>
      </c>
      <c r="CJ60" s="186">
        <v>1877371.15</v>
      </c>
      <c r="CK60" s="186">
        <v>1686392.92</v>
      </c>
      <c r="CL60" s="186">
        <v>2827228.75</v>
      </c>
      <c r="CM60" s="186">
        <v>3401606.62</v>
      </c>
      <c r="CN60" s="186">
        <v>403721.09</v>
      </c>
      <c r="CO60" s="186">
        <v>1632845.09</v>
      </c>
      <c r="CP60" s="186">
        <v>1449632.95</v>
      </c>
      <c r="CQ60" s="186">
        <v>1372016.33</v>
      </c>
      <c r="CR60" s="186">
        <v>3080461.57</v>
      </c>
      <c r="CS60" s="186">
        <v>2487669.91</v>
      </c>
      <c r="CT60" s="186">
        <v>4343419.47</v>
      </c>
      <c r="CU60" s="186">
        <v>266766.17</v>
      </c>
      <c r="CV60" s="186">
        <v>63075</v>
      </c>
    </row>
    <row r="61" spans="1:100">
      <c r="A61" s="541" t="str">
        <f t="shared" si="0"/>
        <v>1420800</v>
      </c>
      <c r="B61" s="541" t="s">
        <v>1494</v>
      </c>
      <c r="C61" s="463" t="s">
        <v>634</v>
      </c>
      <c r="D61" s="397">
        <v>0</v>
      </c>
      <c r="E61" s="397">
        <v>0</v>
      </c>
      <c r="F61" s="397">
        <v>0</v>
      </c>
      <c r="G61" s="397">
        <v>0</v>
      </c>
      <c r="H61" s="397">
        <v>0</v>
      </c>
      <c r="I61" s="397">
        <v>0</v>
      </c>
      <c r="J61" s="397">
        <v>0</v>
      </c>
      <c r="K61" s="397">
        <v>0</v>
      </c>
      <c r="L61" s="397">
        <v>14106</v>
      </c>
      <c r="M61" s="397">
        <v>0</v>
      </c>
      <c r="N61" s="397">
        <v>0</v>
      </c>
      <c r="O61" s="397">
        <v>0</v>
      </c>
      <c r="P61" s="398">
        <v>0</v>
      </c>
      <c r="Q61" s="186">
        <v>0</v>
      </c>
      <c r="R61" s="186">
        <v>0</v>
      </c>
      <c r="S61" s="186">
        <v>0</v>
      </c>
      <c r="T61" s="186">
        <v>0</v>
      </c>
      <c r="U61" s="186">
        <v>0</v>
      </c>
      <c r="V61" s="186">
        <v>0</v>
      </c>
      <c r="W61" s="186">
        <v>0</v>
      </c>
      <c r="X61" s="186">
        <v>0</v>
      </c>
      <c r="Y61" s="186">
        <v>0</v>
      </c>
      <c r="Z61" s="186">
        <v>0</v>
      </c>
      <c r="AA61" s="186">
        <v>0</v>
      </c>
      <c r="AB61" s="186">
        <v>0</v>
      </c>
      <c r="AC61" s="186">
        <v>0</v>
      </c>
      <c r="AD61" s="186">
        <v>0</v>
      </c>
      <c r="AE61" s="186">
        <v>0</v>
      </c>
      <c r="AF61" s="186">
        <v>0</v>
      </c>
      <c r="AG61" s="186">
        <v>0</v>
      </c>
      <c r="AH61" s="186">
        <v>0</v>
      </c>
      <c r="AI61" s="186">
        <v>0</v>
      </c>
      <c r="AJ61" s="186">
        <v>0</v>
      </c>
      <c r="AK61" s="186">
        <v>0</v>
      </c>
      <c r="AL61" s="186">
        <v>0</v>
      </c>
      <c r="AM61" s="186">
        <v>0</v>
      </c>
      <c r="AN61" s="186">
        <v>0</v>
      </c>
      <c r="AO61" s="186">
        <v>0</v>
      </c>
      <c r="AP61" s="186">
        <v>0</v>
      </c>
      <c r="AQ61" s="186">
        <v>0</v>
      </c>
      <c r="AR61" s="186">
        <v>0</v>
      </c>
      <c r="AS61" s="186">
        <v>0</v>
      </c>
      <c r="AT61" s="186">
        <v>0</v>
      </c>
      <c r="AU61" s="186">
        <v>0</v>
      </c>
      <c r="AV61" s="186">
        <v>0</v>
      </c>
      <c r="AW61" s="186">
        <v>0</v>
      </c>
      <c r="AX61" s="186">
        <v>0</v>
      </c>
      <c r="AY61" s="186">
        <v>0</v>
      </c>
      <c r="AZ61" s="186">
        <v>0</v>
      </c>
      <c r="BA61" s="186">
        <v>0</v>
      </c>
      <c r="BB61" s="186">
        <v>0</v>
      </c>
      <c r="BC61" s="186">
        <v>0</v>
      </c>
      <c r="BD61" s="186">
        <v>0</v>
      </c>
      <c r="BE61" s="186">
        <v>0</v>
      </c>
      <c r="BF61" s="186">
        <v>0</v>
      </c>
      <c r="BG61" s="186">
        <v>0</v>
      </c>
      <c r="BH61" s="186">
        <v>0</v>
      </c>
      <c r="BI61" s="186">
        <v>0</v>
      </c>
      <c r="BJ61" s="186">
        <v>0</v>
      </c>
      <c r="BK61" s="186">
        <v>0</v>
      </c>
      <c r="BL61" s="186">
        <v>0</v>
      </c>
      <c r="BM61" s="186">
        <v>0</v>
      </c>
      <c r="BN61" s="186">
        <v>0</v>
      </c>
      <c r="BO61" s="186">
        <v>0</v>
      </c>
      <c r="BP61" s="186">
        <v>0</v>
      </c>
      <c r="BQ61" s="186">
        <v>0</v>
      </c>
      <c r="BR61" s="186">
        <v>0</v>
      </c>
      <c r="BS61" s="186">
        <v>0</v>
      </c>
      <c r="BT61" s="186">
        <v>0</v>
      </c>
      <c r="BU61" s="186">
        <v>0</v>
      </c>
      <c r="BV61" s="186">
        <v>0</v>
      </c>
      <c r="BW61" s="186">
        <v>0</v>
      </c>
      <c r="BX61" s="186">
        <v>0</v>
      </c>
      <c r="BY61" s="186">
        <v>0</v>
      </c>
      <c r="BZ61" s="186">
        <v>0</v>
      </c>
      <c r="CA61" s="186">
        <v>0</v>
      </c>
      <c r="CB61" s="186">
        <v>0</v>
      </c>
      <c r="CC61" s="186">
        <v>0</v>
      </c>
      <c r="CD61" s="186">
        <v>0</v>
      </c>
      <c r="CE61" s="186">
        <v>0</v>
      </c>
      <c r="CF61" s="186">
        <v>0</v>
      </c>
      <c r="CG61" s="186">
        <v>0</v>
      </c>
      <c r="CH61" s="186">
        <v>0</v>
      </c>
      <c r="CI61" s="186">
        <v>0</v>
      </c>
      <c r="CJ61" s="186">
        <v>0</v>
      </c>
      <c r="CK61" s="186">
        <v>0</v>
      </c>
      <c r="CL61" s="186">
        <v>0</v>
      </c>
      <c r="CM61" s="186">
        <v>0</v>
      </c>
      <c r="CN61" s="186">
        <v>0</v>
      </c>
      <c r="CO61" s="186">
        <v>0</v>
      </c>
      <c r="CP61" s="186">
        <v>0</v>
      </c>
      <c r="CQ61" s="186">
        <v>0</v>
      </c>
      <c r="CR61" s="186">
        <v>0</v>
      </c>
      <c r="CS61" s="186">
        <v>0</v>
      </c>
      <c r="CT61" s="186">
        <v>0</v>
      </c>
      <c r="CU61" s="186">
        <v>0</v>
      </c>
      <c r="CV61" s="186">
        <v>0</v>
      </c>
    </row>
    <row r="62" spans="1:100">
      <c r="A62" s="541" t="str">
        <f t="shared" si="0"/>
        <v>1420801</v>
      </c>
      <c r="B62" s="541" t="s">
        <v>1581</v>
      </c>
      <c r="C62" s="463" t="s">
        <v>635</v>
      </c>
      <c r="D62" s="397">
        <v>267747.86</v>
      </c>
      <c r="E62" s="397">
        <v>1115536.05</v>
      </c>
      <c r="F62" s="397">
        <v>476186.06</v>
      </c>
      <c r="G62" s="397">
        <v>689063.82</v>
      </c>
      <c r="H62" s="397">
        <v>633818.68000000005</v>
      </c>
      <c r="I62" s="397">
        <v>517006.79</v>
      </c>
      <c r="J62" s="397">
        <v>707749.75</v>
      </c>
      <c r="K62" s="397">
        <v>708963.97</v>
      </c>
      <c r="L62" s="397">
        <v>757630.27</v>
      </c>
      <c r="M62" s="397">
        <v>2119021.86</v>
      </c>
      <c r="N62" s="397">
        <v>301078.55</v>
      </c>
      <c r="O62" s="397">
        <v>350311.59</v>
      </c>
      <c r="P62" s="398">
        <v>0</v>
      </c>
      <c r="Q62" s="186">
        <v>254123.47</v>
      </c>
      <c r="R62" s="186">
        <v>194412.79999999999</v>
      </c>
      <c r="S62" s="186">
        <v>41450</v>
      </c>
      <c r="T62" s="186">
        <v>8472.1</v>
      </c>
      <c r="U62" s="186">
        <v>-193902</v>
      </c>
      <c r="V62" s="186">
        <v>0</v>
      </c>
      <c r="W62" s="186">
        <v>-2306671.56</v>
      </c>
      <c r="X62" s="186">
        <v>36000</v>
      </c>
      <c r="Y62" s="186">
        <v>0</v>
      </c>
      <c r="Z62" s="186">
        <v>42823.61</v>
      </c>
      <c r="AA62" s="186">
        <v>0</v>
      </c>
      <c r="AB62" s="186">
        <v>0</v>
      </c>
      <c r="AC62" s="186">
        <v>0</v>
      </c>
      <c r="AD62" s="186">
        <v>0</v>
      </c>
      <c r="AE62" s="186">
        <v>-122295.97</v>
      </c>
      <c r="AF62" s="186">
        <v>68976.89</v>
      </c>
      <c r="AG62" s="186">
        <v>0</v>
      </c>
      <c r="AH62" s="186">
        <v>56035.06</v>
      </c>
      <c r="AI62" s="186">
        <v>0</v>
      </c>
      <c r="AJ62" s="186">
        <v>0</v>
      </c>
      <c r="AK62" s="186">
        <v>0</v>
      </c>
      <c r="AL62" s="186">
        <v>0</v>
      </c>
      <c r="AM62" s="186">
        <v>97762.38</v>
      </c>
      <c r="AN62" s="186">
        <v>-164770.76</v>
      </c>
      <c r="AO62" s="186">
        <v>213450.99</v>
      </c>
      <c r="AP62" s="186">
        <v>0</v>
      </c>
      <c r="AQ62" s="186">
        <v>106698.62</v>
      </c>
      <c r="AR62" s="186">
        <v>128160.17</v>
      </c>
      <c r="AS62" s="186">
        <v>-125051.69</v>
      </c>
      <c r="AT62" s="186">
        <v>0</v>
      </c>
      <c r="AU62" s="186">
        <v>0</v>
      </c>
      <c r="AV62" s="186">
        <v>216654.49</v>
      </c>
      <c r="AW62" s="186">
        <v>1151309.26</v>
      </c>
      <c r="AX62" s="186">
        <v>0</v>
      </c>
      <c r="AY62" s="186">
        <v>-1289520</v>
      </c>
      <c r="AZ62" s="186">
        <v>166886</v>
      </c>
      <c r="BA62" s="186">
        <v>0</v>
      </c>
      <c r="BB62" s="186">
        <v>37165</v>
      </c>
      <c r="BC62" s="186">
        <v>0</v>
      </c>
      <c r="BD62" s="186">
        <v>0</v>
      </c>
      <c r="BE62" s="186">
        <v>0</v>
      </c>
      <c r="BF62" s="186">
        <v>0</v>
      </c>
      <c r="BG62" s="186">
        <v>0</v>
      </c>
      <c r="BH62" s="186">
        <v>0</v>
      </c>
      <c r="BI62" s="186">
        <v>0</v>
      </c>
      <c r="BJ62" s="186">
        <v>0</v>
      </c>
      <c r="BK62" s="186">
        <v>0</v>
      </c>
      <c r="BL62" s="186">
        <v>565989.18000000005</v>
      </c>
      <c r="BM62" s="186">
        <v>153620.01999999999</v>
      </c>
      <c r="BN62" s="186">
        <v>0</v>
      </c>
      <c r="BO62" s="186">
        <v>288214.15999999997</v>
      </c>
      <c r="BP62" s="186">
        <v>27342.41</v>
      </c>
      <c r="BQ62" s="186">
        <v>0</v>
      </c>
      <c r="BR62" s="186">
        <v>0</v>
      </c>
      <c r="BS62" s="186">
        <v>6642.94</v>
      </c>
      <c r="BT62" s="186">
        <v>157937.66</v>
      </c>
      <c r="BU62" s="186">
        <v>0</v>
      </c>
      <c r="BV62" s="186">
        <v>0</v>
      </c>
      <c r="BW62" s="186">
        <v>89156.4</v>
      </c>
      <c r="BX62" s="186">
        <v>0</v>
      </c>
      <c r="BY62" s="186">
        <v>22859.61</v>
      </c>
      <c r="BZ62" s="186">
        <v>0</v>
      </c>
      <c r="CA62" s="186">
        <v>191078.48</v>
      </c>
      <c r="CB62" s="186">
        <v>-621358.56999999995</v>
      </c>
      <c r="CC62" s="186">
        <v>-778496.31</v>
      </c>
      <c r="CD62" s="186">
        <v>-303015.43</v>
      </c>
      <c r="CE62" s="186">
        <v>-125092.8</v>
      </c>
      <c r="CF62" s="186">
        <v>239392.77</v>
      </c>
      <c r="CG62" s="186">
        <v>270825.21999999997</v>
      </c>
      <c r="CH62" s="186">
        <v>160798.62</v>
      </c>
      <c r="CI62" s="186">
        <v>-125092.8</v>
      </c>
      <c r="CJ62" s="186">
        <v>-125092.8</v>
      </c>
      <c r="CK62" s="186">
        <v>74375.070000000007</v>
      </c>
      <c r="CL62" s="186">
        <v>-125092.8</v>
      </c>
      <c r="CM62" s="186">
        <v>-254297.89</v>
      </c>
      <c r="CN62" s="186">
        <v>-468460.06</v>
      </c>
      <c r="CO62" s="186">
        <v>-87293.65</v>
      </c>
      <c r="CP62" s="186">
        <v>143819.51</v>
      </c>
      <c r="CQ62" s="186">
        <v>55165.29</v>
      </c>
      <c r="CR62" s="186">
        <v>-125092.8</v>
      </c>
      <c r="CS62" s="186">
        <v>71812.240000000005</v>
      </c>
      <c r="CT62" s="186">
        <v>-125092.8</v>
      </c>
      <c r="CU62" s="186">
        <v>-207474.65</v>
      </c>
      <c r="CV62" s="186">
        <v>-86064.18</v>
      </c>
    </row>
    <row r="63" spans="1:100">
      <c r="A63" s="541" t="str">
        <f t="shared" si="0"/>
        <v>1430000</v>
      </c>
      <c r="B63" s="541" t="s">
        <v>1495</v>
      </c>
      <c r="C63" s="463" t="s">
        <v>636</v>
      </c>
      <c r="D63" s="397">
        <v>7939.23</v>
      </c>
      <c r="E63" s="397">
        <v>8150</v>
      </c>
      <c r="F63" s="397">
        <v>16080.47</v>
      </c>
      <c r="G63" s="397">
        <v>10930.47</v>
      </c>
      <c r="H63" s="397">
        <v>81915.509999999995</v>
      </c>
      <c r="I63" s="397">
        <v>61459.69</v>
      </c>
      <c r="J63" s="397">
        <v>111736.51</v>
      </c>
      <c r="K63" s="397">
        <v>206000</v>
      </c>
      <c r="L63" s="397">
        <v>0</v>
      </c>
      <c r="M63" s="397">
        <v>0</v>
      </c>
      <c r="N63" s="397">
        <v>0</v>
      </c>
      <c r="O63" s="397">
        <v>-0.01</v>
      </c>
      <c r="P63" s="398">
        <v>225947.49</v>
      </c>
      <c r="Q63" s="186">
        <v>283.83</v>
      </c>
      <c r="R63" s="186">
        <v>82373.25</v>
      </c>
      <c r="S63" s="186">
        <v>82373.25</v>
      </c>
      <c r="T63" s="186">
        <v>106777.34</v>
      </c>
      <c r="U63" s="186">
        <v>523342.05</v>
      </c>
      <c r="V63" s="186">
        <v>289677.90000000002</v>
      </c>
      <c r="W63" s="186">
        <v>1034648.51</v>
      </c>
      <c r="X63" s="186">
        <v>57030.9</v>
      </c>
      <c r="Y63" s="186">
        <v>57007.62</v>
      </c>
      <c r="Z63" s="186">
        <v>3.06</v>
      </c>
      <c r="AA63" s="186">
        <v>26288.29</v>
      </c>
      <c r="AB63" s="186">
        <v>207480.51</v>
      </c>
      <c r="AC63" s="186">
        <v>3003.06</v>
      </c>
      <c r="AD63" s="186">
        <v>377367.41</v>
      </c>
      <c r="AE63" s="186">
        <v>9481.98</v>
      </c>
      <c r="AF63" s="186">
        <v>25300.58</v>
      </c>
      <c r="AG63" s="186">
        <v>25869.599999999999</v>
      </c>
      <c r="AH63" s="186">
        <v>25540.28</v>
      </c>
      <c r="AI63" s="186">
        <v>25727.18</v>
      </c>
      <c r="AJ63" s="186">
        <v>50014.080000000002</v>
      </c>
      <c r="AK63" s="186">
        <v>812757.77</v>
      </c>
      <c r="AL63" s="186">
        <v>3.05</v>
      </c>
      <c r="AM63" s="186">
        <v>3436.01</v>
      </c>
      <c r="AN63" s="186">
        <v>551269.44999999995</v>
      </c>
      <c r="AO63" s="186">
        <v>374406.1</v>
      </c>
      <c r="AP63" s="186">
        <v>389188.18</v>
      </c>
      <c r="AQ63" s="186">
        <v>593794.15</v>
      </c>
      <c r="AR63" s="186">
        <v>393509.58</v>
      </c>
      <c r="AS63" s="186">
        <v>843081.78</v>
      </c>
      <c r="AT63" s="186">
        <v>710676.47</v>
      </c>
      <c r="AU63" s="186">
        <v>375071.52</v>
      </c>
      <c r="AV63" s="186">
        <v>209135.1</v>
      </c>
      <c r="AW63" s="186">
        <v>272974.03000000003</v>
      </c>
      <c r="AX63" s="186">
        <v>292860.24</v>
      </c>
      <c r="AY63" s="186">
        <v>271676.59999999998</v>
      </c>
      <c r="AZ63" s="186">
        <v>477030.26</v>
      </c>
      <c r="BA63" s="186">
        <v>516880.91</v>
      </c>
      <c r="BB63" s="186">
        <v>504318.3</v>
      </c>
      <c r="BC63" s="186">
        <v>501189.36</v>
      </c>
      <c r="BD63" s="186">
        <v>463753.56</v>
      </c>
      <c r="BE63" s="186">
        <v>904101.81</v>
      </c>
      <c r="BF63" s="186">
        <v>714695.42</v>
      </c>
      <c r="BG63" s="186">
        <v>494385.15</v>
      </c>
      <c r="BH63" s="186">
        <v>675375.86</v>
      </c>
      <c r="BI63" s="186">
        <v>558758.55000000005</v>
      </c>
      <c r="BJ63" s="186">
        <v>527470.03</v>
      </c>
      <c r="BK63" s="186">
        <v>320514</v>
      </c>
      <c r="BL63" s="186">
        <v>491952.51</v>
      </c>
      <c r="BM63" s="186">
        <v>425527.64</v>
      </c>
      <c r="BN63" s="186">
        <v>433281.63</v>
      </c>
      <c r="BO63" s="186">
        <v>290075.3</v>
      </c>
      <c r="BP63" s="186">
        <v>203374.92</v>
      </c>
      <c r="BQ63" s="186">
        <v>248074.43</v>
      </c>
      <c r="BR63" s="186">
        <v>256256.13</v>
      </c>
      <c r="BS63" s="186">
        <v>369516.63</v>
      </c>
      <c r="BT63" s="186">
        <v>427656.21</v>
      </c>
      <c r="BU63" s="186">
        <v>418163.8</v>
      </c>
      <c r="BV63" s="186">
        <v>315644.86</v>
      </c>
      <c r="BW63" s="186">
        <v>336136.26</v>
      </c>
      <c r="BX63" s="186">
        <v>443107.56</v>
      </c>
      <c r="BY63" s="186">
        <v>357136.08</v>
      </c>
      <c r="BZ63" s="186">
        <v>452092.83</v>
      </c>
      <c r="CA63" s="186">
        <v>540410.53</v>
      </c>
      <c r="CB63" s="186">
        <v>900022.81</v>
      </c>
      <c r="CC63" s="186">
        <v>1112734.3999999999</v>
      </c>
      <c r="CD63" s="186">
        <v>1321395.8700000001</v>
      </c>
      <c r="CE63" s="186">
        <v>1390257.3</v>
      </c>
      <c r="CF63" s="186">
        <v>1091451.3999999999</v>
      </c>
      <c r="CG63" s="186">
        <v>960964.18</v>
      </c>
      <c r="CH63" s="186">
        <v>404926.51</v>
      </c>
      <c r="CI63" s="186">
        <v>1294587.23</v>
      </c>
      <c r="CJ63" s="186">
        <v>554946.28</v>
      </c>
      <c r="CK63" s="186">
        <v>248299.51999999999</v>
      </c>
      <c r="CL63" s="186">
        <v>361288.86</v>
      </c>
      <c r="CM63" s="186">
        <v>301708.06</v>
      </c>
      <c r="CN63" s="186">
        <v>458931.16</v>
      </c>
      <c r="CO63" s="186">
        <v>467302.42</v>
      </c>
      <c r="CP63" s="186">
        <v>433028.72</v>
      </c>
      <c r="CQ63" s="186">
        <v>555540.31999999995</v>
      </c>
      <c r="CR63" s="186">
        <v>648716.28</v>
      </c>
      <c r="CS63" s="186">
        <v>791257.27</v>
      </c>
      <c r="CT63" s="186">
        <v>581431.06999999995</v>
      </c>
      <c r="CU63" s="186">
        <v>602500.39</v>
      </c>
      <c r="CV63" s="186">
        <v>699436.52</v>
      </c>
    </row>
    <row r="64" spans="1:100">
      <c r="A64" s="541" t="str">
        <f t="shared" si="0"/>
        <v>1430001</v>
      </c>
      <c r="B64" s="541" t="s">
        <v>1582</v>
      </c>
      <c r="C64" s="463" t="s">
        <v>637</v>
      </c>
      <c r="D64" s="397">
        <v>0</v>
      </c>
      <c r="E64" s="397">
        <v>0</v>
      </c>
      <c r="F64" s="397">
        <v>0</v>
      </c>
      <c r="G64" s="397">
        <v>19423.330000000002</v>
      </c>
      <c r="H64" s="397">
        <v>0</v>
      </c>
      <c r="I64" s="397">
        <v>0</v>
      </c>
      <c r="J64" s="397">
        <v>-95477.23</v>
      </c>
      <c r="K64" s="397">
        <v>0</v>
      </c>
      <c r="L64" s="397">
        <v>0</v>
      </c>
      <c r="M64" s="397">
        <v>30921.88</v>
      </c>
      <c r="N64" s="397">
        <v>0</v>
      </c>
      <c r="O64" s="397">
        <v>0</v>
      </c>
      <c r="P64" s="398">
        <v>0</v>
      </c>
      <c r="Q64" s="186">
        <v>0</v>
      </c>
      <c r="R64" s="186">
        <v>0</v>
      </c>
      <c r="S64" s="186">
        <v>-34052.35</v>
      </c>
      <c r="T64" s="186">
        <v>0</v>
      </c>
      <c r="U64" s="186">
        <v>0</v>
      </c>
      <c r="V64" s="186">
        <v>0</v>
      </c>
      <c r="W64" s="186">
        <v>0</v>
      </c>
      <c r="X64" s="186">
        <v>0</v>
      </c>
      <c r="Y64" s="186">
        <v>0</v>
      </c>
      <c r="Z64" s="186">
        <v>0</v>
      </c>
      <c r="AA64" s="186">
        <v>0</v>
      </c>
      <c r="AB64" s="186">
        <v>0</v>
      </c>
      <c r="AC64" s="186">
        <v>0</v>
      </c>
      <c r="AD64" s="186">
        <v>0</v>
      </c>
      <c r="AE64" s="186">
        <v>0</v>
      </c>
      <c r="AF64" s="186">
        <v>0</v>
      </c>
      <c r="AG64" s="186">
        <v>0</v>
      </c>
      <c r="AH64" s="186">
        <v>60000</v>
      </c>
      <c r="AI64" s="186">
        <v>60000</v>
      </c>
      <c r="AJ64" s="186">
        <v>60000</v>
      </c>
      <c r="AK64" s="186">
        <v>60000</v>
      </c>
      <c r="AL64" s="186">
        <v>60000</v>
      </c>
      <c r="AM64" s="186">
        <v>60000</v>
      </c>
      <c r="AN64" s="186">
        <v>60000</v>
      </c>
      <c r="AO64" s="186">
        <v>-268590.05</v>
      </c>
      <c r="AP64" s="186">
        <v>-1823.74</v>
      </c>
      <c r="AQ64" s="186">
        <v>60000</v>
      </c>
      <c r="AR64" s="186">
        <v>60000</v>
      </c>
      <c r="AS64" s="186">
        <v>60000</v>
      </c>
      <c r="AT64" s="186">
        <v>60000</v>
      </c>
      <c r="AU64" s="186">
        <v>60000</v>
      </c>
      <c r="AV64" s="186">
        <v>60000</v>
      </c>
      <c r="AW64" s="186">
        <v>52881.599999999999</v>
      </c>
      <c r="AX64" s="186">
        <v>52922</v>
      </c>
      <c r="AY64" s="186">
        <v>32922</v>
      </c>
      <c r="AZ64" s="186">
        <v>122097.04</v>
      </c>
      <c r="BA64" s="186">
        <v>32922</v>
      </c>
      <c r="BB64" s="186">
        <v>19502.88</v>
      </c>
      <c r="BC64" s="186">
        <v>12922</v>
      </c>
      <c r="BD64" s="186">
        <v>12922</v>
      </c>
      <c r="BE64" s="186">
        <v>12922</v>
      </c>
      <c r="BF64" s="186">
        <v>12922</v>
      </c>
      <c r="BG64" s="186">
        <v>12922</v>
      </c>
      <c r="BH64" s="186">
        <v>12922</v>
      </c>
      <c r="BI64" s="186">
        <v>12922</v>
      </c>
      <c r="BJ64" s="186">
        <v>12922</v>
      </c>
      <c r="BK64" s="186">
        <v>-7078</v>
      </c>
      <c r="BL64" s="186">
        <v>-130017.43</v>
      </c>
      <c r="BM64" s="186">
        <v>14844.81</v>
      </c>
      <c r="BN64" s="186">
        <v>14844.81</v>
      </c>
      <c r="BO64" s="186">
        <v>-7078</v>
      </c>
      <c r="BP64" s="186">
        <v>-7078</v>
      </c>
      <c r="BQ64" s="186">
        <v>30721.15</v>
      </c>
      <c r="BR64" s="186">
        <v>129979.45</v>
      </c>
      <c r="BS64" s="186">
        <v>92180.3</v>
      </c>
      <c r="BT64" s="186">
        <v>-7078</v>
      </c>
      <c r="BU64" s="186">
        <v>-7078</v>
      </c>
      <c r="BV64" s="186">
        <v>-7078</v>
      </c>
      <c r="BW64" s="186">
        <v>30721.15</v>
      </c>
      <c r="BX64" s="186">
        <v>25733.15</v>
      </c>
      <c r="BY64" s="186">
        <v>-11053</v>
      </c>
      <c r="BZ64" s="186">
        <v>-42006.17</v>
      </c>
      <c r="CA64" s="186">
        <v>197095.09</v>
      </c>
      <c r="CB64" s="186">
        <v>24308.97</v>
      </c>
      <c r="CC64" s="186">
        <v>-11353</v>
      </c>
      <c r="CD64" s="186">
        <v>-11353</v>
      </c>
      <c r="CE64" s="186">
        <v>-11353</v>
      </c>
      <c r="CF64" s="186">
        <v>-11353</v>
      </c>
      <c r="CG64" s="186">
        <v>-11353</v>
      </c>
      <c r="CH64" s="186">
        <v>-24162</v>
      </c>
      <c r="CI64" s="186">
        <v>13637.15</v>
      </c>
      <c r="CJ64" s="186">
        <v>13637.15</v>
      </c>
      <c r="CK64" s="186">
        <v>-7501.93</v>
      </c>
      <c r="CL64" s="186">
        <v>-7078</v>
      </c>
      <c r="CM64" s="186">
        <v>-7078</v>
      </c>
      <c r="CN64" s="186">
        <v>-7078</v>
      </c>
      <c r="CO64" s="186">
        <v>-7078</v>
      </c>
      <c r="CP64" s="186">
        <v>-7078</v>
      </c>
      <c r="CQ64" s="186">
        <v>-7078</v>
      </c>
      <c r="CR64" s="186">
        <v>-7078</v>
      </c>
      <c r="CS64" s="186">
        <v>-7078</v>
      </c>
      <c r="CT64" s="186">
        <v>-7078</v>
      </c>
      <c r="CU64" s="186">
        <v>0</v>
      </c>
      <c r="CV64" s="186">
        <v>0</v>
      </c>
    </row>
    <row r="65" spans="1:100">
      <c r="A65" s="541" t="str">
        <f t="shared" si="0"/>
        <v>1430030</v>
      </c>
      <c r="B65" s="541" t="s">
        <v>1496</v>
      </c>
      <c r="C65" s="463" t="s">
        <v>638</v>
      </c>
      <c r="D65" s="397">
        <v>0</v>
      </c>
      <c r="E65" s="397">
        <v>0</v>
      </c>
      <c r="F65" s="397">
        <v>0</v>
      </c>
      <c r="G65" s="397">
        <v>300</v>
      </c>
      <c r="H65" s="397">
        <v>300</v>
      </c>
      <c r="I65" s="397">
        <v>300</v>
      </c>
      <c r="J65" s="397">
        <v>300</v>
      </c>
      <c r="K65" s="397">
        <v>300</v>
      </c>
      <c r="L65" s="397">
        <v>300</v>
      </c>
      <c r="M65" s="397">
        <v>300</v>
      </c>
      <c r="N65" s="397">
        <v>300</v>
      </c>
      <c r="O65" s="397">
        <v>300</v>
      </c>
      <c r="P65" s="398">
        <v>300</v>
      </c>
      <c r="Q65" s="186">
        <v>300</v>
      </c>
      <c r="R65" s="186">
        <v>300</v>
      </c>
      <c r="S65" s="186">
        <v>300</v>
      </c>
      <c r="T65" s="186">
        <v>300</v>
      </c>
      <c r="U65" s="186">
        <v>300</v>
      </c>
      <c r="V65" s="186">
        <v>300</v>
      </c>
      <c r="W65" s="186">
        <v>300</v>
      </c>
      <c r="X65" s="186">
        <v>300</v>
      </c>
      <c r="Y65" s="186">
        <v>300</v>
      </c>
      <c r="Z65" s="186">
        <v>300</v>
      </c>
      <c r="AA65" s="186">
        <v>300</v>
      </c>
      <c r="AB65" s="186">
        <v>300</v>
      </c>
      <c r="AC65" s="186">
        <v>300</v>
      </c>
      <c r="AD65" s="186">
        <v>300</v>
      </c>
      <c r="AE65" s="186">
        <v>300</v>
      </c>
      <c r="AF65" s="186">
        <v>300</v>
      </c>
      <c r="AG65" s="186">
        <v>300</v>
      </c>
      <c r="AH65" s="186">
        <v>300</v>
      </c>
      <c r="AI65" s="186">
        <v>300</v>
      </c>
      <c r="AJ65" s="186">
        <v>300</v>
      </c>
      <c r="AK65" s="186">
        <v>300</v>
      </c>
      <c r="AL65" s="186">
        <v>300</v>
      </c>
      <c r="AM65" s="186">
        <v>300</v>
      </c>
      <c r="AN65" s="186">
        <v>300</v>
      </c>
      <c r="AO65" s="186">
        <v>300</v>
      </c>
      <c r="AP65" s="186">
        <v>300</v>
      </c>
      <c r="AQ65" s="186">
        <v>300</v>
      </c>
      <c r="AR65" s="186">
        <v>300</v>
      </c>
      <c r="AS65" s="186">
        <v>300</v>
      </c>
      <c r="AT65" s="186">
        <v>550</v>
      </c>
      <c r="AU65" s="186">
        <v>300</v>
      </c>
      <c r="AV65" s="186">
        <v>300</v>
      </c>
      <c r="AW65" s="186">
        <v>300</v>
      </c>
      <c r="AX65" s="186">
        <v>300</v>
      </c>
      <c r="AY65" s="186">
        <v>-17.78</v>
      </c>
      <c r="AZ65" s="186">
        <v>1709.44</v>
      </c>
      <c r="BA65" s="186">
        <v>1391.66</v>
      </c>
      <c r="BB65" s="186">
        <v>1073.8900000000001</v>
      </c>
      <c r="BC65" s="186">
        <v>597.25</v>
      </c>
      <c r="BD65" s="186">
        <v>279.49</v>
      </c>
      <c r="BE65" s="186">
        <v>279.49</v>
      </c>
      <c r="BF65" s="186">
        <v>279.49</v>
      </c>
      <c r="BG65" s="186">
        <v>279.49</v>
      </c>
      <c r="BH65" s="186">
        <v>279.49</v>
      </c>
      <c r="BI65" s="186">
        <v>279.49</v>
      </c>
      <c r="BJ65" s="186">
        <v>279.49</v>
      </c>
      <c r="BK65" s="186">
        <v>279.49</v>
      </c>
      <c r="BL65" s="186">
        <v>279.49</v>
      </c>
      <c r="BM65" s="186">
        <v>279.49</v>
      </c>
      <c r="BN65" s="186">
        <v>279.49</v>
      </c>
      <c r="BO65" s="186">
        <v>279.49</v>
      </c>
      <c r="BP65" s="186">
        <v>279.49</v>
      </c>
      <c r="BQ65" s="186">
        <v>279.49</v>
      </c>
      <c r="BR65" s="186">
        <v>734.57</v>
      </c>
      <c r="BS65" s="186">
        <v>734.57</v>
      </c>
      <c r="BT65" s="186">
        <v>734.57</v>
      </c>
      <c r="BU65" s="186">
        <v>734.57</v>
      </c>
      <c r="BV65" s="186">
        <v>734.57</v>
      </c>
      <c r="BW65" s="186">
        <v>734.57</v>
      </c>
      <c r="BX65" s="186">
        <v>734.57</v>
      </c>
      <c r="BY65" s="186">
        <v>734.57</v>
      </c>
      <c r="BZ65" s="186">
        <v>734.57</v>
      </c>
      <c r="CA65" s="186">
        <v>734.57</v>
      </c>
      <c r="CB65" s="186">
        <v>734.57</v>
      </c>
      <c r="CC65" s="186">
        <v>734.57</v>
      </c>
      <c r="CD65" s="186">
        <v>0</v>
      </c>
      <c r="CE65" s="186">
        <v>0</v>
      </c>
      <c r="CF65" s="186">
        <v>0</v>
      </c>
      <c r="CG65" s="186">
        <v>34.729999999999997</v>
      </c>
      <c r="CH65" s="186">
        <v>0</v>
      </c>
      <c r="CI65" s="186">
        <v>0</v>
      </c>
      <c r="CJ65" s="186">
        <v>4911.8599999999997</v>
      </c>
      <c r="CK65" s="186">
        <v>4911.8599999999997</v>
      </c>
      <c r="CL65" s="186">
        <v>4911.8599999999997</v>
      </c>
      <c r="CM65" s="186">
        <v>4911.8599999999997</v>
      </c>
      <c r="CN65" s="186">
        <v>4911.8599999999997</v>
      </c>
      <c r="CO65" s="186">
        <v>4911.8599999999997</v>
      </c>
      <c r="CP65" s="186">
        <v>4911.8599999999997</v>
      </c>
      <c r="CQ65" s="186">
        <v>4911.8599999999997</v>
      </c>
      <c r="CR65" s="186">
        <v>5218.12</v>
      </c>
      <c r="CS65" s="186">
        <v>5218.12</v>
      </c>
      <c r="CT65" s="186">
        <v>5218.12</v>
      </c>
      <c r="CU65" s="186">
        <v>5218.12</v>
      </c>
      <c r="CV65" s="186">
        <v>5218.12</v>
      </c>
    </row>
    <row r="66" spans="1:100">
      <c r="A66" s="541">
        <f>+B66</f>
        <v>1430036</v>
      </c>
      <c r="B66" s="541">
        <v>1430036</v>
      </c>
      <c r="C66" s="1080" t="s">
        <v>2543</v>
      </c>
      <c r="D66" s="186">
        <v>0</v>
      </c>
      <c r="E66" s="186">
        <v>0</v>
      </c>
      <c r="F66" s="186">
        <v>0</v>
      </c>
      <c r="G66" s="186">
        <v>0</v>
      </c>
      <c r="H66" s="186">
        <v>0</v>
      </c>
      <c r="I66" s="186">
        <v>0</v>
      </c>
      <c r="J66" s="186">
        <v>0</v>
      </c>
      <c r="K66" s="186">
        <v>0</v>
      </c>
      <c r="L66" s="186">
        <v>0</v>
      </c>
      <c r="M66" s="186">
        <v>0</v>
      </c>
      <c r="N66" s="186">
        <v>0</v>
      </c>
      <c r="O66" s="186">
        <v>0</v>
      </c>
      <c r="P66" s="186">
        <v>0</v>
      </c>
      <c r="Q66" s="186">
        <v>0</v>
      </c>
      <c r="R66" s="186">
        <v>0</v>
      </c>
      <c r="S66" s="186">
        <v>0</v>
      </c>
      <c r="T66" s="186">
        <v>0</v>
      </c>
      <c r="U66" s="186">
        <v>0</v>
      </c>
      <c r="V66" s="186">
        <v>0</v>
      </c>
      <c r="W66" s="186">
        <v>0</v>
      </c>
      <c r="X66" s="186">
        <v>0</v>
      </c>
      <c r="Y66" s="186">
        <v>0</v>
      </c>
      <c r="Z66" s="186">
        <v>0</v>
      </c>
      <c r="AA66" s="186">
        <v>0</v>
      </c>
      <c r="AB66" s="186">
        <v>0</v>
      </c>
      <c r="AC66" s="186">
        <v>0</v>
      </c>
      <c r="AD66" s="186">
        <v>0</v>
      </c>
      <c r="AE66" s="186">
        <v>0</v>
      </c>
      <c r="AF66" s="186">
        <v>0</v>
      </c>
      <c r="AG66" s="186">
        <v>0</v>
      </c>
      <c r="AH66" s="186">
        <v>0</v>
      </c>
      <c r="AI66" s="186">
        <v>0</v>
      </c>
      <c r="AJ66" s="186">
        <v>0</v>
      </c>
      <c r="AK66" s="186">
        <v>0</v>
      </c>
      <c r="AL66" s="186">
        <v>0</v>
      </c>
      <c r="AM66" s="186">
        <v>0</v>
      </c>
      <c r="AN66" s="186">
        <v>0</v>
      </c>
      <c r="AO66" s="186">
        <v>0</v>
      </c>
      <c r="AP66" s="186">
        <v>0</v>
      </c>
      <c r="AQ66" s="186">
        <v>0</v>
      </c>
      <c r="AR66" s="186">
        <v>0</v>
      </c>
      <c r="AS66" s="186">
        <v>0</v>
      </c>
      <c r="AT66" s="186">
        <v>0</v>
      </c>
      <c r="AU66" s="186">
        <v>0</v>
      </c>
      <c r="AV66" s="186">
        <v>0</v>
      </c>
      <c r="AW66" s="186">
        <v>0</v>
      </c>
      <c r="AX66" s="186">
        <v>0</v>
      </c>
      <c r="AY66" s="186">
        <v>0</v>
      </c>
      <c r="AZ66" s="186">
        <v>0</v>
      </c>
      <c r="BA66" s="186">
        <v>0</v>
      </c>
      <c r="BB66" s="186">
        <v>0</v>
      </c>
      <c r="BC66" s="186">
        <v>0</v>
      </c>
      <c r="BD66" s="186">
        <v>0</v>
      </c>
      <c r="BE66" s="186">
        <v>0</v>
      </c>
      <c r="BF66" s="186">
        <v>0</v>
      </c>
      <c r="BG66" s="186">
        <v>0</v>
      </c>
      <c r="BH66" s="186">
        <v>0</v>
      </c>
      <c r="BI66" s="186">
        <v>0</v>
      </c>
      <c r="BJ66" s="186">
        <v>0</v>
      </c>
      <c r="BK66" s="186">
        <v>0</v>
      </c>
      <c r="BL66" s="186">
        <v>0</v>
      </c>
      <c r="BM66" s="186">
        <v>0</v>
      </c>
      <c r="BN66" s="186">
        <v>0</v>
      </c>
      <c r="BO66" s="186">
        <v>0</v>
      </c>
      <c r="BP66" s="186">
        <v>0</v>
      </c>
      <c r="BQ66" s="186">
        <v>0</v>
      </c>
      <c r="BR66" s="186">
        <v>0</v>
      </c>
      <c r="BS66" s="186">
        <v>0</v>
      </c>
      <c r="BT66" s="186">
        <v>0</v>
      </c>
      <c r="BU66" s="186">
        <v>0</v>
      </c>
      <c r="BV66" s="186">
        <v>0</v>
      </c>
      <c r="BW66" s="186">
        <v>0</v>
      </c>
      <c r="BX66" s="186">
        <v>0</v>
      </c>
      <c r="BY66" s="186">
        <v>0</v>
      </c>
      <c r="BZ66" s="186">
        <v>0</v>
      </c>
      <c r="CA66" s="186">
        <v>0</v>
      </c>
      <c r="CB66" s="186">
        <v>0</v>
      </c>
      <c r="CC66" s="186">
        <v>0</v>
      </c>
      <c r="CD66" s="186">
        <v>0</v>
      </c>
      <c r="CE66" s="186">
        <v>0</v>
      </c>
      <c r="CF66" s="186">
        <v>550933</v>
      </c>
      <c r="CG66" s="186">
        <v>1385701</v>
      </c>
      <c r="CH66" s="186">
        <v>48</v>
      </c>
      <c r="CI66" s="186">
        <v>48</v>
      </c>
      <c r="CJ66" s="186">
        <v>93.81</v>
      </c>
      <c r="CK66" s="186">
        <v>93.81</v>
      </c>
      <c r="CL66" s="186">
        <v>93.81</v>
      </c>
      <c r="CM66" s="186">
        <v>182.82</v>
      </c>
      <c r="CN66" s="186">
        <v>208.49</v>
      </c>
      <c r="CO66" s="186">
        <v>243.57</v>
      </c>
      <c r="CP66" s="186">
        <v>243.57</v>
      </c>
      <c r="CQ66" s="186">
        <v>243.57</v>
      </c>
      <c r="CR66" s="186">
        <v>243.57</v>
      </c>
      <c r="CS66" s="186">
        <v>188.55</v>
      </c>
      <c r="CT66" s="186">
        <v>188.55</v>
      </c>
      <c r="CU66" s="186">
        <v>188.55</v>
      </c>
      <c r="CV66" s="186">
        <v>188.55</v>
      </c>
    </row>
    <row r="67" spans="1:100">
      <c r="A67" s="541" t="str">
        <f t="shared" si="0"/>
        <v>1430040</v>
      </c>
      <c r="B67" s="541" t="s">
        <v>1778</v>
      </c>
      <c r="C67" s="463" t="s">
        <v>1777</v>
      </c>
      <c r="D67" s="397"/>
      <c r="E67" s="397"/>
      <c r="F67" s="397"/>
      <c r="G67" s="397"/>
      <c r="H67" s="397"/>
      <c r="I67" s="397"/>
      <c r="J67" s="397"/>
      <c r="K67" s="397"/>
      <c r="L67" s="397"/>
      <c r="M67" s="397"/>
      <c r="N67" s="397"/>
      <c r="O67" s="397"/>
      <c r="P67" s="398"/>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v>6281501.0599999996</v>
      </c>
      <c r="AP67" s="186">
        <v>6084358.3899999997</v>
      </c>
      <c r="AQ67" s="186">
        <v>5842368.4400000004</v>
      </c>
      <c r="AR67" s="186">
        <v>5641895.1399999997</v>
      </c>
      <c r="AS67" s="186">
        <v>5415338.29</v>
      </c>
      <c r="AT67" s="186">
        <v>5198265.75</v>
      </c>
      <c r="AU67" s="186">
        <v>4989805.97</v>
      </c>
      <c r="AV67" s="186">
        <v>4769650.97</v>
      </c>
      <c r="AW67" s="186">
        <v>4605679.53</v>
      </c>
      <c r="AX67" s="186">
        <v>4411520.0599999996</v>
      </c>
      <c r="AY67" s="186">
        <v>4240233.17</v>
      </c>
      <c r="AZ67" s="186">
        <v>4082767.85</v>
      </c>
      <c r="BA67" s="186">
        <v>3910268.1</v>
      </c>
      <c r="BB67" s="186">
        <v>3754436.35</v>
      </c>
      <c r="BC67" s="186">
        <v>3591401.74</v>
      </c>
      <c r="BD67" s="186">
        <v>3436949.22</v>
      </c>
      <c r="BE67" s="186">
        <v>3278923.67</v>
      </c>
      <c r="BF67" s="186">
        <v>3129316.36</v>
      </c>
      <c r="BG67" s="186">
        <v>2978680.45</v>
      </c>
      <c r="BH67" s="186">
        <v>2822342.85</v>
      </c>
      <c r="BI67" s="186">
        <v>2708113.74</v>
      </c>
      <c r="BJ67" s="186">
        <v>2566235.42</v>
      </c>
      <c r="BK67" s="186">
        <v>2437176.2799999998</v>
      </c>
      <c r="BL67" s="186">
        <v>2314149.33</v>
      </c>
      <c r="BM67" s="186">
        <v>2191151.0499999998</v>
      </c>
      <c r="BN67" s="186">
        <v>2079141.37</v>
      </c>
      <c r="BO67" s="186">
        <v>1960043.42</v>
      </c>
      <c r="BP67" s="186">
        <v>1840549.68</v>
      </c>
      <c r="BQ67" s="186">
        <v>1725672.34</v>
      </c>
      <c r="BR67" s="186">
        <v>1624348.79</v>
      </c>
      <c r="BS67" s="186">
        <v>1461832.14</v>
      </c>
      <c r="BT67" s="186">
        <v>1349870.07</v>
      </c>
      <c r="BU67" s="186">
        <v>1257472.1499999999</v>
      </c>
      <c r="BV67" s="186">
        <v>1157823.6100000001</v>
      </c>
      <c r="BW67" s="186">
        <v>1073763.3600000001</v>
      </c>
      <c r="BX67" s="186">
        <v>982667.57</v>
      </c>
      <c r="BY67" s="186">
        <v>900464.47</v>
      </c>
      <c r="BZ67" s="186">
        <v>824061.04</v>
      </c>
      <c r="CA67" s="186">
        <v>747257.39</v>
      </c>
      <c r="CB67" s="186">
        <v>678652.55</v>
      </c>
      <c r="CC67" s="186">
        <v>615987.97</v>
      </c>
      <c r="CD67" s="186">
        <v>551919.27</v>
      </c>
      <c r="CE67" s="186">
        <v>492128.34</v>
      </c>
      <c r="CF67" s="186">
        <v>439643.19</v>
      </c>
      <c r="CG67" s="186">
        <v>389027.24</v>
      </c>
      <c r="CH67" s="186">
        <v>337021.94</v>
      </c>
      <c r="CI67" s="186">
        <v>294453.58</v>
      </c>
      <c r="CJ67" s="186">
        <v>252442.48</v>
      </c>
      <c r="CK67" s="186">
        <v>217554.56</v>
      </c>
      <c r="CL67" s="186">
        <v>185014.27</v>
      </c>
      <c r="CM67" s="186">
        <v>153448.82999999999</v>
      </c>
      <c r="CN67" s="186">
        <v>127608.53</v>
      </c>
      <c r="CO67" s="186">
        <v>106976.04</v>
      </c>
      <c r="CP67" s="186">
        <v>84478.73</v>
      </c>
      <c r="CQ67" s="186">
        <v>64409.41</v>
      </c>
      <c r="CR67" s="186">
        <v>48295.53</v>
      </c>
      <c r="CS67" s="186">
        <v>36164.25</v>
      </c>
      <c r="CT67" s="186">
        <v>27817.69</v>
      </c>
      <c r="CU67" s="186">
        <v>21667.17</v>
      </c>
      <c r="CV67" s="186">
        <v>18394.61</v>
      </c>
    </row>
    <row r="68" spans="1:100">
      <c r="A68" s="541" t="str">
        <f t="shared" si="0"/>
        <v>1430300</v>
      </c>
      <c r="B68" s="541" t="s">
        <v>1497</v>
      </c>
      <c r="C68" s="463" t="s">
        <v>639</v>
      </c>
      <c r="D68" s="397">
        <v>964325.18</v>
      </c>
      <c r="E68" s="397">
        <v>0</v>
      </c>
      <c r="F68" s="397">
        <v>0</v>
      </c>
      <c r="G68" s="397">
        <v>0</v>
      </c>
      <c r="H68" s="397">
        <v>0</v>
      </c>
      <c r="I68" s="397">
        <v>0</v>
      </c>
      <c r="J68" s="397">
        <v>0</v>
      </c>
      <c r="K68" s="397">
        <v>0</v>
      </c>
      <c r="L68" s="397">
        <v>0</v>
      </c>
      <c r="M68" s="397">
        <v>0</v>
      </c>
      <c r="N68" s="397">
        <v>0</v>
      </c>
      <c r="O68" s="397">
        <v>0</v>
      </c>
      <c r="P68" s="398">
        <v>9712348.9600000009</v>
      </c>
      <c r="Q68" s="186">
        <v>0</v>
      </c>
      <c r="R68" s="186">
        <v>0</v>
      </c>
      <c r="S68" s="186">
        <v>0</v>
      </c>
      <c r="T68" s="186">
        <v>0</v>
      </c>
      <c r="U68" s="186">
        <v>0</v>
      </c>
      <c r="V68" s="186">
        <v>0</v>
      </c>
      <c r="W68" s="186">
        <v>0</v>
      </c>
      <c r="X68" s="186">
        <v>0</v>
      </c>
      <c r="Y68" s="186">
        <v>0</v>
      </c>
      <c r="Z68" s="186">
        <v>0</v>
      </c>
      <c r="AA68" s="186">
        <v>0</v>
      </c>
      <c r="AB68" s="186">
        <v>13507098.35</v>
      </c>
      <c r="AC68" s="186">
        <v>0</v>
      </c>
      <c r="AD68" s="186">
        <v>0</v>
      </c>
      <c r="AE68" s="186">
        <v>0</v>
      </c>
      <c r="AF68" s="186">
        <v>0</v>
      </c>
      <c r="AG68" s="186">
        <v>0</v>
      </c>
      <c r="AH68" s="186">
        <v>0</v>
      </c>
      <c r="AI68" s="186">
        <v>0</v>
      </c>
      <c r="AJ68" s="186">
        <v>0</v>
      </c>
      <c r="AK68" s="186">
        <v>0</v>
      </c>
      <c r="AL68" s="186">
        <v>0</v>
      </c>
      <c r="AM68" s="186">
        <v>0</v>
      </c>
      <c r="AN68" s="186">
        <v>963997.02</v>
      </c>
      <c r="AO68" s="186">
        <v>0</v>
      </c>
      <c r="AP68" s="186">
        <v>0</v>
      </c>
      <c r="AQ68" s="186">
        <v>0</v>
      </c>
      <c r="AR68" s="186">
        <v>0</v>
      </c>
      <c r="AS68" s="186">
        <v>0</v>
      </c>
      <c r="AT68" s="186">
        <v>0</v>
      </c>
      <c r="AU68" s="186">
        <v>0</v>
      </c>
      <c r="AV68" s="186">
        <v>0</v>
      </c>
      <c r="AW68" s="186">
        <v>0</v>
      </c>
      <c r="AX68" s="186">
        <v>0</v>
      </c>
      <c r="AY68" s="186">
        <v>0</v>
      </c>
      <c r="AZ68" s="186">
        <v>0</v>
      </c>
      <c r="BA68" s="186">
        <v>0</v>
      </c>
      <c r="BB68" s="186">
        <v>0</v>
      </c>
      <c r="BC68" s="186">
        <v>0</v>
      </c>
      <c r="BD68" s="186">
        <v>0</v>
      </c>
      <c r="BE68" s="186">
        <v>0</v>
      </c>
      <c r="BF68" s="186">
        <v>0</v>
      </c>
      <c r="BG68" s="186">
        <v>0</v>
      </c>
      <c r="BH68" s="186">
        <v>0</v>
      </c>
      <c r="BI68" s="186">
        <v>0</v>
      </c>
      <c r="BJ68" s="186">
        <v>0</v>
      </c>
      <c r="BK68" s="186">
        <v>0</v>
      </c>
      <c r="BL68" s="186">
        <v>0</v>
      </c>
      <c r="BM68" s="186">
        <v>0</v>
      </c>
      <c r="BN68" s="186">
        <v>0</v>
      </c>
      <c r="BO68" s="186">
        <v>0</v>
      </c>
      <c r="BP68" s="186">
        <v>0</v>
      </c>
      <c r="BQ68" s="186">
        <v>0</v>
      </c>
      <c r="BR68" s="186">
        <v>0</v>
      </c>
      <c r="BS68" s="186">
        <v>0</v>
      </c>
      <c r="BT68" s="186">
        <v>0</v>
      </c>
      <c r="BU68" s="186">
        <v>0</v>
      </c>
      <c r="BV68" s="186">
        <v>0</v>
      </c>
      <c r="BW68" s="186">
        <v>0</v>
      </c>
      <c r="BX68" s="186">
        <v>208003.27</v>
      </c>
      <c r="BY68" s="186">
        <v>208003.27</v>
      </c>
      <c r="BZ68" s="186">
        <v>208003.27</v>
      </c>
      <c r="CA68" s="186">
        <v>208003.27</v>
      </c>
      <c r="CB68" s="186">
        <v>0</v>
      </c>
      <c r="CC68" s="186">
        <v>0</v>
      </c>
      <c r="CD68" s="186">
        <v>0</v>
      </c>
      <c r="CE68" s="186">
        <v>0</v>
      </c>
      <c r="CF68" s="186">
        <v>0</v>
      </c>
      <c r="CG68" s="186">
        <v>0</v>
      </c>
      <c r="CH68" s="186">
        <v>0</v>
      </c>
      <c r="CI68" s="186">
        <v>0</v>
      </c>
      <c r="CJ68" s="186">
        <v>0</v>
      </c>
      <c r="CK68" s="186">
        <v>0</v>
      </c>
      <c r="CL68" s="186">
        <v>0</v>
      </c>
      <c r="CM68" s="186">
        <v>0</v>
      </c>
      <c r="CN68" s="186">
        <v>0</v>
      </c>
      <c r="CO68" s="186">
        <v>0</v>
      </c>
      <c r="CP68" s="186">
        <v>0</v>
      </c>
      <c r="CQ68" s="186">
        <v>0</v>
      </c>
      <c r="CR68" s="186">
        <v>0</v>
      </c>
      <c r="CS68" s="186">
        <v>0</v>
      </c>
      <c r="CT68" s="186">
        <v>0</v>
      </c>
      <c r="CU68" s="186">
        <v>0</v>
      </c>
      <c r="CV68" s="186">
        <v>3163255.15</v>
      </c>
    </row>
    <row r="69" spans="1:100">
      <c r="A69" s="541" t="str">
        <f t="shared" si="0"/>
        <v>1430400</v>
      </c>
      <c r="B69" s="541" t="s">
        <v>1498</v>
      </c>
      <c r="C69" s="463" t="s">
        <v>640</v>
      </c>
      <c r="D69" s="397">
        <v>56521.04</v>
      </c>
      <c r="E69" s="397">
        <v>0</v>
      </c>
      <c r="F69" s="397">
        <v>0</v>
      </c>
      <c r="G69" s="397">
        <v>0</v>
      </c>
      <c r="H69" s="397">
        <v>0</v>
      </c>
      <c r="I69" s="397">
        <v>0</v>
      </c>
      <c r="J69" s="397">
        <v>0</v>
      </c>
      <c r="K69" s="397">
        <v>0</v>
      </c>
      <c r="L69" s="397">
        <v>0</v>
      </c>
      <c r="M69" s="397">
        <v>0</v>
      </c>
      <c r="N69" s="397">
        <v>0</v>
      </c>
      <c r="O69" s="397">
        <v>0</v>
      </c>
      <c r="P69" s="398">
        <v>314614.12</v>
      </c>
      <c r="Q69" s="186">
        <v>0</v>
      </c>
      <c r="R69" s="186">
        <v>0</v>
      </c>
      <c r="S69" s="186">
        <v>0</v>
      </c>
      <c r="T69" s="186">
        <v>0</v>
      </c>
      <c r="U69" s="186">
        <v>0</v>
      </c>
      <c r="V69" s="186">
        <v>0</v>
      </c>
      <c r="W69" s="186">
        <v>0</v>
      </c>
      <c r="X69" s="186">
        <v>0</v>
      </c>
      <c r="Y69" s="186">
        <v>0</v>
      </c>
      <c r="Z69" s="186">
        <v>0</v>
      </c>
      <c r="AA69" s="186">
        <v>0</v>
      </c>
      <c r="AB69" s="186">
        <v>215924.46</v>
      </c>
      <c r="AC69" s="186">
        <v>0</v>
      </c>
      <c r="AD69" s="186">
        <v>0</v>
      </c>
      <c r="AE69" s="186">
        <v>0</v>
      </c>
      <c r="AF69" s="186">
        <v>0</v>
      </c>
      <c r="AG69" s="186">
        <v>0</v>
      </c>
      <c r="AH69" s="186">
        <v>0</v>
      </c>
      <c r="AI69" s="186">
        <v>0</v>
      </c>
      <c r="AJ69" s="186">
        <v>0</v>
      </c>
      <c r="AK69" s="186">
        <v>0</v>
      </c>
      <c r="AL69" s="186">
        <v>0</v>
      </c>
      <c r="AM69" s="186">
        <v>0</v>
      </c>
      <c r="AN69" s="186">
        <v>0</v>
      </c>
      <c r="AO69" s="186">
        <v>0</v>
      </c>
      <c r="AP69" s="186">
        <v>0</v>
      </c>
      <c r="AQ69" s="186">
        <v>0</v>
      </c>
      <c r="AR69" s="186">
        <v>0</v>
      </c>
      <c r="AS69" s="186">
        <v>0</v>
      </c>
      <c r="AT69" s="186">
        <v>0</v>
      </c>
      <c r="AU69" s="186">
        <v>0</v>
      </c>
      <c r="AV69" s="186">
        <v>0</v>
      </c>
      <c r="AW69" s="186">
        <v>0</v>
      </c>
      <c r="AX69" s="186">
        <v>0</v>
      </c>
      <c r="AY69" s="186">
        <v>0</v>
      </c>
      <c r="AZ69" s="186">
        <v>0</v>
      </c>
      <c r="BA69" s="186">
        <v>0</v>
      </c>
      <c r="BB69" s="186">
        <v>0</v>
      </c>
      <c r="BC69" s="186">
        <v>0</v>
      </c>
      <c r="BD69" s="186">
        <v>0</v>
      </c>
      <c r="BE69" s="186">
        <v>0</v>
      </c>
      <c r="BF69" s="186">
        <v>0</v>
      </c>
      <c r="BG69" s="186">
        <v>0</v>
      </c>
      <c r="BH69" s="186">
        <v>0</v>
      </c>
      <c r="BI69" s="186">
        <v>0</v>
      </c>
      <c r="BJ69" s="186">
        <v>0</v>
      </c>
      <c r="BK69" s="186">
        <v>0</v>
      </c>
      <c r="BL69" s="186">
        <v>277608.63</v>
      </c>
      <c r="BM69" s="186">
        <v>0</v>
      </c>
      <c r="BN69" s="186">
        <v>0</v>
      </c>
      <c r="BO69" s="186">
        <v>0</v>
      </c>
      <c r="BP69" s="186">
        <v>0</v>
      </c>
      <c r="BQ69" s="186">
        <v>0</v>
      </c>
      <c r="BR69" s="186">
        <v>0</v>
      </c>
      <c r="BS69" s="186">
        <v>0</v>
      </c>
      <c r="BT69" s="186">
        <v>0</v>
      </c>
      <c r="BU69" s="186">
        <v>0</v>
      </c>
      <c r="BV69" s="186">
        <v>0</v>
      </c>
      <c r="BW69" s="186">
        <v>0</v>
      </c>
      <c r="BX69" s="186">
        <v>34285.1</v>
      </c>
      <c r="BY69" s="186">
        <v>34285.1</v>
      </c>
      <c r="BZ69" s="186">
        <v>34285.1</v>
      </c>
      <c r="CA69" s="186">
        <v>34285.1</v>
      </c>
      <c r="CB69" s="186">
        <v>0</v>
      </c>
      <c r="CC69" s="186">
        <v>0</v>
      </c>
      <c r="CD69" s="186">
        <v>0</v>
      </c>
      <c r="CE69" s="186">
        <v>0</v>
      </c>
      <c r="CF69" s="186">
        <v>0</v>
      </c>
      <c r="CG69" s="186">
        <v>0</v>
      </c>
      <c r="CH69" s="186">
        <v>0</v>
      </c>
      <c r="CI69" s="186">
        <v>0</v>
      </c>
      <c r="CJ69" s="186">
        <v>0</v>
      </c>
      <c r="CK69" s="186">
        <v>0</v>
      </c>
      <c r="CL69" s="186">
        <v>0</v>
      </c>
      <c r="CM69" s="186">
        <v>0</v>
      </c>
      <c r="CN69" s="186">
        <v>0</v>
      </c>
      <c r="CO69" s="186">
        <v>0</v>
      </c>
      <c r="CP69" s="186">
        <v>0</v>
      </c>
      <c r="CQ69" s="186">
        <v>0</v>
      </c>
      <c r="CR69" s="186">
        <v>0</v>
      </c>
      <c r="CS69" s="186">
        <v>0</v>
      </c>
      <c r="CT69" s="186">
        <v>0</v>
      </c>
      <c r="CU69" s="186">
        <v>0</v>
      </c>
      <c r="CV69" s="186">
        <v>791635.73</v>
      </c>
    </row>
    <row r="70" spans="1:100">
      <c r="A70" s="541" t="str">
        <f t="shared" si="0"/>
        <v>1430500</v>
      </c>
      <c r="B70" s="541" t="s">
        <v>1499</v>
      </c>
      <c r="C70" s="463" t="s">
        <v>641</v>
      </c>
      <c r="D70" s="397">
        <v>5905080.3899999997</v>
      </c>
      <c r="E70" s="397">
        <v>5863523.46</v>
      </c>
      <c r="F70" s="397">
        <v>5810181.5599999996</v>
      </c>
      <c r="G70" s="397">
        <v>5753329.4900000002</v>
      </c>
      <c r="H70" s="397">
        <v>5690205.46</v>
      </c>
      <c r="I70" s="397">
        <v>5565021.0300000003</v>
      </c>
      <c r="J70" s="397">
        <v>5487850.8300000001</v>
      </c>
      <c r="K70" s="397">
        <v>5436662.7300000004</v>
      </c>
      <c r="L70" s="397">
        <v>5366404.5599999996</v>
      </c>
      <c r="M70" s="397">
        <v>5359116.46</v>
      </c>
      <c r="N70" s="397">
        <v>5342134.0599999996</v>
      </c>
      <c r="O70" s="397">
        <v>5406194.29</v>
      </c>
      <c r="P70" s="398">
        <v>5477737.7999999998</v>
      </c>
      <c r="Q70" s="186">
        <v>5815734.4100000001</v>
      </c>
      <c r="R70" s="186">
        <v>5844889.3099999996</v>
      </c>
      <c r="S70" s="186">
        <v>5910725.5099999998</v>
      </c>
      <c r="T70" s="186">
        <v>5859765.5999999996</v>
      </c>
      <c r="U70" s="186">
        <v>5852703.6600000001</v>
      </c>
      <c r="V70" s="186">
        <v>5892331.9699999997</v>
      </c>
      <c r="W70" s="186">
        <v>5963421.3099999996</v>
      </c>
      <c r="X70" s="186">
        <v>6061500.9199999999</v>
      </c>
      <c r="Y70" s="186">
        <v>6194083.9400000004</v>
      </c>
      <c r="Z70" s="186">
        <v>6264404.0499999998</v>
      </c>
      <c r="AA70" s="186">
        <v>6198201.46</v>
      </c>
      <c r="AB70" s="186">
        <v>6283131.75</v>
      </c>
      <c r="AC70" s="186">
        <v>6356595.2999999998</v>
      </c>
      <c r="AD70" s="186">
        <v>6427854.71</v>
      </c>
      <c r="AE70" s="186">
        <v>6466328.3300000001</v>
      </c>
      <c r="AF70" s="186">
        <v>6474090.5700000003</v>
      </c>
      <c r="AG70" s="186">
        <v>6509965.7400000002</v>
      </c>
      <c r="AH70" s="186">
        <v>6527950.4400000004</v>
      </c>
      <c r="AI70" s="186">
        <v>6538306.2800000003</v>
      </c>
      <c r="AJ70" s="186">
        <v>6543025.4699999997</v>
      </c>
      <c r="AK70" s="186">
        <v>6539187.0599999996</v>
      </c>
      <c r="AL70" s="186">
        <v>6576654.9699999997</v>
      </c>
      <c r="AM70" s="186">
        <v>6600424.6799999997</v>
      </c>
      <c r="AN70" s="186">
        <v>6367837.25</v>
      </c>
      <c r="AO70" s="186">
        <v>0</v>
      </c>
      <c r="AP70" s="186">
        <v>0</v>
      </c>
      <c r="AQ70" s="186">
        <v>0</v>
      </c>
      <c r="AR70" s="186">
        <v>0</v>
      </c>
      <c r="AS70" s="186">
        <v>0</v>
      </c>
      <c r="AT70" s="186">
        <v>0</v>
      </c>
      <c r="AU70" s="186">
        <v>0</v>
      </c>
      <c r="AV70" s="186">
        <v>0</v>
      </c>
      <c r="AW70" s="186">
        <v>0</v>
      </c>
      <c r="AX70" s="186">
        <v>0</v>
      </c>
      <c r="AY70" s="186">
        <v>0</v>
      </c>
      <c r="AZ70" s="186">
        <v>0</v>
      </c>
      <c r="BA70" s="186">
        <v>0</v>
      </c>
      <c r="BB70" s="186">
        <v>0</v>
      </c>
      <c r="BC70" s="186">
        <v>0</v>
      </c>
      <c r="BD70" s="186">
        <v>0</v>
      </c>
      <c r="BE70" s="186">
        <v>0</v>
      </c>
      <c r="BF70" s="186">
        <v>0</v>
      </c>
      <c r="BG70" s="186">
        <v>0</v>
      </c>
      <c r="BH70" s="186">
        <v>0</v>
      </c>
      <c r="BI70" s="186">
        <v>0</v>
      </c>
      <c r="BJ70" s="186">
        <v>0</v>
      </c>
      <c r="BK70" s="186">
        <v>0</v>
      </c>
      <c r="BL70" s="186">
        <v>0</v>
      </c>
      <c r="BM70" s="186">
        <v>0</v>
      </c>
      <c r="BN70" s="186">
        <v>0</v>
      </c>
      <c r="BO70" s="186">
        <v>0</v>
      </c>
      <c r="BP70" s="186">
        <v>0</v>
      </c>
      <c r="BQ70" s="186">
        <v>0</v>
      </c>
      <c r="BR70" s="186">
        <v>0</v>
      </c>
      <c r="BS70" s="186">
        <v>0</v>
      </c>
      <c r="BT70" s="186">
        <v>0</v>
      </c>
      <c r="BU70" s="186">
        <v>0</v>
      </c>
      <c r="BV70" s="186">
        <v>0</v>
      </c>
      <c r="BW70" s="186">
        <v>0</v>
      </c>
      <c r="BX70" s="186">
        <v>0</v>
      </c>
      <c r="BY70" s="186">
        <v>0</v>
      </c>
      <c r="BZ70" s="186">
        <v>0</v>
      </c>
      <c r="CA70" s="186">
        <v>0</v>
      </c>
      <c r="CB70" s="186">
        <v>0</v>
      </c>
      <c r="CC70" s="186">
        <v>0</v>
      </c>
      <c r="CD70" s="186">
        <v>0</v>
      </c>
      <c r="CE70" s="186">
        <v>0</v>
      </c>
      <c r="CF70" s="186">
        <v>0</v>
      </c>
      <c r="CG70" s="186">
        <v>0</v>
      </c>
      <c r="CH70" s="186">
        <v>0</v>
      </c>
      <c r="CI70" s="186">
        <v>0</v>
      </c>
      <c r="CJ70" s="186">
        <v>0</v>
      </c>
      <c r="CK70" s="186">
        <v>0</v>
      </c>
      <c r="CL70" s="186">
        <v>0</v>
      </c>
      <c r="CM70" s="186">
        <v>0</v>
      </c>
      <c r="CN70" s="186">
        <v>0</v>
      </c>
      <c r="CO70" s="186">
        <v>0</v>
      </c>
      <c r="CP70" s="186">
        <v>0</v>
      </c>
      <c r="CQ70" s="186">
        <v>0</v>
      </c>
      <c r="CR70" s="186">
        <v>0</v>
      </c>
      <c r="CS70" s="186">
        <v>0</v>
      </c>
      <c r="CT70" s="186">
        <v>0</v>
      </c>
      <c r="CU70" s="186">
        <v>0</v>
      </c>
      <c r="CV70" s="186">
        <v>0</v>
      </c>
    </row>
    <row r="71" spans="1:100">
      <c r="A71" s="541" t="str">
        <f t="shared" ref="A71:A144" si="1">+B71</f>
        <v>1430510</v>
      </c>
      <c r="B71" s="541" t="s">
        <v>1583</v>
      </c>
      <c r="C71" s="463" t="s">
        <v>642</v>
      </c>
      <c r="D71" s="397">
        <v>299544.82</v>
      </c>
      <c r="E71" s="397">
        <v>311813.09000000003</v>
      </c>
      <c r="F71" s="397">
        <v>298175.56</v>
      </c>
      <c r="G71" s="397">
        <v>293873.90999999997</v>
      </c>
      <c r="H71" s="397">
        <v>300479.46000000002</v>
      </c>
      <c r="I71" s="397">
        <v>319703.84000000003</v>
      </c>
      <c r="J71" s="397">
        <v>328361.49</v>
      </c>
      <c r="K71" s="397">
        <v>309100.55</v>
      </c>
      <c r="L71" s="397">
        <v>258061.39</v>
      </c>
      <c r="M71" s="397">
        <v>244409.26</v>
      </c>
      <c r="N71" s="397">
        <v>269405.78000000003</v>
      </c>
      <c r="O71" s="397">
        <v>269624.84000000003</v>
      </c>
      <c r="P71" s="398">
        <v>275730.61</v>
      </c>
      <c r="Q71" s="186">
        <v>284648.15999999997</v>
      </c>
      <c r="R71" s="186">
        <v>273045.23</v>
      </c>
      <c r="S71" s="186">
        <v>255037.29</v>
      </c>
      <c r="T71" s="186">
        <v>292334.76</v>
      </c>
      <c r="U71" s="186">
        <v>284688.42</v>
      </c>
      <c r="V71" s="186">
        <v>294605.74</v>
      </c>
      <c r="W71" s="186">
        <v>288460</v>
      </c>
      <c r="X71" s="186">
        <v>261888.79</v>
      </c>
      <c r="Y71" s="186">
        <v>281088.46999999997</v>
      </c>
      <c r="Z71" s="186">
        <v>306371.25</v>
      </c>
      <c r="AA71" s="186">
        <v>280875.23</v>
      </c>
      <c r="AB71" s="186">
        <v>260016.42</v>
      </c>
      <c r="AC71" s="186">
        <v>300487.06</v>
      </c>
      <c r="AD71" s="186">
        <v>312214.75</v>
      </c>
      <c r="AE71" s="186">
        <v>328736.71999999997</v>
      </c>
      <c r="AF71" s="186">
        <v>390168.92</v>
      </c>
      <c r="AG71" s="186">
        <v>329446.44</v>
      </c>
      <c r="AH71" s="186">
        <v>-10743.16</v>
      </c>
      <c r="AI71" s="186">
        <v>311257.81</v>
      </c>
      <c r="AJ71" s="186">
        <v>272543.96999999997</v>
      </c>
      <c r="AK71" s="186">
        <v>256777.32</v>
      </c>
      <c r="AL71" s="186">
        <v>110734.01</v>
      </c>
      <c r="AM71" s="186">
        <v>208045.63</v>
      </c>
      <c r="AN71" s="186">
        <v>243228.07</v>
      </c>
      <c r="AO71" s="186">
        <v>0</v>
      </c>
      <c r="AP71" s="186">
        <v>0</v>
      </c>
      <c r="AQ71" s="186">
        <v>0</v>
      </c>
      <c r="AR71" s="186">
        <v>0</v>
      </c>
      <c r="AS71" s="186">
        <v>0</v>
      </c>
      <c r="AT71" s="186">
        <v>0</v>
      </c>
      <c r="AU71" s="186">
        <v>0</v>
      </c>
      <c r="AV71" s="186">
        <v>0</v>
      </c>
      <c r="AW71" s="186">
        <v>0</v>
      </c>
      <c r="AX71" s="186">
        <v>0</v>
      </c>
      <c r="AY71" s="186">
        <v>0</v>
      </c>
      <c r="AZ71" s="186">
        <v>0</v>
      </c>
      <c r="BA71" s="186">
        <v>0</v>
      </c>
      <c r="BB71" s="186">
        <v>0</v>
      </c>
      <c r="BC71" s="186">
        <v>0</v>
      </c>
      <c r="BD71" s="186">
        <v>0</v>
      </c>
      <c r="BE71" s="186">
        <v>0</v>
      </c>
      <c r="BF71" s="186">
        <v>0</v>
      </c>
      <c r="BG71" s="186">
        <v>0</v>
      </c>
      <c r="BH71" s="186">
        <v>0</v>
      </c>
      <c r="BI71" s="186">
        <v>0</v>
      </c>
      <c r="BJ71" s="186">
        <v>0</v>
      </c>
      <c r="BK71" s="186">
        <v>0</v>
      </c>
      <c r="BL71" s="186">
        <v>0</v>
      </c>
      <c r="BM71" s="186">
        <v>0</v>
      </c>
      <c r="BN71" s="186">
        <v>0</v>
      </c>
      <c r="BO71" s="186">
        <v>0</v>
      </c>
      <c r="BP71" s="186">
        <v>0</v>
      </c>
      <c r="BQ71" s="186">
        <v>0</v>
      </c>
      <c r="BR71" s="186">
        <v>0</v>
      </c>
      <c r="BS71" s="186">
        <v>0</v>
      </c>
      <c r="BT71" s="186">
        <v>0</v>
      </c>
      <c r="BU71" s="186">
        <v>0</v>
      </c>
      <c r="BV71" s="186">
        <v>0</v>
      </c>
      <c r="BW71" s="186">
        <v>0</v>
      </c>
      <c r="BX71" s="186">
        <v>0</v>
      </c>
      <c r="BY71" s="186">
        <v>0</v>
      </c>
      <c r="BZ71" s="186">
        <v>0</v>
      </c>
      <c r="CA71" s="186">
        <v>0</v>
      </c>
      <c r="CB71" s="186">
        <v>0</v>
      </c>
      <c r="CC71" s="186">
        <v>0</v>
      </c>
      <c r="CD71" s="186">
        <v>0</v>
      </c>
      <c r="CE71" s="186">
        <v>0</v>
      </c>
      <c r="CF71" s="186">
        <v>0</v>
      </c>
      <c r="CG71" s="186">
        <v>0</v>
      </c>
      <c r="CH71" s="186">
        <v>0</v>
      </c>
      <c r="CI71" s="186">
        <v>0</v>
      </c>
      <c r="CJ71" s="186">
        <v>0</v>
      </c>
      <c r="CK71" s="186">
        <v>0</v>
      </c>
      <c r="CL71" s="186">
        <v>0</v>
      </c>
      <c r="CM71" s="186">
        <v>0</v>
      </c>
      <c r="CN71" s="186">
        <v>0</v>
      </c>
      <c r="CO71" s="186">
        <v>0</v>
      </c>
      <c r="CP71" s="186">
        <v>0</v>
      </c>
      <c r="CQ71" s="186">
        <v>0</v>
      </c>
      <c r="CR71" s="186">
        <v>0</v>
      </c>
      <c r="CS71" s="186">
        <v>0</v>
      </c>
      <c r="CT71" s="186">
        <v>0</v>
      </c>
      <c r="CU71" s="186">
        <v>0</v>
      </c>
      <c r="CV71" s="186">
        <v>0</v>
      </c>
    </row>
    <row r="72" spans="1:100">
      <c r="A72" s="541" t="str">
        <f t="shared" si="1"/>
        <v>1430520</v>
      </c>
      <c r="B72" s="541" t="s">
        <v>1500</v>
      </c>
      <c r="C72" s="463" t="s">
        <v>643</v>
      </c>
      <c r="D72" s="397">
        <v>0</v>
      </c>
      <c r="E72" s="397">
        <v>0</v>
      </c>
      <c r="F72" s="397">
        <v>0</v>
      </c>
      <c r="G72" s="397">
        <v>0</v>
      </c>
      <c r="H72" s="397">
        <v>0</v>
      </c>
      <c r="I72" s="397">
        <v>0</v>
      </c>
      <c r="J72" s="397">
        <v>0</v>
      </c>
      <c r="K72" s="397">
        <v>0</v>
      </c>
      <c r="L72" s="397">
        <v>0</v>
      </c>
      <c r="M72" s="397">
        <v>0</v>
      </c>
      <c r="N72" s="397">
        <v>0</v>
      </c>
      <c r="O72" s="397">
        <v>0</v>
      </c>
      <c r="P72" s="398">
        <v>0</v>
      </c>
      <c r="Q72" s="186">
        <v>0</v>
      </c>
      <c r="R72" s="186">
        <v>0</v>
      </c>
      <c r="S72" s="186">
        <v>0</v>
      </c>
      <c r="T72" s="186">
        <v>0</v>
      </c>
      <c r="U72" s="186">
        <v>0</v>
      </c>
      <c r="V72" s="186">
        <v>0</v>
      </c>
      <c r="W72" s="186">
        <v>0</v>
      </c>
      <c r="X72" s="186">
        <v>0</v>
      </c>
      <c r="Y72" s="186">
        <v>0</v>
      </c>
      <c r="Z72" s="186">
        <v>0</v>
      </c>
      <c r="AA72" s="186">
        <v>0</v>
      </c>
      <c r="AB72" s="186">
        <v>0</v>
      </c>
      <c r="AC72" s="186">
        <v>-3000</v>
      </c>
      <c r="AD72" s="186">
        <v>0</v>
      </c>
      <c r="AE72" s="186">
        <v>0</v>
      </c>
      <c r="AF72" s="186">
        <v>0</v>
      </c>
      <c r="AG72" s="186">
        <v>0</v>
      </c>
      <c r="AH72" s="186">
        <v>0</v>
      </c>
      <c r="AI72" s="186">
        <v>0</v>
      </c>
      <c r="AJ72" s="186">
        <v>0</v>
      </c>
      <c r="AK72" s="186">
        <v>0</v>
      </c>
      <c r="AL72" s="186">
        <v>0</v>
      </c>
      <c r="AM72" s="186">
        <v>0</v>
      </c>
      <c r="AN72" s="186">
        <v>0</v>
      </c>
      <c r="AO72" s="186">
        <v>0</v>
      </c>
      <c r="AP72" s="186">
        <v>0</v>
      </c>
      <c r="AQ72" s="186">
        <v>0</v>
      </c>
      <c r="AR72" s="186">
        <v>0</v>
      </c>
      <c r="AS72" s="186">
        <v>0</v>
      </c>
      <c r="AT72" s="186">
        <v>0</v>
      </c>
      <c r="AU72" s="186">
        <v>0</v>
      </c>
      <c r="AV72" s="186">
        <v>0</v>
      </c>
      <c r="AW72" s="186">
        <v>0</v>
      </c>
      <c r="AX72" s="186">
        <v>0</v>
      </c>
      <c r="AY72" s="186">
        <v>0</v>
      </c>
      <c r="AZ72" s="186">
        <v>0</v>
      </c>
      <c r="BA72" s="186">
        <v>0</v>
      </c>
      <c r="BB72" s="186">
        <v>0</v>
      </c>
      <c r="BC72" s="186">
        <v>0</v>
      </c>
      <c r="BD72" s="186">
        <v>0</v>
      </c>
      <c r="BE72" s="186">
        <v>0</v>
      </c>
      <c r="BF72" s="186">
        <v>0</v>
      </c>
      <c r="BG72" s="186">
        <v>0</v>
      </c>
      <c r="BH72" s="186">
        <v>0</v>
      </c>
      <c r="BI72" s="186">
        <v>0</v>
      </c>
      <c r="BJ72" s="186">
        <v>0</v>
      </c>
      <c r="BK72" s="186">
        <v>0</v>
      </c>
      <c r="BL72" s="186">
        <v>0</v>
      </c>
      <c r="BM72" s="186">
        <v>0</v>
      </c>
      <c r="BN72" s="186">
        <v>0</v>
      </c>
      <c r="BO72" s="186">
        <v>0</v>
      </c>
      <c r="BP72" s="186">
        <v>0</v>
      </c>
      <c r="BQ72" s="186">
        <v>0</v>
      </c>
      <c r="BR72" s="186">
        <v>0</v>
      </c>
      <c r="BS72" s="186">
        <v>0</v>
      </c>
      <c r="BT72" s="186">
        <v>0</v>
      </c>
      <c r="BU72" s="186">
        <v>0</v>
      </c>
      <c r="BV72" s="186">
        <v>0</v>
      </c>
      <c r="BW72" s="186">
        <v>0</v>
      </c>
      <c r="BX72" s="186">
        <v>0</v>
      </c>
      <c r="BY72" s="186">
        <v>0</v>
      </c>
      <c r="BZ72" s="186">
        <v>0</v>
      </c>
      <c r="CA72" s="186">
        <v>0</v>
      </c>
      <c r="CB72" s="186">
        <v>0</v>
      </c>
      <c r="CC72" s="186">
        <v>0</v>
      </c>
      <c r="CD72" s="186">
        <v>0</v>
      </c>
      <c r="CE72" s="186">
        <v>0</v>
      </c>
      <c r="CF72" s="186">
        <v>0</v>
      </c>
      <c r="CG72" s="186">
        <v>0</v>
      </c>
      <c r="CH72" s="186">
        <v>0</v>
      </c>
      <c r="CI72" s="186">
        <v>0</v>
      </c>
      <c r="CJ72" s="186">
        <v>0</v>
      </c>
      <c r="CK72" s="186">
        <v>0</v>
      </c>
      <c r="CL72" s="186">
        <v>0</v>
      </c>
      <c r="CM72" s="186">
        <v>0</v>
      </c>
      <c r="CN72" s="186">
        <v>0</v>
      </c>
      <c r="CO72" s="186">
        <v>0</v>
      </c>
      <c r="CP72" s="186">
        <v>0</v>
      </c>
      <c r="CQ72" s="186">
        <v>0</v>
      </c>
      <c r="CR72" s="186">
        <v>0</v>
      </c>
      <c r="CS72" s="186">
        <v>0</v>
      </c>
      <c r="CT72" s="186">
        <v>0</v>
      </c>
      <c r="CU72" s="186">
        <v>0</v>
      </c>
      <c r="CV72" s="186">
        <v>0</v>
      </c>
    </row>
    <row r="73" spans="1:100">
      <c r="A73" s="541" t="str">
        <f t="shared" si="1"/>
        <v>1440000</v>
      </c>
      <c r="B73" s="541" t="s">
        <v>1743</v>
      </c>
      <c r="C73" s="463" t="s">
        <v>1742</v>
      </c>
      <c r="D73" s="397"/>
      <c r="E73" s="397"/>
      <c r="F73" s="397"/>
      <c r="G73" s="397"/>
      <c r="H73" s="397"/>
      <c r="I73" s="397"/>
      <c r="J73" s="397"/>
      <c r="K73" s="397"/>
      <c r="L73" s="397"/>
      <c r="M73" s="397"/>
      <c r="N73" s="397"/>
      <c r="O73" s="397"/>
      <c r="P73" s="398"/>
      <c r="Q73" s="186"/>
      <c r="R73" s="186"/>
      <c r="S73" s="186"/>
      <c r="T73" s="186"/>
      <c r="U73" s="186"/>
      <c r="V73" s="186"/>
      <c r="W73" s="186"/>
      <c r="X73" s="186"/>
      <c r="Y73" s="186"/>
      <c r="Z73" s="186"/>
      <c r="AA73" s="186"/>
      <c r="AB73" s="186"/>
      <c r="AC73" s="186"/>
      <c r="AD73" s="186"/>
      <c r="AE73" s="186"/>
      <c r="AF73" s="186"/>
      <c r="AG73" s="186"/>
      <c r="AH73" s="186"/>
      <c r="AI73" s="186"/>
      <c r="AJ73" s="186"/>
      <c r="AK73" s="186"/>
      <c r="AL73" s="186">
        <v>0</v>
      </c>
      <c r="AM73" s="186">
        <v>0</v>
      </c>
      <c r="AN73" s="186">
        <v>0</v>
      </c>
      <c r="AO73" s="186">
        <v>-157044.19</v>
      </c>
      <c r="AP73" s="186">
        <v>-238993.48</v>
      </c>
      <c r="AQ73" s="186">
        <v>-403051.53</v>
      </c>
      <c r="AR73" s="186">
        <v>-242110.57</v>
      </c>
      <c r="AS73" s="186">
        <v>-265419.90000000002</v>
      </c>
      <c r="AT73" s="186">
        <v>-183869.23</v>
      </c>
      <c r="AU73" s="186">
        <v>-249028.99</v>
      </c>
      <c r="AV73" s="186">
        <v>-246106.38</v>
      </c>
      <c r="AW73" s="186">
        <v>-246103.96</v>
      </c>
      <c r="AX73" s="186">
        <v>-255198.62</v>
      </c>
      <c r="AY73" s="186">
        <v>-275618.68</v>
      </c>
      <c r="AZ73" s="186">
        <v>-303726.56</v>
      </c>
      <c r="BA73" s="186">
        <v>-389179.01</v>
      </c>
      <c r="BB73" s="186">
        <v>-291069.13</v>
      </c>
      <c r="BC73" s="186">
        <v>-266234.40000000002</v>
      </c>
      <c r="BD73" s="186">
        <v>-237517.38</v>
      </c>
      <c r="BE73" s="186">
        <v>-233160.92</v>
      </c>
      <c r="BF73" s="186">
        <v>-232236.3</v>
      </c>
      <c r="BG73" s="186">
        <v>-245567.91</v>
      </c>
      <c r="BH73" s="186">
        <v>-269580.15999999997</v>
      </c>
      <c r="BI73" s="186">
        <v>-274642.02</v>
      </c>
      <c r="BJ73" s="186">
        <v>-264875.34000000003</v>
      </c>
      <c r="BK73" s="186">
        <v>-274851.34000000003</v>
      </c>
      <c r="BL73" s="186">
        <v>-326654.49</v>
      </c>
      <c r="BM73" s="186">
        <v>-352897.36</v>
      </c>
      <c r="BN73" s="186">
        <v>-351707.88</v>
      </c>
      <c r="BO73" s="186">
        <v>-359604.9</v>
      </c>
      <c r="BP73" s="186">
        <v>-372164.2</v>
      </c>
      <c r="BQ73" s="186">
        <v>-369066.23999999999</v>
      </c>
      <c r="BR73" s="186">
        <v>-351922.05</v>
      </c>
      <c r="BS73" s="186">
        <v>-342564.94</v>
      </c>
      <c r="BT73" s="186">
        <v>-337491.07</v>
      </c>
      <c r="BU73" s="186">
        <v>-315476.51</v>
      </c>
      <c r="BV73" s="186">
        <v>-305934.44</v>
      </c>
      <c r="BW73" s="186">
        <v>-327635.53000000003</v>
      </c>
      <c r="BX73" s="186">
        <v>-335559.6</v>
      </c>
      <c r="BY73" s="186">
        <v>-363319.21</v>
      </c>
      <c r="BZ73" s="186">
        <v>-332766.71999999997</v>
      </c>
      <c r="CA73" s="186">
        <v>-515565.99</v>
      </c>
      <c r="CB73" s="186">
        <v>-759958.55</v>
      </c>
      <c r="CC73" s="186">
        <v>-1016864.46</v>
      </c>
      <c r="CD73" s="186">
        <v>-1314337.8600000001</v>
      </c>
      <c r="CE73" s="186">
        <v>-1525174</v>
      </c>
      <c r="CF73" s="186">
        <v>-1763349.47</v>
      </c>
      <c r="CG73" s="186">
        <v>-1944094.85</v>
      </c>
      <c r="CH73" s="186">
        <v>-1758071.57</v>
      </c>
      <c r="CI73" s="186">
        <v>-1893706.34</v>
      </c>
      <c r="CJ73" s="186">
        <v>-1306227.33</v>
      </c>
      <c r="CK73" s="186">
        <v>-1503254.69</v>
      </c>
      <c r="CL73" s="186">
        <v>-1676938.96</v>
      </c>
      <c r="CM73" s="186">
        <v>-1356182.17</v>
      </c>
      <c r="CN73" s="186">
        <v>-1450493.44</v>
      </c>
      <c r="CO73" s="186">
        <v>-1529217.09</v>
      </c>
      <c r="CP73" s="186">
        <v>-1511549.4</v>
      </c>
      <c r="CQ73" s="186">
        <v>-1550433.59</v>
      </c>
      <c r="CR73" s="186">
        <v>-1604740.44</v>
      </c>
      <c r="CS73" s="186">
        <v>-1657765.44</v>
      </c>
      <c r="CT73" s="186">
        <v>-1730433.11</v>
      </c>
      <c r="CU73" s="186">
        <v>-1705592.45</v>
      </c>
      <c r="CV73" s="186">
        <v>-1717716.51</v>
      </c>
    </row>
    <row r="74" spans="1:100">
      <c r="A74" s="541" t="str">
        <f t="shared" si="1"/>
        <v>1440001</v>
      </c>
      <c r="B74" s="541" t="s">
        <v>1788</v>
      </c>
      <c r="C74" s="463" t="s">
        <v>1786</v>
      </c>
      <c r="D74" s="397"/>
      <c r="E74" s="397"/>
      <c r="F74" s="397"/>
      <c r="G74" s="397"/>
      <c r="H74" s="397"/>
      <c r="I74" s="397"/>
      <c r="J74" s="397"/>
      <c r="K74" s="397"/>
      <c r="L74" s="397"/>
      <c r="M74" s="397"/>
      <c r="N74" s="397"/>
      <c r="O74" s="397"/>
      <c r="P74" s="398"/>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v>0</v>
      </c>
      <c r="AP74" s="186">
        <v>0</v>
      </c>
      <c r="AQ74" s="186">
        <v>3.23</v>
      </c>
      <c r="AR74" s="186">
        <v>2057.7600000000002</v>
      </c>
      <c r="AS74" s="186">
        <v>2905.6</v>
      </c>
      <c r="AT74" s="186">
        <v>7363.61</v>
      </c>
      <c r="AU74" s="186">
        <v>9977.17</v>
      </c>
      <c r="AV74" s="186">
        <v>15857.9</v>
      </c>
      <c r="AW74" s="186">
        <v>23736.03</v>
      </c>
      <c r="AX74" s="186">
        <v>30984.13</v>
      </c>
      <c r="AY74" s="186">
        <v>33977.25</v>
      </c>
      <c r="AZ74" s="186">
        <v>35115.89</v>
      </c>
      <c r="BA74" s="186">
        <v>38624.629999999997</v>
      </c>
      <c r="BB74" s="186">
        <v>40992.97</v>
      </c>
      <c r="BC74" s="186">
        <v>43998.94</v>
      </c>
      <c r="BD74" s="186">
        <v>50001.07</v>
      </c>
      <c r="BE74" s="186">
        <v>55546.01</v>
      </c>
      <c r="BF74" s="186">
        <v>59404.27</v>
      </c>
      <c r="BG74" s="186">
        <v>64158.04</v>
      </c>
      <c r="BH74" s="186">
        <v>67622.36</v>
      </c>
      <c r="BI74" s="186">
        <v>71557.33</v>
      </c>
      <c r="BJ74" s="186">
        <v>75866.31</v>
      </c>
      <c r="BK74" s="186">
        <v>80678.080000000002</v>
      </c>
      <c r="BL74" s="186">
        <v>88611.32</v>
      </c>
      <c r="BM74" s="186">
        <v>94068.75</v>
      </c>
      <c r="BN74" s="186">
        <v>97332.800000000003</v>
      </c>
      <c r="BO74" s="186">
        <v>103991.65</v>
      </c>
      <c r="BP74" s="186">
        <v>113019.47</v>
      </c>
      <c r="BQ74" s="186">
        <v>116910.02</v>
      </c>
      <c r="BR74" s="186">
        <v>120169.91</v>
      </c>
      <c r="BS74" s="186">
        <v>123028.99</v>
      </c>
      <c r="BT74" s="186">
        <v>125883.39</v>
      </c>
      <c r="BU74" s="186">
        <v>131890.16</v>
      </c>
      <c r="BV74" s="186">
        <v>134948.69</v>
      </c>
      <c r="BW74" s="186">
        <v>137287.82</v>
      </c>
      <c r="BX74" s="186">
        <v>140153.79</v>
      </c>
      <c r="BY74" s="186">
        <v>143478.28</v>
      </c>
      <c r="BZ74" s="186">
        <v>145427.46</v>
      </c>
      <c r="CA74" s="186">
        <v>145636.06</v>
      </c>
      <c r="CB74" s="186">
        <v>145303.85</v>
      </c>
      <c r="CC74" s="186">
        <v>145294.19</v>
      </c>
      <c r="CD74" s="186">
        <v>144853.89000000001</v>
      </c>
      <c r="CE74" s="186">
        <v>145285.25</v>
      </c>
      <c r="CF74" s="186">
        <v>145221.01</v>
      </c>
      <c r="CG74" s="186">
        <v>148919.21</v>
      </c>
      <c r="CH74" s="186">
        <v>163203.75</v>
      </c>
      <c r="CI74" s="186">
        <v>166088.21</v>
      </c>
      <c r="CJ74" s="186">
        <v>173008.4</v>
      </c>
      <c r="CK74" s="186">
        <v>175117.56</v>
      </c>
      <c r="CL74" s="186">
        <v>177971.17</v>
      </c>
      <c r="CM74" s="186">
        <v>180266.7</v>
      </c>
      <c r="CN74" s="186">
        <v>184896.53</v>
      </c>
      <c r="CO74" s="186">
        <v>187550.51</v>
      </c>
      <c r="CP74" s="186">
        <v>192726.21</v>
      </c>
      <c r="CQ74" s="186">
        <v>198214.28</v>
      </c>
      <c r="CR74" s="186">
        <v>202188.24</v>
      </c>
      <c r="CS74" s="186">
        <v>205916.17</v>
      </c>
      <c r="CT74" s="186">
        <v>209692.77</v>
      </c>
      <c r="CU74" s="186">
        <v>212560.29</v>
      </c>
      <c r="CV74" s="186">
        <v>216214.85</v>
      </c>
    </row>
    <row r="75" spans="1:100">
      <c r="A75" s="541" t="str">
        <f t="shared" si="1"/>
        <v>1440002</v>
      </c>
      <c r="B75" s="541" t="s">
        <v>1789</v>
      </c>
      <c r="C75" s="463" t="s">
        <v>1787</v>
      </c>
      <c r="D75" s="397"/>
      <c r="E75" s="397"/>
      <c r="F75" s="397"/>
      <c r="G75" s="397"/>
      <c r="H75" s="397"/>
      <c r="I75" s="397"/>
      <c r="J75" s="397"/>
      <c r="K75" s="397"/>
      <c r="L75" s="397"/>
      <c r="M75" s="397"/>
      <c r="N75" s="397"/>
      <c r="O75" s="397"/>
      <c r="P75" s="398"/>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v>0</v>
      </c>
      <c r="AP75" s="186">
        <v>0</v>
      </c>
      <c r="AQ75" s="186">
        <v>0.89</v>
      </c>
      <c r="AR75" s="186">
        <v>1181.52</v>
      </c>
      <c r="AS75" s="186">
        <v>1714.26</v>
      </c>
      <c r="AT75" s="186">
        <v>4234.34</v>
      </c>
      <c r="AU75" s="186">
        <v>5459.98</v>
      </c>
      <c r="AV75" s="186">
        <v>8743.52</v>
      </c>
      <c r="AW75" s="186">
        <v>11612.39</v>
      </c>
      <c r="AX75" s="186">
        <v>14586.34</v>
      </c>
      <c r="AY75" s="186">
        <v>15884.86</v>
      </c>
      <c r="AZ75" s="186">
        <v>16423.68</v>
      </c>
      <c r="BA75" s="186">
        <v>17963.78</v>
      </c>
      <c r="BB75" s="186">
        <v>18978.64</v>
      </c>
      <c r="BC75" s="186">
        <v>20533.759999999998</v>
      </c>
      <c r="BD75" s="186">
        <v>23666.79</v>
      </c>
      <c r="BE75" s="186">
        <v>25729.99</v>
      </c>
      <c r="BF75" s="186">
        <v>27337.21</v>
      </c>
      <c r="BG75" s="186">
        <v>29414.29</v>
      </c>
      <c r="BH75" s="186">
        <v>30835.27</v>
      </c>
      <c r="BI75" s="186">
        <v>32352.62</v>
      </c>
      <c r="BJ75" s="186">
        <v>33988.19</v>
      </c>
      <c r="BK75" s="186">
        <v>36016.14</v>
      </c>
      <c r="BL75" s="186">
        <v>39268.720000000001</v>
      </c>
      <c r="BM75" s="186">
        <v>40805.19</v>
      </c>
      <c r="BN75" s="186">
        <v>42463.41</v>
      </c>
      <c r="BO75" s="186">
        <v>44937.97</v>
      </c>
      <c r="BP75" s="186">
        <v>48222.400000000001</v>
      </c>
      <c r="BQ75" s="186">
        <v>49666.33</v>
      </c>
      <c r="BR75" s="186">
        <v>51521.47</v>
      </c>
      <c r="BS75" s="186">
        <v>53020.28</v>
      </c>
      <c r="BT75" s="186">
        <v>54266.83</v>
      </c>
      <c r="BU75" s="186">
        <v>59844.18</v>
      </c>
      <c r="BV75" s="186">
        <v>61134.02</v>
      </c>
      <c r="BW75" s="186">
        <v>61899.360000000001</v>
      </c>
      <c r="BX75" s="186">
        <v>63105.43</v>
      </c>
      <c r="BY75" s="186">
        <v>65270.27</v>
      </c>
      <c r="BZ75" s="186">
        <v>66161.86</v>
      </c>
      <c r="CA75" s="186">
        <v>66565.62</v>
      </c>
      <c r="CB75" s="186">
        <v>66378.75</v>
      </c>
      <c r="CC75" s="186">
        <v>67039.69</v>
      </c>
      <c r="CD75" s="186">
        <v>66846.41</v>
      </c>
      <c r="CE75" s="186">
        <v>68255.37</v>
      </c>
      <c r="CF75" s="186">
        <v>68320.08</v>
      </c>
      <c r="CG75" s="186">
        <v>70159.08</v>
      </c>
      <c r="CH75" s="186">
        <v>78227.86</v>
      </c>
      <c r="CI75" s="186">
        <v>79582.759999999995</v>
      </c>
      <c r="CJ75" s="186">
        <v>86030.24</v>
      </c>
      <c r="CK75" s="186">
        <v>87935.17</v>
      </c>
      <c r="CL75" s="186">
        <v>88380.17</v>
      </c>
      <c r="CM75" s="186">
        <v>87716.37</v>
      </c>
      <c r="CN75" s="186">
        <v>89611.63</v>
      </c>
      <c r="CO75" s="186">
        <v>91101.22</v>
      </c>
      <c r="CP75" s="186">
        <v>93382.11</v>
      </c>
      <c r="CQ75" s="186">
        <v>95237.24</v>
      </c>
      <c r="CR75" s="186">
        <v>96851.68</v>
      </c>
      <c r="CS75" s="186">
        <v>98001.67</v>
      </c>
      <c r="CT75" s="186">
        <v>101000.66</v>
      </c>
      <c r="CU75" s="186">
        <v>100542.53</v>
      </c>
      <c r="CV75" s="186">
        <v>101979.93</v>
      </c>
    </row>
    <row r="76" spans="1:100">
      <c r="A76" s="541" t="str">
        <f t="shared" si="1"/>
        <v>1440010</v>
      </c>
      <c r="B76" s="541" t="s">
        <v>1584</v>
      </c>
      <c r="C76" s="463" t="s">
        <v>644</v>
      </c>
      <c r="D76" s="397">
        <v>-731329.09</v>
      </c>
      <c r="E76" s="397">
        <v>-782748.28</v>
      </c>
      <c r="F76" s="397">
        <v>-917716.05</v>
      </c>
      <c r="G76" s="397">
        <v>-957279.1</v>
      </c>
      <c r="H76" s="397">
        <v>-935207.56</v>
      </c>
      <c r="I76" s="397">
        <v>-856777.71</v>
      </c>
      <c r="J76" s="397">
        <v>-816528.2</v>
      </c>
      <c r="K76" s="397">
        <v>-794094.56</v>
      </c>
      <c r="L76" s="397">
        <v>-747608.48</v>
      </c>
      <c r="M76" s="397">
        <v>-725358.9</v>
      </c>
      <c r="N76" s="397">
        <v>-695536.87</v>
      </c>
      <c r="O76" s="397">
        <v>-707430.92</v>
      </c>
      <c r="P76" s="398">
        <v>-716180.51</v>
      </c>
      <c r="Q76" s="186">
        <v>-764563.98</v>
      </c>
      <c r="R76" s="186">
        <v>-833682.14</v>
      </c>
      <c r="S76" s="186">
        <v>-866987.2</v>
      </c>
      <c r="T76" s="186">
        <v>-866890.19</v>
      </c>
      <c r="U76" s="186">
        <v>-848576.7</v>
      </c>
      <c r="V76" s="186">
        <v>-848491.47</v>
      </c>
      <c r="W76" s="186">
        <v>-838881.91</v>
      </c>
      <c r="X76" s="186">
        <v>-842812.73</v>
      </c>
      <c r="Y76" s="186">
        <v>-837646</v>
      </c>
      <c r="Z76" s="186">
        <v>-838111.69</v>
      </c>
      <c r="AA76" s="186">
        <v>-847212.74</v>
      </c>
      <c r="AB76" s="186">
        <v>-849690.38</v>
      </c>
      <c r="AC76" s="186">
        <v>-887536.24</v>
      </c>
      <c r="AD76" s="186">
        <v>-944535.58</v>
      </c>
      <c r="AE76" s="186">
        <v>-956846.5</v>
      </c>
      <c r="AF76" s="186">
        <v>-941985.09</v>
      </c>
      <c r="AG76" s="186">
        <v>-940287.95</v>
      </c>
      <c r="AH76" s="186">
        <v>-903512.59</v>
      </c>
      <c r="AI76" s="186">
        <v>-849498.54</v>
      </c>
      <c r="AJ76" s="186">
        <v>-845093.79</v>
      </c>
      <c r="AK76" s="186">
        <v>-801433.25</v>
      </c>
      <c r="AL76" s="186">
        <v>-783650.76</v>
      </c>
      <c r="AM76" s="186">
        <v>-787925.3</v>
      </c>
      <c r="AN76" s="186">
        <v>-63418.5</v>
      </c>
      <c r="AO76" s="186">
        <v>0</v>
      </c>
      <c r="AP76" s="186">
        <v>0</v>
      </c>
      <c r="AQ76" s="186">
        <v>0</v>
      </c>
      <c r="AR76" s="186">
        <v>0</v>
      </c>
      <c r="AS76" s="186">
        <v>0</v>
      </c>
      <c r="AT76" s="186">
        <v>0</v>
      </c>
      <c r="AU76" s="186">
        <v>0</v>
      </c>
      <c r="AV76" s="186">
        <v>0</v>
      </c>
      <c r="AW76" s="186">
        <v>0</v>
      </c>
      <c r="AX76" s="186">
        <v>0</v>
      </c>
      <c r="AY76" s="186">
        <v>0</v>
      </c>
      <c r="AZ76" s="186">
        <v>0</v>
      </c>
      <c r="BA76" s="186">
        <v>0</v>
      </c>
      <c r="BB76" s="186">
        <v>0</v>
      </c>
      <c r="BC76" s="186">
        <v>0</v>
      </c>
      <c r="BD76" s="186">
        <v>0</v>
      </c>
      <c r="BE76" s="186">
        <v>0</v>
      </c>
      <c r="BF76" s="186">
        <v>0</v>
      </c>
      <c r="BG76" s="186">
        <v>0</v>
      </c>
      <c r="BH76" s="186">
        <v>0</v>
      </c>
      <c r="BI76" s="186">
        <v>0</v>
      </c>
      <c r="BJ76" s="186">
        <v>0</v>
      </c>
      <c r="BK76" s="186">
        <v>0</v>
      </c>
      <c r="BL76" s="186">
        <v>0</v>
      </c>
      <c r="BM76" s="186">
        <v>0</v>
      </c>
      <c r="BN76" s="186">
        <v>0</v>
      </c>
      <c r="BO76" s="186">
        <v>0</v>
      </c>
      <c r="BP76" s="186">
        <v>0</v>
      </c>
      <c r="BQ76" s="186">
        <v>0</v>
      </c>
      <c r="BR76" s="186">
        <v>0</v>
      </c>
      <c r="BS76" s="186">
        <v>0</v>
      </c>
      <c r="BT76" s="186">
        <v>0</v>
      </c>
      <c r="BU76" s="186">
        <v>0</v>
      </c>
      <c r="BV76" s="186">
        <v>0</v>
      </c>
      <c r="BW76" s="186">
        <v>0</v>
      </c>
      <c r="BX76" s="186">
        <v>0</v>
      </c>
      <c r="BY76" s="186">
        <v>0</v>
      </c>
      <c r="BZ76" s="186">
        <v>0</v>
      </c>
      <c r="CA76" s="186">
        <v>0</v>
      </c>
      <c r="CB76" s="186">
        <v>0</v>
      </c>
      <c r="CC76" s="186">
        <v>0</v>
      </c>
      <c r="CD76" s="186">
        <v>0</v>
      </c>
      <c r="CE76" s="186">
        <v>0</v>
      </c>
      <c r="CF76" s="186">
        <v>0</v>
      </c>
      <c r="CG76" s="186">
        <v>0</v>
      </c>
      <c r="CH76" s="186">
        <v>0</v>
      </c>
      <c r="CI76" s="186">
        <v>0</v>
      </c>
      <c r="CJ76" s="186">
        <v>0</v>
      </c>
      <c r="CK76" s="186">
        <v>0</v>
      </c>
      <c r="CL76" s="186">
        <v>0</v>
      </c>
      <c r="CM76" s="186">
        <v>0</v>
      </c>
      <c r="CN76" s="186">
        <v>0</v>
      </c>
      <c r="CO76" s="186">
        <v>0</v>
      </c>
      <c r="CP76" s="186">
        <v>0</v>
      </c>
      <c r="CQ76" s="186">
        <v>0</v>
      </c>
      <c r="CR76" s="186">
        <v>0</v>
      </c>
      <c r="CS76" s="186">
        <v>0</v>
      </c>
      <c r="CT76" s="186">
        <v>0</v>
      </c>
      <c r="CU76" s="186">
        <v>0</v>
      </c>
      <c r="CV76" s="186">
        <v>0</v>
      </c>
    </row>
    <row r="77" spans="1:100">
      <c r="A77" s="541" t="str">
        <f t="shared" si="1"/>
        <v>1440020</v>
      </c>
      <c r="B77" s="541" t="s">
        <v>1501</v>
      </c>
      <c r="C77" s="463" t="s">
        <v>645</v>
      </c>
      <c r="D77" s="397">
        <v>-300000</v>
      </c>
      <c r="E77" s="397">
        <v>-300000</v>
      </c>
      <c r="F77" s="397">
        <v>-300000</v>
      </c>
      <c r="G77" s="397">
        <v>-300000</v>
      </c>
      <c r="H77" s="397">
        <v>-300000</v>
      </c>
      <c r="I77" s="397">
        <v>-300000</v>
      </c>
      <c r="J77" s="397">
        <v>-300000</v>
      </c>
      <c r="K77" s="397">
        <v>-300000</v>
      </c>
      <c r="L77" s="397">
        <v>-300000</v>
      </c>
      <c r="M77" s="397">
        <v>-300000</v>
      </c>
      <c r="N77" s="397">
        <v>-300000</v>
      </c>
      <c r="O77" s="397">
        <v>-300000</v>
      </c>
      <c r="P77" s="398">
        <v>-300000</v>
      </c>
      <c r="Q77" s="186">
        <v>-300000</v>
      </c>
      <c r="R77" s="186">
        <v>-300000</v>
      </c>
      <c r="S77" s="186">
        <v>-300000</v>
      </c>
      <c r="T77" s="186">
        <v>-300000</v>
      </c>
      <c r="U77" s="186">
        <v>-300000</v>
      </c>
      <c r="V77" s="186">
        <v>-300000</v>
      </c>
      <c r="W77" s="186">
        <v>-300000</v>
      </c>
      <c r="X77" s="186">
        <v>-300000</v>
      </c>
      <c r="Y77" s="186">
        <v>-300000</v>
      </c>
      <c r="Z77" s="186">
        <v>-300000</v>
      </c>
      <c r="AA77" s="186">
        <v>-300000</v>
      </c>
      <c r="AB77" s="186">
        <v>-300000</v>
      </c>
      <c r="AC77" s="186">
        <v>-300000</v>
      </c>
      <c r="AD77" s="186">
        <v>-300000</v>
      </c>
      <c r="AE77" s="186">
        <v>-300000</v>
      </c>
      <c r="AF77" s="186">
        <v>-300000</v>
      </c>
      <c r="AG77" s="186">
        <v>-300000</v>
      </c>
      <c r="AH77" s="186">
        <v>-300000</v>
      </c>
      <c r="AI77" s="186">
        <v>-300000</v>
      </c>
      <c r="AJ77" s="186">
        <v>-300000</v>
      </c>
      <c r="AK77" s="186">
        <v>-300000</v>
      </c>
      <c r="AL77" s="186">
        <v>-300000</v>
      </c>
      <c r="AM77" s="186">
        <v>-300000</v>
      </c>
      <c r="AN77" s="186">
        <v>-350000</v>
      </c>
      <c r="AO77" s="186">
        <v>-350000</v>
      </c>
      <c r="AP77" s="186">
        <v>-350000</v>
      </c>
      <c r="AQ77" s="186">
        <v>-350000</v>
      </c>
      <c r="AR77" s="186">
        <v>-350000</v>
      </c>
      <c r="AS77" s="186">
        <v>-350000</v>
      </c>
      <c r="AT77" s="186">
        <v>-350000</v>
      </c>
      <c r="AU77" s="186">
        <v>-350000</v>
      </c>
      <c r="AV77" s="186">
        <v>-350000</v>
      </c>
      <c r="AW77" s="186">
        <v>-350000</v>
      </c>
      <c r="AX77" s="186">
        <v>-350000</v>
      </c>
      <c r="AY77" s="186">
        <v>-350000</v>
      </c>
      <c r="AZ77" s="186">
        <v>-350000</v>
      </c>
      <c r="BA77" s="186">
        <v>-350000</v>
      </c>
      <c r="BB77" s="186">
        <v>-350000</v>
      </c>
      <c r="BC77" s="186">
        <v>-350000</v>
      </c>
      <c r="BD77" s="186">
        <v>-350000</v>
      </c>
      <c r="BE77" s="186">
        <v>-350000</v>
      </c>
      <c r="BF77" s="186">
        <v>-350000</v>
      </c>
      <c r="BG77" s="186">
        <v>-350000</v>
      </c>
      <c r="BH77" s="186">
        <v>-350000</v>
      </c>
      <c r="BI77" s="186">
        <v>-350000</v>
      </c>
      <c r="BJ77" s="186">
        <v>-350000</v>
      </c>
      <c r="BK77" s="186">
        <v>-350000</v>
      </c>
      <c r="BL77" s="186">
        <v>-350000</v>
      </c>
      <c r="BM77" s="186">
        <v>-350000</v>
      </c>
      <c r="BN77" s="186">
        <v>-350000</v>
      </c>
      <c r="BO77" s="186">
        <v>-350000</v>
      </c>
      <c r="BP77" s="186">
        <v>-350000</v>
      </c>
      <c r="BQ77" s="186">
        <v>-350000</v>
      </c>
      <c r="BR77" s="186">
        <v>-350000</v>
      </c>
      <c r="BS77" s="186">
        <v>-175000</v>
      </c>
      <c r="BT77" s="186">
        <v>-175000</v>
      </c>
      <c r="BU77" s="186">
        <v>-175000</v>
      </c>
      <c r="BV77" s="186">
        <v>-204508.87</v>
      </c>
      <c r="BW77" s="186">
        <v>-204508.87</v>
      </c>
      <c r="BX77" s="186">
        <v>-204508.87</v>
      </c>
      <c r="BY77" s="186">
        <v>-204508.87</v>
      </c>
      <c r="BZ77" s="186">
        <v>-204508.87</v>
      </c>
      <c r="CA77" s="186">
        <v>-204508.87</v>
      </c>
      <c r="CB77" s="186">
        <v>-204508.87</v>
      </c>
      <c r="CC77" s="186">
        <v>-204508.87</v>
      </c>
      <c r="CD77" s="186">
        <v>-204508.87</v>
      </c>
      <c r="CE77" s="186">
        <v>-204508.87</v>
      </c>
      <c r="CF77" s="186">
        <v>-204508.87</v>
      </c>
      <c r="CG77" s="186">
        <v>-204508.87</v>
      </c>
      <c r="CH77" s="186">
        <v>-204508.87</v>
      </c>
      <c r="CI77" s="186">
        <v>-204508.87</v>
      </c>
      <c r="CJ77" s="186">
        <v>-204508.87</v>
      </c>
      <c r="CK77" s="186">
        <v>-204508.87</v>
      </c>
      <c r="CL77" s="186">
        <v>-204508.87</v>
      </c>
      <c r="CM77" s="186">
        <v>-204508.87</v>
      </c>
      <c r="CN77" s="186">
        <v>-204508.87</v>
      </c>
      <c r="CO77" s="186">
        <v>-204508.87</v>
      </c>
      <c r="CP77" s="186">
        <v>-204508.87</v>
      </c>
      <c r="CQ77" s="186">
        <v>-204508.87</v>
      </c>
      <c r="CR77" s="186">
        <v>-204508.87</v>
      </c>
      <c r="CS77" s="186">
        <v>-204508.87</v>
      </c>
      <c r="CT77" s="186">
        <v>-204508.87</v>
      </c>
      <c r="CU77" s="186">
        <v>-204508.87</v>
      </c>
      <c r="CV77" s="186">
        <v>-204508.87</v>
      </c>
    </row>
    <row r="78" spans="1:100">
      <c r="A78" s="541" t="str">
        <f t="shared" si="1"/>
        <v>1450711</v>
      </c>
      <c r="B78" s="541" t="s">
        <v>1585</v>
      </c>
      <c r="C78" s="463" t="s">
        <v>646</v>
      </c>
      <c r="D78" s="397">
        <v>0</v>
      </c>
      <c r="E78" s="397">
        <v>0</v>
      </c>
      <c r="F78" s="397">
        <v>0</v>
      </c>
      <c r="G78" s="397">
        <v>1500000</v>
      </c>
      <c r="H78" s="397">
        <v>0</v>
      </c>
      <c r="I78" s="397">
        <v>0</v>
      </c>
      <c r="J78" s="397">
        <v>0</v>
      </c>
      <c r="K78" s="397">
        <v>0</v>
      </c>
      <c r="L78" s="397">
        <v>0</v>
      </c>
      <c r="M78" s="397">
        <v>0</v>
      </c>
      <c r="N78" s="397">
        <v>0</v>
      </c>
      <c r="O78" s="397">
        <v>0</v>
      </c>
      <c r="P78" s="398">
        <v>0</v>
      </c>
      <c r="Q78" s="186">
        <v>0</v>
      </c>
      <c r="R78" s="186">
        <v>0</v>
      </c>
      <c r="S78" s="186">
        <v>4600000</v>
      </c>
      <c r="T78" s="186">
        <v>10450000</v>
      </c>
      <c r="U78" s="186">
        <v>0</v>
      </c>
      <c r="V78" s="186">
        <v>0</v>
      </c>
      <c r="W78" s="186">
        <v>0</v>
      </c>
      <c r="X78" s="186">
        <v>0</v>
      </c>
      <c r="Y78" s="186">
        <v>0</v>
      </c>
      <c r="Z78" s="186">
        <v>0</v>
      </c>
      <c r="AA78" s="186">
        <v>12000000</v>
      </c>
      <c r="AB78" s="186">
        <v>4500000</v>
      </c>
      <c r="AC78" s="186">
        <v>3000000</v>
      </c>
      <c r="AD78" s="186">
        <v>0</v>
      </c>
      <c r="AE78" s="186">
        <v>0</v>
      </c>
      <c r="AF78" s="186">
        <v>23200000</v>
      </c>
      <c r="AG78" s="186">
        <v>5650000</v>
      </c>
      <c r="AH78" s="186">
        <v>0</v>
      </c>
      <c r="AI78" s="186">
        <v>0</v>
      </c>
      <c r="AJ78" s="186">
        <v>0</v>
      </c>
      <c r="AK78" s="186">
        <v>0</v>
      </c>
      <c r="AL78" s="186">
        <v>0</v>
      </c>
      <c r="AM78" s="186">
        <v>0</v>
      </c>
      <c r="AN78" s="186">
        <v>0</v>
      </c>
      <c r="AO78" s="186">
        <v>0</v>
      </c>
      <c r="AP78" s="186">
        <v>0</v>
      </c>
      <c r="AQ78" s="186">
        <v>0</v>
      </c>
      <c r="AR78" s="186">
        <v>0</v>
      </c>
      <c r="AS78" s="186">
        <v>0</v>
      </c>
      <c r="AT78" s="186">
        <v>0</v>
      </c>
      <c r="AU78" s="186">
        <v>0</v>
      </c>
      <c r="AV78" s="186">
        <v>0</v>
      </c>
      <c r="AW78" s="186">
        <v>0</v>
      </c>
      <c r="AX78" s="186">
        <v>0</v>
      </c>
      <c r="AY78" s="186">
        <v>0</v>
      </c>
      <c r="AZ78" s="186">
        <v>0</v>
      </c>
      <c r="BA78" s="186">
        <v>0</v>
      </c>
      <c r="BB78" s="186">
        <v>0</v>
      </c>
      <c r="BC78" s="186">
        <v>0</v>
      </c>
      <c r="BD78" s="186">
        <v>0</v>
      </c>
      <c r="BE78" s="186">
        <v>0</v>
      </c>
      <c r="BF78" s="186">
        <v>0</v>
      </c>
      <c r="BG78" s="186">
        <v>0</v>
      </c>
      <c r="BH78" s="186">
        <v>0</v>
      </c>
      <c r="BI78" s="186">
        <v>0</v>
      </c>
      <c r="BJ78" s="186">
        <v>0</v>
      </c>
      <c r="BK78" s="186">
        <v>0</v>
      </c>
      <c r="BL78" s="186">
        <v>0</v>
      </c>
      <c r="BM78" s="186">
        <v>0</v>
      </c>
      <c r="BN78" s="186">
        <v>0</v>
      </c>
      <c r="BO78" s="186">
        <v>0</v>
      </c>
      <c r="BP78" s="186">
        <v>0</v>
      </c>
      <c r="BQ78" s="186">
        <v>0</v>
      </c>
      <c r="BR78" s="186">
        <v>0</v>
      </c>
      <c r="BS78" s="186">
        <v>0</v>
      </c>
      <c r="BT78" s="186">
        <v>0</v>
      </c>
      <c r="BU78" s="186">
        <v>0</v>
      </c>
      <c r="BV78" s="186">
        <v>0</v>
      </c>
      <c r="BW78" s="186">
        <v>0</v>
      </c>
      <c r="BX78" s="186">
        <v>0</v>
      </c>
      <c r="BY78" s="186">
        <v>0</v>
      </c>
      <c r="BZ78" s="186">
        <v>0</v>
      </c>
      <c r="CA78" s="186">
        <v>0</v>
      </c>
      <c r="CB78" s="186">
        <v>0</v>
      </c>
      <c r="CC78" s="186">
        <v>0</v>
      </c>
      <c r="CD78" s="186">
        <v>0</v>
      </c>
      <c r="CE78" s="186">
        <v>0</v>
      </c>
      <c r="CF78" s="186">
        <v>0</v>
      </c>
      <c r="CG78" s="186">
        <v>0</v>
      </c>
      <c r="CH78" s="186">
        <v>0</v>
      </c>
      <c r="CI78" s="186">
        <v>9532753.8200000003</v>
      </c>
      <c r="CJ78" s="186">
        <v>9933659.4900000002</v>
      </c>
      <c r="CK78" s="186">
        <v>10459212.380000001</v>
      </c>
      <c r="CL78" s="186">
        <v>9618303.3200000003</v>
      </c>
      <c r="CM78" s="186">
        <v>10315787.27</v>
      </c>
      <c r="CN78" s="186">
        <v>9943295.0999999996</v>
      </c>
      <c r="CO78" s="186">
        <v>10267360</v>
      </c>
      <c r="CP78" s="186">
        <v>9828835.2899999991</v>
      </c>
      <c r="CQ78" s="186">
        <v>9719853.5899999999</v>
      </c>
      <c r="CR78" s="186">
        <v>10043801.52</v>
      </c>
      <c r="CS78" s="186">
        <v>9672449.2899999991</v>
      </c>
      <c r="CT78" s="186">
        <v>9146808.5800000001</v>
      </c>
      <c r="CU78" s="186">
        <v>9368777.5999999996</v>
      </c>
      <c r="CV78" s="186">
        <v>9985214.7300000004</v>
      </c>
    </row>
    <row r="79" spans="1:100">
      <c r="A79" s="541" t="str">
        <f t="shared" si="1"/>
        <v>1460700</v>
      </c>
      <c r="B79" s="541" t="s">
        <v>1502</v>
      </c>
      <c r="C79" s="463" t="s">
        <v>647</v>
      </c>
      <c r="D79" s="397">
        <v>1679945.91</v>
      </c>
      <c r="E79" s="397">
        <v>644007.85</v>
      </c>
      <c r="F79" s="397">
        <v>724859.53</v>
      </c>
      <c r="G79" s="397">
        <v>975096.76</v>
      </c>
      <c r="H79" s="397">
        <v>1409619.51</v>
      </c>
      <c r="I79" s="397">
        <v>10647654.529999999</v>
      </c>
      <c r="J79" s="397">
        <v>1483912.28</v>
      </c>
      <c r="K79" s="397">
        <v>1347114.93</v>
      </c>
      <c r="L79" s="397">
        <v>2410962.7999999998</v>
      </c>
      <c r="M79" s="397">
        <v>1880114.07</v>
      </c>
      <c r="N79" s="397">
        <v>2761309.98</v>
      </c>
      <c r="O79" s="397">
        <v>1070219.1000000001</v>
      </c>
      <c r="P79" s="398">
        <v>3697838.5</v>
      </c>
      <c r="Q79" s="186">
        <v>892886.44</v>
      </c>
      <c r="R79" s="186">
        <v>989592.34</v>
      </c>
      <c r="S79" s="186">
        <v>1591172.54</v>
      </c>
      <c r="T79" s="186">
        <v>1113007.46</v>
      </c>
      <c r="U79" s="186">
        <v>1534311.47</v>
      </c>
      <c r="V79" s="186">
        <v>1047927.76</v>
      </c>
      <c r="W79" s="186">
        <v>1295193.08</v>
      </c>
      <c r="X79" s="186">
        <v>1499802.48</v>
      </c>
      <c r="Y79" s="186">
        <v>534621.31999999995</v>
      </c>
      <c r="Z79" s="186">
        <v>1231110.18</v>
      </c>
      <c r="AA79" s="186">
        <v>1175267.1200000001</v>
      </c>
      <c r="AB79" s="186">
        <v>1439589.18</v>
      </c>
      <c r="AC79" s="186">
        <v>1251794.55</v>
      </c>
      <c r="AD79" s="186">
        <v>982984.58</v>
      </c>
      <c r="AE79" s="186">
        <v>1466191.84</v>
      </c>
      <c r="AF79" s="186">
        <v>5341.74</v>
      </c>
      <c r="AG79" s="186">
        <v>49432.05</v>
      </c>
      <c r="AH79" s="186">
        <v>54601.65</v>
      </c>
      <c r="AI79" s="186">
        <v>238986.08</v>
      </c>
      <c r="AJ79" s="186">
        <v>33568.879999999997</v>
      </c>
      <c r="AK79" s="186">
        <v>42419.15</v>
      </c>
      <c r="AL79" s="186">
        <v>73259.210000000006</v>
      </c>
      <c r="AM79" s="186">
        <v>51974.79</v>
      </c>
      <c r="AN79" s="186">
        <v>480492.66</v>
      </c>
      <c r="AO79" s="186">
        <v>614376.03</v>
      </c>
      <c r="AP79" s="186">
        <v>572071.55000000005</v>
      </c>
      <c r="AQ79" s="186">
        <v>104682.72</v>
      </c>
      <c r="AR79" s="186">
        <v>-95100.800000000003</v>
      </c>
      <c r="AS79" s="186">
        <v>-39525.18</v>
      </c>
      <c r="AT79" s="186">
        <v>1276474.8400000001</v>
      </c>
      <c r="AU79" s="186">
        <v>59506.239999999998</v>
      </c>
      <c r="AV79" s="186">
        <v>12957750.01</v>
      </c>
      <c r="AW79" s="186">
        <v>67842.070000000007</v>
      </c>
      <c r="AX79" s="186">
        <v>67950.89</v>
      </c>
      <c r="AY79" s="186">
        <v>92640.59</v>
      </c>
      <c r="AZ79" s="186">
        <v>199466.61</v>
      </c>
      <c r="BA79" s="186">
        <v>46739.22</v>
      </c>
      <c r="BB79" s="186">
        <v>664088.48</v>
      </c>
      <c r="BC79" s="186">
        <v>75922.880000000005</v>
      </c>
      <c r="BD79" s="186">
        <v>94011.47</v>
      </c>
      <c r="BE79" s="186">
        <v>81576.11</v>
      </c>
      <c r="BF79" s="186">
        <v>80478.929999999993</v>
      </c>
      <c r="BG79" s="186">
        <v>75238.570000000007</v>
      </c>
      <c r="BH79" s="186">
        <v>109592.07</v>
      </c>
      <c r="BI79" s="186">
        <v>156610.57</v>
      </c>
      <c r="BJ79" s="186">
        <v>84354.96</v>
      </c>
      <c r="BK79" s="186">
        <v>84714.05</v>
      </c>
      <c r="BL79" s="186">
        <v>206562.38</v>
      </c>
      <c r="BM79" s="186">
        <v>1544307.56</v>
      </c>
      <c r="BN79" s="186">
        <v>223838.63</v>
      </c>
      <c r="BO79" s="186">
        <v>84630.44</v>
      </c>
      <c r="BP79" s="186">
        <v>89467.55</v>
      </c>
      <c r="BQ79" s="186">
        <v>87428.160000000003</v>
      </c>
      <c r="BR79" s="186">
        <v>73667.7</v>
      </c>
      <c r="BS79" s="186">
        <v>93726.02</v>
      </c>
      <c r="BT79" s="186">
        <v>103721.19</v>
      </c>
      <c r="BU79" s="186">
        <v>90429.75</v>
      </c>
      <c r="BV79" s="186">
        <v>205257.36</v>
      </c>
      <c r="BW79" s="186">
        <v>184703.19</v>
      </c>
      <c r="BX79" s="186">
        <v>139013.32999999999</v>
      </c>
      <c r="BY79" s="186">
        <v>276524.44</v>
      </c>
      <c r="BZ79" s="186">
        <v>95268.07</v>
      </c>
      <c r="CA79" s="186">
        <v>164685.78</v>
      </c>
      <c r="CB79" s="186">
        <v>122138.87</v>
      </c>
      <c r="CC79" s="186">
        <v>518871.48</v>
      </c>
      <c r="CD79" s="186">
        <v>107932.91</v>
      </c>
      <c r="CE79" s="186">
        <v>103560.43</v>
      </c>
      <c r="CF79" s="186">
        <v>244550.09</v>
      </c>
      <c r="CG79" s="186">
        <v>47686.27</v>
      </c>
      <c r="CH79" s="186">
        <v>235781.58</v>
      </c>
      <c r="CI79" s="186">
        <v>86141.77</v>
      </c>
      <c r="CJ79" s="186">
        <v>116582.21</v>
      </c>
      <c r="CK79" s="186">
        <v>87169.01</v>
      </c>
      <c r="CL79" s="186">
        <v>71233.850000000006</v>
      </c>
      <c r="CM79" s="186">
        <v>873305.85</v>
      </c>
      <c r="CN79" s="186">
        <v>67454.149999999994</v>
      </c>
      <c r="CO79" s="186">
        <v>75268.7</v>
      </c>
      <c r="CP79" s="186">
        <v>353345.49</v>
      </c>
      <c r="CQ79" s="186">
        <v>138605.84</v>
      </c>
      <c r="CR79" s="186">
        <v>102323.49</v>
      </c>
      <c r="CS79" s="186">
        <v>133181.76000000001</v>
      </c>
      <c r="CT79" s="186">
        <v>207079.37</v>
      </c>
      <c r="CU79" s="186">
        <v>177525.26</v>
      </c>
      <c r="CV79" s="186">
        <v>187609.58</v>
      </c>
    </row>
    <row r="80" spans="1:100">
      <c r="A80" s="541" t="str">
        <f t="shared" si="1"/>
        <v>1460701</v>
      </c>
      <c r="B80" s="541" t="s">
        <v>1586</v>
      </c>
      <c r="C80" s="463" t="s">
        <v>648</v>
      </c>
      <c r="D80" s="397">
        <v>584.47</v>
      </c>
      <c r="E80" s="397">
        <v>220715.88</v>
      </c>
      <c r="F80" s="397">
        <v>1291.98</v>
      </c>
      <c r="G80" s="397">
        <v>2746.02</v>
      </c>
      <c r="H80" s="397">
        <v>349127.15</v>
      </c>
      <c r="I80" s="397">
        <v>-1038.8</v>
      </c>
      <c r="J80" s="397">
        <v>2311.92</v>
      </c>
      <c r="K80" s="397">
        <v>74755.929999999993</v>
      </c>
      <c r="L80" s="397">
        <v>69993.38</v>
      </c>
      <c r="M80" s="397">
        <v>486.98</v>
      </c>
      <c r="N80" s="397">
        <v>441222.56</v>
      </c>
      <c r="O80" s="397">
        <v>229207.81</v>
      </c>
      <c r="P80" s="398">
        <v>352611.43</v>
      </c>
      <c r="Q80" s="186">
        <v>36214.82</v>
      </c>
      <c r="R80" s="186">
        <v>639208.37</v>
      </c>
      <c r="S80" s="186">
        <v>660267.04</v>
      </c>
      <c r="T80" s="186">
        <v>102520.58</v>
      </c>
      <c r="U80" s="186">
        <v>76247.899999999994</v>
      </c>
      <c r="V80" s="186">
        <v>1786190.28</v>
      </c>
      <c r="W80" s="186">
        <v>975314.49</v>
      </c>
      <c r="X80" s="186">
        <v>1012624.89</v>
      </c>
      <c r="Y80" s="186">
        <v>390237.67</v>
      </c>
      <c r="Z80" s="186">
        <v>441077.78</v>
      </c>
      <c r="AA80" s="186">
        <v>1170288.67</v>
      </c>
      <c r="AB80" s="186">
        <v>10347.459999999999</v>
      </c>
      <c r="AC80" s="186">
        <v>1574175.22</v>
      </c>
      <c r="AD80" s="186">
        <v>1470471.97</v>
      </c>
      <c r="AE80" s="186">
        <v>1478553.8</v>
      </c>
      <c r="AF80" s="186">
        <v>1625962.36</v>
      </c>
      <c r="AG80" s="186">
        <v>33371.199999999997</v>
      </c>
      <c r="AH80" s="186">
        <v>303716.28999999998</v>
      </c>
      <c r="AI80" s="186">
        <v>277653.15000000002</v>
      </c>
      <c r="AJ80" s="186">
        <v>255407.63</v>
      </c>
      <c r="AK80" s="186">
        <v>4280.01</v>
      </c>
      <c r="AL80" s="186">
        <v>186347.4</v>
      </c>
      <c r="AM80" s="186">
        <v>104565.26</v>
      </c>
      <c r="AN80" s="186">
        <v>20772.57</v>
      </c>
      <c r="AO80" s="186">
        <v>3378.86</v>
      </c>
      <c r="AP80" s="186">
        <v>60523.26</v>
      </c>
      <c r="AQ80" s="186">
        <v>833062.62</v>
      </c>
      <c r="AR80" s="186">
        <v>501126.38</v>
      </c>
      <c r="AS80" s="186">
        <v>1610206.85</v>
      </c>
      <c r="AT80" s="186">
        <v>125846.59</v>
      </c>
      <c r="AU80" s="186">
        <v>1039124.19</v>
      </c>
      <c r="AV80" s="186">
        <v>7918673.4800000004</v>
      </c>
      <c r="AW80" s="186">
        <v>4948601.2300000004</v>
      </c>
      <c r="AX80" s="186">
        <v>955164.8</v>
      </c>
      <c r="AY80" s="186">
        <v>340995.08</v>
      </c>
      <c r="AZ80" s="186">
        <v>1507251.4</v>
      </c>
      <c r="BA80" s="186">
        <v>3443683.2</v>
      </c>
      <c r="BB80" s="186">
        <v>1575614.47</v>
      </c>
      <c r="BC80" s="186">
        <v>812032.17</v>
      </c>
      <c r="BD80" s="186">
        <v>222488.66</v>
      </c>
      <c r="BE80" s="186">
        <v>1077761.2</v>
      </c>
      <c r="BF80" s="186">
        <v>3328596.09</v>
      </c>
      <c r="BG80" s="186">
        <v>2256462.77</v>
      </c>
      <c r="BH80" s="186">
        <v>1653172.7</v>
      </c>
      <c r="BI80" s="186">
        <v>3453974.79</v>
      </c>
      <c r="BJ80" s="186">
        <v>5120568.1100000003</v>
      </c>
      <c r="BK80" s="186">
        <v>4317923.67</v>
      </c>
      <c r="BL80" s="186">
        <v>492515.72</v>
      </c>
      <c r="BM80" s="186">
        <v>1484693.36</v>
      </c>
      <c r="BN80" s="186">
        <v>698618.09</v>
      </c>
      <c r="BO80" s="186">
        <v>2454312.9900000002</v>
      </c>
      <c r="BP80" s="186">
        <v>857815.78</v>
      </c>
      <c r="BQ80" s="186">
        <v>2072617.98</v>
      </c>
      <c r="BR80" s="186">
        <v>720117.44</v>
      </c>
      <c r="BS80" s="186">
        <v>805912.98</v>
      </c>
      <c r="BT80" s="186">
        <v>1019337.8</v>
      </c>
      <c r="BU80" s="186">
        <v>3002497.42</v>
      </c>
      <c r="BV80" s="186">
        <v>2757279.2</v>
      </c>
      <c r="BW80" s="186">
        <v>606007.47</v>
      </c>
      <c r="BX80" s="186">
        <v>796310.16</v>
      </c>
      <c r="BY80" s="186">
        <v>1277915.18</v>
      </c>
      <c r="BZ80" s="186">
        <v>451072.51</v>
      </c>
      <c r="CA80" s="186">
        <v>797805.67</v>
      </c>
      <c r="CB80" s="186">
        <v>149453</v>
      </c>
      <c r="CC80" s="186">
        <v>332948.25</v>
      </c>
      <c r="CD80" s="186">
        <v>764748.45</v>
      </c>
      <c r="CE80" s="186">
        <v>1014299.97</v>
      </c>
      <c r="CF80" s="186">
        <v>157862.01</v>
      </c>
      <c r="CG80" s="186">
        <v>178095.68</v>
      </c>
      <c r="CH80" s="186">
        <v>134128.21</v>
      </c>
      <c r="CI80" s="186">
        <v>128784.18</v>
      </c>
      <c r="CJ80" s="186">
        <v>299855.06</v>
      </c>
      <c r="CK80" s="186">
        <v>131246.69</v>
      </c>
      <c r="CL80" s="186">
        <v>124054</v>
      </c>
      <c r="CM80" s="186">
        <v>133130.56</v>
      </c>
      <c r="CN80" s="186">
        <v>124054</v>
      </c>
      <c r="CO80" s="186">
        <v>204936.02</v>
      </c>
      <c r="CP80" s="186">
        <v>142415.17000000001</v>
      </c>
      <c r="CQ80" s="186">
        <v>253178.59</v>
      </c>
      <c r="CR80" s="186">
        <v>124816.9</v>
      </c>
      <c r="CS80" s="186">
        <v>124054</v>
      </c>
      <c r="CT80" s="186">
        <v>183396.87</v>
      </c>
      <c r="CU80" s="186">
        <v>461445.35</v>
      </c>
      <c r="CV80" s="186">
        <v>395716.56</v>
      </c>
    </row>
    <row r="81" spans="1:100">
      <c r="A81" s="541" t="str">
        <f t="shared" si="1"/>
        <v>1460705</v>
      </c>
      <c r="B81" s="541" t="s">
        <v>1503</v>
      </c>
      <c r="C81" s="463" t="s">
        <v>649</v>
      </c>
      <c r="D81" s="397">
        <v>0</v>
      </c>
      <c r="E81" s="397">
        <v>0</v>
      </c>
      <c r="F81" s="397">
        <v>0</v>
      </c>
      <c r="G81" s="397">
        <v>0</v>
      </c>
      <c r="H81" s="397">
        <v>0</v>
      </c>
      <c r="I81" s="397">
        <v>0</v>
      </c>
      <c r="J81" s="397">
        <v>0</v>
      </c>
      <c r="K81" s="397">
        <v>0</v>
      </c>
      <c r="L81" s="397">
        <v>0</v>
      </c>
      <c r="M81" s="397">
        <v>0</v>
      </c>
      <c r="N81" s="397">
        <v>0</v>
      </c>
      <c r="O81" s="397">
        <v>133.61000000000001</v>
      </c>
      <c r="P81" s="398">
        <v>133.61000000000001</v>
      </c>
      <c r="Q81" s="186">
        <v>133.61000000000001</v>
      </c>
      <c r="R81" s="186">
        <v>1060.7</v>
      </c>
      <c r="S81" s="186">
        <v>1100.7</v>
      </c>
      <c r="T81" s="186">
        <v>1725.08</v>
      </c>
      <c r="U81" s="186">
        <v>1725.08</v>
      </c>
      <c r="V81" s="186">
        <v>1725.08</v>
      </c>
      <c r="W81" s="186">
        <v>1725.08</v>
      </c>
      <c r="X81" s="186">
        <v>1725.08</v>
      </c>
      <c r="Y81" s="186">
        <v>1725.08</v>
      </c>
      <c r="Z81" s="186">
        <v>1725.08</v>
      </c>
      <c r="AA81" s="186">
        <v>2344.84</v>
      </c>
      <c r="AB81" s="186">
        <v>5314.75</v>
      </c>
      <c r="AC81" s="186">
        <v>1725.08</v>
      </c>
      <c r="AD81" s="186">
        <v>1725.08</v>
      </c>
      <c r="AE81" s="186">
        <v>1725.08</v>
      </c>
      <c r="AF81" s="186">
        <v>1725.08</v>
      </c>
      <c r="AG81" s="186">
        <v>1732.94</v>
      </c>
      <c r="AH81" s="186">
        <v>0</v>
      </c>
      <c r="AI81" s="186">
        <v>0</v>
      </c>
      <c r="AJ81" s="186">
        <v>0</v>
      </c>
      <c r="AK81" s="186">
        <v>0</v>
      </c>
      <c r="AL81" s="186">
        <v>0</v>
      </c>
      <c r="AM81" s="186">
        <v>0</v>
      </c>
      <c r="AN81" s="186">
        <v>0</v>
      </c>
      <c r="AO81" s="186">
        <v>0</v>
      </c>
      <c r="AP81" s="186">
        <v>0</v>
      </c>
      <c r="AQ81" s="186">
        <v>0</v>
      </c>
      <c r="AR81" s="186">
        <v>0</v>
      </c>
      <c r="AS81" s="186">
        <v>0</v>
      </c>
      <c r="AT81" s="186">
        <v>0</v>
      </c>
      <c r="AU81" s="186">
        <v>0</v>
      </c>
      <c r="AV81" s="186">
        <v>0</v>
      </c>
      <c r="AW81" s="186">
        <v>0</v>
      </c>
      <c r="AX81" s="186">
        <v>0</v>
      </c>
      <c r="AY81" s="186">
        <v>0</v>
      </c>
      <c r="AZ81" s="186">
        <v>0</v>
      </c>
      <c r="BA81" s="186">
        <v>0</v>
      </c>
      <c r="BB81" s="186">
        <v>0</v>
      </c>
      <c r="BC81" s="186">
        <v>0</v>
      </c>
      <c r="BD81" s="186">
        <v>0</v>
      </c>
      <c r="BE81" s="186">
        <v>0</v>
      </c>
      <c r="BF81" s="186">
        <v>0</v>
      </c>
      <c r="BG81" s="186">
        <v>0</v>
      </c>
      <c r="BH81" s="186">
        <v>0</v>
      </c>
      <c r="BI81" s="186">
        <v>0</v>
      </c>
      <c r="BJ81" s="186">
        <v>0</v>
      </c>
      <c r="BK81" s="186">
        <v>0</v>
      </c>
      <c r="BL81" s="186">
        <v>0</v>
      </c>
      <c r="BM81" s="186">
        <v>0</v>
      </c>
      <c r="BN81" s="186">
        <v>0</v>
      </c>
      <c r="BO81" s="186">
        <v>0</v>
      </c>
      <c r="BP81" s="186">
        <v>0</v>
      </c>
      <c r="BQ81" s="186">
        <v>0</v>
      </c>
      <c r="BR81" s="186">
        <v>0</v>
      </c>
      <c r="BS81" s="186">
        <v>0</v>
      </c>
      <c r="BT81" s="186">
        <v>0</v>
      </c>
      <c r="BU81" s="186">
        <v>0</v>
      </c>
      <c r="BV81" s="186">
        <v>0</v>
      </c>
      <c r="BW81" s="186">
        <v>0</v>
      </c>
      <c r="BX81" s="186">
        <v>0</v>
      </c>
      <c r="BY81" s="186">
        <v>0</v>
      </c>
      <c r="BZ81" s="186">
        <v>0</v>
      </c>
      <c r="CA81" s="186">
        <v>0</v>
      </c>
      <c r="CB81" s="186">
        <v>0</v>
      </c>
      <c r="CC81" s="186">
        <v>0</v>
      </c>
      <c r="CD81" s="186">
        <v>0</v>
      </c>
      <c r="CE81" s="186">
        <v>0</v>
      </c>
      <c r="CF81" s="186">
        <v>0</v>
      </c>
      <c r="CG81" s="186">
        <v>0</v>
      </c>
      <c r="CH81" s="186">
        <v>0</v>
      </c>
      <c r="CI81" s="186">
        <v>0</v>
      </c>
      <c r="CJ81" s="186">
        <v>0</v>
      </c>
      <c r="CK81" s="186">
        <v>0</v>
      </c>
      <c r="CL81" s="186">
        <v>0</v>
      </c>
      <c r="CM81" s="186">
        <v>0</v>
      </c>
      <c r="CN81" s="186">
        <v>0</v>
      </c>
      <c r="CO81" s="186">
        <v>0</v>
      </c>
      <c r="CP81" s="186">
        <v>0</v>
      </c>
      <c r="CQ81" s="186">
        <v>0</v>
      </c>
      <c r="CR81" s="186">
        <v>0</v>
      </c>
      <c r="CS81" s="186">
        <v>0</v>
      </c>
      <c r="CT81" s="186">
        <v>0</v>
      </c>
      <c r="CU81" s="186">
        <v>0</v>
      </c>
      <c r="CV81" s="186">
        <v>0</v>
      </c>
    </row>
    <row r="82" spans="1:100">
      <c r="A82" s="541" t="str">
        <f>+B82</f>
        <v>1460706</v>
      </c>
      <c r="B82" s="541" t="s">
        <v>2276</v>
      </c>
      <c r="C82" s="463" t="s">
        <v>2277</v>
      </c>
      <c r="D82" s="397">
        <v>0</v>
      </c>
      <c r="E82" s="397">
        <v>0</v>
      </c>
      <c r="F82" s="397">
        <v>0</v>
      </c>
      <c r="G82" s="397">
        <v>0</v>
      </c>
      <c r="H82" s="397">
        <v>0</v>
      </c>
      <c r="I82" s="397">
        <v>0</v>
      </c>
      <c r="J82" s="397">
        <v>0</v>
      </c>
      <c r="K82" s="397">
        <v>0</v>
      </c>
      <c r="L82" s="397">
        <v>0</v>
      </c>
      <c r="M82" s="397">
        <v>0</v>
      </c>
      <c r="N82" s="397">
        <v>0</v>
      </c>
      <c r="O82" s="397">
        <v>0</v>
      </c>
      <c r="P82" s="398">
        <v>0</v>
      </c>
      <c r="Q82" s="186">
        <v>0</v>
      </c>
      <c r="R82" s="186">
        <v>0</v>
      </c>
      <c r="S82" s="186">
        <v>0</v>
      </c>
      <c r="T82" s="186">
        <v>0</v>
      </c>
      <c r="U82" s="186">
        <v>0</v>
      </c>
      <c r="V82" s="186">
        <v>0</v>
      </c>
      <c r="W82" s="186">
        <v>0</v>
      </c>
      <c r="X82" s="186">
        <v>0</v>
      </c>
      <c r="Y82" s="186">
        <v>0</v>
      </c>
      <c r="Z82" s="186">
        <v>0</v>
      </c>
      <c r="AA82" s="186">
        <v>0</v>
      </c>
      <c r="AB82" s="186">
        <v>0</v>
      </c>
      <c r="AC82" s="186">
        <v>0</v>
      </c>
      <c r="AD82" s="186">
        <v>0</v>
      </c>
      <c r="AE82" s="186">
        <v>0</v>
      </c>
      <c r="AF82" s="186">
        <v>0</v>
      </c>
      <c r="AG82" s="186">
        <v>0</v>
      </c>
      <c r="AH82" s="186">
        <v>0</v>
      </c>
      <c r="AI82" s="186">
        <v>0</v>
      </c>
      <c r="AJ82" s="186">
        <v>0</v>
      </c>
      <c r="AK82" s="186">
        <v>0</v>
      </c>
      <c r="AL82" s="186">
        <v>0</v>
      </c>
      <c r="AM82" s="186">
        <v>0</v>
      </c>
      <c r="AN82" s="186">
        <v>0</v>
      </c>
      <c r="AO82" s="186">
        <v>0</v>
      </c>
      <c r="AP82" s="186">
        <v>0</v>
      </c>
      <c r="AQ82" s="186">
        <v>0</v>
      </c>
      <c r="AR82" s="186">
        <v>0</v>
      </c>
      <c r="AS82" s="186">
        <v>0</v>
      </c>
      <c r="AT82" s="186">
        <v>0</v>
      </c>
      <c r="AU82" s="186">
        <v>0</v>
      </c>
      <c r="AV82" s="186">
        <v>0</v>
      </c>
      <c r="AW82" s="186">
        <v>0</v>
      </c>
      <c r="AX82" s="186">
        <v>0</v>
      </c>
      <c r="AY82" s="186">
        <v>0</v>
      </c>
      <c r="AZ82" s="186">
        <v>0</v>
      </c>
      <c r="BA82" s="186">
        <v>0</v>
      </c>
      <c r="BB82" s="186">
        <v>0</v>
      </c>
      <c r="BC82" s="186">
        <v>0</v>
      </c>
      <c r="BD82" s="186">
        <v>0</v>
      </c>
      <c r="BE82" s="186">
        <v>0</v>
      </c>
      <c r="BF82" s="186">
        <v>0</v>
      </c>
      <c r="BG82" s="186">
        <v>0</v>
      </c>
      <c r="BH82" s="186">
        <v>0</v>
      </c>
      <c r="BI82" s="186">
        <v>0</v>
      </c>
      <c r="BJ82" s="186">
        <v>0</v>
      </c>
      <c r="BK82" s="186">
        <v>0</v>
      </c>
      <c r="BL82" s="186">
        <v>0</v>
      </c>
      <c r="BM82" s="186">
        <v>0</v>
      </c>
      <c r="BN82" s="186">
        <v>0</v>
      </c>
      <c r="BO82" s="186">
        <v>0</v>
      </c>
      <c r="BP82" s="186">
        <v>0</v>
      </c>
      <c r="BQ82" s="186">
        <v>85.5</v>
      </c>
      <c r="BR82" s="186">
        <v>85.5</v>
      </c>
      <c r="BS82" s="186">
        <v>85.5</v>
      </c>
      <c r="BT82" s="186">
        <v>585.5</v>
      </c>
      <c r="BU82" s="186">
        <v>585.5</v>
      </c>
      <c r="BV82" s="186">
        <v>0</v>
      </c>
      <c r="BW82" s="186">
        <v>0</v>
      </c>
      <c r="BX82" s="186">
        <v>0</v>
      </c>
      <c r="BY82" s="186">
        <v>0</v>
      </c>
      <c r="BZ82" s="186">
        <v>3814</v>
      </c>
      <c r="CA82" s="186">
        <v>3814</v>
      </c>
      <c r="CB82" s="186">
        <v>3814</v>
      </c>
      <c r="CC82" s="186">
        <v>3814</v>
      </c>
      <c r="CD82" s="186">
        <v>3814</v>
      </c>
      <c r="CE82" s="186">
        <v>3814</v>
      </c>
      <c r="CF82" s="186">
        <v>3814</v>
      </c>
      <c r="CG82" s="186">
        <v>3964</v>
      </c>
      <c r="CH82" s="186">
        <v>3964</v>
      </c>
      <c r="CI82" s="186">
        <v>0</v>
      </c>
      <c r="CJ82" s="186">
        <v>0</v>
      </c>
      <c r="CK82" s="186">
        <v>18.66</v>
      </c>
      <c r="CL82" s="186">
        <v>37.5</v>
      </c>
      <c r="CM82" s="186">
        <v>14383.69</v>
      </c>
      <c r="CN82" s="186">
        <v>0</v>
      </c>
      <c r="CO82" s="186">
        <v>18584.669999999998</v>
      </c>
      <c r="CP82" s="186">
        <v>0</v>
      </c>
      <c r="CQ82" s="186">
        <v>0</v>
      </c>
      <c r="CR82" s="186">
        <v>0</v>
      </c>
      <c r="CS82" s="186">
        <v>0</v>
      </c>
      <c r="CT82" s="186">
        <v>0</v>
      </c>
      <c r="CU82" s="186">
        <v>0</v>
      </c>
      <c r="CV82" s="186">
        <v>0</v>
      </c>
    </row>
    <row r="83" spans="1:100">
      <c r="A83" s="541" t="str">
        <f t="shared" si="1"/>
        <v>1460710</v>
      </c>
      <c r="B83" s="541" t="s">
        <v>1587</v>
      </c>
      <c r="C83" s="463" t="s">
        <v>650</v>
      </c>
      <c r="D83" s="397">
        <v>2047.8</v>
      </c>
      <c r="E83" s="397">
        <v>2047.8</v>
      </c>
      <c r="F83" s="397">
        <v>2047.8</v>
      </c>
      <c r="G83" s="397">
        <v>2047.8</v>
      </c>
      <c r="H83" s="397">
        <v>2047.8</v>
      </c>
      <c r="I83" s="397">
        <v>2047.8</v>
      </c>
      <c r="J83" s="397">
        <v>2047.8</v>
      </c>
      <c r="K83" s="397">
        <v>2047.8</v>
      </c>
      <c r="L83" s="397">
        <v>2047.8</v>
      </c>
      <c r="M83" s="397">
        <v>2047.8</v>
      </c>
      <c r="N83" s="397">
        <v>2047.8</v>
      </c>
      <c r="O83" s="397">
        <v>2047.8</v>
      </c>
      <c r="P83" s="398">
        <v>2047.8</v>
      </c>
      <c r="Q83" s="186">
        <v>2047.8</v>
      </c>
      <c r="R83" s="186">
        <v>2047.8</v>
      </c>
      <c r="S83" s="186">
        <v>2047.8</v>
      </c>
      <c r="T83" s="186">
        <v>2047.8</v>
      </c>
      <c r="U83" s="186">
        <v>2047.8</v>
      </c>
      <c r="V83" s="186">
        <v>2047.8</v>
      </c>
      <c r="W83" s="186">
        <v>2047.8</v>
      </c>
      <c r="X83" s="186">
        <v>2047.8</v>
      </c>
      <c r="Y83" s="186">
        <v>2047.8</v>
      </c>
      <c r="Z83" s="186">
        <v>2047.8</v>
      </c>
      <c r="AA83" s="186">
        <v>2047.8</v>
      </c>
      <c r="AB83" s="186">
        <v>2047.8</v>
      </c>
      <c r="AC83" s="186">
        <v>2047.8</v>
      </c>
      <c r="AD83" s="186">
        <v>2047.8</v>
      </c>
      <c r="AE83" s="186">
        <v>2047.8</v>
      </c>
      <c r="AF83" s="186">
        <v>2047.8</v>
      </c>
      <c r="AG83" s="186">
        <v>2047.8</v>
      </c>
      <c r="AH83" s="186">
        <v>2047.8</v>
      </c>
      <c r="AI83" s="186">
        <v>2047.8</v>
      </c>
      <c r="AJ83" s="186">
        <v>2047.8</v>
      </c>
      <c r="AK83" s="186">
        <v>2047.8</v>
      </c>
      <c r="AL83" s="186">
        <v>2047.8</v>
      </c>
      <c r="AM83" s="186">
        <v>2047.8</v>
      </c>
      <c r="AN83" s="186">
        <v>2047.8</v>
      </c>
      <c r="AO83" s="186">
        <v>2047.8</v>
      </c>
      <c r="AP83" s="186">
        <v>2047.8</v>
      </c>
      <c r="AQ83" s="186">
        <v>2047.8</v>
      </c>
      <c r="AR83" s="186">
        <v>2047.8</v>
      </c>
      <c r="AS83" s="186">
        <v>2047.8</v>
      </c>
      <c r="AT83" s="186">
        <v>2047.8</v>
      </c>
      <c r="AU83" s="186">
        <v>2047.8</v>
      </c>
      <c r="AV83" s="186">
        <v>2047.8</v>
      </c>
      <c r="AW83" s="186">
        <v>2047.8</v>
      </c>
      <c r="AX83" s="186">
        <v>2047.8</v>
      </c>
      <c r="AY83" s="186">
        <v>2047.8</v>
      </c>
      <c r="AZ83" s="186">
        <v>2047.8</v>
      </c>
      <c r="BA83" s="186">
        <v>2047.8</v>
      </c>
      <c r="BB83" s="186">
        <v>2047.8</v>
      </c>
      <c r="BC83" s="186">
        <v>2047.8</v>
      </c>
      <c r="BD83" s="186">
        <v>2047.8</v>
      </c>
      <c r="BE83" s="186">
        <v>2047.8</v>
      </c>
      <c r="BF83" s="186">
        <v>2047.8</v>
      </c>
      <c r="BG83" s="186">
        <v>2047.8</v>
      </c>
      <c r="BH83" s="186">
        <v>2047.8</v>
      </c>
      <c r="BI83" s="186">
        <v>2047.8</v>
      </c>
      <c r="BJ83" s="186">
        <v>0</v>
      </c>
      <c r="BK83" s="186">
        <v>0</v>
      </c>
      <c r="BL83" s="186">
        <v>0</v>
      </c>
      <c r="BM83" s="186">
        <v>0</v>
      </c>
      <c r="BN83" s="186">
        <v>0</v>
      </c>
      <c r="BO83" s="186">
        <v>0</v>
      </c>
      <c r="BP83" s="186">
        <v>0</v>
      </c>
      <c r="BQ83" s="186">
        <v>0</v>
      </c>
      <c r="BR83" s="186">
        <v>0</v>
      </c>
      <c r="BS83" s="186">
        <v>0</v>
      </c>
      <c r="BT83" s="186">
        <v>0</v>
      </c>
      <c r="BU83" s="186">
        <v>0</v>
      </c>
      <c r="BV83" s="186">
        <v>0</v>
      </c>
      <c r="BW83" s="186">
        <v>0</v>
      </c>
      <c r="BX83" s="186">
        <v>0</v>
      </c>
      <c r="BY83" s="186">
        <v>0</v>
      </c>
      <c r="BZ83" s="186">
        <v>0</v>
      </c>
      <c r="CA83" s="186">
        <v>0</v>
      </c>
      <c r="CB83" s="186">
        <v>0</v>
      </c>
      <c r="CC83" s="186">
        <v>0</v>
      </c>
      <c r="CD83" s="186">
        <v>0</v>
      </c>
      <c r="CE83" s="186">
        <v>0</v>
      </c>
      <c r="CF83" s="186">
        <v>0</v>
      </c>
      <c r="CG83" s="186">
        <v>0</v>
      </c>
      <c r="CH83" s="186">
        <v>0</v>
      </c>
      <c r="CI83" s="186">
        <v>0</v>
      </c>
      <c r="CJ83" s="186">
        <v>0</v>
      </c>
      <c r="CK83" s="186">
        <v>9413.48</v>
      </c>
      <c r="CL83" s="186">
        <v>18872.66</v>
      </c>
      <c r="CM83" s="186">
        <v>28102.49</v>
      </c>
      <c r="CN83" s="186">
        <v>4897.04</v>
      </c>
      <c r="CO83" s="186">
        <v>10909.71</v>
      </c>
      <c r="CP83" s="186">
        <v>4635.07</v>
      </c>
      <c r="CQ83" s="186">
        <v>2076.81</v>
      </c>
      <c r="CR83" s="186">
        <v>2131.5</v>
      </c>
      <c r="CS83" s="186">
        <v>1986.29</v>
      </c>
      <c r="CT83" s="186">
        <v>1910.9</v>
      </c>
      <c r="CU83" s="186">
        <v>1944.63</v>
      </c>
      <c r="CV83" s="186">
        <v>2449.88</v>
      </c>
    </row>
    <row r="84" spans="1:100">
      <c r="A84" s="541" t="str">
        <f t="shared" si="1"/>
        <v>1460720</v>
      </c>
      <c r="B84" s="541" t="s">
        <v>1504</v>
      </c>
      <c r="C84" s="463" t="s">
        <v>651</v>
      </c>
      <c r="D84" s="397">
        <v>0</v>
      </c>
      <c r="E84" s="397">
        <v>595844.98</v>
      </c>
      <c r="F84" s="397">
        <v>0</v>
      </c>
      <c r="G84" s="397">
        <v>0</v>
      </c>
      <c r="H84" s="397">
        <v>718889.62</v>
      </c>
      <c r="I84" s="397">
        <v>0</v>
      </c>
      <c r="J84" s="397">
        <v>0</v>
      </c>
      <c r="K84" s="397">
        <v>665875.13</v>
      </c>
      <c r="L84" s="397">
        <v>0</v>
      </c>
      <c r="M84" s="397">
        <v>0</v>
      </c>
      <c r="N84" s="397">
        <v>700855.31</v>
      </c>
      <c r="O84" s="397">
        <v>0</v>
      </c>
      <c r="P84" s="398">
        <v>0</v>
      </c>
      <c r="Q84" s="186">
        <v>0</v>
      </c>
      <c r="R84" s="186">
        <v>531346.68999999994</v>
      </c>
      <c r="S84" s="186">
        <v>0</v>
      </c>
      <c r="T84" s="186">
        <v>794540.33</v>
      </c>
      <c r="U84" s="186">
        <v>0</v>
      </c>
      <c r="V84" s="186">
        <v>0</v>
      </c>
      <c r="W84" s="186">
        <v>492195.91</v>
      </c>
      <c r="X84" s="186">
        <v>0</v>
      </c>
      <c r="Y84" s="186">
        <v>0</v>
      </c>
      <c r="Z84" s="186">
        <v>0</v>
      </c>
      <c r="AA84" s="186">
        <v>0</v>
      </c>
      <c r="AB84" s="186">
        <v>0</v>
      </c>
      <c r="AC84" s="186">
        <v>0</v>
      </c>
      <c r="AD84" s="186">
        <v>0</v>
      </c>
      <c r="AE84" s="186">
        <v>0</v>
      </c>
      <c r="AF84" s="186">
        <v>0</v>
      </c>
      <c r="AG84" s="186">
        <v>0</v>
      </c>
      <c r="AH84" s="186">
        <v>0</v>
      </c>
      <c r="AI84" s="186">
        <v>0</v>
      </c>
      <c r="AJ84" s="186">
        <v>0</v>
      </c>
      <c r="AK84" s="186">
        <v>0</v>
      </c>
      <c r="AL84" s="186">
        <v>0</v>
      </c>
      <c r="AM84" s="186">
        <v>0</v>
      </c>
      <c r="AN84" s="186">
        <v>0</v>
      </c>
      <c r="AO84" s="186">
        <v>0</v>
      </c>
      <c r="AP84" s="186">
        <v>0</v>
      </c>
      <c r="AQ84" s="186">
        <v>0</v>
      </c>
      <c r="AR84" s="186">
        <v>0</v>
      </c>
      <c r="AS84" s="186">
        <v>0</v>
      </c>
      <c r="AT84" s="186">
        <v>0</v>
      </c>
      <c r="AU84" s="186">
        <v>0</v>
      </c>
      <c r="AV84" s="186">
        <v>0</v>
      </c>
      <c r="AW84" s="186">
        <v>0</v>
      </c>
      <c r="AX84" s="186">
        <v>0</v>
      </c>
      <c r="AY84" s="186">
        <v>0</v>
      </c>
      <c r="AZ84" s="186">
        <v>0</v>
      </c>
      <c r="BA84" s="186">
        <v>0</v>
      </c>
      <c r="BB84" s="186">
        <v>0</v>
      </c>
      <c r="BC84" s="186">
        <v>0</v>
      </c>
      <c r="BD84" s="186">
        <v>0</v>
      </c>
      <c r="BE84" s="186">
        <v>0</v>
      </c>
      <c r="BF84" s="186">
        <v>0</v>
      </c>
      <c r="BG84" s="186">
        <v>0</v>
      </c>
      <c r="BH84" s="186">
        <v>0</v>
      </c>
      <c r="BI84" s="186">
        <v>0</v>
      </c>
      <c r="BJ84" s="186">
        <v>0</v>
      </c>
      <c r="BK84" s="186">
        <v>0</v>
      </c>
      <c r="BL84" s="186">
        <v>0</v>
      </c>
      <c r="BM84" s="186">
        <v>0</v>
      </c>
      <c r="BN84" s="186">
        <v>0</v>
      </c>
      <c r="BO84" s="186">
        <v>0</v>
      </c>
      <c r="BP84" s="186">
        <v>0</v>
      </c>
      <c r="BQ84" s="186">
        <v>0</v>
      </c>
      <c r="BR84" s="186">
        <v>0</v>
      </c>
      <c r="BS84" s="186">
        <v>0</v>
      </c>
      <c r="BT84" s="186">
        <v>0</v>
      </c>
      <c r="BU84" s="186">
        <v>0</v>
      </c>
      <c r="BV84" s="186">
        <v>0</v>
      </c>
      <c r="BW84" s="186">
        <v>0</v>
      </c>
      <c r="BX84" s="186">
        <v>0</v>
      </c>
      <c r="BY84" s="186">
        <v>0</v>
      </c>
      <c r="BZ84" s="186">
        <v>0</v>
      </c>
      <c r="CA84" s="186">
        <v>0</v>
      </c>
      <c r="CB84" s="186">
        <v>0</v>
      </c>
      <c r="CC84" s="186">
        <v>0</v>
      </c>
      <c r="CD84" s="186">
        <v>0</v>
      </c>
      <c r="CE84" s="186">
        <v>0</v>
      </c>
      <c r="CF84" s="186">
        <v>0</v>
      </c>
      <c r="CG84" s="186">
        <v>0</v>
      </c>
      <c r="CH84" s="186">
        <v>0</v>
      </c>
      <c r="CI84" s="186">
        <v>0</v>
      </c>
      <c r="CJ84" s="186">
        <v>0</v>
      </c>
      <c r="CK84" s="186">
        <v>0</v>
      </c>
      <c r="CL84" s="186">
        <v>0</v>
      </c>
      <c r="CM84" s="186">
        <v>0</v>
      </c>
      <c r="CN84" s="186">
        <v>997358.54</v>
      </c>
      <c r="CO84" s="186">
        <v>0</v>
      </c>
      <c r="CP84" s="186">
        <v>0</v>
      </c>
      <c r="CQ84" s="186">
        <v>0</v>
      </c>
      <c r="CR84" s="186">
        <v>0</v>
      </c>
      <c r="CS84" s="186">
        <v>0</v>
      </c>
      <c r="CT84" s="186">
        <v>0</v>
      </c>
      <c r="CU84" s="186">
        <v>0</v>
      </c>
      <c r="CV84" s="186">
        <v>0</v>
      </c>
    </row>
    <row r="85" spans="1:100">
      <c r="A85" s="541" t="str">
        <f t="shared" si="1"/>
        <v>1460740</v>
      </c>
      <c r="B85" s="541" t="s">
        <v>1793</v>
      </c>
      <c r="C85" s="463" t="s">
        <v>1790</v>
      </c>
      <c r="D85" s="397"/>
      <c r="E85" s="397"/>
      <c r="F85" s="397"/>
      <c r="G85" s="397"/>
      <c r="H85" s="397"/>
      <c r="I85" s="397"/>
      <c r="J85" s="397"/>
      <c r="K85" s="397"/>
      <c r="L85" s="397"/>
      <c r="M85" s="397"/>
      <c r="N85" s="397"/>
      <c r="O85" s="397"/>
      <c r="P85" s="398"/>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v>0</v>
      </c>
      <c r="AP85" s="186">
        <v>0</v>
      </c>
      <c r="AQ85" s="186">
        <v>0</v>
      </c>
      <c r="AR85" s="186">
        <v>0</v>
      </c>
      <c r="AS85" s="186">
        <v>0</v>
      </c>
      <c r="AT85" s="186">
        <v>0</v>
      </c>
      <c r="AU85" s="186">
        <v>0</v>
      </c>
      <c r="AV85" s="186">
        <v>0</v>
      </c>
      <c r="AW85" s="186">
        <v>0</v>
      </c>
      <c r="AX85" s="186">
        <v>0</v>
      </c>
      <c r="AY85" s="186">
        <v>0</v>
      </c>
      <c r="AZ85" s="186">
        <v>0</v>
      </c>
      <c r="BA85" s="186">
        <v>0</v>
      </c>
      <c r="BB85" s="186">
        <v>0</v>
      </c>
      <c r="BC85" s="186">
        <v>0</v>
      </c>
      <c r="BD85" s="186">
        <v>0</v>
      </c>
      <c r="BE85" s="186">
        <v>0</v>
      </c>
      <c r="BF85" s="186">
        <v>0</v>
      </c>
      <c r="BG85" s="186">
        <v>0</v>
      </c>
      <c r="BH85" s="186">
        <v>0</v>
      </c>
      <c r="BI85" s="186">
        <v>0</v>
      </c>
      <c r="BJ85" s="186">
        <v>0</v>
      </c>
      <c r="BK85" s="186">
        <v>0</v>
      </c>
      <c r="BL85" s="186">
        <v>0</v>
      </c>
      <c r="BM85" s="186">
        <v>0</v>
      </c>
      <c r="BN85" s="186">
        <v>0</v>
      </c>
      <c r="BO85" s="186">
        <v>0</v>
      </c>
      <c r="BP85" s="186">
        <v>0</v>
      </c>
      <c r="BQ85" s="186">
        <v>0</v>
      </c>
      <c r="BR85" s="186">
        <v>0</v>
      </c>
      <c r="BS85" s="186">
        <v>0</v>
      </c>
      <c r="BT85" s="186">
        <v>0</v>
      </c>
      <c r="BU85" s="186">
        <v>0</v>
      </c>
      <c r="BV85" s="186">
        <v>0</v>
      </c>
      <c r="BW85" s="186">
        <v>0</v>
      </c>
      <c r="BX85" s="186">
        <v>0</v>
      </c>
      <c r="BY85" s="186">
        <v>0</v>
      </c>
      <c r="BZ85" s="186">
        <v>0</v>
      </c>
      <c r="CA85" s="186">
        <v>0</v>
      </c>
      <c r="CB85" s="186">
        <v>0</v>
      </c>
      <c r="CC85" s="186">
        <v>0</v>
      </c>
      <c r="CD85" s="186">
        <v>0</v>
      </c>
      <c r="CE85" s="186">
        <v>0</v>
      </c>
      <c r="CF85" s="186">
        <v>0</v>
      </c>
      <c r="CG85" s="186">
        <v>0</v>
      </c>
      <c r="CH85" s="186">
        <v>0</v>
      </c>
      <c r="CI85" s="186">
        <v>0</v>
      </c>
      <c r="CJ85" s="186">
        <v>0</v>
      </c>
      <c r="CK85" s="186">
        <v>0</v>
      </c>
      <c r="CL85" s="186">
        <v>0</v>
      </c>
      <c r="CM85" s="186">
        <v>0</v>
      </c>
      <c r="CN85" s="186">
        <v>0</v>
      </c>
      <c r="CO85" s="186">
        <v>0</v>
      </c>
      <c r="CP85" s="186">
        <v>0</v>
      </c>
      <c r="CQ85" s="186">
        <v>0</v>
      </c>
      <c r="CR85" s="186">
        <v>0</v>
      </c>
      <c r="CS85" s="186">
        <v>0</v>
      </c>
      <c r="CT85" s="186">
        <v>0</v>
      </c>
      <c r="CU85" s="186">
        <v>0</v>
      </c>
      <c r="CV85" s="186">
        <v>0</v>
      </c>
    </row>
    <row r="86" spans="1:100">
      <c r="A86" s="541" t="str">
        <f t="shared" si="1"/>
        <v>1460741</v>
      </c>
      <c r="B86" s="541" t="s">
        <v>1794</v>
      </c>
      <c r="C86" s="463" t="s">
        <v>1791</v>
      </c>
      <c r="D86" s="397"/>
      <c r="E86" s="397"/>
      <c r="F86" s="397"/>
      <c r="G86" s="397"/>
      <c r="H86" s="397"/>
      <c r="I86" s="397"/>
      <c r="J86" s="397"/>
      <c r="K86" s="397"/>
      <c r="L86" s="397"/>
      <c r="M86" s="397"/>
      <c r="N86" s="397"/>
      <c r="O86" s="397"/>
      <c r="P86" s="398"/>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v>0</v>
      </c>
      <c r="AP86" s="186">
        <v>0</v>
      </c>
      <c r="AQ86" s="186">
        <v>0</v>
      </c>
      <c r="AR86" s="186">
        <v>0</v>
      </c>
      <c r="AS86" s="186">
        <v>0</v>
      </c>
      <c r="AT86" s="186">
        <v>0</v>
      </c>
      <c r="AU86" s="186">
        <v>0</v>
      </c>
      <c r="AV86" s="186">
        <v>0</v>
      </c>
      <c r="AW86" s="186">
        <v>0</v>
      </c>
      <c r="AX86" s="186">
        <v>0</v>
      </c>
      <c r="AY86" s="186">
        <v>0</v>
      </c>
      <c r="AZ86" s="186">
        <v>0</v>
      </c>
      <c r="BA86" s="186">
        <v>0</v>
      </c>
      <c r="BB86" s="186">
        <v>0</v>
      </c>
      <c r="BC86" s="186">
        <v>0</v>
      </c>
      <c r="BD86" s="186">
        <v>0</v>
      </c>
      <c r="BE86" s="186">
        <v>0</v>
      </c>
      <c r="BF86" s="186">
        <v>0</v>
      </c>
      <c r="BG86" s="186">
        <v>0</v>
      </c>
      <c r="BH86" s="186">
        <v>0</v>
      </c>
      <c r="BI86" s="186">
        <v>0</v>
      </c>
      <c r="BJ86" s="186">
        <v>0</v>
      </c>
      <c r="BK86" s="186">
        <v>0</v>
      </c>
      <c r="BL86" s="186">
        <v>0</v>
      </c>
      <c r="BM86" s="186">
        <v>0</v>
      </c>
      <c r="BN86" s="186">
        <v>0</v>
      </c>
      <c r="BO86" s="186">
        <v>0</v>
      </c>
      <c r="BP86" s="186">
        <v>0</v>
      </c>
      <c r="BQ86" s="186">
        <v>0</v>
      </c>
      <c r="BR86" s="186">
        <v>0</v>
      </c>
      <c r="BS86" s="186">
        <v>0</v>
      </c>
      <c r="BT86" s="186">
        <v>0</v>
      </c>
      <c r="BU86" s="186">
        <v>0</v>
      </c>
      <c r="BV86" s="186">
        <v>0</v>
      </c>
      <c r="BW86" s="186">
        <v>0</v>
      </c>
      <c r="BX86" s="186">
        <v>0</v>
      </c>
      <c r="BY86" s="186">
        <v>0</v>
      </c>
      <c r="BZ86" s="186">
        <v>0</v>
      </c>
      <c r="CA86" s="186">
        <v>0</v>
      </c>
      <c r="CB86" s="186">
        <v>0</v>
      </c>
      <c r="CC86" s="186">
        <v>0</v>
      </c>
      <c r="CD86" s="186">
        <v>0</v>
      </c>
      <c r="CE86" s="186">
        <v>0</v>
      </c>
      <c r="CF86" s="186">
        <v>0</v>
      </c>
      <c r="CG86" s="186">
        <v>0</v>
      </c>
      <c r="CH86" s="186">
        <v>0</v>
      </c>
      <c r="CI86" s="186">
        <v>0</v>
      </c>
      <c r="CJ86" s="186">
        <v>0</v>
      </c>
      <c r="CK86" s="186">
        <v>0</v>
      </c>
      <c r="CL86" s="186">
        <v>0</v>
      </c>
      <c r="CM86" s="186">
        <v>0</v>
      </c>
      <c r="CN86" s="186">
        <v>0</v>
      </c>
      <c r="CO86" s="186">
        <v>0</v>
      </c>
      <c r="CP86" s="186">
        <v>0</v>
      </c>
      <c r="CQ86" s="186">
        <v>0</v>
      </c>
      <c r="CR86" s="186">
        <v>0</v>
      </c>
      <c r="CS86" s="186">
        <v>0</v>
      </c>
      <c r="CT86" s="186">
        <v>0</v>
      </c>
      <c r="CU86" s="186">
        <v>0</v>
      </c>
      <c r="CV86" s="186">
        <v>0</v>
      </c>
    </row>
    <row r="87" spans="1:100">
      <c r="A87" s="541" t="str">
        <f t="shared" si="1"/>
        <v>1460743</v>
      </c>
      <c r="B87" s="541" t="s">
        <v>1795</v>
      </c>
      <c r="C87" s="463" t="s">
        <v>1792</v>
      </c>
      <c r="D87" s="397"/>
      <c r="E87" s="397"/>
      <c r="F87" s="397"/>
      <c r="G87" s="397"/>
      <c r="H87" s="397"/>
      <c r="I87" s="397"/>
      <c r="J87" s="397"/>
      <c r="K87" s="397"/>
      <c r="L87" s="397"/>
      <c r="M87" s="397"/>
      <c r="N87" s="397"/>
      <c r="O87" s="397"/>
      <c r="P87" s="398"/>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v>0</v>
      </c>
      <c r="AP87" s="186">
        <v>0</v>
      </c>
      <c r="AQ87" s="186">
        <v>0</v>
      </c>
      <c r="AR87" s="186">
        <v>0</v>
      </c>
      <c r="AS87" s="186">
        <v>0</v>
      </c>
      <c r="AT87" s="186">
        <v>0</v>
      </c>
      <c r="AU87" s="186">
        <v>0</v>
      </c>
      <c r="AV87" s="186">
        <v>0</v>
      </c>
      <c r="AW87" s="186">
        <v>0</v>
      </c>
      <c r="AX87" s="186">
        <v>0</v>
      </c>
      <c r="AY87" s="186">
        <v>0</v>
      </c>
      <c r="AZ87" s="186">
        <v>0</v>
      </c>
      <c r="BA87" s="186">
        <v>0</v>
      </c>
      <c r="BB87" s="186">
        <v>0</v>
      </c>
      <c r="BC87" s="186">
        <v>0</v>
      </c>
      <c r="BD87" s="186">
        <v>0</v>
      </c>
      <c r="BE87" s="186">
        <v>0</v>
      </c>
      <c r="BF87" s="186">
        <v>0</v>
      </c>
      <c r="BG87" s="186">
        <v>0</v>
      </c>
      <c r="BH87" s="186">
        <v>0</v>
      </c>
      <c r="BI87" s="186">
        <v>0</v>
      </c>
      <c r="BJ87" s="186">
        <v>0</v>
      </c>
      <c r="BK87" s="186">
        <v>0</v>
      </c>
      <c r="BL87" s="186">
        <v>0</v>
      </c>
      <c r="BM87" s="186">
        <v>0</v>
      </c>
      <c r="BN87" s="186">
        <v>0</v>
      </c>
      <c r="BO87" s="186">
        <v>0</v>
      </c>
      <c r="BP87" s="186">
        <v>0</v>
      </c>
      <c r="BQ87" s="186">
        <v>0</v>
      </c>
      <c r="BR87" s="186">
        <v>0</v>
      </c>
      <c r="BS87" s="186">
        <v>0</v>
      </c>
      <c r="BT87" s="186">
        <v>0</v>
      </c>
      <c r="BU87" s="186">
        <v>0</v>
      </c>
      <c r="BV87" s="186">
        <v>0</v>
      </c>
      <c r="BW87" s="186">
        <v>0</v>
      </c>
      <c r="BX87" s="186">
        <v>0</v>
      </c>
      <c r="BY87" s="186">
        <v>0</v>
      </c>
      <c r="BZ87" s="186">
        <v>0</v>
      </c>
      <c r="CA87" s="186">
        <v>0</v>
      </c>
      <c r="CB87" s="186">
        <v>0</v>
      </c>
      <c r="CC87" s="186">
        <v>0</v>
      </c>
      <c r="CD87" s="186">
        <v>0</v>
      </c>
      <c r="CE87" s="186">
        <v>0</v>
      </c>
      <c r="CF87" s="186">
        <v>0</v>
      </c>
      <c r="CG87" s="186">
        <v>0</v>
      </c>
      <c r="CH87" s="186">
        <v>0</v>
      </c>
      <c r="CI87" s="186">
        <v>0</v>
      </c>
      <c r="CJ87" s="186">
        <v>0</v>
      </c>
      <c r="CK87" s="186">
        <v>0</v>
      </c>
      <c r="CL87" s="186">
        <v>0</v>
      </c>
      <c r="CM87" s="186">
        <v>0</v>
      </c>
      <c r="CN87" s="186">
        <v>0</v>
      </c>
      <c r="CO87" s="186">
        <v>0</v>
      </c>
      <c r="CP87" s="186">
        <v>0</v>
      </c>
      <c r="CQ87" s="186">
        <v>0</v>
      </c>
      <c r="CR87" s="186">
        <v>0</v>
      </c>
      <c r="CS87" s="186">
        <v>0</v>
      </c>
      <c r="CT87" s="186">
        <v>0</v>
      </c>
      <c r="CU87" s="186">
        <v>0</v>
      </c>
      <c r="CV87" s="186">
        <v>0</v>
      </c>
    </row>
    <row r="88" spans="1:100">
      <c r="A88" s="541" t="str">
        <f>+B88</f>
        <v>1460780</v>
      </c>
      <c r="B88" s="541" t="s">
        <v>2243</v>
      </c>
      <c r="C88" s="463" t="s">
        <v>2244</v>
      </c>
      <c r="D88" s="397"/>
      <c r="E88" s="397"/>
      <c r="F88" s="397"/>
      <c r="G88" s="397"/>
      <c r="H88" s="397"/>
      <c r="I88" s="397"/>
      <c r="J88" s="397"/>
      <c r="K88" s="397"/>
      <c r="L88" s="397"/>
      <c r="M88" s="397"/>
      <c r="N88" s="397"/>
      <c r="O88" s="397"/>
      <c r="P88" s="398"/>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v>0</v>
      </c>
      <c r="AP88" s="186">
        <v>0</v>
      </c>
      <c r="AQ88" s="186">
        <v>0</v>
      </c>
      <c r="AR88" s="186">
        <v>0</v>
      </c>
      <c r="AS88" s="186">
        <v>0</v>
      </c>
      <c r="AT88" s="186">
        <v>0</v>
      </c>
      <c r="AU88" s="186">
        <v>0</v>
      </c>
      <c r="AV88" s="186">
        <v>0</v>
      </c>
      <c r="AW88" s="186">
        <v>0</v>
      </c>
      <c r="AX88" s="186">
        <v>0</v>
      </c>
      <c r="AY88" s="186">
        <v>0</v>
      </c>
      <c r="AZ88" s="186">
        <v>0</v>
      </c>
      <c r="BA88" s="186">
        <v>0</v>
      </c>
      <c r="BB88" s="186">
        <v>0</v>
      </c>
      <c r="BC88" s="186">
        <v>0</v>
      </c>
      <c r="BD88" s="186">
        <v>0</v>
      </c>
      <c r="BE88" s="186">
        <v>0</v>
      </c>
      <c r="BF88" s="186">
        <v>0</v>
      </c>
      <c r="BG88" s="186">
        <v>0</v>
      </c>
      <c r="BH88" s="186">
        <v>4029.56</v>
      </c>
      <c r="BI88" s="186">
        <v>0</v>
      </c>
      <c r="BJ88" s="186">
        <v>0</v>
      </c>
      <c r="BK88" s="186">
        <v>0</v>
      </c>
      <c r="BL88" s="186">
        <v>0</v>
      </c>
      <c r="BM88" s="186">
        <v>0</v>
      </c>
      <c r="BN88" s="186">
        <v>0</v>
      </c>
      <c r="BO88" s="186">
        <v>0</v>
      </c>
      <c r="BP88" s="186">
        <v>0</v>
      </c>
      <c r="BQ88" s="186">
        <v>0</v>
      </c>
      <c r="BR88" s="186">
        <v>0</v>
      </c>
      <c r="BS88" s="186">
        <v>0</v>
      </c>
      <c r="BT88" s="186">
        <v>0</v>
      </c>
      <c r="BU88" s="186">
        <v>0</v>
      </c>
      <c r="BV88" s="186">
        <v>0</v>
      </c>
      <c r="BW88" s="186">
        <v>0</v>
      </c>
      <c r="BX88" s="186">
        <v>0</v>
      </c>
      <c r="BY88" s="186">
        <v>0</v>
      </c>
      <c r="BZ88" s="186">
        <v>0</v>
      </c>
      <c r="CA88" s="186">
        <v>0</v>
      </c>
      <c r="CB88" s="186">
        <v>0</v>
      </c>
      <c r="CC88" s="186">
        <v>0</v>
      </c>
      <c r="CD88" s="186">
        <v>0</v>
      </c>
      <c r="CE88" s="186">
        <v>0</v>
      </c>
      <c r="CF88" s="186">
        <v>0</v>
      </c>
      <c r="CG88" s="186">
        <v>0</v>
      </c>
      <c r="CH88" s="186">
        <v>0</v>
      </c>
      <c r="CI88" s="186">
        <v>0</v>
      </c>
      <c r="CJ88" s="186">
        <v>0</v>
      </c>
      <c r="CK88" s="186">
        <v>0</v>
      </c>
      <c r="CL88" s="186">
        <v>0</v>
      </c>
      <c r="CM88" s="186">
        <v>0</v>
      </c>
      <c r="CN88" s="186">
        <v>0</v>
      </c>
      <c r="CO88" s="186">
        <v>0</v>
      </c>
      <c r="CP88" s="186">
        <v>0</v>
      </c>
      <c r="CQ88" s="186">
        <v>0</v>
      </c>
      <c r="CR88" s="186">
        <v>0</v>
      </c>
      <c r="CS88" s="186">
        <v>0</v>
      </c>
      <c r="CT88" s="186">
        <v>0</v>
      </c>
      <c r="CU88" s="186">
        <v>0</v>
      </c>
      <c r="CV88" s="186">
        <v>0</v>
      </c>
    </row>
    <row r="89" spans="1:100">
      <c r="A89" s="541">
        <f>+B89</f>
        <v>1460790</v>
      </c>
      <c r="B89" s="541">
        <v>1460790</v>
      </c>
      <c r="C89" s="1080" t="s">
        <v>2544</v>
      </c>
      <c r="D89" s="186">
        <v>0</v>
      </c>
      <c r="E89" s="186">
        <v>0</v>
      </c>
      <c r="F89" s="186">
        <v>0</v>
      </c>
      <c r="G89" s="186">
        <v>0</v>
      </c>
      <c r="H89" s="186">
        <v>0</v>
      </c>
      <c r="I89" s="186">
        <v>0</v>
      </c>
      <c r="J89" s="186">
        <v>0</v>
      </c>
      <c r="K89" s="186">
        <v>0</v>
      </c>
      <c r="L89" s="186">
        <v>0</v>
      </c>
      <c r="M89" s="186">
        <v>0</v>
      </c>
      <c r="N89" s="186">
        <v>0</v>
      </c>
      <c r="O89" s="186">
        <v>0</v>
      </c>
      <c r="P89" s="186">
        <v>0</v>
      </c>
      <c r="Q89" s="186">
        <v>0</v>
      </c>
      <c r="R89" s="186">
        <v>0</v>
      </c>
      <c r="S89" s="186">
        <v>0</v>
      </c>
      <c r="T89" s="186">
        <v>0</v>
      </c>
      <c r="U89" s="186">
        <v>0</v>
      </c>
      <c r="V89" s="186">
        <v>0</v>
      </c>
      <c r="W89" s="186">
        <v>0</v>
      </c>
      <c r="X89" s="186">
        <v>0</v>
      </c>
      <c r="Y89" s="186">
        <v>0</v>
      </c>
      <c r="Z89" s="186">
        <v>0</v>
      </c>
      <c r="AA89" s="186">
        <v>0</v>
      </c>
      <c r="AB89" s="186">
        <v>0</v>
      </c>
      <c r="AC89" s="186">
        <v>0</v>
      </c>
      <c r="AD89" s="186">
        <v>0</v>
      </c>
      <c r="AE89" s="186">
        <v>0</v>
      </c>
      <c r="AF89" s="186">
        <v>0</v>
      </c>
      <c r="AG89" s="186">
        <v>0</v>
      </c>
      <c r="AH89" s="186">
        <v>0</v>
      </c>
      <c r="AI89" s="186">
        <v>0</v>
      </c>
      <c r="AJ89" s="186">
        <v>0</v>
      </c>
      <c r="AK89" s="186">
        <v>0</v>
      </c>
      <c r="AL89" s="186">
        <v>0</v>
      </c>
      <c r="AM89" s="186">
        <v>0</v>
      </c>
      <c r="AN89" s="186">
        <v>0</v>
      </c>
      <c r="AO89" s="186">
        <v>0</v>
      </c>
      <c r="AP89" s="186">
        <v>0</v>
      </c>
      <c r="AQ89" s="186">
        <v>0</v>
      </c>
      <c r="AR89" s="186">
        <v>0</v>
      </c>
      <c r="AS89" s="186">
        <v>0</v>
      </c>
      <c r="AT89" s="186">
        <v>0</v>
      </c>
      <c r="AU89" s="186">
        <v>0</v>
      </c>
      <c r="AV89" s="186">
        <v>0</v>
      </c>
      <c r="AW89" s="186">
        <v>0</v>
      </c>
      <c r="AX89" s="186">
        <v>0</v>
      </c>
      <c r="AY89" s="186">
        <v>0</v>
      </c>
      <c r="AZ89" s="186">
        <v>0</v>
      </c>
      <c r="BA89" s="186">
        <v>0</v>
      </c>
      <c r="BB89" s="186">
        <v>0</v>
      </c>
      <c r="BC89" s="186">
        <v>0</v>
      </c>
      <c r="BD89" s="186">
        <v>0</v>
      </c>
      <c r="BE89" s="186">
        <v>0</v>
      </c>
      <c r="BF89" s="186">
        <v>0</v>
      </c>
      <c r="BG89" s="186">
        <v>0</v>
      </c>
      <c r="BH89" s="186">
        <v>0</v>
      </c>
      <c r="BI89" s="186">
        <v>0</v>
      </c>
      <c r="BJ89" s="186">
        <v>0</v>
      </c>
      <c r="BK89" s="186">
        <v>0</v>
      </c>
      <c r="BL89" s="186">
        <v>0</v>
      </c>
      <c r="BM89" s="186">
        <v>0</v>
      </c>
      <c r="BN89" s="186">
        <v>0</v>
      </c>
      <c r="BO89" s="186">
        <v>0</v>
      </c>
      <c r="BP89" s="186">
        <v>0</v>
      </c>
      <c r="BQ89" s="186">
        <v>0</v>
      </c>
      <c r="BR89" s="186">
        <v>0</v>
      </c>
      <c r="BS89" s="186">
        <v>0</v>
      </c>
      <c r="BT89" s="186">
        <v>0</v>
      </c>
      <c r="BU89" s="186">
        <v>0</v>
      </c>
      <c r="BV89" s="186">
        <v>0</v>
      </c>
      <c r="BW89" s="186">
        <v>0</v>
      </c>
      <c r="BX89" s="186">
        <v>0</v>
      </c>
      <c r="BY89" s="186">
        <v>0</v>
      </c>
      <c r="BZ89" s="186">
        <v>0</v>
      </c>
      <c r="CA89" s="186">
        <v>0</v>
      </c>
      <c r="CB89" s="186">
        <v>0</v>
      </c>
      <c r="CC89" s="186">
        <v>0</v>
      </c>
      <c r="CD89" s="186">
        <v>0</v>
      </c>
      <c r="CE89" s="186">
        <v>0</v>
      </c>
      <c r="CF89" s="186">
        <v>550933</v>
      </c>
      <c r="CG89" s="186">
        <v>1385701</v>
      </c>
      <c r="CH89" s="186">
        <v>60493.56</v>
      </c>
      <c r="CI89" s="186">
        <v>9889.69</v>
      </c>
      <c r="CJ89" s="186">
        <v>10225.68</v>
      </c>
      <c r="CK89" s="186">
        <v>10225.68</v>
      </c>
      <c r="CL89" s="186">
        <v>10225.68</v>
      </c>
      <c r="CM89" s="186">
        <v>0</v>
      </c>
      <c r="CN89" s="186">
        <v>0</v>
      </c>
      <c r="CO89" s="186">
        <v>0</v>
      </c>
      <c r="CP89" s="186">
        <v>0</v>
      </c>
      <c r="CQ89" s="186">
        <v>0</v>
      </c>
      <c r="CR89" s="186">
        <v>0</v>
      </c>
      <c r="CS89" s="186">
        <v>0</v>
      </c>
      <c r="CT89" s="186">
        <v>0</v>
      </c>
      <c r="CU89" s="186">
        <v>0</v>
      </c>
      <c r="CV89" s="186">
        <v>0</v>
      </c>
    </row>
    <row r="90" spans="1:100">
      <c r="A90" s="541" t="str">
        <f t="shared" si="1"/>
        <v>1460791</v>
      </c>
      <c r="B90" s="541" t="s">
        <v>1847</v>
      </c>
      <c r="C90" s="463" t="s">
        <v>1843</v>
      </c>
      <c r="D90" s="397"/>
      <c r="E90" s="397"/>
      <c r="F90" s="397"/>
      <c r="G90" s="397"/>
      <c r="H90" s="397"/>
      <c r="I90" s="397"/>
      <c r="J90" s="397"/>
      <c r="K90" s="397"/>
      <c r="L90" s="397"/>
      <c r="M90" s="397"/>
      <c r="N90" s="397"/>
      <c r="O90" s="397"/>
      <c r="P90" s="398"/>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v>0</v>
      </c>
      <c r="AP90" s="186">
        <v>0</v>
      </c>
      <c r="AQ90" s="186">
        <v>0</v>
      </c>
      <c r="AR90" s="186">
        <v>0</v>
      </c>
      <c r="AS90" s="186">
        <v>0</v>
      </c>
      <c r="AT90" s="186">
        <v>0</v>
      </c>
      <c r="AU90" s="186">
        <v>0</v>
      </c>
      <c r="AV90" s="186">
        <v>0</v>
      </c>
      <c r="AW90" s="186">
        <v>0</v>
      </c>
      <c r="AX90" s="186">
        <v>0</v>
      </c>
      <c r="AY90" s="186">
        <v>0</v>
      </c>
      <c r="AZ90" s="186">
        <v>1268</v>
      </c>
      <c r="BA90" s="186">
        <v>0</v>
      </c>
      <c r="BB90" s="186">
        <v>0</v>
      </c>
      <c r="BC90" s="186">
        <v>0</v>
      </c>
      <c r="BD90" s="186">
        <v>0</v>
      </c>
      <c r="BE90" s="186">
        <v>0</v>
      </c>
      <c r="BF90" s="186">
        <v>4340</v>
      </c>
      <c r="BG90" s="186">
        <v>0</v>
      </c>
      <c r="BH90" s="186">
        <v>0</v>
      </c>
      <c r="BI90" s="186">
        <v>15110.7</v>
      </c>
      <c r="BJ90" s="186">
        <v>0</v>
      </c>
      <c r="BK90" s="186">
        <v>0</v>
      </c>
      <c r="BL90" s="186">
        <v>14235</v>
      </c>
      <c r="BM90" s="186">
        <v>0</v>
      </c>
      <c r="BN90" s="186">
        <v>0</v>
      </c>
      <c r="BO90" s="186">
        <v>0</v>
      </c>
      <c r="BP90" s="186">
        <v>38130.42</v>
      </c>
      <c r="BQ90" s="186">
        <v>2480</v>
      </c>
      <c r="BR90" s="186">
        <v>0</v>
      </c>
      <c r="BS90" s="186">
        <v>0</v>
      </c>
      <c r="BT90" s="186">
        <v>0</v>
      </c>
      <c r="BU90" s="186">
        <v>0</v>
      </c>
      <c r="BV90" s="186">
        <v>0</v>
      </c>
      <c r="BW90" s="186">
        <v>0</v>
      </c>
      <c r="BX90" s="186">
        <v>93068</v>
      </c>
      <c r="BY90" s="186">
        <v>62828</v>
      </c>
      <c r="BZ90" s="186">
        <v>65389</v>
      </c>
      <c r="CA90" s="186">
        <v>85545</v>
      </c>
      <c r="CB90" s="186">
        <v>45003</v>
      </c>
      <c r="CC90" s="186">
        <v>69677</v>
      </c>
      <c r="CD90" s="186">
        <v>88296.5</v>
      </c>
      <c r="CE90" s="186">
        <v>59767</v>
      </c>
      <c r="CF90" s="186">
        <v>535321</v>
      </c>
      <c r="CG90" s="186">
        <v>255654.86</v>
      </c>
      <c r="CH90" s="186">
        <v>216829.37</v>
      </c>
      <c r="CI90" s="186">
        <v>273966.83</v>
      </c>
      <c r="CJ90" s="186">
        <v>265557.40999999997</v>
      </c>
      <c r="CK90" s="186">
        <v>207052.58</v>
      </c>
      <c r="CL90" s="186">
        <v>361102.67</v>
      </c>
      <c r="CM90" s="186">
        <v>268533.11</v>
      </c>
      <c r="CN90" s="186">
        <v>254956.27</v>
      </c>
      <c r="CO90" s="186">
        <v>487811.96</v>
      </c>
      <c r="CP90" s="186">
        <v>1623672.09</v>
      </c>
      <c r="CQ90" s="186">
        <v>2578706.04</v>
      </c>
      <c r="CR90" s="186">
        <v>2391309.62</v>
      </c>
      <c r="CS90" s="186">
        <v>1174824.8600000001</v>
      </c>
      <c r="CT90" s="186">
        <v>1478902.4</v>
      </c>
      <c r="CU90" s="186">
        <v>265505.61</v>
      </c>
      <c r="CV90" s="186">
        <v>243017.09</v>
      </c>
    </row>
    <row r="91" spans="1:100">
      <c r="A91" s="541" t="str">
        <f t="shared" si="1"/>
        <v>1510050</v>
      </c>
      <c r="B91" s="541" t="s">
        <v>1588</v>
      </c>
      <c r="C91" s="463" t="s">
        <v>652</v>
      </c>
      <c r="D91" s="397">
        <v>0</v>
      </c>
      <c r="E91" s="397">
        <v>0</v>
      </c>
      <c r="F91" s="397">
        <v>0</v>
      </c>
      <c r="G91" s="397">
        <v>0</v>
      </c>
      <c r="H91" s="397">
        <v>0</v>
      </c>
      <c r="I91" s="397">
        <v>0</v>
      </c>
      <c r="J91" s="397">
        <v>0</v>
      </c>
      <c r="K91" s="397">
        <v>0</v>
      </c>
      <c r="L91" s="397">
        <v>0</v>
      </c>
      <c r="M91" s="397">
        <v>0</v>
      </c>
      <c r="N91" s="397">
        <v>0</v>
      </c>
      <c r="O91" s="397">
        <v>0</v>
      </c>
      <c r="P91" s="398">
        <v>0</v>
      </c>
      <c r="Q91" s="186">
        <v>0</v>
      </c>
      <c r="R91" s="186">
        <v>0</v>
      </c>
      <c r="S91" s="186">
        <v>0</v>
      </c>
      <c r="T91" s="186">
        <v>0</v>
      </c>
      <c r="U91" s="186">
        <v>0</v>
      </c>
      <c r="V91" s="186">
        <v>0</v>
      </c>
      <c r="W91" s="186">
        <v>0</v>
      </c>
      <c r="X91" s="186">
        <v>0</v>
      </c>
      <c r="Y91" s="186">
        <v>0</v>
      </c>
      <c r="Z91" s="186">
        <v>0</v>
      </c>
      <c r="AA91" s="186">
        <v>0</v>
      </c>
      <c r="AB91" s="186">
        <v>0</v>
      </c>
      <c r="AC91" s="186">
        <v>0</v>
      </c>
      <c r="AD91" s="186">
        <v>0</v>
      </c>
      <c r="AE91" s="186">
        <v>0</v>
      </c>
      <c r="AF91" s="186">
        <v>0</v>
      </c>
      <c r="AG91" s="186">
        <v>0</v>
      </c>
      <c r="AH91" s="186">
        <v>0</v>
      </c>
      <c r="AI91" s="186">
        <v>0</v>
      </c>
      <c r="AJ91" s="186">
        <v>0</v>
      </c>
      <c r="AK91" s="186">
        <v>0</v>
      </c>
      <c r="AL91" s="186">
        <v>0</v>
      </c>
      <c r="AM91" s="186">
        <v>0</v>
      </c>
      <c r="AN91" s="186">
        <v>0</v>
      </c>
      <c r="AO91" s="186">
        <v>0</v>
      </c>
      <c r="AP91" s="186">
        <v>0</v>
      </c>
      <c r="AQ91" s="186">
        <v>0</v>
      </c>
      <c r="AR91" s="186">
        <v>0</v>
      </c>
      <c r="AS91" s="186">
        <v>0</v>
      </c>
      <c r="AT91" s="186">
        <v>0</v>
      </c>
      <c r="AU91" s="186">
        <v>0</v>
      </c>
      <c r="AV91" s="186">
        <v>0</v>
      </c>
      <c r="AW91" s="186">
        <v>0</v>
      </c>
      <c r="AX91" s="186">
        <v>0</v>
      </c>
      <c r="AY91" s="186">
        <v>0</v>
      </c>
      <c r="AZ91" s="186">
        <v>0</v>
      </c>
      <c r="BA91" s="186">
        <v>0</v>
      </c>
      <c r="BB91" s="186">
        <v>0</v>
      </c>
      <c r="BC91" s="186">
        <v>0</v>
      </c>
      <c r="BD91" s="186">
        <v>0</v>
      </c>
      <c r="BE91" s="186">
        <v>0</v>
      </c>
      <c r="BF91" s="186">
        <v>0</v>
      </c>
      <c r="BG91" s="186">
        <v>0</v>
      </c>
      <c r="BH91" s="186">
        <v>0</v>
      </c>
      <c r="BI91" s="186">
        <v>0</v>
      </c>
      <c r="BJ91" s="186">
        <v>0</v>
      </c>
      <c r="BK91" s="186">
        <v>0</v>
      </c>
      <c r="BL91" s="186">
        <v>0</v>
      </c>
      <c r="BM91" s="186">
        <v>0</v>
      </c>
      <c r="BN91" s="186">
        <v>0</v>
      </c>
      <c r="BO91" s="186">
        <v>0</v>
      </c>
      <c r="BP91" s="186">
        <v>0</v>
      </c>
      <c r="BQ91" s="186">
        <v>0</v>
      </c>
      <c r="BR91" s="186">
        <v>0</v>
      </c>
      <c r="BS91" s="186">
        <v>0</v>
      </c>
      <c r="BT91" s="186">
        <v>0</v>
      </c>
      <c r="BU91" s="186">
        <v>0</v>
      </c>
      <c r="BV91" s="186">
        <v>0</v>
      </c>
      <c r="BW91" s="186">
        <v>0</v>
      </c>
      <c r="BX91" s="186">
        <v>0</v>
      </c>
      <c r="BY91" s="186">
        <v>0</v>
      </c>
      <c r="BZ91" s="186">
        <v>0</v>
      </c>
      <c r="CA91" s="186">
        <v>0</v>
      </c>
      <c r="CB91" s="186">
        <v>0</v>
      </c>
      <c r="CC91" s="186">
        <v>0</v>
      </c>
      <c r="CD91" s="186">
        <v>0</v>
      </c>
      <c r="CE91" s="186">
        <v>0</v>
      </c>
      <c r="CF91" s="186">
        <v>0</v>
      </c>
      <c r="CG91" s="186">
        <v>0</v>
      </c>
      <c r="CH91" s="186">
        <v>0</v>
      </c>
      <c r="CI91" s="186">
        <v>0</v>
      </c>
      <c r="CJ91" s="186">
        <v>0</v>
      </c>
      <c r="CK91" s="186">
        <v>0</v>
      </c>
      <c r="CL91" s="186">
        <v>0</v>
      </c>
      <c r="CM91" s="186">
        <v>0</v>
      </c>
      <c r="CN91" s="186">
        <v>0</v>
      </c>
      <c r="CO91" s="186">
        <v>0</v>
      </c>
      <c r="CP91" s="186">
        <v>0</v>
      </c>
      <c r="CQ91" s="186">
        <v>0</v>
      </c>
      <c r="CR91" s="186">
        <v>0</v>
      </c>
      <c r="CS91" s="186">
        <v>0</v>
      </c>
      <c r="CT91" s="186">
        <v>0</v>
      </c>
      <c r="CU91" s="186">
        <v>0</v>
      </c>
      <c r="CV91" s="186">
        <v>0</v>
      </c>
    </row>
    <row r="92" spans="1:100">
      <c r="A92" s="541" t="str">
        <f t="shared" si="1"/>
        <v>1540000</v>
      </c>
      <c r="B92" s="541" t="s">
        <v>1505</v>
      </c>
      <c r="C92" s="463" t="s">
        <v>653</v>
      </c>
      <c r="D92" s="397">
        <v>3062782.86</v>
      </c>
      <c r="E92" s="397">
        <v>2461744.83</v>
      </c>
      <c r="F92" s="397">
        <v>2565528.77</v>
      </c>
      <c r="G92" s="397">
        <v>2101725.61</v>
      </c>
      <c r="H92" s="397">
        <v>2087172.27</v>
      </c>
      <c r="I92" s="397">
        <v>1960379.72</v>
      </c>
      <c r="J92" s="397">
        <v>1883606.53</v>
      </c>
      <c r="K92" s="397">
        <v>1886869.5</v>
      </c>
      <c r="L92" s="397">
        <v>1975215.06</v>
      </c>
      <c r="M92" s="397">
        <v>1938993.96</v>
      </c>
      <c r="N92" s="397">
        <v>1755238.86</v>
      </c>
      <c r="O92" s="397">
        <v>1763112.05</v>
      </c>
      <c r="P92" s="398">
        <v>1799639.2</v>
      </c>
      <c r="Q92" s="186">
        <v>1795256.79</v>
      </c>
      <c r="R92" s="186">
        <v>1882330.62</v>
      </c>
      <c r="S92" s="186">
        <v>1995646.83</v>
      </c>
      <c r="T92" s="186">
        <v>1941364.49</v>
      </c>
      <c r="U92" s="186">
        <v>1971050.56</v>
      </c>
      <c r="V92" s="186">
        <v>2109939.8199999998</v>
      </c>
      <c r="W92" s="186">
        <v>2392366.35</v>
      </c>
      <c r="X92" s="186">
        <v>2373514.0699999998</v>
      </c>
      <c r="Y92" s="186">
        <v>2155566.11</v>
      </c>
      <c r="Z92" s="186">
        <v>2415372.61</v>
      </c>
      <c r="AA92" s="186">
        <v>2065067.07</v>
      </c>
      <c r="AB92" s="186">
        <v>1793094.38</v>
      </c>
      <c r="AC92" s="186">
        <v>1876254.86</v>
      </c>
      <c r="AD92" s="186">
        <v>1981157.8</v>
      </c>
      <c r="AE92" s="186">
        <v>1959619.57</v>
      </c>
      <c r="AF92" s="186">
        <v>1899603.24</v>
      </c>
      <c r="AG92" s="186">
        <v>2257611.46</v>
      </c>
      <c r="AH92" s="186">
        <v>2468008.77</v>
      </c>
      <c r="AI92" s="186">
        <v>1956116.69</v>
      </c>
      <c r="AJ92" s="186">
        <v>1919024.36</v>
      </c>
      <c r="AK92" s="186">
        <v>2077150.46</v>
      </c>
      <c r="AL92" s="186">
        <v>1860636.12</v>
      </c>
      <c r="AM92" s="186">
        <v>1623395.73</v>
      </c>
      <c r="AN92" s="186">
        <v>1653159.73</v>
      </c>
      <c r="AO92" s="186">
        <v>1858855.81</v>
      </c>
      <c r="AP92" s="186">
        <v>1904817.91</v>
      </c>
      <c r="AQ92" s="186">
        <v>1988687.66</v>
      </c>
      <c r="AR92" s="186">
        <v>1926638.87</v>
      </c>
      <c r="AS92" s="186">
        <v>2100729.92</v>
      </c>
      <c r="AT92" s="186">
        <v>2046668.36</v>
      </c>
      <c r="AU92" s="186">
        <v>2071037.68</v>
      </c>
      <c r="AV92" s="186">
        <v>2016818.42</v>
      </c>
      <c r="AW92" s="186">
        <v>2131647.7999999998</v>
      </c>
      <c r="AX92" s="186">
        <v>2042216.68</v>
      </c>
      <c r="AY92" s="186">
        <v>1900584.82</v>
      </c>
      <c r="AZ92" s="186">
        <v>1887695.39</v>
      </c>
      <c r="BA92" s="186">
        <v>2070997.65</v>
      </c>
      <c r="BB92" s="186">
        <v>2149876.11</v>
      </c>
      <c r="BC92" s="186">
        <v>2006690.32</v>
      </c>
      <c r="BD92" s="186">
        <v>1972097.67</v>
      </c>
      <c r="BE92" s="186">
        <v>2190177.17</v>
      </c>
      <c r="BF92" s="186">
        <v>2163452.0299999998</v>
      </c>
      <c r="BG92" s="186">
        <v>2125576.85</v>
      </c>
      <c r="BH92" s="186">
        <v>2476378.0499999998</v>
      </c>
      <c r="BI92" s="186">
        <v>2741218.33</v>
      </c>
      <c r="BJ92" s="186">
        <v>2360109.85</v>
      </c>
      <c r="BK92" s="186">
        <v>2172177.2200000002</v>
      </c>
      <c r="BL92" s="186">
        <v>2073130.1</v>
      </c>
      <c r="BM92" s="186">
        <v>2183604.33</v>
      </c>
      <c r="BN92" s="186">
        <v>2363788.79</v>
      </c>
      <c r="BO92" s="186">
        <v>2385549.1</v>
      </c>
      <c r="BP92" s="186">
        <v>2474715.5499999998</v>
      </c>
      <c r="BQ92" s="186">
        <v>2512819.36</v>
      </c>
      <c r="BR92" s="186">
        <v>2780054.56</v>
      </c>
      <c r="BS92" s="186">
        <v>2687237.82</v>
      </c>
      <c r="BT92" s="186">
        <v>2783190.01</v>
      </c>
      <c r="BU92" s="186">
        <v>2571701.88</v>
      </c>
      <c r="BV92" s="186">
        <v>2738670.95</v>
      </c>
      <c r="BW92" s="186">
        <v>2709384.59</v>
      </c>
      <c r="BX92" s="186">
        <v>2401228.73</v>
      </c>
      <c r="BY92" s="186">
        <v>2400792.73</v>
      </c>
      <c r="BZ92" s="186">
        <v>2617789.75</v>
      </c>
      <c r="CA92" s="186">
        <v>2444409.17</v>
      </c>
      <c r="CB92" s="186">
        <v>2661159.0499999998</v>
      </c>
      <c r="CC92" s="186">
        <v>2807189.21</v>
      </c>
      <c r="CD92" s="186">
        <v>2832085.74</v>
      </c>
      <c r="CE92" s="186">
        <v>2649768.37</v>
      </c>
      <c r="CF92" s="186">
        <v>2895960.3</v>
      </c>
      <c r="CG92" s="186">
        <v>2763278.25</v>
      </c>
      <c r="CH92" s="186">
        <v>3044537</v>
      </c>
      <c r="CI92" s="186">
        <v>2851203.61</v>
      </c>
      <c r="CJ92" s="186">
        <v>2998336.09</v>
      </c>
      <c r="CK92" s="186">
        <v>3185968.43</v>
      </c>
      <c r="CL92" s="186">
        <v>3089869.03</v>
      </c>
      <c r="CM92" s="186">
        <v>3262009.15</v>
      </c>
      <c r="CN92" s="186">
        <v>3750227.49</v>
      </c>
      <c r="CO92" s="186">
        <v>3835254.8</v>
      </c>
      <c r="CP92" s="186">
        <v>4186310.55</v>
      </c>
      <c r="CQ92" s="186">
        <v>3842946.45</v>
      </c>
      <c r="CR92" s="186">
        <v>4056172.35</v>
      </c>
      <c r="CS92" s="186">
        <v>4544331.8499999996</v>
      </c>
      <c r="CT92" s="186">
        <v>4167012.26</v>
      </c>
      <c r="CU92" s="186">
        <v>4010626.99</v>
      </c>
      <c r="CV92" s="186">
        <v>2635011.9900000002</v>
      </c>
    </row>
    <row r="93" spans="1:100">
      <c r="A93" s="541" t="str">
        <f t="shared" si="1"/>
        <v>1540001</v>
      </c>
      <c r="B93" s="541" t="s">
        <v>1589</v>
      </c>
      <c r="C93" s="463" t="s">
        <v>654</v>
      </c>
      <c r="D93" s="397">
        <v>0</v>
      </c>
      <c r="E93" s="397">
        <v>0</v>
      </c>
      <c r="F93" s="397">
        <v>0</v>
      </c>
      <c r="G93" s="397">
        <v>0</v>
      </c>
      <c r="H93" s="397">
        <v>0</v>
      </c>
      <c r="I93" s="397">
        <v>0</v>
      </c>
      <c r="J93" s="397">
        <v>0</v>
      </c>
      <c r="K93" s="397">
        <v>0</v>
      </c>
      <c r="L93" s="397">
        <v>0</v>
      </c>
      <c r="M93" s="397">
        <v>0</v>
      </c>
      <c r="N93" s="397">
        <v>0</v>
      </c>
      <c r="O93" s="397">
        <v>0</v>
      </c>
      <c r="P93" s="398">
        <v>0</v>
      </c>
      <c r="Q93" s="186">
        <v>0</v>
      </c>
      <c r="R93" s="186">
        <v>0</v>
      </c>
      <c r="S93" s="186">
        <v>0</v>
      </c>
      <c r="T93" s="186">
        <v>0</v>
      </c>
      <c r="U93" s="186">
        <v>0</v>
      </c>
      <c r="V93" s="186">
        <v>0</v>
      </c>
      <c r="W93" s="186">
        <v>0</v>
      </c>
      <c r="X93" s="186">
        <v>0</v>
      </c>
      <c r="Y93" s="186">
        <v>0</v>
      </c>
      <c r="Z93" s="186">
        <v>0</v>
      </c>
      <c r="AA93" s="186">
        <v>0</v>
      </c>
      <c r="AB93" s="186">
        <v>121567.51</v>
      </c>
      <c r="AC93" s="186">
        <v>0</v>
      </c>
      <c r="AD93" s="186">
        <v>0</v>
      </c>
      <c r="AE93" s="186">
        <v>0</v>
      </c>
      <c r="AF93" s="186">
        <v>0</v>
      </c>
      <c r="AG93" s="186">
        <v>0</v>
      </c>
      <c r="AH93" s="186">
        <v>-659863.47</v>
      </c>
      <c r="AI93" s="186">
        <v>0</v>
      </c>
      <c r="AJ93" s="186">
        <v>0</v>
      </c>
      <c r="AK93" s="186">
        <v>0</v>
      </c>
      <c r="AL93" s="186">
        <v>0</v>
      </c>
      <c r="AM93" s="186">
        <v>0</v>
      </c>
      <c r="AN93" s="186">
        <v>47542.67</v>
      </c>
      <c r="AO93" s="186">
        <v>0</v>
      </c>
      <c r="AP93" s="186">
        <v>0</v>
      </c>
      <c r="AQ93" s="186">
        <v>0</v>
      </c>
      <c r="AR93" s="186">
        <v>0</v>
      </c>
      <c r="AS93" s="186">
        <v>0</v>
      </c>
      <c r="AT93" s="186">
        <v>0</v>
      </c>
      <c r="AU93" s="186">
        <v>0</v>
      </c>
      <c r="AV93" s="186">
        <v>0</v>
      </c>
      <c r="AW93" s="186">
        <v>0</v>
      </c>
      <c r="AX93" s="186">
        <v>0</v>
      </c>
      <c r="AY93" s="186">
        <v>0</v>
      </c>
      <c r="AZ93" s="186">
        <v>0</v>
      </c>
      <c r="BA93" s="186">
        <v>0</v>
      </c>
      <c r="BB93" s="186">
        <v>0</v>
      </c>
      <c r="BC93" s="186">
        <v>0</v>
      </c>
      <c r="BD93" s="186">
        <v>0</v>
      </c>
      <c r="BE93" s="186">
        <v>0</v>
      </c>
      <c r="BF93" s="186">
        <v>0</v>
      </c>
      <c r="BG93" s="186">
        <v>0</v>
      </c>
      <c r="BH93" s="186">
        <v>0</v>
      </c>
      <c r="BI93" s="186">
        <v>0</v>
      </c>
      <c r="BJ93" s="186">
        <v>0</v>
      </c>
      <c r="BK93" s="186">
        <v>0</v>
      </c>
      <c r="BL93" s="186">
        <v>0</v>
      </c>
      <c r="BM93" s="186">
        <v>0</v>
      </c>
      <c r="BN93" s="186">
        <v>0</v>
      </c>
      <c r="BO93" s="186">
        <v>0</v>
      </c>
      <c r="BP93" s="186">
        <v>0</v>
      </c>
      <c r="BQ93" s="186">
        <v>0</v>
      </c>
      <c r="BR93" s="186">
        <v>0</v>
      </c>
      <c r="BS93" s="186">
        <v>0</v>
      </c>
      <c r="BT93" s="186">
        <v>0</v>
      </c>
      <c r="BU93" s="186">
        <v>0</v>
      </c>
      <c r="BV93" s="186">
        <v>0</v>
      </c>
      <c r="BW93" s="186">
        <v>0</v>
      </c>
      <c r="BX93" s="186">
        <v>0</v>
      </c>
      <c r="BY93" s="186">
        <v>0</v>
      </c>
      <c r="BZ93" s="186">
        <v>0</v>
      </c>
      <c r="CA93" s="186">
        <v>0</v>
      </c>
      <c r="CB93" s="186">
        <v>0</v>
      </c>
      <c r="CC93" s="186">
        <v>0</v>
      </c>
      <c r="CD93" s="186">
        <v>0</v>
      </c>
      <c r="CE93" s="186">
        <v>0</v>
      </c>
      <c r="CF93" s="186">
        <v>0</v>
      </c>
      <c r="CG93" s="186">
        <v>0</v>
      </c>
      <c r="CH93" s="186">
        <v>0</v>
      </c>
      <c r="CI93" s="186">
        <v>0</v>
      </c>
      <c r="CJ93" s="186">
        <v>0</v>
      </c>
      <c r="CK93" s="186">
        <v>0</v>
      </c>
      <c r="CL93" s="186">
        <v>0</v>
      </c>
      <c r="CM93" s="186">
        <v>0</v>
      </c>
      <c r="CN93" s="186">
        <v>0</v>
      </c>
      <c r="CO93" s="186">
        <v>0</v>
      </c>
      <c r="CP93" s="186">
        <v>0</v>
      </c>
      <c r="CQ93" s="186">
        <v>0</v>
      </c>
      <c r="CR93" s="186">
        <v>0</v>
      </c>
      <c r="CS93" s="186">
        <v>0</v>
      </c>
      <c r="CT93" s="186">
        <v>0</v>
      </c>
      <c r="CU93" s="186">
        <v>0</v>
      </c>
      <c r="CV93" s="186">
        <v>0</v>
      </c>
    </row>
    <row r="94" spans="1:100">
      <c r="A94" s="541" t="str">
        <f t="shared" si="1"/>
        <v>1641000</v>
      </c>
      <c r="B94" s="541" t="s">
        <v>1590</v>
      </c>
      <c r="C94" s="463" t="s">
        <v>655</v>
      </c>
      <c r="D94" s="397">
        <v>0</v>
      </c>
      <c r="E94" s="397">
        <v>0</v>
      </c>
      <c r="F94" s="397">
        <v>0</v>
      </c>
      <c r="G94" s="397">
        <v>0</v>
      </c>
      <c r="H94" s="397">
        <v>0</v>
      </c>
      <c r="I94" s="397">
        <v>674234.7</v>
      </c>
      <c r="J94" s="397">
        <v>915628.68</v>
      </c>
      <c r="K94" s="397">
        <v>566433.19999999995</v>
      </c>
      <c r="L94" s="397">
        <v>526874.73</v>
      </c>
      <c r="M94" s="397">
        <v>526874.73</v>
      </c>
      <c r="N94" s="397">
        <v>371458.67</v>
      </c>
      <c r="O94" s="397">
        <v>371458.67</v>
      </c>
      <c r="P94" s="398">
        <v>0.09</v>
      </c>
      <c r="Q94" s="186">
        <v>0.09</v>
      </c>
      <c r="R94" s="186">
        <v>126382.76</v>
      </c>
      <c r="S94" s="186">
        <v>126462.97</v>
      </c>
      <c r="T94" s="186">
        <v>303357.52</v>
      </c>
      <c r="U94" s="186">
        <v>328220.69</v>
      </c>
      <c r="V94" s="186">
        <v>152306.04</v>
      </c>
      <c r="W94" s="186">
        <v>275336.45</v>
      </c>
      <c r="X94" s="186">
        <v>188053.91</v>
      </c>
      <c r="Y94" s="186">
        <v>274691.52</v>
      </c>
      <c r="Z94" s="186">
        <v>274691.52</v>
      </c>
      <c r="AA94" s="186">
        <v>234990.37</v>
      </c>
      <c r="AB94" s="186">
        <v>158626.06</v>
      </c>
      <c r="AC94" s="186">
        <v>116977.52</v>
      </c>
      <c r="AD94" s="186">
        <v>141290.51999999999</v>
      </c>
      <c r="AE94" s="186">
        <v>180751.19</v>
      </c>
      <c r="AF94" s="186">
        <v>128606.99</v>
      </c>
      <c r="AG94" s="186">
        <v>175062.51</v>
      </c>
      <c r="AH94" s="186">
        <v>175779.32</v>
      </c>
      <c r="AI94" s="186">
        <v>159177.10999999999</v>
      </c>
      <c r="AJ94" s="186">
        <v>610201.92000000004</v>
      </c>
      <c r="AK94" s="186">
        <v>610201.92000000004</v>
      </c>
      <c r="AL94" s="186">
        <v>537006.63</v>
      </c>
      <c r="AM94" s="186">
        <v>537006.63</v>
      </c>
      <c r="AN94" s="186">
        <v>376420.21</v>
      </c>
      <c r="AO94" s="186">
        <v>332841.99</v>
      </c>
      <c r="AP94" s="186">
        <v>441100.59</v>
      </c>
      <c r="AQ94" s="186">
        <v>276589.73</v>
      </c>
      <c r="AR94" s="186">
        <v>326172.79999999999</v>
      </c>
      <c r="AS94" s="186">
        <v>326172.79999999999</v>
      </c>
      <c r="AT94" s="186">
        <v>467078.08</v>
      </c>
      <c r="AU94" s="186">
        <v>344971.23</v>
      </c>
      <c r="AV94" s="186">
        <v>354483.55</v>
      </c>
      <c r="AW94" s="186">
        <v>-2.37</v>
      </c>
      <c r="AX94" s="186">
        <v>-2.37</v>
      </c>
      <c r="AY94" s="186">
        <v>-2.37</v>
      </c>
      <c r="AZ94" s="186">
        <v>-2.37</v>
      </c>
      <c r="BA94" s="186">
        <v>-2.37</v>
      </c>
      <c r="BB94" s="186">
        <v>-2.37</v>
      </c>
      <c r="BC94" s="186">
        <v>-2.37</v>
      </c>
      <c r="BD94" s="186">
        <v>-2.37</v>
      </c>
      <c r="BE94" s="186">
        <v>-2.37</v>
      </c>
      <c r="BF94" s="186">
        <v>-2.37</v>
      </c>
      <c r="BG94" s="186">
        <v>0</v>
      </c>
      <c r="BH94" s="186">
        <v>0</v>
      </c>
      <c r="BI94" s="186">
        <v>0</v>
      </c>
      <c r="BJ94" s="186">
        <v>0</v>
      </c>
      <c r="BK94" s="186">
        <v>0</v>
      </c>
      <c r="BL94" s="186">
        <v>0</v>
      </c>
      <c r="BM94" s="186">
        <v>0</v>
      </c>
      <c r="BN94" s="186">
        <v>0</v>
      </c>
      <c r="BO94" s="186">
        <v>0</v>
      </c>
      <c r="BP94" s="186">
        <v>0</v>
      </c>
      <c r="BQ94" s="186">
        <v>0</v>
      </c>
      <c r="BR94" s="186">
        <v>0</v>
      </c>
      <c r="BS94" s="186">
        <v>0</v>
      </c>
      <c r="BT94" s="186">
        <v>0</v>
      </c>
      <c r="BU94" s="186">
        <v>0</v>
      </c>
      <c r="BV94" s="186">
        <v>0</v>
      </c>
      <c r="BW94" s="186">
        <v>0</v>
      </c>
      <c r="BX94" s="186">
        <v>0</v>
      </c>
      <c r="BY94" s="186">
        <v>0</v>
      </c>
      <c r="BZ94" s="186">
        <v>0</v>
      </c>
      <c r="CA94" s="186">
        <v>0</v>
      </c>
      <c r="CB94" s="186">
        <v>0</v>
      </c>
      <c r="CC94" s="186">
        <v>0</v>
      </c>
      <c r="CD94" s="186">
        <v>0</v>
      </c>
      <c r="CE94" s="186">
        <v>0</v>
      </c>
      <c r="CF94" s="186">
        <v>0</v>
      </c>
      <c r="CG94" s="186">
        <v>0</v>
      </c>
      <c r="CH94" s="186">
        <v>0</v>
      </c>
      <c r="CI94" s="186">
        <v>0</v>
      </c>
      <c r="CJ94" s="186">
        <v>0</v>
      </c>
      <c r="CK94" s="186">
        <v>0</v>
      </c>
      <c r="CL94" s="186">
        <v>0</v>
      </c>
      <c r="CM94" s="186">
        <v>0</v>
      </c>
      <c r="CN94" s="186">
        <v>0</v>
      </c>
      <c r="CO94" s="186">
        <v>0</v>
      </c>
      <c r="CP94" s="186">
        <v>0</v>
      </c>
      <c r="CQ94" s="186">
        <v>0</v>
      </c>
      <c r="CR94" s="186">
        <v>0</v>
      </c>
      <c r="CS94" s="186">
        <v>0</v>
      </c>
      <c r="CT94" s="186">
        <v>0</v>
      </c>
      <c r="CU94" s="186">
        <v>995777.75</v>
      </c>
      <c r="CV94" s="186">
        <v>864732.09</v>
      </c>
    </row>
    <row r="95" spans="1:100">
      <c r="A95" s="541" t="str">
        <f t="shared" si="1"/>
        <v>1650040</v>
      </c>
      <c r="B95" s="541" t="s">
        <v>1506</v>
      </c>
      <c r="C95" s="463" t="s">
        <v>656</v>
      </c>
      <c r="D95" s="397">
        <v>82000</v>
      </c>
      <c r="E95" s="397">
        <v>82000</v>
      </c>
      <c r="F95" s="397">
        <v>82000</v>
      </c>
      <c r="G95" s="397">
        <v>82000</v>
      </c>
      <c r="H95" s="397">
        <v>82000</v>
      </c>
      <c r="I95" s="397">
        <v>82000</v>
      </c>
      <c r="J95" s="397">
        <v>82000</v>
      </c>
      <c r="K95" s="397">
        <v>82000</v>
      </c>
      <c r="L95" s="397">
        <v>82000</v>
      </c>
      <c r="M95" s="397">
        <v>82000</v>
      </c>
      <c r="N95" s="397">
        <v>82000</v>
      </c>
      <c r="O95" s="397">
        <v>82000</v>
      </c>
      <c r="P95" s="398">
        <v>82000</v>
      </c>
      <c r="Q95" s="186">
        <v>82000</v>
      </c>
      <c r="R95" s="186">
        <v>82000</v>
      </c>
      <c r="S95" s="186">
        <v>82000</v>
      </c>
      <c r="T95" s="186">
        <v>82000</v>
      </c>
      <c r="U95" s="186">
        <v>82000</v>
      </c>
      <c r="V95" s="186">
        <v>82000</v>
      </c>
      <c r="W95" s="186">
        <v>82000</v>
      </c>
      <c r="X95" s="186">
        <v>82000</v>
      </c>
      <c r="Y95" s="186">
        <v>82000</v>
      </c>
      <c r="Z95" s="186">
        <v>82000</v>
      </c>
      <c r="AA95" s="186">
        <v>82000</v>
      </c>
      <c r="AB95" s="186">
        <v>0</v>
      </c>
      <c r="AC95" s="186">
        <v>82000</v>
      </c>
      <c r="AD95" s="186">
        <v>82000</v>
      </c>
      <c r="AE95" s="186">
        <v>82000</v>
      </c>
      <c r="AF95" s="186">
        <v>82000</v>
      </c>
      <c r="AG95" s="186">
        <v>82000</v>
      </c>
      <c r="AH95" s="186">
        <v>82000</v>
      </c>
      <c r="AI95" s="186">
        <v>82000</v>
      </c>
      <c r="AJ95" s="186">
        <v>82000</v>
      </c>
      <c r="AK95" s="186">
        <v>82000</v>
      </c>
      <c r="AL95" s="186">
        <v>82000</v>
      </c>
      <c r="AM95" s="186">
        <v>82000</v>
      </c>
      <c r="AN95" s="186">
        <v>82000</v>
      </c>
      <c r="AO95" s="186">
        <v>82000</v>
      </c>
      <c r="AP95" s="186">
        <v>82000</v>
      </c>
      <c r="AQ95" s="186">
        <v>82000</v>
      </c>
      <c r="AR95" s="186">
        <v>82000</v>
      </c>
      <c r="AS95" s="186">
        <v>82000</v>
      </c>
      <c r="AT95" s="186">
        <v>82000</v>
      </c>
      <c r="AU95" s="186">
        <v>82000</v>
      </c>
      <c r="AV95" s="186">
        <v>82000</v>
      </c>
      <c r="AW95" s="186">
        <v>82000</v>
      </c>
      <c r="AX95" s="186">
        <v>82000</v>
      </c>
      <c r="AY95" s="186">
        <v>82000</v>
      </c>
      <c r="AZ95" s="186">
        <v>0</v>
      </c>
      <c r="BA95" s="186">
        <v>82000</v>
      </c>
      <c r="BB95" s="186">
        <v>82000</v>
      </c>
      <c r="BC95" s="186">
        <v>82000</v>
      </c>
      <c r="BD95" s="186">
        <v>82000</v>
      </c>
      <c r="BE95" s="186">
        <v>82000</v>
      </c>
      <c r="BF95" s="186">
        <v>82000</v>
      </c>
      <c r="BG95" s="186">
        <v>82000</v>
      </c>
      <c r="BH95" s="186">
        <v>82000</v>
      </c>
      <c r="BI95" s="186">
        <v>82000</v>
      </c>
      <c r="BJ95" s="186">
        <v>82000</v>
      </c>
      <c r="BK95" s="186">
        <v>82000</v>
      </c>
      <c r="BL95" s="186">
        <v>0</v>
      </c>
      <c r="BM95" s="186">
        <v>0</v>
      </c>
      <c r="BN95" s="186">
        <v>82000</v>
      </c>
      <c r="BO95" s="186">
        <v>82000</v>
      </c>
      <c r="BP95" s="186">
        <v>82000</v>
      </c>
      <c r="BQ95" s="186">
        <v>82000</v>
      </c>
      <c r="BR95" s="186">
        <v>82000</v>
      </c>
      <c r="BS95" s="186">
        <v>82000</v>
      </c>
      <c r="BT95" s="186">
        <v>82000</v>
      </c>
      <c r="BU95" s="186">
        <v>82000</v>
      </c>
      <c r="BV95" s="186">
        <v>82000</v>
      </c>
      <c r="BW95" s="186">
        <v>82000</v>
      </c>
      <c r="BX95" s="186">
        <v>82000</v>
      </c>
      <c r="BY95" s="186">
        <v>82000</v>
      </c>
      <c r="BZ95" s="186">
        <v>82000</v>
      </c>
      <c r="CA95" s="186">
        <v>82000</v>
      </c>
      <c r="CB95" s="186">
        <v>82000</v>
      </c>
      <c r="CC95" s="186">
        <v>82000</v>
      </c>
      <c r="CD95" s="186">
        <v>82000</v>
      </c>
      <c r="CE95" s="186">
        <v>82000</v>
      </c>
      <c r="CF95" s="186">
        <v>82000</v>
      </c>
      <c r="CG95" s="186">
        <v>82000</v>
      </c>
      <c r="CH95" s="186">
        <v>82000</v>
      </c>
      <c r="CI95" s="186">
        <v>82000</v>
      </c>
      <c r="CJ95" s="186">
        <v>0</v>
      </c>
      <c r="CK95" s="186">
        <v>82000</v>
      </c>
      <c r="CL95" s="186">
        <v>82000</v>
      </c>
      <c r="CM95" s="186">
        <v>82000</v>
      </c>
      <c r="CN95" s="186">
        <v>82000</v>
      </c>
      <c r="CO95" s="186">
        <v>82000</v>
      </c>
      <c r="CP95" s="186">
        <v>82000</v>
      </c>
      <c r="CQ95" s="186">
        <v>82000</v>
      </c>
      <c r="CR95" s="186">
        <v>82000</v>
      </c>
      <c r="CS95" s="186">
        <v>82000</v>
      </c>
      <c r="CT95" s="186">
        <v>82000</v>
      </c>
      <c r="CU95" s="186">
        <v>82000</v>
      </c>
      <c r="CV95" s="186">
        <v>0</v>
      </c>
    </row>
    <row r="96" spans="1:100">
      <c r="A96" s="541" t="str">
        <f t="shared" si="1"/>
        <v>1650050</v>
      </c>
      <c r="B96" s="541" t="s">
        <v>1507</v>
      </c>
      <c r="C96" s="463" t="s">
        <v>657</v>
      </c>
      <c r="D96" s="397">
        <v>347596.04</v>
      </c>
      <c r="E96" s="397">
        <v>342317.08</v>
      </c>
      <c r="F96" s="397">
        <v>337673.71</v>
      </c>
      <c r="G96" s="397">
        <v>331749.09999999998</v>
      </c>
      <c r="H96" s="397">
        <v>325822.06</v>
      </c>
      <c r="I96" s="397">
        <v>319898.02</v>
      </c>
      <c r="J96" s="397">
        <v>313973.98</v>
      </c>
      <c r="K96" s="397">
        <v>308049.94</v>
      </c>
      <c r="L96" s="397">
        <v>302125.90000000002</v>
      </c>
      <c r="M96" s="397">
        <v>302335.11</v>
      </c>
      <c r="N96" s="397">
        <v>300062.55</v>
      </c>
      <c r="O96" s="397">
        <v>294138.51</v>
      </c>
      <c r="P96" s="398">
        <v>288214.46999999997</v>
      </c>
      <c r="Q96" s="186">
        <v>282290.43</v>
      </c>
      <c r="R96" s="186">
        <v>276366.39</v>
      </c>
      <c r="S96" s="186">
        <v>317317.34999999998</v>
      </c>
      <c r="T96" s="186">
        <v>311393.31</v>
      </c>
      <c r="U96" s="186">
        <v>305469.27</v>
      </c>
      <c r="V96" s="186">
        <v>299545.23</v>
      </c>
      <c r="W96" s="186">
        <v>293621.19</v>
      </c>
      <c r="X96" s="186">
        <v>287697.15000000002</v>
      </c>
      <c r="Y96" s="186">
        <v>281773.11</v>
      </c>
      <c r="Z96" s="186">
        <v>275849.07</v>
      </c>
      <c r="AA96" s="186">
        <v>269925.03000000003</v>
      </c>
      <c r="AB96" s="186">
        <v>264000.99</v>
      </c>
      <c r="AC96" s="186">
        <v>258076.95</v>
      </c>
      <c r="AD96" s="186">
        <v>252152.91</v>
      </c>
      <c r="AE96" s="186">
        <v>246228.87</v>
      </c>
      <c r="AF96" s="186">
        <v>240304.83</v>
      </c>
      <c r="AG96" s="186">
        <v>234380.79</v>
      </c>
      <c r="AH96" s="186">
        <v>228456.75</v>
      </c>
      <c r="AI96" s="186">
        <v>222532.71</v>
      </c>
      <c r="AJ96" s="186">
        <v>216608.67</v>
      </c>
      <c r="AK96" s="186">
        <v>210684.63</v>
      </c>
      <c r="AL96" s="186">
        <v>204760.59</v>
      </c>
      <c r="AM96" s="186">
        <v>198836.55</v>
      </c>
      <c r="AN96" s="186">
        <v>192912.51</v>
      </c>
      <c r="AO96" s="186">
        <v>186988.47</v>
      </c>
      <c r="AP96" s="186">
        <v>181064.43</v>
      </c>
      <c r="AQ96" s="186">
        <v>411416.89</v>
      </c>
      <c r="AR96" s="186">
        <v>360736.07</v>
      </c>
      <c r="AS96" s="186">
        <v>353562.58</v>
      </c>
      <c r="AT96" s="186">
        <v>346454.07</v>
      </c>
      <c r="AU96" s="186">
        <v>339279.44</v>
      </c>
      <c r="AV96" s="186">
        <v>332257.71000000002</v>
      </c>
      <c r="AW96" s="186">
        <v>325120.26</v>
      </c>
      <c r="AX96" s="186">
        <v>317942.11</v>
      </c>
      <c r="AY96" s="186">
        <v>310763.96000000002</v>
      </c>
      <c r="AZ96" s="186">
        <v>303585.81</v>
      </c>
      <c r="BA96" s="186">
        <v>296407.65999999997</v>
      </c>
      <c r="BB96" s="186">
        <v>289229.51</v>
      </c>
      <c r="BC96" s="186">
        <v>329091.65000000002</v>
      </c>
      <c r="BD96" s="186">
        <v>322504.44</v>
      </c>
      <c r="BE96" s="186">
        <v>316379.13</v>
      </c>
      <c r="BF96" s="186">
        <v>309089.64</v>
      </c>
      <c r="BG96" s="186">
        <v>301860.03999999998</v>
      </c>
      <c r="BH96" s="186">
        <v>294630.44</v>
      </c>
      <c r="BI96" s="186">
        <v>287400.84000000003</v>
      </c>
      <c r="BJ96" s="186">
        <v>280171.24</v>
      </c>
      <c r="BK96" s="186">
        <v>272941.64</v>
      </c>
      <c r="BL96" s="186">
        <v>265712.03999999998</v>
      </c>
      <c r="BM96" s="186">
        <v>258482.44</v>
      </c>
      <c r="BN96" s="186">
        <v>251252.84</v>
      </c>
      <c r="BO96" s="186">
        <v>244023.24</v>
      </c>
      <c r="BP96" s="186">
        <v>236793.64</v>
      </c>
      <c r="BQ96" s="186">
        <v>229564.04</v>
      </c>
      <c r="BR96" s="186">
        <v>222334.44</v>
      </c>
      <c r="BS96" s="186">
        <v>215104.84</v>
      </c>
      <c r="BT96" s="186">
        <v>207875.24</v>
      </c>
      <c r="BU96" s="186">
        <v>200645.64</v>
      </c>
      <c r="BV96" s="186">
        <v>193416.04</v>
      </c>
      <c r="BW96" s="186">
        <v>186186.44</v>
      </c>
      <c r="BX96" s="186">
        <v>178956.84</v>
      </c>
      <c r="BY96" s="186">
        <v>171727.24</v>
      </c>
      <c r="BZ96" s="186">
        <v>206675.39</v>
      </c>
      <c r="CA96" s="186">
        <v>197758.68</v>
      </c>
      <c r="CB96" s="186">
        <v>188841.97</v>
      </c>
      <c r="CC96" s="186">
        <v>179925.26</v>
      </c>
      <c r="CD96" s="186">
        <v>171008.55</v>
      </c>
      <c r="CE96" s="186">
        <v>162091.84</v>
      </c>
      <c r="CF96" s="186">
        <v>153175.13</v>
      </c>
      <c r="CG96" s="186">
        <v>144258.42000000001</v>
      </c>
      <c r="CH96" s="186">
        <v>135341.71</v>
      </c>
      <c r="CI96" s="186">
        <v>127055.2</v>
      </c>
      <c r="CJ96" s="186">
        <v>546058.19999999995</v>
      </c>
      <c r="CK96" s="186">
        <v>523322.4</v>
      </c>
      <c r="CL96" s="186">
        <v>501883.79</v>
      </c>
      <c r="CM96" s="186">
        <v>492462.95</v>
      </c>
      <c r="CN96" s="186">
        <v>481675.22</v>
      </c>
      <c r="CO96" s="186">
        <v>461654.71</v>
      </c>
      <c r="CP96" s="186">
        <v>469914.48</v>
      </c>
      <c r="CQ96" s="186">
        <v>447537.6</v>
      </c>
      <c r="CR96" s="186">
        <v>434741.66</v>
      </c>
      <c r="CS96" s="186">
        <v>411860.52</v>
      </c>
      <c r="CT96" s="186">
        <v>389476.26</v>
      </c>
      <c r="CU96" s="186">
        <v>366833.88</v>
      </c>
      <c r="CV96" s="186">
        <v>922010.28</v>
      </c>
    </row>
    <row r="97" spans="1:100">
      <c r="A97" s="541" t="str">
        <f t="shared" si="1"/>
        <v>1650500</v>
      </c>
      <c r="B97" s="541" t="s">
        <v>1508</v>
      </c>
      <c r="C97" s="463" t="s">
        <v>658</v>
      </c>
      <c r="D97" s="397">
        <v>-0.06</v>
      </c>
      <c r="E97" s="397">
        <v>-0.06</v>
      </c>
      <c r="F97" s="397">
        <v>-0.06</v>
      </c>
      <c r="G97" s="397">
        <v>0</v>
      </c>
      <c r="H97" s="397">
        <v>0</v>
      </c>
      <c r="I97" s="397">
        <v>0</v>
      </c>
      <c r="J97" s="397">
        <v>0</v>
      </c>
      <c r="K97" s="397">
        <v>0</v>
      </c>
      <c r="L97" s="397">
        <v>0</v>
      </c>
      <c r="M97" s="397">
        <v>0</v>
      </c>
      <c r="N97" s="397">
        <v>0</v>
      </c>
      <c r="O97" s="397">
        <v>0</v>
      </c>
      <c r="P97" s="398">
        <v>0</v>
      </c>
      <c r="Q97" s="186">
        <v>0</v>
      </c>
      <c r="R97" s="186">
        <v>0</v>
      </c>
      <c r="S97" s="186">
        <v>0</v>
      </c>
      <c r="T97" s="186">
        <v>0</v>
      </c>
      <c r="U97" s="186">
        <v>0</v>
      </c>
      <c r="V97" s="186">
        <v>0</v>
      </c>
      <c r="W97" s="186">
        <v>0</v>
      </c>
      <c r="X97" s="186">
        <v>0</v>
      </c>
      <c r="Y97" s="186">
        <v>0</v>
      </c>
      <c r="Z97" s="186">
        <v>0</v>
      </c>
      <c r="AA97" s="186">
        <v>0</v>
      </c>
      <c r="AB97" s="186">
        <v>0</v>
      </c>
      <c r="AC97" s="186">
        <v>0</v>
      </c>
      <c r="AD97" s="186">
        <v>0</v>
      </c>
      <c r="AE97" s="186">
        <v>0</v>
      </c>
      <c r="AF97" s="186">
        <v>0</v>
      </c>
      <c r="AG97" s="186">
        <v>0</v>
      </c>
      <c r="AH97" s="186">
        <v>0</v>
      </c>
      <c r="AI97" s="186">
        <v>0</v>
      </c>
      <c r="AJ97" s="186">
        <v>0</v>
      </c>
      <c r="AK97" s="186">
        <v>0</v>
      </c>
      <c r="AL97" s="186">
        <v>0</v>
      </c>
      <c r="AM97" s="186">
        <v>0</v>
      </c>
      <c r="AN97" s="186">
        <v>0</v>
      </c>
      <c r="AO97" s="186">
        <v>0</v>
      </c>
      <c r="AP97" s="186">
        <v>0</v>
      </c>
      <c r="AQ97" s="186">
        <v>0</v>
      </c>
      <c r="AR97" s="186">
        <v>0</v>
      </c>
      <c r="AS97" s="186">
        <v>0</v>
      </c>
      <c r="AT97" s="186">
        <v>0</v>
      </c>
      <c r="AU97" s="186">
        <v>0</v>
      </c>
      <c r="AV97" s="186">
        <v>0</v>
      </c>
      <c r="AW97" s="186">
        <v>0</v>
      </c>
      <c r="AX97" s="186">
        <v>0</v>
      </c>
      <c r="AY97" s="186">
        <v>0</v>
      </c>
      <c r="AZ97" s="186">
        <v>0</v>
      </c>
      <c r="BA97" s="186">
        <v>0</v>
      </c>
      <c r="BB97" s="186">
        <v>0</v>
      </c>
      <c r="BC97" s="186">
        <v>0</v>
      </c>
      <c r="BD97" s="186">
        <v>0</v>
      </c>
      <c r="BE97" s="186">
        <v>0</v>
      </c>
      <c r="BF97" s="186">
        <v>0</v>
      </c>
      <c r="BG97" s="186">
        <v>0</v>
      </c>
      <c r="BH97" s="186">
        <v>0</v>
      </c>
      <c r="BI97" s="186">
        <v>0</v>
      </c>
      <c r="BJ97" s="186">
        <v>0</v>
      </c>
      <c r="BK97" s="186">
        <v>0</v>
      </c>
      <c r="BL97" s="186">
        <v>0</v>
      </c>
      <c r="BM97" s="186">
        <v>0</v>
      </c>
      <c r="BN97" s="186">
        <v>0</v>
      </c>
      <c r="BO97" s="186">
        <v>0</v>
      </c>
      <c r="BP97" s="186">
        <v>0</v>
      </c>
      <c r="BQ97" s="186">
        <v>0</v>
      </c>
      <c r="BR97" s="186">
        <v>0</v>
      </c>
      <c r="BS97" s="186">
        <v>0</v>
      </c>
      <c r="BT97" s="186">
        <v>0</v>
      </c>
      <c r="BU97" s="186">
        <v>0</v>
      </c>
      <c r="BV97" s="186">
        <v>0</v>
      </c>
      <c r="BW97" s="186">
        <v>0</v>
      </c>
      <c r="BX97" s="186">
        <v>0</v>
      </c>
      <c r="BY97" s="186">
        <v>0</v>
      </c>
      <c r="BZ97" s="186">
        <v>0</v>
      </c>
      <c r="CA97" s="186">
        <v>0</v>
      </c>
      <c r="CB97" s="186">
        <v>0</v>
      </c>
      <c r="CC97" s="186">
        <v>0</v>
      </c>
      <c r="CD97" s="186">
        <v>0</v>
      </c>
      <c r="CE97" s="186">
        <v>0</v>
      </c>
      <c r="CF97" s="186">
        <v>0</v>
      </c>
      <c r="CG97" s="186">
        <v>0</v>
      </c>
      <c r="CH97" s="186">
        <v>0</v>
      </c>
      <c r="CI97" s="186">
        <v>0</v>
      </c>
      <c r="CJ97" s="186">
        <v>0</v>
      </c>
      <c r="CK97" s="186">
        <v>0</v>
      </c>
      <c r="CL97" s="186">
        <v>0</v>
      </c>
      <c r="CM97" s="186">
        <v>0</v>
      </c>
      <c r="CN97" s="186">
        <v>0</v>
      </c>
      <c r="CO97" s="186">
        <v>0</v>
      </c>
      <c r="CP97" s="186">
        <v>0</v>
      </c>
      <c r="CQ97" s="186">
        <v>0</v>
      </c>
      <c r="CR97" s="186">
        <v>0</v>
      </c>
      <c r="CS97" s="186">
        <v>0</v>
      </c>
      <c r="CT97" s="186">
        <v>0</v>
      </c>
      <c r="CU97" s="186">
        <v>0</v>
      </c>
      <c r="CV97" s="186">
        <v>0</v>
      </c>
    </row>
    <row r="98" spans="1:100">
      <c r="A98" s="541" t="str">
        <f t="shared" si="1"/>
        <v>1650502</v>
      </c>
      <c r="B98" s="541" t="s">
        <v>1509</v>
      </c>
      <c r="C98" s="463" t="s">
        <v>659</v>
      </c>
      <c r="D98" s="397">
        <v>0.04</v>
      </c>
      <c r="E98" s="397">
        <v>0.04</v>
      </c>
      <c r="F98" s="397">
        <v>0.04</v>
      </c>
      <c r="G98" s="397">
        <v>0</v>
      </c>
      <c r="H98" s="397">
        <v>0</v>
      </c>
      <c r="I98" s="397">
        <v>0</v>
      </c>
      <c r="J98" s="397">
        <v>0</v>
      </c>
      <c r="K98" s="397">
        <v>0</v>
      </c>
      <c r="L98" s="397">
        <v>0</v>
      </c>
      <c r="M98" s="397">
        <v>0</v>
      </c>
      <c r="N98" s="397">
        <v>0</v>
      </c>
      <c r="O98" s="397">
        <v>0</v>
      </c>
      <c r="P98" s="398">
        <v>0</v>
      </c>
      <c r="Q98" s="186">
        <v>0</v>
      </c>
      <c r="R98" s="186">
        <v>0</v>
      </c>
      <c r="S98" s="186">
        <v>0</v>
      </c>
      <c r="T98" s="186">
        <v>0</v>
      </c>
      <c r="U98" s="186">
        <v>0</v>
      </c>
      <c r="V98" s="186">
        <v>0</v>
      </c>
      <c r="W98" s="186">
        <v>0</v>
      </c>
      <c r="X98" s="186">
        <v>0</v>
      </c>
      <c r="Y98" s="186">
        <v>0</v>
      </c>
      <c r="Z98" s="186">
        <v>0</v>
      </c>
      <c r="AA98" s="186">
        <v>0</v>
      </c>
      <c r="AB98" s="186">
        <v>0</v>
      </c>
      <c r="AC98" s="186">
        <v>0</v>
      </c>
      <c r="AD98" s="186">
        <v>0</v>
      </c>
      <c r="AE98" s="186">
        <v>0</v>
      </c>
      <c r="AF98" s="186">
        <v>0</v>
      </c>
      <c r="AG98" s="186">
        <v>0</v>
      </c>
      <c r="AH98" s="186">
        <v>0</v>
      </c>
      <c r="AI98" s="186">
        <v>0</v>
      </c>
      <c r="AJ98" s="186">
        <v>0</v>
      </c>
      <c r="AK98" s="186">
        <v>0</v>
      </c>
      <c r="AL98" s="186">
        <v>0</v>
      </c>
      <c r="AM98" s="186">
        <v>0</v>
      </c>
      <c r="AN98" s="186">
        <v>0</v>
      </c>
      <c r="AO98" s="186">
        <v>0</v>
      </c>
      <c r="AP98" s="186">
        <v>0</v>
      </c>
      <c r="AQ98" s="186">
        <v>0</v>
      </c>
      <c r="AR98" s="186">
        <v>0</v>
      </c>
      <c r="AS98" s="186">
        <v>0</v>
      </c>
      <c r="AT98" s="186">
        <v>0</v>
      </c>
      <c r="AU98" s="186">
        <v>0</v>
      </c>
      <c r="AV98" s="186">
        <v>0</v>
      </c>
      <c r="AW98" s="186">
        <v>0</v>
      </c>
      <c r="AX98" s="186">
        <v>0</v>
      </c>
      <c r="AY98" s="186">
        <v>0</v>
      </c>
      <c r="AZ98" s="186">
        <v>0</v>
      </c>
      <c r="BA98" s="186">
        <v>0</v>
      </c>
      <c r="BB98" s="186">
        <v>0</v>
      </c>
      <c r="BC98" s="186">
        <v>0</v>
      </c>
      <c r="BD98" s="186">
        <v>0</v>
      </c>
      <c r="BE98" s="186">
        <v>0</v>
      </c>
      <c r="BF98" s="186">
        <v>0</v>
      </c>
      <c r="BG98" s="186">
        <v>0</v>
      </c>
      <c r="BH98" s="186">
        <v>0</v>
      </c>
      <c r="BI98" s="186">
        <v>0</v>
      </c>
      <c r="BJ98" s="186">
        <v>0</v>
      </c>
      <c r="BK98" s="186">
        <v>0</v>
      </c>
      <c r="BL98" s="186">
        <v>0</v>
      </c>
      <c r="BM98" s="186">
        <v>0</v>
      </c>
      <c r="BN98" s="186">
        <v>0</v>
      </c>
      <c r="BO98" s="186">
        <v>0</v>
      </c>
      <c r="BP98" s="186">
        <v>0</v>
      </c>
      <c r="BQ98" s="186">
        <v>0</v>
      </c>
      <c r="BR98" s="186">
        <v>0</v>
      </c>
      <c r="BS98" s="186">
        <v>0</v>
      </c>
      <c r="BT98" s="186">
        <v>0</v>
      </c>
      <c r="BU98" s="186">
        <v>0</v>
      </c>
      <c r="BV98" s="186">
        <v>0</v>
      </c>
      <c r="BW98" s="186">
        <v>0</v>
      </c>
      <c r="BX98" s="186">
        <v>0</v>
      </c>
      <c r="BY98" s="186">
        <v>0</v>
      </c>
      <c r="BZ98" s="186">
        <v>0</v>
      </c>
      <c r="CA98" s="186">
        <v>0</v>
      </c>
      <c r="CB98" s="186">
        <v>0</v>
      </c>
      <c r="CC98" s="186">
        <v>0</v>
      </c>
      <c r="CD98" s="186">
        <v>0</v>
      </c>
      <c r="CE98" s="186">
        <v>0</v>
      </c>
      <c r="CF98" s="186">
        <v>0</v>
      </c>
      <c r="CG98" s="186">
        <v>0</v>
      </c>
      <c r="CH98" s="186">
        <v>0</v>
      </c>
      <c r="CI98" s="186">
        <v>0</v>
      </c>
      <c r="CJ98" s="186">
        <v>0</v>
      </c>
      <c r="CK98" s="186">
        <v>0</v>
      </c>
      <c r="CL98" s="186">
        <v>0</v>
      </c>
      <c r="CM98" s="186">
        <v>0</v>
      </c>
      <c r="CN98" s="186">
        <v>0</v>
      </c>
      <c r="CO98" s="186">
        <v>0</v>
      </c>
      <c r="CP98" s="186">
        <v>0</v>
      </c>
      <c r="CQ98" s="186">
        <v>0</v>
      </c>
      <c r="CR98" s="186">
        <v>0</v>
      </c>
      <c r="CS98" s="186">
        <v>0</v>
      </c>
      <c r="CT98" s="186">
        <v>0</v>
      </c>
      <c r="CU98" s="186">
        <v>0</v>
      </c>
      <c r="CV98" s="186">
        <v>0</v>
      </c>
    </row>
    <row r="99" spans="1:100">
      <c r="A99" s="541" t="str">
        <f t="shared" si="1"/>
        <v>1650503</v>
      </c>
      <c r="B99" s="541" t="s">
        <v>1510</v>
      </c>
      <c r="C99" s="463" t="s">
        <v>660</v>
      </c>
      <c r="D99" s="397">
        <v>2271.79</v>
      </c>
      <c r="E99" s="397">
        <v>1893.16</v>
      </c>
      <c r="F99" s="397">
        <v>1514.53</v>
      </c>
      <c r="G99" s="397">
        <v>1135.9000000000001</v>
      </c>
      <c r="H99" s="397">
        <v>757.27</v>
      </c>
      <c r="I99" s="397">
        <v>378.64</v>
      </c>
      <c r="J99" s="397">
        <v>4816.03</v>
      </c>
      <c r="K99" s="397">
        <v>4414.6899999999996</v>
      </c>
      <c r="L99" s="397">
        <v>4013.35</v>
      </c>
      <c r="M99" s="397">
        <v>3612.01</v>
      </c>
      <c r="N99" s="397">
        <v>3210.67</v>
      </c>
      <c r="O99" s="397">
        <v>2809.33</v>
      </c>
      <c r="P99" s="398">
        <v>2407.9899999999998</v>
      </c>
      <c r="Q99" s="186">
        <v>2006.65</v>
      </c>
      <c r="R99" s="186">
        <v>1605.31</v>
      </c>
      <c r="S99" s="186">
        <v>1203.97</v>
      </c>
      <c r="T99" s="186">
        <v>802.63</v>
      </c>
      <c r="U99" s="186">
        <v>401.29</v>
      </c>
      <c r="V99" s="186">
        <v>4306.08</v>
      </c>
      <c r="W99" s="186">
        <v>0</v>
      </c>
      <c r="X99" s="186">
        <v>0</v>
      </c>
      <c r="Y99" s="186">
        <v>0</v>
      </c>
      <c r="Z99" s="186">
        <v>0</v>
      </c>
      <c r="AA99" s="186">
        <v>0</v>
      </c>
      <c r="AB99" s="186">
        <v>0</v>
      </c>
      <c r="AC99" s="186">
        <v>0</v>
      </c>
      <c r="AD99" s="186">
        <v>0</v>
      </c>
      <c r="AE99" s="186">
        <v>0</v>
      </c>
      <c r="AF99" s="186">
        <v>0</v>
      </c>
      <c r="AG99" s="186">
        <v>0</v>
      </c>
      <c r="AH99" s="186">
        <v>0</v>
      </c>
      <c r="AI99" s="186">
        <v>0</v>
      </c>
      <c r="AJ99" s="186">
        <v>0</v>
      </c>
      <c r="AK99" s="186">
        <v>0</v>
      </c>
      <c r="AL99" s="186">
        <v>0</v>
      </c>
      <c r="AM99" s="186">
        <v>0</v>
      </c>
      <c r="AN99" s="186">
        <v>0</v>
      </c>
      <c r="AO99" s="186">
        <v>0</v>
      </c>
      <c r="AP99" s="186">
        <v>0</v>
      </c>
      <c r="AQ99" s="186">
        <v>0</v>
      </c>
      <c r="AR99" s="186">
        <v>0</v>
      </c>
      <c r="AS99" s="186">
        <v>0</v>
      </c>
      <c r="AT99" s="186">
        <v>0</v>
      </c>
      <c r="AU99" s="186">
        <v>0</v>
      </c>
      <c r="AV99" s="186">
        <v>0</v>
      </c>
      <c r="AW99" s="186">
        <v>0</v>
      </c>
      <c r="AX99" s="186">
        <v>0</v>
      </c>
      <c r="AY99" s="186">
        <v>0</v>
      </c>
      <c r="AZ99" s="186">
        <v>0</v>
      </c>
      <c r="BA99" s="186">
        <v>0</v>
      </c>
      <c r="BB99" s="186">
        <v>0</v>
      </c>
      <c r="BC99" s="186">
        <v>0</v>
      </c>
      <c r="BD99" s="186">
        <v>0</v>
      </c>
      <c r="BE99" s="186">
        <v>0</v>
      </c>
      <c r="BF99" s="186">
        <v>0</v>
      </c>
      <c r="BG99" s="186">
        <v>0</v>
      </c>
      <c r="BH99" s="186">
        <v>0</v>
      </c>
      <c r="BI99" s="186">
        <v>0</v>
      </c>
      <c r="BJ99" s="186">
        <v>0</v>
      </c>
      <c r="BK99" s="186">
        <v>0</v>
      </c>
      <c r="BL99" s="186">
        <v>0</v>
      </c>
      <c r="BM99" s="186">
        <v>0</v>
      </c>
      <c r="BN99" s="186">
        <v>0</v>
      </c>
      <c r="BO99" s="186">
        <v>0</v>
      </c>
      <c r="BP99" s="186">
        <v>0</v>
      </c>
      <c r="BQ99" s="186">
        <v>0</v>
      </c>
      <c r="BR99" s="186">
        <v>0</v>
      </c>
      <c r="BS99" s="186">
        <v>0</v>
      </c>
      <c r="BT99" s="186">
        <v>0</v>
      </c>
      <c r="BU99" s="186">
        <v>0</v>
      </c>
      <c r="BV99" s="186">
        <v>0</v>
      </c>
      <c r="BW99" s="186">
        <v>0</v>
      </c>
      <c r="BX99" s="186">
        <v>0</v>
      </c>
      <c r="BY99" s="186">
        <v>0</v>
      </c>
      <c r="BZ99" s="186">
        <v>0</v>
      </c>
      <c r="CA99" s="186">
        <v>0</v>
      </c>
      <c r="CB99" s="186">
        <v>0</v>
      </c>
      <c r="CC99" s="186">
        <v>0</v>
      </c>
      <c r="CD99" s="186">
        <v>0</v>
      </c>
      <c r="CE99" s="186">
        <v>0</v>
      </c>
      <c r="CF99" s="186">
        <v>0</v>
      </c>
      <c r="CG99" s="186">
        <v>0</v>
      </c>
      <c r="CH99" s="186">
        <v>0</v>
      </c>
      <c r="CI99" s="186">
        <v>0</v>
      </c>
      <c r="CJ99" s="186">
        <v>0</v>
      </c>
      <c r="CK99" s="186">
        <v>0</v>
      </c>
      <c r="CL99" s="186">
        <v>0</v>
      </c>
      <c r="CM99" s="186">
        <v>0</v>
      </c>
      <c r="CN99" s="186">
        <v>0</v>
      </c>
      <c r="CO99" s="186">
        <v>0</v>
      </c>
      <c r="CP99" s="186">
        <v>0</v>
      </c>
      <c r="CQ99" s="186">
        <v>0</v>
      </c>
      <c r="CR99" s="186">
        <v>0</v>
      </c>
      <c r="CS99" s="186">
        <v>0</v>
      </c>
      <c r="CT99" s="186">
        <v>0</v>
      </c>
      <c r="CU99" s="186">
        <v>0</v>
      </c>
      <c r="CV99" s="186">
        <v>0</v>
      </c>
    </row>
    <row r="100" spans="1:100">
      <c r="A100" s="541" t="str">
        <f t="shared" si="1"/>
        <v>1650505</v>
      </c>
      <c r="B100" s="541" t="s">
        <v>1511</v>
      </c>
      <c r="C100" s="463" t="s">
        <v>661</v>
      </c>
      <c r="D100" s="397">
        <v>12724.19</v>
      </c>
      <c r="E100" s="397">
        <v>10603.49</v>
      </c>
      <c r="F100" s="397">
        <v>8482.7900000000009</v>
      </c>
      <c r="G100" s="397">
        <v>6362.09</v>
      </c>
      <c r="H100" s="397">
        <v>4241.3900000000003</v>
      </c>
      <c r="I100" s="397">
        <v>2120.69</v>
      </c>
      <c r="J100" s="397">
        <v>-0.01</v>
      </c>
      <c r="K100" s="397">
        <v>24841.279999999999</v>
      </c>
      <c r="L100" s="397">
        <v>22582.98</v>
      </c>
      <c r="M100" s="397">
        <v>20324.68</v>
      </c>
      <c r="N100" s="397">
        <v>18066.38</v>
      </c>
      <c r="O100" s="397">
        <v>15808.08</v>
      </c>
      <c r="P100" s="398">
        <v>13549.78</v>
      </c>
      <c r="Q100" s="186">
        <v>11291.48</v>
      </c>
      <c r="R100" s="186">
        <v>9033.18</v>
      </c>
      <c r="S100" s="186">
        <v>6774.88</v>
      </c>
      <c r="T100" s="186">
        <v>4516.58</v>
      </c>
      <c r="U100" s="186">
        <v>2258.2800000000002</v>
      </c>
      <c r="V100" s="186">
        <v>0</v>
      </c>
      <c r="W100" s="186">
        <v>0</v>
      </c>
      <c r="X100" s="186">
        <v>0</v>
      </c>
      <c r="Y100" s="186">
        <v>0</v>
      </c>
      <c r="Z100" s="186">
        <v>0</v>
      </c>
      <c r="AA100" s="186">
        <v>0</v>
      </c>
      <c r="AB100" s="186">
        <v>0</v>
      </c>
      <c r="AC100" s="186">
        <v>0</v>
      </c>
      <c r="AD100" s="186">
        <v>0</v>
      </c>
      <c r="AE100" s="186">
        <v>0</v>
      </c>
      <c r="AF100" s="186">
        <v>0</v>
      </c>
      <c r="AG100" s="186">
        <v>0</v>
      </c>
      <c r="AH100" s="186">
        <v>0</v>
      </c>
      <c r="AI100" s="186">
        <v>0</v>
      </c>
      <c r="AJ100" s="186">
        <v>0</v>
      </c>
      <c r="AK100" s="186">
        <v>0</v>
      </c>
      <c r="AL100" s="186">
        <v>0</v>
      </c>
      <c r="AM100" s="186">
        <v>0</v>
      </c>
      <c r="AN100" s="186">
        <v>0</v>
      </c>
      <c r="AO100" s="186">
        <v>0</v>
      </c>
      <c r="AP100" s="186">
        <v>0</v>
      </c>
      <c r="AQ100" s="186">
        <v>0</v>
      </c>
      <c r="AR100" s="186">
        <v>0</v>
      </c>
      <c r="AS100" s="186">
        <v>0</v>
      </c>
      <c r="AT100" s="186">
        <v>0</v>
      </c>
      <c r="AU100" s="186">
        <v>0</v>
      </c>
      <c r="AV100" s="186">
        <v>0</v>
      </c>
      <c r="AW100" s="186">
        <v>0</v>
      </c>
      <c r="AX100" s="186">
        <v>0</v>
      </c>
      <c r="AY100" s="186">
        <v>0</v>
      </c>
      <c r="AZ100" s="186">
        <v>0</v>
      </c>
      <c r="BA100" s="186">
        <v>0</v>
      </c>
      <c r="BB100" s="186">
        <v>0</v>
      </c>
      <c r="BC100" s="186">
        <v>0</v>
      </c>
      <c r="BD100" s="186">
        <v>0</v>
      </c>
      <c r="BE100" s="186">
        <v>0</v>
      </c>
      <c r="BF100" s="186">
        <v>0</v>
      </c>
      <c r="BG100" s="186">
        <v>0</v>
      </c>
      <c r="BH100" s="186">
        <v>0</v>
      </c>
      <c r="BI100" s="186">
        <v>0</v>
      </c>
      <c r="BJ100" s="186">
        <v>0</v>
      </c>
      <c r="BK100" s="186">
        <v>0</v>
      </c>
      <c r="BL100" s="186">
        <v>0</v>
      </c>
      <c r="BM100" s="186">
        <v>0</v>
      </c>
      <c r="BN100" s="186">
        <v>0</v>
      </c>
      <c r="BO100" s="186">
        <v>0</v>
      </c>
      <c r="BP100" s="186">
        <v>0</v>
      </c>
      <c r="BQ100" s="186">
        <v>0</v>
      </c>
      <c r="BR100" s="186">
        <v>0</v>
      </c>
      <c r="BS100" s="186">
        <v>0</v>
      </c>
      <c r="BT100" s="186">
        <v>0</v>
      </c>
      <c r="BU100" s="186">
        <v>0</v>
      </c>
      <c r="BV100" s="186">
        <v>0</v>
      </c>
      <c r="BW100" s="186">
        <v>0</v>
      </c>
      <c r="BX100" s="186">
        <v>0</v>
      </c>
      <c r="BY100" s="186">
        <v>0</v>
      </c>
      <c r="BZ100" s="186">
        <v>0</v>
      </c>
      <c r="CA100" s="186">
        <v>0</v>
      </c>
      <c r="CB100" s="186">
        <v>0</v>
      </c>
      <c r="CC100" s="186">
        <v>0</v>
      </c>
      <c r="CD100" s="186">
        <v>0</v>
      </c>
      <c r="CE100" s="186">
        <v>0</v>
      </c>
      <c r="CF100" s="186">
        <v>0</v>
      </c>
      <c r="CG100" s="186">
        <v>0</v>
      </c>
      <c r="CH100" s="186">
        <v>0</v>
      </c>
      <c r="CI100" s="186">
        <v>0</v>
      </c>
      <c r="CJ100" s="186">
        <v>0</v>
      </c>
      <c r="CK100" s="186">
        <v>0</v>
      </c>
      <c r="CL100" s="186">
        <v>0</v>
      </c>
      <c r="CM100" s="186">
        <v>0</v>
      </c>
      <c r="CN100" s="186">
        <v>0</v>
      </c>
      <c r="CO100" s="186">
        <v>0</v>
      </c>
      <c r="CP100" s="186">
        <v>0</v>
      </c>
      <c r="CQ100" s="186">
        <v>0</v>
      </c>
      <c r="CR100" s="186">
        <v>0</v>
      </c>
      <c r="CS100" s="186">
        <v>0</v>
      </c>
      <c r="CT100" s="186">
        <v>0</v>
      </c>
      <c r="CU100" s="186">
        <v>0</v>
      </c>
      <c r="CV100" s="186">
        <v>0</v>
      </c>
    </row>
    <row r="101" spans="1:100">
      <c r="A101" s="541" t="str">
        <f t="shared" si="1"/>
        <v>1650506</v>
      </c>
      <c r="B101" s="541" t="s">
        <v>1512</v>
      </c>
      <c r="C101" s="463" t="s">
        <v>662</v>
      </c>
      <c r="D101" s="397">
        <v>69245.679999999993</v>
      </c>
      <c r="E101" s="397">
        <v>57704.73</v>
      </c>
      <c r="F101" s="397">
        <v>46163.78</v>
      </c>
      <c r="G101" s="397">
        <v>34622.83</v>
      </c>
      <c r="H101" s="397">
        <v>23081.88</v>
      </c>
      <c r="I101" s="397">
        <v>11540.93</v>
      </c>
      <c r="J101" s="397">
        <v>-0.02</v>
      </c>
      <c r="K101" s="397">
        <v>138686.41</v>
      </c>
      <c r="L101" s="397">
        <v>126078.55</v>
      </c>
      <c r="M101" s="397">
        <v>113470.69</v>
      </c>
      <c r="N101" s="397">
        <v>100862.83</v>
      </c>
      <c r="O101" s="397">
        <v>88254.97</v>
      </c>
      <c r="P101" s="398">
        <v>75647.11</v>
      </c>
      <c r="Q101" s="186">
        <v>63039.25</v>
      </c>
      <c r="R101" s="186">
        <v>50431.39</v>
      </c>
      <c r="S101" s="186">
        <v>37823.53</v>
      </c>
      <c r="T101" s="186">
        <v>25215.67</v>
      </c>
      <c r="U101" s="186">
        <v>12607.81</v>
      </c>
      <c r="V101" s="186">
        <v>0</v>
      </c>
      <c r="W101" s="186">
        <v>0</v>
      </c>
      <c r="X101" s="186">
        <v>0</v>
      </c>
      <c r="Y101" s="186">
        <v>0</v>
      </c>
      <c r="Z101" s="186">
        <v>0</v>
      </c>
      <c r="AA101" s="186">
        <v>0</v>
      </c>
      <c r="AB101" s="186">
        <v>0</v>
      </c>
      <c r="AC101" s="186">
        <v>0</v>
      </c>
      <c r="AD101" s="186">
        <v>0</v>
      </c>
      <c r="AE101" s="186">
        <v>0</v>
      </c>
      <c r="AF101" s="186">
        <v>0</v>
      </c>
      <c r="AG101" s="186">
        <v>0</v>
      </c>
      <c r="AH101" s="186">
        <v>0</v>
      </c>
      <c r="AI101" s="186">
        <v>0</v>
      </c>
      <c r="AJ101" s="186">
        <v>0</v>
      </c>
      <c r="AK101" s="186">
        <v>0</v>
      </c>
      <c r="AL101" s="186">
        <v>0</v>
      </c>
      <c r="AM101" s="186">
        <v>0</v>
      </c>
      <c r="AN101" s="186">
        <v>0</v>
      </c>
      <c r="AO101" s="186">
        <v>0</v>
      </c>
      <c r="AP101" s="186">
        <v>0</v>
      </c>
      <c r="AQ101" s="186">
        <v>0</v>
      </c>
      <c r="AR101" s="186">
        <v>0</v>
      </c>
      <c r="AS101" s="186">
        <v>0</v>
      </c>
      <c r="AT101" s="186">
        <v>0</v>
      </c>
      <c r="AU101" s="186">
        <v>0</v>
      </c>
      <c r="AV101" s="186">
        <v>0</v>
      </c>
      <c r="AW101" s="186">
        <v>0</v>
      </c>
      <c r="AX101" s="186">
        <v>0</v>
      </c>
      <c r="AY101" s="186">
        <v>0</v>
      </c>
      <c r="AZ101" s="186">
        <v>0</v>
      </c>
      <c r="BA101" s="186">
        <v>0</v>
      </c>
      <c r="BB101" s="186">
        <v>0</v>
      </c>
      <c r="BC101" s="186">
        <v>0</v>
      </c>
      <c r="BD101" s="186">
        <v>0</v>
      </c>
      <c r="BE101" s="186">
        <v>0</v>
      </c>
      <c r="BF101" s="186">
        <v>0</v>
      </c>
      <c r="BG101" s="186">
        <v>0</v>
      </c>
      <c r="BH101" s="186">
        <v>0</v>
      </c>
      <c r="BI101" s="186">
        <v>0</v>
      </c>
      <c r="BJ101" s="186">
        <v>0</v>
      </c>
      <c r="BK101" s="186">
        <v>0</v>
      </c>
      <c r="BL101" s="186">
        <v>0</v>
      </c>
      <c r="BM101" s="186">
        <v>0</v>
      </c>
      <c r="BN101" s="186">
        <v>0</v>
      </c>
      <c r="BO101" s="186">
        <v>0</v>
      </c>
      <c r="BP101" s="186">
        <v>0</v>
      </c>
      <c r="BQ101" s="186">
        <v>0</v>
      </c>
      <c r="BR101" s="186">
        <v>0</v>
      </c>
      <c r="BS101" s="186">
        <v>0</v>
      </c>
      <c r="BT101" s="186">
        <v>0</v>
      </c>
      <c r="BU101" s="186">
        <v>0</v>
      </c>
      <c r="BV101" s="186">
        <v>0</v>
      </c>
      <c r="BW101" s="186">
        <v>0</v>
      </c>
      <c r="BX101" s="186">
        <v>0</v>
      </c>
      <c r="BY101" s="186">
        <v>0</v>
      </c>
      <c r="BZ101" s="186">
        <v>0</v>
      </c>
      <c r="CA101" s="186">
        <v>0</v>
      </c>
      <c r="CB101" s="186">
        <v>0</v>
      </c>
      <c r="CC101" s="186">
        <v>0</v>
      </c>
      <c r="CD101" s="186">
        <v>0</v>
      </c>
      <c r="CE101" s="186">
        <v>0</v>
      </c>
      <c r="CF101" s="186">
        <v>0</v>
      </c>
      <c r="CG101" s="186">
        <v>0</v>
      </c>
      <c r="CH101" s="186">
        <v>0</v>
      </c>
      <c r="CI101" s="186">
        <v>0</v>
      </c>
      <c r="CJ101" s="186">
        <v>0</v>
      </c>
      <c r="CK101" s="186">
        <v>0</v>
      </c>
      <c r="CL101" s="186">
        <v>0</v>
      </c>
      <c r="CM101" s="186">
        <v>0</v>
      </c>
      <c r="CN101" s="186">
        <v>0</v>
      </c>
      <c r="CO101" s="186">
        <v>0</v>
      </c>
      <c r="CP101" s="186">
        <v>0</v>
      </c>
      <c r="CQ101" s="186">
        <v>0</v>
      </c>
      <c r="CR101" s="186">
        <v>0</v>
      </c>
      <c r="CS101" s="186">
        <v>0</v>
      </c>
      <c r="CT101" s="186">
        <v>0</v>
      </c>
      <c r="CU101" s="186">
        <v>0</v>
      </c>
      <c r="CV101" s="186">
        <v>0</v>
      </c>
    </row>
    <row r="102" spans="1:100">
      <c r="A102" s="541" t="str">
        <f t="shared" si="1"/>
        <v>1650507</v>
      </c>
      <c r="B102" s="541" t="s">
        <v>1513</v>
      </c>
      <c r="C102" s="463" t="s">
        <v>663</v>
      </c>
      <c r="D102" s="397">
        <v>534559.14</v>
      </c>
      <c r="E102" s="397">
        <v>445465.93</v>
      </c>
      <c r="F102" s="397">
        <v>356372.72</v>
      </c>
      <c r="G102" s="397">
        <v>267279.51</v>
      </c>
      <c r="H102" s="397">
        <v>170465.6</v>
      </c>
      <c r="I102" s="397">
        <v>85232.8</v>
      </c>
      <c r="J102" s="397">
        <v>0</v>
      </c>
      <c r="K102" s="397">
        <v>1014184.39</v>
      </c>
      <c r="L102" s="397">
        <v>927842.92</v>
      </c>
      <c r="M102" s="397">
        <v>835058.63</v>
      </c>
      <c r="N102" s="397">
        <v>750061.56</v>
      </c>
      <c r="O102" s="397">
        <v>656303.86</v>
      </c>
      <c r="P102" s="398">
        <v>562546.16</v>
      </c>
      <c r="Q102" s="186">
        <v>468788.46</v>
      </c>
      <c r="R102" s="186">
        <v>375030.76</v>
      </c>
      <c r="S102" s="186">
        <v>281273.06</v>
      </c>
      <c r="T102" s="186">
        <v>187515.36</v>
      </c>
      <c r="U102" s="186">
        <v>93757.66</v>
      </c>
      <c r="V102" s="186">
        <v>0</v>
      </c>
      <c r="W102" s="186">
        <v>0</v>
      </c>
      <c r="X102" s="186">
        <v>0</v>
      </c>
      <c r="Y102" s="186">
        <v>0</v>
      </c>
      <c r="Z102" s="186">
        <v>0</v>
      </c>
      <c r="AA102" s="186">
        <v>0</v>
      </c>
      <c r="AB102" s="186">
        <v>0</v>
      </c>
      <c r="AC102" s="186">
        <v>0</v>
      </c>
      <c r="AD102" s="186">
        <v>0</v>
      </c>
      <c r="AE102" s="186">
        <v>0</v>
      </c>
      <c r="AF102" s="186">
        <v>0</v>
      </c>
      <c r="AG102" s="186">
        <v>0</v>
      </c>
      <c r="AH102" s="186">
        <v>0</v>
      </c>
      <c r="AI102" s="186">
        <v>0</v>
      </c>
      <c r="AJ102" s="186">
        <v>0</v>
      </c>
      <c r="AK102" s="186">
        <v>0</v>
      </c>
      <c r="AL102" s="186">
        <v>0</v>
      </c>
      <c r="AM102" s="186">
        <v>0</v>
      </c>
      <c r="AN102" s="186">
        <v>0</v>
      </c>
      <c r="AO102" s="186">
        <v>0</v>
      </c>
      <c r="AP102" s="186">
        <v>0</v>
      </c>
      <c r="AQ102" s="186">
        <v>0</v>
      </c>
      <c r="AR102" s="186">
        <v>0</v>
      </c>
      <c r="AS102" s="186">
        <v>0</v>
      </c>
      <c r="AT102" s="186">
        <v>0</v>
      </c>
      <c r="AU102" s="186">
        <v>0</v>
      </c>
      <c r="AV102" s="186">
        <v>0</v>
      </c>
      <c r="AW102" s="186">
        <v>0</v>
      </c>
      <c r="AX102" s="186">
        <v>0</v>
      </c>
      <c r="AY102" s="186">
        <v>0</v>
      </c>
      <c r="AZ102" s="186">
        <v>0</v>
      </c>
      <c r="BA102" s="186">
        <v>0</v>
      </c>
      <c r="BB102" s="186">
        <v>0</v>
      </c>
      <c r="BC102" s="186">
        <v>0</v>
      </c>
      <c r="BD102" s="186">
        <v>0</v>
      </c>
      <c r="BE102" s="186">
        <v>0</v>
      </c>
      <c r="BF102" s="186">
        <v>0</v>
      </c>
      <c r="BG102" s="186">
        <v>0</v>
      </c>
      <c r="BH102" s="186">
        <v>0</v>
      </c>
      <c r="BI102" s="186">
        <v>0</v>
      </c>
      <c r="BJ102" s="186">
        <v>0</v>
      </c>
      <c r="BK102" s="186">
        <v>0</v>
      </c>
      <c r="BL102" s="186">
        <v>0</v>
      </c>
      <c r="BM102" s="186">
        <v>0</v>
      </c>
      <c r="BN102" s="186">
        <v>0</v>
      </c>
      <c r="BO102" s="186">
        <v>0</v>
      </c>
      <c r="BP102" s="186">
        <v>0</v>
      </c>
      <c r="BQ102" s="186">
        <v>0</v>
      </c>
      <c r="BR102" s="186">
        <v>0</v>
      </c>
      <c r="BS102" s="186">
        <v>0</v>
      </c>
      <c r="BT102" s="186">
        <v>0</v>
      </c>
      <c r="BU102" s="186">
        <v>0</v>
      </c>
      <c r="BV102" s="186">
        <v>0</v>
      </c>
      <c r="BW102" s="186">
        <v>0</v>
      </c>
      <c r="BX102" s="186">
        <v>0</v>
      </c>
      <c r="BY102" s="186">
        <v>0</v>
      </c>
      <c r="BZ102" s="186">
        <v>0</v>
      </c>
      <c r="CA102" s="186">
        <v>0</v>
      </c>
      <c r="CB102" s="186">
        <v>0</v>
      </c>
      <c r="CC102" s="186">
        <v>0</v>
      </c>
      <c r="CD102" s="186">
        <v>0</v>
      </c>
      <c r="CE102" s="186">
        <v>0</v>
      </c>
      <c r="CF102" s="186">
        <v>0</v>
      </c>
      <c r="CG102" s="186">
        <v>0</v>
      </c>
      <c r="CH102" s="186">
        <v>0</v>
      </c>
      <c r="CI102" s="186">
        <v>0</v>
      </c>
      <c r="CJ102" s="186">
        <v>0</v>
      </c>
      <c r="CK102" s="186">
        <v>0</v>
      </c>
      <c r="CL102" s="186">
        <v>0</v>
      </c>
      <c r="CM102" s="186">
        <v>0</v>
      </c>
      <c r="CN102" s="186">
        <v>0</v>
      </c>
      <c r="CO102" s="186">
        <v>0</v>
      </c>
      <c r="CP102" s="186">
        <v>0</v>
      </c>
      <c r="CQ102" s="186">
        <v>0</v>
      </c>
      <c r="CR102" s="186">
        <v>0</v>
      </c>
      <c r="CS102" s="186">
        <v>0</v>
      </c>
      <c r="CT102" s="186">
        <v>0</v>
      </c>
      <c r="CU102" s="186">
        <v>0</v>
      </c>
      <c r="CV102" s="186">
        <v>0</v>
      </c>
    </row>
    <row r="103" spans="1:100">
      <c r="A103" s="541" t="str">
        <f t="shared" si="1"/>
        <v>1650513</v>
      </c>
      <c r="B103" s="541" t="s">
        <v>1591</v>
      </c>
      <c r="C103" s="463" t="s">
        <v>664</v>
      </c>
      <c r="D103" s="397">
        <v>14411.48</v>
      </c>
      <c r="E103" s="397">
        <v>12009.56</v>
      </c>
      <c r="F103" s="397">
        <v>9607.64</v>
      </c>
      <c r="G103" s="397">
        <v>7205.72</v>
      </c>
      <c r="H103" s="397">
        <v>4803.8</v>
      </c>
      <c r="I103" s="397">
        <v>2401.88</v>
      </c>
      <c r="J103" s="397">
        <v>-0.04</v>
      </c>
      <c r="K103" s="397">
        <v>30712.51</v>
      </c>
      <c r="L103" s="397">
        <v>27920.46</v>
      </c>
      <c r="M103" s="397">
        <v>25128.41</v>
      </c>
      <c r="N103" s="397">
        <v>22336.36</v>
      </c>
      <c r="O103" s="397">
        <v>19544.310000000001</v>
      </c>
      <c r="P103" s="398">
        <v>16752.259999999998</v>
      </c>
      <c r="Q103" s="186">
        <v>13960.21</v>
      </c>
      <c r="R103" s="186">
        <v>11168.16</v>
      </c>
      <c r="S103" s="186">
        <v>8376.11</v>
      </c>
      <c r="T103" s="186">
        <v>5584.06</v>
      </c>
      <c r="U103" s="186">
        <v>2792.01</v>
      </c>
      <c r="V103" s="186">
        <v>0</v>
      </c>
      <c r="W103" s="186">
        <v>0</v>
      </c>
      <c r="X103" s="186">
        <v>0</v>
      </c>
      <c r="Y103" s="186">
        <v>0</v>
      </c>
      <c r="Z103" s="186">
        <v>0</v>
      </c>
      <c r="AA103" s="186">
        <v>0</v>
      </c>
      <c r="AB103" s="186">
        <v>0</v>
      </c>
      <c r="AC103" s="186">
        <v>0</v>
      </c>
      <c r="AD103" s="186">
        <v>0</v>
      </c>
      <c r="AE103" s="186">
        <v>0</v>
      </c>
      <c r="AF103" s="186">
        <v>0</v>
      </c>
      <c r="AG103" s="186">
        <v>0</v>
      </c>
      <c r="AH103" s="186">
        <v>0</v>
      </c>
      <c r="AI103" s="186">
        <v>0</v>
      </c>
      <c r="AJ103" s="186">
        <v>0</v>
      </c>
      <c r="AK103" s="186">
        <v>0</v>
      </c>
      <c r="AL103" s="186">
        <v>0</v>
      </c>
      <c r="AM103" s="186">
        <v>0</v>
      </c>
      <c r="AN103" s="186">
        <v>0</v>
      </c>
      <c r="AO103" s="186">
        <v>0</v>
      </c>
      <c r="AP103" s="186">
        <v>0</v>
      </c>
      <c r="AQ103" s="186">
        <v>0</v>
      </c>
      <c r="AR103" s="186">
        <v>0</v>
      </c>
      <c r="AS103" s="186">
        <v>0</v>
      </c>
      <c r="AT103" s="186">
        <v>0</v>
      </c>
      <c r="AU103" s="186">
        <v>0</v>
      </c>
      <c r="AV103" s="186">
        <v>0</v>
      </c>
      <c r="AW103" s="186">
        <v>0</v>
      </c>
      <c r="AX103" s="186">
        <v>0</v>
      </c>
      <c r="AY103" s="186">
        <v>0</v>
      </c>
      <c r="AZ103" s="186">
        <v>0</v>
      </c>
      <c r="BA103" s="186">
        <v>0</v>
      </c>
      <c r="BB103" s="186">
        <v>0</v>
      </c>
      <c r="BC103" s="186">
        <v>0</v>
      </c>
      <c r="BD103" s="186">
        <v>0</v>
      </c>
      <c r="BE103" s="186">
        <v>0</v>
      </c>
      <c r="BF103" s="186">
        <v>0</v>
      </c>
      <c r="BG103" s="186">
        <v>0</v>
      </c>
      <c r="BH103" s="186">
        <v>0</v>
      </c>
      <c r="BI103" s="186">
        <v>0</v>
      </c>
      <c r="BJ103" s="186">
        <v>0</v>
      </c>
      <c r="BK103" s="186">
        <v>0</v>
      </c>
      <c r="BL103" s="186">
        <v>0</v>
      </c>
      <c r="BM103" s="186">
        <v>0</v>
      </c>
      <c r="BN103" s="186">
        <v>0</v>
      </c>
      <c r="BO103" s="186">
        <v>0</v>
      </c>
      <c r="BP103" s="186">
        <v>0</v>
      </c>
      <c r="BQ103" s="186">
        <v>0</v>
      </c>
      <c r="BR103" s="186">
        <v>0</v>
      </c>
      <c r="BS103" s="186">
        <v>0</v>
      </c>
      <c r="BT103" s="186">
        <v>0</v>
      </c>
      <c r="BU103" s="186">
        <v>0</v>
      </c>
      <c r="BV103" s="186">
        <v>0</v>
      </c>
      <c r="BW103" s="186">
        <v>0</v>
      </c>
      <c r="BX103" s="186">
        <v>0</v>
      </c>
      <c r="BY103" s="186">
        <v>0</v>
      </c>
      <c r="BZ103" s="186">
        <v>0</v>
      </c>
      <c r="CA103" s="186">
        <v>0</v>
      </c>
      <c r="CB103" s="186">
        <v>0</v>
      </c>
      <c r="CC103" s="186">
        <v>0</v>
      </c>
      <c r="CD103" s="186">
        <v>0</v>
      </c>
      <c r="CE103" s="186">
        <v>0</v>
      </c>
      <c r="CF103" s="186">
        <v>0</v>
      </c>
      <c r="CG103" s="186">
        <v>0</v>
      </c>
      <c r="CH103" s="186">
        <v>0</v>
      </c>
      <c r="CI103" s="186">
        <v>0</v>
      </c>
      <c r="CJ103" s="186">
        <v>0</v>
      </c>
      <c r="CK103" s="186">
        <v>0</v>
      </c>
      <c r="CL103" s="186">
        <v>0</v>
      </c>
      <c r="CM103" s="186">
        <v>0</v>
      </c>
      <c r="CN103" s="186">
        <v>0</v>
      </c>
      <c r="CO103" s="186">
        <v>0</v>
      </c>
      <c r="CP103" s="186">
        <v>0</v>
      </c>
      <c r="CQ103" s="186">
        <v>0</v>
      </c>
      <c r="CR103" s="186">
        <v>0</v>
      </c>
      <c r="CS103" s="186">
        <v>0</v>
      </c>
      <c r="CT103" s="186">
        <v>0</v>
      </c>
      <c r="CU103" s="186">
        <v>0</v>
      </c>
      <c r="CV103" s="186">
        <v>0</v>
      </c>
    </row>
    <row r="104" spans="1:100">
      <c r="A104" s="541" t="str">
        <f t="shared" si="1"/>
        <v>1650514</v>
      </c>
      <c r="B104" s="541" t="s">
        <v>1592</v>
      </c>
      <c r="C104" s="463" t="s">
        <v>665</v>
      </c>
      <c r="D104" s="397">
        <v>24031.55</v>
      </c>
      <c r="E104" s="397">
        <v>15975.87</v>
      </c>
      <c r="F104" s="397">
        <v>7920.19</v>
      </c>
      <c r="G104" s="397">
        <v>-135.49</v>
      </c>
      <c r="H104" s="397">
        <v>84053.91</v>
      </c>
      <c r="I104" s="397">
        <v>76412.66</v>
      </c>
      <c r="J104" s="397">
        <v>68771.41</v>
      </c>
      <c r="K104" s="397">
        <v>61220.44</v>
      </c>
      <c r="L104" s="397">
        <v>53567.89</v>
      </c>
      <c r="M104" s="397">
        <v>45834.19</v>
      </c>
      <c r="N104" s="397">
        <v>41600.97</v>
      </c>
      <c r="O104" s="397">
        <v>33961.94</v>
      </c>
      <c r="P104" s="398">
        <v>23764.53</v>
      </c>
      <c r="Q104" s="186">
        <v>16125.5</v>
      </c>
      <c r="R104" s="186">
        <v>8486.4699999999993</v>
      </c>
      <c r="S104" s="186">
        <v>847.44</v>
      </c>
      <c r="T104" s="186">
        <v>65875.59</v>
      </c>
      <c r="U104" s="186">
        <v>60555.98</v>
      </c>
      <c r="V104" s="186">
        <v>54500.38</v>
      </c>
      <c r="W104" s="186">
        <v>0</v>
      </c>
      <c r="X104" s="186">
        <v>0</v>
      </c>
      <c r="Y104" s="186">
        <v>0</v>
      </c>
      <c r="Z104" s="186">
        <v>0</v>
      </c>
      <c r="AA104" s="186">
        <v>0</v>
      </c>
      <c r="AB104" s="186">
        <v>0</v>
      </c>
      <c r="AC104" s="186">
        <v>0</v>
      </c>
      <c r="AD104" s="186">
        <v>0</v>
      </c>
      <c r="AE104" s="186">
        <v>0</v>
      </c>
      <c r="AF104" s="186">
        <v>0</v>
      </c>
      <c r="AG104" s="186">
        <v>0</v>
      </c>
      <c r="AH104" s="186">
        <v>0</v>
      </c>
      <c r="AI104" s="186">
        <v>0</v>
      </c>
      <c r="AJ104" s="186">
        <v>0</v>
      </c>
      <c r="AK104" s="186">
        <v>0</v>
      </c>
      <c r="AL104" s="186">
        <v>0</v>
      </c>
      <c r="AM104" s="186">
        <v>0</v>
      </c>
      <c r="AN104" s="186">
        <v>0</v>
      </c>
      <c r="AO104" s="186">
        <v>0</v>
      </c>
      <c r="AP104" s="186">
        <v>0</v>
      </c>
      <c r="AQ104" s="186">
        <v>0</v>
      </c>
      <c r="AR104" s="186">
        <v>0</v>
      </c>
      <c r="AS104" s="186">
        <v>0</v>
      </c>
      <c r="AT104" s="186">
        <v>0</v>
      </c>
      <c r="AU104" s="186">
        <v>0</v>
      </c>
      <c r="AV104" s="186">
        <v>0</v>
      </c>
      <c r="AW104" s="186">
        <v>0</v>
      </c>
      <c r="AX104" s="186">
        <v>0</v>
      </c>
      <c r="AY104" s="186">
        <v>0</v>
      </c>
      <c r="AZ104" s="186">
        <v>0</v>
      </c>
      <c r="BA104" s="186">
        <v>0</v>
      </c>
      <c r="BB104" s="186">
        <v>0</v>
      </c>
      <c r="BC104" s="186">
        <v>0</v>
      </c>
      <c r="BD104" s="186">
        <v>0</v>
      </c>
      <c r="BE104" s="186">
        <v>0</v>
      </c>
      <c r="BF104" s="186">
        <v>0</v>
      </c>
      <c r="BG104" s="186">
        <v>0</v>
      </c>
      <c r="BH104" s="186">
        <v>0</v>
      </c>
      <c r="BI104" s="186">
        <v>0</v>
      </c>
      <c r="BJ104" s="186">
        <v>0</v>
      </c>
      <c r="BK104" s="186">
        <v>0</v>
      </c>
      <c r="BL104" s="186">
        <v>0</v>
      </c>
      <c r="BM104" s="186">
        <v>0</v>
      </c>
      <c r="BN104" s="186">
        <v>0</v>
      </c>
      <c r="BO104" s="186">
        <v>0</v>
      </c>
      <c r="BP104" s="186">
        <v>0</v>
      </c>
      <c r="BQ104" s="186">
        <v>0</v>
      </c>
      <c r="BR104" s="186">
        <v>0</v>
      </c>
      <c r="BS104" s="186">
        <v>0</v>
      </c>
      <c r="BT104" s="186">
        <v>0</v>
      </c>
      <c r="BU104" s="186">
        <v>0</v>
      </c>
      <c r="BV104" s="186">
        <v>0</v>
      </c>
      <c r="BW104" s="186">
        <v>0</v>
      </c>
      <c r="BX104" s="186">
        <v>0</v>
      </c>
      <c r="BY104" s="186">
        <v>0</v>
      </c>
      <c r="BZ104" s="186">
        <v>0</v>
      </c>
      <c r="CA104" s="186">
        <v>0</v>
      </c>
      <c r="CB104" s="186">
        <v>0</v>
      </c>
      <c r="CC104" s="186">
        <v>0</v>
      </c>
      <c r="CD104" s="186">
        <v>0</v>
      </c>
      <c r="CE104" s="186">
        <v>0</v>
      </c>
      <c r="CF104" s="186">
        <v>0</v>
      </c>
      <c r="CG104" s="186">
        <v>0</v>
      </c>
      <c r="CH104" s="186">
        <v>0</v>
      </c>
      <c r="CI104" s="186">
        <v>0</v>
      </c>
      <c r="CJ104" s="186">
        <v>0</v>
      </c>
      <c r="CK104" s="186">
        <v>0</v>
      </c>
      <c r="CL104" s="186">
        <v>0</v>
      </c>
      <c r="CM104" s="186">
        <v>0</v>
      </c>
      <c r="CN104" s="186">
        <v>0</v>
      </c>
      <c r="CO104" s="186">
        <v>0</v>
      </c>
      <c r="CP104" s="186">
        <v>0</v>
      </c>
      <c r="CQ104" s="186">
        <v>0</v>
      </c>
      <c r="CR104" s="186">
        <v>0</v>
      </c>
      <c r="CS104" s="186">
        <v>0</v>
      </c>
      <c r="CT104" s="186">
        <v>0</v>
      </c>
      <c r="CU104" s="186">
        <v>0</v>
      </c>
      <c r="CV104" s="186">
        <v>0</v>
      </c>
    </row>
    <row r="105" spans="1:100">
      <c r="A105" s="541" t="str">
        <f t="shared" si="1"/>
        <v>1650515</v>
      </c>
      <c r="B105" s="541" t="s">
        <v>1593</v>
      </c>
      <c r="C105" s="463" t="s">
        <v>666</v>
      </c>
      <c r="D105" s="397">
        <v>20971.99</v>
      </c>
      <c r="E105" s="397">
        <v>17476.79</v>
      </c>
      <c r="F105" s="397">
        <v>13981.59</v>
      </c>
      <c r="G105" s="397">
        <v>10486.39</v>
      </c>
      <c r="H105" s="397">
        <v>6991.19</v>
      </c>
      <c r="I105" s="397">
        <v>3495.99</v>
      </c>
      <c r="J105" s="397">
        <v>0.79</v>
      </c>
      <c r="K105" s="397">
        <v>41261.4</v>
      </c>
      <c r="L105" s="397">
        <v>37510.43</v>
      </c>
      <c r="M105" s="397">
        <v>33759.46</v>
      </c>
      <c r="N105" s="397">
        <v>30008.49</v>
      </c>
      <c r="O105" s="397">
        <v>26257.52</v>
      </c>
      <c r="P105" s="398">
        <v>22506.55</v>
      </c>
      <c r="Q105" s="186">
        <v>18755.580000000002</v>
      </c>
      <c r="R105" s="186">
        <v>15004.61</v>
      </c>
      <c r="S105" s="186">
        <v>11253.64</v>
      </c>
      <c r="T105" s="186">
        <v>7502.67</v>
      </c>
      <c r="U105" s="186">
        <v>3751.7</v>
      </c>
      <c r="V105" s="186">
        <v>0</v>
      </c>
      <c r="W105" s="186">
        <v>0</v>
      </c>
      <c r="X105" s="186">
        <v>0</v>
      </c>
      <c r="Y105" s="186">
        <v>0</v>
      </c>
      <c r="Z105" s="186">
        <v>0</v>
      </c>
      <c r="AA105" s="186">
        <v>0</v>
      </c>
      <c r="AB105" s="186">
        <v>0</v>
      </c>
      <c r="AC105" s="186">
        <v>0</v>
      </c>
      <c r="AD105" s="186">
        <v>0</v>
      </c>
      <c r="AE105" s="186">
        <v>0</v>
      </c>
      <c r="AF105" s="186">
        <v>0</v>
      </c>
      <c r="AG105" s="186">
        <v>0</v>
      </c>
      <c r="AH105" s="186">
        <v>0</v>
      </c>
      <c r="AI105" s="186">
        <v>0</v>
      </c>
      <c r="AJ105" s="186">
        <v>0</v>
      </c>
      <c r="AK105" s="186">
        <v>0</v>
      </c>
      <c r="AL105" s="186">
        <v>0</v>
      </c>
      <c r="AM105" s="186">
        <v>0</v>
      </c>
      <c r="AN105" s="186">
        <v>0</v>
      </c>
      <c r="AO105" s="186">
        <v>0</v>
      </c>
      <c r="AP105" s="186">
        <v>0</v>
      </c>
      <c r="AQ105" s="186">
        <v>0</v>
      </c>
      <c r="AR105" s="186">
        <v>0</v>
      </c>
      <c r="AS105" s="186">
        <v>0</v>
      </c>
      <c r="AT105" s="186">
        <v>0</v>
      </c>
      <c r="AU105" s="186">
        <v>0</v>
      </c>
      <c r="AV105" s="186">
        <v>0</v>
      </c>
      <c r="AW105" s="186">
        <v>0</v>
      </c>
      <c r="AX105" s="186">
        <v>0</v>
      </c>
      <c r="AY105" s="186">
        <v>0</v>
      </c>
      <c r="AZ105" s="186">
        <v>0</v>
      </c>
      <c r="BA105" s="186">
        <v>0</v>
      </c>
      <c r="BB105" s="186">
        <v>0</v>
      </c>
      <c r="BC105" s="186">
        <v>0</v>
      </c>
      <c r="BD105" s="186">
        <v>0</v>
      </c>
      <c r="BE105" s="186">
        <v>0</v>
      </c>
      <c r="BF105" s="186">
        <v>0</v>
      </c>
      <c r="BG105" s="186">
        <v>0</v>
      </c>
      <c r="BH105" s="186">
        <v>0</v>
      </c>
      <c r="BI105" s="186">
        <v>0</v>
      </c>
      <c r="BJ105" s="186">
        <v>0</v>
      </c>
      <c r="BK105" s="186">
        <v>0</v>
      </c>
      <c r="BL105" s="186">
        <v>0</v>
      </c>
      <c r="BM105" s="186">
        <v>0</v>
      </c>
      <c r="BN105" s="186">
        <v>0</v>
      </c>
      <c r="BO105" s="186">
        <v>0</v>
      </c>
      <c r="BP105" s="186">
        <v>0</v>
      </c>
      <c r="BQ105" s="186">
        <v>0</v>
      </c>
      <c r="BR105" s="186">
        <v>0</v>
      </c>
      <c r="BS105" s="186">
        <v>0</v>
      </c>
      <c r="BT105" s="186">
        <v>0</v>
      </c>
      <c r="BU105" s="186">
        <v>0</v>
      </c>
      <c r="BV105" s="186">
        <v>0</v>
      </c>
      <c r="BW105" s="186">
        <v>0</v>
      </c>
      <c r="BX105" s="186">
        <v>0</v>
      </c>
      <c r="BY105" s="186">
        <v>0</v>
      </c>
      <c r="BZ105" s="186">
        <v>0</v>
      </c>
      <c r="CA105" s="186">
        <v>0</v>
      </c>
      <c r="CB105" s="186">
        <v>0</v>
      </c>
      <c r="CC105" s="186">
        <v>0</v>
      </c>
      <c r="CD105" s="186">
        <v>0</v>
      </c>
      <c r="CE105" s="186">
        <v>0</v>
      </c>
      <c r="CF105" s="186">
        <v>0</v>
      </c>
      <c r="CG105" s="186">
        <v>0</v>
      </c>
      <c r="CH105" s="186">
        <v>0</v>
      </c>
      <c r="CI105" s="186">
        <v>0</v>
      </c>
      <c r="CJ105" s="186">
        <v>0</v>
      </c>
      <c r="CK105" s="186">
        <v>0</v>
      </c>
      <c r="CL105" s="186">
        <v>0</v>
      </c>
      <c r="CM105" s="186">
        <v>0</v>
      </c>
      <c r="CN105" s="186">
        <v>0</v>
      </c>
      <c r="CO105" s="186">
        <v>0</v>
      </c>
      <c r="CP105" s="186">
        <v>0</v>
      </c>
      <c r="CQ105" s="186">
        <v>0</v>
      </c>
      <c r="CR105" s="186">
        <v>0</v>
      </c>
      <c r="CS105" s="186">
        <v>0</v>
      </c>
      <c r="CT105" s="186">
        <v>0</v>
      </c>
      <c r="CU105" s="186">
        <v>0</v>
      </c>
      <c r="CV105" s="186">
        <v>0</v>
      </c>
    </row>
    <row r="106" spans="1:100">
      <c r="A106" s="541" t="str">
        <f t="shared" si="1"/>
        <v>1650516</v>
      </c>
      <c r="B106" s="541" t="s">
        <v>1594</v>
      </c>
      <c r="C106" s="463" t="s">
        <v>667</v>
      </c>
      <c r="D106" s="397">
        <v>0</v>
      </c>
      <c r="E106" s="397">
        <v>0</v>
      </c>
      <c r="F106" s="397">
        <v>0</v>
      </c>
      <c r="G106" s="397">
        <v>0</v>
      </c>
      <c r="H106" s="397">
        <v>0</v>
      </c>
      <c r="I106" s="397">
        <v>0</v>
      </c>
      <c r="J106" s="397">
        <v>0</v>
      </c>
      <c r="K106" s="397">
        <v>0</v>
      </c>
      <c r="L106" s="397">
        <v>0</v>
      </c>
      <c r="M106" s="397">
        <v>0</v>
      </c>
      <c r="N106" s="397">
        <v>2682.4</v>
      </c>
      <c r="O106" s="397">
        <v>2438.5500000000002</v>
      </c>
      <c r="P106" s="398">
        <v>2194.6999999999998</v>
      </c>
      <c r="Q106" s="186">
        <v>1950.85</v>
      </c>
      <c r="R106" s="186">
        <v>1707</v>
      </c>
      <c r="S106" s="186">
        <v>1463.15</v>
      </c>
      <c r="T106" s="186">
        <v>1219.3</v>
      </c>
      <c r="U106" s="186">
        <v>975.45</v>
      </c>
      <c r="V106" s="186">
        <v>731.6</v>
      </c>
      <c r="W106" s="186">
        <v>0</v>
      </c>
      <c r="X106" s="186">
        <v>0</v>
      </c>
      <c r="Y106" s="186">
        <v>0</v>
      </c>
      <c r="Z106" s="186">
        <v>0</v>
      </c>
      <c r="AA106" s="186">
        <v>0</v>
      </c>
      <c r="AB106" s="186">
        <v>0</v>
      </c>
      <c r="AC106" s="186">
        <v>0</v>
      </c>
      <c r="AD106" s="186">
        <v>0</v>
      </c>
      <c r="AE106" s="186">
        <v>0</v>
      </c>
      <c r="AF106" s="186">
        <v>0</v>
      </c>
      <c r="AG106" s="186">
        <v>0</v>
      </c>
      <c r="AH106" s="186">
        <v>0</v>
      </c>
      <c r="AI106" s="186">
        <v>0</v>
      </c>
      <c r="AJ106" s="186">
        <v>0</v>
      </c>
      <c r="AK106" s="186">
        <v>0</v>
      </c>
      <c r="AL106" s="186">
        <v>0</v>
      </c>
      <c r="AM106" s="186">
        <v>0</v>
      </c>
      <c r="AN106" s="186">
        <v>0</v>
      </c>
      <c r="AO106" s="186">
        <v>0</v>
      </c>
      <c r="AP106" s="186">
        <v>0</v>
      </c>
      <c r="AQ106" s="186">
        <v>0</v>
      </c>
      <c r="AR106" s="186">
        <v>0</v>
      </c>
      <c r="AS106" s="186">
        <v>0</v>
      </c>
      <c r="AT106" s="186">
        <v>0</v>
      </c>
      <c r="AU106" s="186">
        <v>0</v>
      </c>
      <c r="AV106" s="186">
        <v>0</v>
      </c>
      <c r="AW106" s="186">
        <v>0</v>
      </c>
      <c r="AX106" s="186">
        <v>0</v>
      </c>
      <c r="AY106" s="186">
        <v>0</v>
      </c>
      <c r="AZ106" s="186">
        <v>0</v>
      </c>
      <c r="BA106" s="186">
        <v>0</v>
      </c>
      <c r="BB106" s="186">
        <v>0</v>
      </c>
      <c r="BC106" s="186">
        <v>0</v>
      </c>
      <c r="BD106" s="186">
        <v>0</v>
      </c>
      <c r="BE106" s="186">
        <v>0</v>
      </c>
      <c r="BF106" s="186">
        <v>0</v>
      </c>
      <c r="BG106" s="186">
        <v>0</v>
      </c>
      <c r="BH106" s="186">
        <v>0</v>
      </c>
      <c r="BI106" s="186">
        <v>0</v>
      </c>
      <c r="BJ106" s="186">
        <v>0</v>
      </c>
      <c r="BK106" s="186">
        <v>0</v>
      </c>
      <c r="BL106" s="186">
        <v>0</v>
      </c>
      <c r="BM106" s="186">
        <v>0</v>
      </c>
      <c r="BN106" s="186">
        <v>0</v>
      </c>
      <c r="BO106" s="186">
        <v>0</v>
      </c>
      <c r="BP106" s="186">
        <v>0</v>
      </c>
      <c r="BQ106" s="186">
        <v>0</v>
      </c>
      <c r="BR106" s="186">
        <v>0</v>
      </c>
      <c r="BS106" s="186">
        <v>0</v>
      </c>
      <c r="BT106" s="186">
        <v>0</v>
      </c>
      <c r="BU106" s="186">
        <v>0</v>
      </c>
      <c r="BV106" s="186">
        <v>0</v>
      </c>
      <c r="BW106" s="186">
        <v>0</v>
      </c>
      <c r="BX106" s="186">
        <v>0</v>
      </c>
      <c r="BY106" s="186">
        <v>0</v>
      </c>
      <c r="BZ106" s="186">
        <v>0</v>
      </c>
      <c r="CA106" s="186">
        <v>0</v>
      </c>
      <c r="CB106" s="186">
        <v>0</v>
      </c>
      <c r="CC106" s="186">
        <v>0</v>
      </c>
      <c r="CD106" s="186">
        <v>0</v>
      </c>
      <c r="CE106" s="186">
        <v>0</v>
      </c>
      <c r="CF106" s="186">
        <v>0</v>
      </c>
      <c r="CG106" s="186">
        <v>0</v>
      </c>
      <c r="CH106" s="186">
        <v>0</v>
      </c>
      <c r="CI106" s="186">
        <v>0</v>
      </c>
      <c r="CJ106" s="186">
        <v>0</v>
      </c>
      <c r="CK106" s="186">
        <v>0</v>
      </c>
      <c r="CL106" s="186">
        <v>0</v>
      </c>
      <c r="CM106" s="186">
        <v>0</v>
      </c>
      <c r="CN106" s="186">
        <v>0</v>
      </c>
      <c r="CO106" s="186">
        <v>0</v>
      </c>
      <c r="CP106" s="186">
        <v>0</v>
      </c>
      <c r="CQ106" s="186">
        <v>0</v>
      </c>
      <c r="CR106" s="186">
        <v>0</v>
      </c>
      <c r="CS106" s="186">
        <v>0</v>
      </c>
      <c r="CT106" s="186">
        <v>0</v>
      </c>
      <c r="CU106" s="186">
        <v>0</v>
      </c>
      <c r="CV106" s="186">
        <v>0</v>
      </c>
    </row>
    <row r="107" spans="1:100">
      <c r="A107" s="541" t="str">
        <f t="shared" si="1"/>
        <v>1650517</v>
      </c>
      <c r="B107" s="541" t="s">
        <v>1595</v>
      </c>
      <c r="C107" s="463" t="s">
        <v>668</v>
      </c>
      <c r="D107" s="397">
        <v>0.01</v>
      </c>
      <c r="E107" s="397">
        <v>0.01</v>
      </c>
      <c r="F107" s="397">
        <v>0.01</v>
      </c>
      <c r="G107" s="397">
        <v>0</v>
      </c>
      <c r="H107" s="397">
        <v>0</v>
      </c>
      <c r="I107" s="397">
        <v>0</v>
      </c>
      <c r="J107" s="397">
        <v>0</v>
      </c>
      <c r="K107" s="397">
        <v>0</v>
      </c>
      <c r="L107" s="397">
        <v>0</v>
      </c>
      <c r="M107" s="397">
        <v>0</v>
      </c>
      <c r="N107" s="397">
        <v>0</v>
      </c>
      <c r="O107" s="397">
        <v>0</v>
      </c>
      <c r="P107" s="398">
        <v>0</v>
      </c>
      <c r="Q107" s="186">
        <v>0</v>
      </c>
      <c r="R107" s="186">
        <v>0</v>
      </c>
      <c r="S107" s="186">
        <v>0</v>
      </c>
      <c r="T107" s="186">
        <v>0</v>
      </c>
      <c r="U107" s="186">
        <v>0</v>
      </c>
      <c r="V107" s="186">
        <v>0</v>
      </c>
      <c r="W107" s="186">
        <v>0</v>
      </c>
      <c r="X107" s="186">
        <v>0</v>
      </c>
      <c r="Y107" s="186">
        <v>0</v>
      </c>
      <c r="Z107" s="186">
        <v>0</v>
      </c>
      <c r="AA107" s="186">
        <v>0</v>
      </c>
      <c r="AB107" s="186">
        <v>0</v>
      </c>
      <c r="AC107" s="186">
        <v>0</v>
      </c>
      <c r="AD107" s="186">
        <v>0</v>
      </c>
      <c r="AE107" s="186">
        <v>0</v>
      </c>
      <c r="AF107" s="186">
        <v>0</v>
      </c>
      <c r="AG107" s="186">
        <v>0</v>
      </c>
      <c r="AH107" s="186">
        <v>0</v>
      </c>
      <c r="AI107" s="186">
        <v>0</v>
      </c>
      <c r="AJ107" s="186">
        <v>0</v>
      </c>
      <c r="AK107" s="186">
        <v>0</v>
      </c>
      <c r="AL107" s="186">
        <v>0</v>
      </c>
      <c r="AM107" s="186">
        <v>0</v>
      </c>
      <c r="AN107" s="186">
        <v>0</v>
      </c>
      <c r="AO107" s="186">
        <v>0</v>
      </c>
      <c r="AP107" s="186">
        <v>0</v>
      </c>
      <c r="AQ107" s="186">
        <v>0</v>
      </c>
      <c r="AR107" s="186">
        <v>0</v>
      </c>
      <c r="AS107" s="186">
        <v>0</v>
      </c>
      <c r="AT107" s="186">
        <v>0</v>
      </c>
      <c r="AU107" s="186">
        <v>0</v>
      </c>
      <c r="AV107" s="186">
        <v>0</v>
      </c>
      <c r="AW107" s="186">
        <v>0</v>
      </c>
      <c r="AX107" s="186">
        <v>0</v>
      </c>
      <c r="AY107" s="186">
        <v>0</v>
      </c>
      <c r="AZ107" s="186">
        <v>0</v>
      </c>
      <c r="BA107" s="186">
        <v>0</v>
      </c>
      <c r="BB107" s="186">
        <v>0</v>
      </c>
      <c r="BC107" s="186">
        <v>0</v>
      </c>
      <c r="BD107" s="186">
        <v>0</v>
      </c>
      <c r="BE107" s="186">
        <v>0</v>
      </c>
      <c r="BF107" s="186">
        <v>0</v>
      </c>
      <c r="BG107" s="186">
        <v>0</v>
      </c>
      <c r="BH107" s="186">
        <v>0</v>
      </c>
      <c r="BI107" s="186">
        <v>0</v>
      </c>
      <c r="BJ107" s="186">
        <v>0</v>
      </c>
      <c r="BK107" s="186">
        <v>0</v>
      </c>
      <c r="BL107" s="186">
        <v>0</v>
      </c>
      <c r="BM107" s="186">
        <v>0</v>
      </c>
      <c r="BN107" s="186">
        <v>0</v>
      </c>
      <c r="BO107" s="186">
        <v>0</v>
      </c>
      <c r="BP107" s="186">
        <v>0</v>
      </c>
      <c r="BQ107" s="186">
        <v>0</v>
      </c>
      <c r="BR107" s="186">
        <v>0</v>
      </c>
      <c r="BS107" s="186">
        <v>0</v>
      </c>
      <c r="BT107" s="186">
        <v>0</v>
      </c>
      <c r="BU107" s="186">
        <v>0</v>
      </c>
      <c r="BV107" s="186">
        <v>0</v>
      </c>
      <c r="BW107" s="186">
        <v>0</v>
      </c>
      <c r="BX107" s="186">
        <v>0</v>
      </c>
      <c r="BY107" s="186">
        <v>0</v>
      </c>
      <c r="BZ107" s="186">
        <v>0</v>
      </c>
      <c r="CA107" s="186">
        <v>0</v>
      </c>
      <c r="CB107" s="186">
        <v>0</v>
      </c>
      <c r="CC107" s="186">
        <v>0</v>
      </c>
      <c r="CD107" s="186">
        <v>0</v>
      </c>
      <c r="CE107" s="186">
        <v>0</v>
      </c>
      <c r="CF107" s="186">
        <v>0</v>
      </c>
      <c r="CG107" s="186">
        <v>0</v>
      </c>
      <c r="CH107" s="186">
        <v>0</v>
      </c>
      <c r="CI107" s="186">
        <v>0</v>
      </c>
      <c r="CJ107" s="186">
        <v>0</v>
      </c>
      <c r="CK107" s="186">
        <v>0</v>
      </c>
      <c r="CL107" s="186">
        <v>0</v>
      </c>
      <c r="CM107" s="186">
        <v>0</v>
      </c>
      <c r="CN107" s="186">
        <v>0</v>
      </c>
      <c r="CO107" s="186">
        <v>0</v>
      </c>
      <c r="CP107" s="186">
        <v>0</v>
      </c>
      <c r="CQ107" s="186">
        <v>0</v>
      </c>
      <c r="CR107" s="186">
        <v>0</v>
      </c>
      <c r="CS107" s="186">
        <v>0</v>
      </c>
      <c r="CT107" s="186">
        <v>0</v>
      </c>
      <c r="CU107" s="186">
        <v>0</v>
      </c>
      <c r="CV107" s="186">
        <v>0</v>
      </c>
    </row>
    <row r="108" spans="1:100">
      <c r="A108" s="541" t="str">
        <f t="shared" si="1"/>
        <v>1650518</v>
      </c>
      <c r="B108" s="541" t="s">
        <v>1596</v>
      </c>
      <c r="C108" s="463" t="s">
        <v>669</v>
      </c>
      <c r="D108" s="397">
        <v>0</v>
      </c>
      <c r="E108" s="397">
        <v>853.5</v>
      </c>
      <c r="F108" s="397">
        <v>853.5</v>
      </c>
      <c r="G108" s="397">
        <v>853.5</v>
      </c>
      <c r="H108" s="397">
        <v>853.5</v>
      </c>
      <c r="I108" s="397">
        <v>853.5</v>
      </c>
      <c r="J108" s="397">
        <v>161.29</v>
      </c>
      <c r="K108" s="397">
        <v>853.5</v>
      </c>
      <c r="L108" s="397">
        <v>853.5</v>
      </c>
      <c r="M108" s="397">
        <v>853.5</v>
      </c>
      <c r="N108" s="397">
        <v>853.5</v>
      </c>
      <c r="O108" s="397">
        <v>853.5</v>
      </c>
      <c r="P108" s="398">
        <v>0</v>
      </c>
      <c r="Q108" s="186">
        <v>-853.5</v>
      </c>
      <c r="R108" s="186">
        <v>1204.67</v>
      </c>
      <c r="S108" s="186">
        <v>926.67</v>
      </c>
      <c r="T108" s="186">
        <v>1019.34</v>
      </c>
      <c r="U108" s="186">
        <v>648.66</v>
      </c>
      <c r="V108" s="186">
        <v>555.99</v>
      </c>
      <c r="W108" s="186">
        <v>0</v>
      </c>
      <c r="X108" s="186">
        <v>0</v>
      </c>
      <c r="Y108" s="186">
        <v>0</v>
      </c>
      <c r="Z108" s="186">
        <v>0</v>
      </c>
      <c r="AA108" s="186">
        <v>0</v>
      </c>
      <c r="AB108" s="186">
        <v>0</v>
      </c>
      <c r="AC108" s="186">
        <v>0</v>
      </c>
      <c r="AD108" s="186">
        <v>0</v>
      </c>
      <c r="AE108" s="186">
        <v>0</v>
      </c>
      <c r="AF108" s="186">
        <v>0</v>
      </c>
      <c r="AG108" s="186">
        <v>0</v>
      </c>
      <c r="AH108" s="186">
        <v>0</v>
      </c>
      <c r="AI108" s="186">
        <v>0</v>
      </c>
      <c r="AJ108" s="186">
        <v>0</v>
      </c>
      <c r="AK108" s="186">
        <v>0</v>
      </c>
      <c r="AL108" s="186">
        <v>0</v>
      </c>
      <c r="AM108" s="186">
        <v>0</v>
      </c>
      <c r="AN108" s="186">
        <v>0</v>
      </c>
      <c r="AO108" s="186">
        <v>0</v>
      </c>
      <c r="AP108" s="186">
        <v>0</v>
      </c>
      <c r="AQ108" s="186">
        <v>0</v>
      </c>
      <c r="AR108" s="186">
        <v>0</v>
      </c>
      <c r="AS108" s="186">
        <v>0</v>
      </c>
      <c r="AT108" s="186">
        <v>0</v>
      </c>
      <c r="AU108" s="186">
        <v>0</v>
      </c>
      <c r="AV108" s="186">
        <v>0</v>
      </c>
      <c r="AW108" s="186">
        <v>0</v>
      </c>
      <c r="AX108" s="186">
        <v>0</v>
      </c>
      <c r="AY108" s="186">
        <v>0</v>
      </c>
      <c r="AZ108" s="186">
        <v>0</v>
      </c>
      <c r="BA108" s="186">
        <v>0</v>
      </c>
      <c r="BB108" s="186">
        <v>0</v>
      </c>
      <c r="BC108" s="186">
        <v>0</v>
      </c>
      <c r="BD108" s="186">
        <v>0</v>
      </c>
      <c r="BE108" s="186">
        <v>0</v>
      </c>
      <c r="BF108" s="186">
        <v>0</v>
      </c>
      <c r="BG108" s="186">
        <v>0</v>
      </c>
      <c r="BH108" s="186">
        <v>0</v>
      </c>
      <c r="BI108" s="186">
        <v>0</v>
      </c>
      <c r="BJ108" s="186">
        <v>0</v>
      </c>
      <c r="BK108" s="186">
        <v>0</v>
      </c>
      <c r="BL108" s="186">
        <v>0</v>
      </c>
      <c r="BM108" s="186">
        <v>0</v>
      </c>
      <c r="BN108" s="186">
        <v>0</v>
      </c>
      <c r="BO108" s="186">
        <v>0</v>
      </c>
      <c r="BP108" s="186">
        <v>0</v>
      </c>
      <c r="BQ108" s="186">
        <v>0</v>
      </c>
      <c r="BR108" s="186">
        <v>0</v>
      </c>
      <c r="BS108" s="186">
        <v>0</v>
      </c>
      <c r="BT108" s="186">
        <v>0</v>
      </c>
      <c r="BU108" s="186">
        <v>0</v>
      </c>
      <c r="BV108" s="186">
        <v>0</v>
      </c>
      <c r="BW108" s="186">
        <v>0</v>
      </c>
      <c r="BX108" s="186">
        <v>0</v>
      </c>
      <c r="BY108" s="186">
        <v>0</v>
      </c>
      <c r="BZ108" s="186">
        <v>0</v>
      </c>
      <c r="CA108" s="186">
        <v>0</v>
      </c>
      <c r="CB108" s="186">
        <v>0</v>
      </c>
      <c r="CC108" s="186">
        <v>0</v>
      </c>
      <c r="CD108" s="186">
        <v>0</v>
      </c>
      <c r="CE108" s="186">
        <v>0</v>
      </c>
      <c r="CF108" s="186">
        <v>0</v>
      </c>
      <c r="CG108" s="186">
        <v>0</v>
      </c>
      <c r="CH108" s="186">
        <v>0</v>
      </c>
      <c r="CI108" s="186">
        <v>0</v>
      </c>
      <c r="CJ108" s="186">
        <v>0</v>
      </c>
      <c r="CK108" s="186">
        <v>0</v>
      </c>
      <c r="CL108" s="186">
        <v>0</v>
      </c>
      <c r="CM108" s="186">
        <v>0</v>
      </c>
      <c r="CN108" s="186">
        <v>0</v>
      </c>
      <c r="CO108" s="186">
        <v>0</v>
      </c>
      <c r="CP108" s="186">
        <v>0</v>
      </c>
      <c r="CQ108" s="186">
        <v>0</v>
      </c>
      <c r="CR108" s="186">
        <v>0</v>
      </c>
      <c r="CS108" s="186">
        <v>0</v>
      </c>
      <c r="CT108" s="186">
        <v>0</v>
      </c>
      <c r="CU108" s="186">
        <v>0</v>
      </c>
      <c r="CV108" s="186">
        <v>0</v>
      </c>
    </row>
    <row r="109" spans="1:100">
      <c r="A109" s="541" t="str">
        <f t="shared" si="1"/>
        <v>1650519</v>
      </c>
      <c r="B109" s="541" t="s">
        <v>1597</v>
      </c>
      <c r="C109" s="463" t="s">
        <v>670</v>
      </c>
      <c r="D109" s="397">
        <v>63864.32</v>
      </c>
      <c r="E109" s="397">
        <v>53220.27</v>
      </c>
      <c r="F109" s="397">
        <v>42576.22</v>
      </c>
      <c r="G109" s="397">
        <v>31932.17</v>
      </c>
      <c r="H109" s="397">
        <v>21288.12</v>
      </c>
      <c r="I109" s="397">
        <v>10644.07</v>
      </c>
      <c r="J109" s="397">
        <v>0.02</v>
      </c>
      <c r="K109" s="397">
        <v>121865.13</v>
      </c>
      <c r="L109" s="397">
        <v>110786.48</v>
      </c>
      <c r="M109" s="397">
        <v>99707.83</v>
      </c>
      <c r="N109" s="397">
        <v>88629.18</v>
      </c>
      <c r="O109" s="397">
        <v>77550.53</v>
      </c>
      <c r="P109" s="398">
        <v>66471.88</v>
      </c>
      <c r="Q109" s="186">
        <v>55393.23</v>
      </c>
      <c r="R109" s="186">
        <v>44314.58</v>
      </c>
      <c r="S109" s="186">
        <v>33235.93</v>
      </c>
      <c r="T109" s="186">
        <v>22157.279999999999</v>
      </c>
      <c r="U109" s="186">
        <v>11078.63</v>
      </c>
      <c r="V109" s="186">
        <v>0</v>
      </c>
      <c r="W109" s="186">
        <v>0</v>
      </c>
      <c r="X109" s="186">
        <v>0</v>
      </c>
      <c r="Y109" s="186">
        <v>0</v>
      </c>
      <c r="Z109" s="186">
        <v>0</v>
      </c>
      <c r="AA109" s="186">
        <v>0</v>
      </c>
      <c r="AB109" s="186">
        <v>0</v>
      </c>
      <c r="AC109" s="186">
        <v>0</v>
      </c>
      <c r="AD109" s="186">
        <v>0</v>
      </c>
      <c r="AE109" s="186">
        <v>0</v>
      </c>
      <c r="AF109" s="186">
        <v>0</v>
      </c>
      <c r="AG109" s="186">
        <v>0</v>
      </c>
      <c r="AH109" s="186">
        <v>0</v>
      </c>
      <c r="AI109" s="186">
        <v>0</v>
      </c>
      <c r="AJ109" s="186">
        <v>0</v>
      </c>
      <c r="AK109" s="186">
        <v>0</v>
      </c>
      <c r="AL109" s="186">
        <v>0</v>
      </c>
      <c r="AM109" s="186">
        <v>0</v>
      </c>
      <c r="AN109" s="186">
        <v>0</v>
      </c>
      <c r="AO109" s="186">
        <v>0</v>
      </c>
      <c r="AP109" s="186">
        <v>0</v>
      </c>
      <c r="AQ109" s="186">
        <v>0</v>
      </c>
      <c r="AR109" s="186">
        <v>0</v>
      </c>
      <c r="AS109" s="186">
        <v>0</v>
      </c>
      <c r="AT109" s="186">
        <v>0</v>
      </c>
      <c r="AU109" s="186">
        <v>0</v>
      </c>
      <c r="AV109" s="186">
        <v>0</v>
      </c>
      <c r="AW109" s="186">
        <v>0</v>
      </c>
      <c r="AX109" s="186">
        <v>0</v>
      </c>
      <c r="AY109" s="186">
        <v>0</v>
      </c>
      <c r="AZ109" s="186">
        <v>0</v>
      </c>
      <c r="BA109" s="186">
        <v>0</v>
      </c>
      <c r="BB109" s="186">
        <v>0</v>
      </c>
      <c r="BC109" s="186">
        <v>0</v>
      </c>
      <c r="BD109" s="186">
        <v>0</v>
      </c>
      <c r="BE109" s="186">
        <v>0</v>
      </c>
      <c r="BF109" s="186">
        <v>0</v>
      </c>
      <c r="BG109" s="186">
        <v>0</v>
      </c>
      <c r="BH109" s="186">
        <v>0</v>
      </c>
      <c r="BI109" s="186">
        <v>0</v>
      </c>
      <c r="BJ109" s="186">
        <v>0</v>
      </c>
      <c r="BK109" s="186">
        <v>0</v>
      </c>
      <c r="BL109" s="186">
        <v>0</v>
      </c>
      <c r="BM109" s="186">
        <v>0</v>
      </c>
      <c r="BN109" s="186">
        <v>0</v>
      </c>
      <c r="BO109" s="186">
        <v>0</v>
      </c>
      <c r="BP109" s="186">
        <v>0</v>
      </c>
      <c r="BQ109" s="186">
        <v>0</v>
      </c>
      <c r="BR109" s="186">
        <v>0</v>
      </c>
      <c r="BS109" s="186">
        <v>0</v>
      </c>
      <c r="BT109" s="186">
        <v>0</v>
      </c>
      <c r="BU109" s="186">
        <v>0</v>
      </c>
      <c r="BV109" s="186">
        <v>0</v>
      </c>
      <c r="BW109" s="186">
        <v>0</v>
      </c>
      <c r="BX109" s="186">
        <v>0</v>
      </c>
      <c r="BY109" s="186">
        <v>0</v>
      </c>
      <c r="BZ109" s="186">
        <v>0</v>
      </c>
      <c r="CA109" s="186">
        <v>0</v>
      </c>
      <c r="CB109" s="186">
        <v>0</v>
      </c>
      <c r="CC109" s="186">
        <v>0</v>
      </c>
      <c r="CD109" s="186">
        <v>0</v>
      </c>
      <c r="CE109" s="186">
        <v>0</v>
      </c>
      <c r="CF109" s="186">
        <v>0</v>
      </c>
      <c r="CG109" s="186">
        <v>0</v>
      </c>
      <c r="CH109" s="186">
        <v>0</v>
      </c>
      <c r="CI109" s="186">
        <v>0</v>
      </c>
      <c r="CJ109" s="186">
        <v>0</v>
      </c>
      <c r="CK109" s="186">
        <v>0</v>
      </c>
      <c r="CL109" s="186">
        <v>0</v>
      </c>
      <c r="CM109" s="186">
        <v>0</v>
      </c>
      <c r="CN109" s="186">
        <v>0</v>
      </c>
      <c r="CO109" s="186">
        <v>0</v>
      </c>
      <c r="CP109" s="186">
        <v>0</v>
      </c>
      <c r="CQ109" s="186">
        <v>0</v>
      </c>
      <c r="CR109" s="186">
        <v>0</v>
      </c>
      <c r="CS109" s="186">
        <v>0</v>
      </c>
      <c r="CT109" s="186">
        <v>0</v>
      </c>
      <c r="CU109" s="186">
        <v>0</v>
      </c>
      <c r="CV109" s="186">
        <v>0</v>
      </c>
    </row>
    <row r="110" spans="1:100">
      <c r="A110" s="541" t="str">
        <f t="shared" si="1"/>
        <v>1650520</v>
      </c>
      <c r="B110" s="541" t="s">
        <v>1514</v>
      </c>
      <c r="C110" s="463" t="s">
        <v>671</v>
      </c>
      <c r="D110" s="397">
        <v>-0.03</v>
      </c>
      <c r="E110" s="397">
        <v>-0.03</v>
      </c>
      <c r="F110" s="397">
        <v>-0.03</v>
      </c>
      <c r="G110" s="397">
        <v>0</v>
      </c>
      <c r="H110" s="397">
        <v>0</v>
      </c>
      <c r="I110" s="397">
        <v>0</v>
      </c>
      <c r="J110" s="397">
        <v>0</v>
      </c>
      <c r="K110" s="397">
        <v>0</v>
      </c>
      <c r="L110" s="397">
        <v>0</v>
      </c>
      <c r="M110" s="397">
        <v>0</v>
      </c>
      <c r="N110" s="397">
        <v>0</v>
      </c>
      <c r="O110" s="397">
        <v>0</v>
      </c>
      <c r="P110" s="398">
        <v>0</v>
      </c>
      <c r="Q110" s="186">
        <v>0</v>
      </c>
      <c r="R110" s="186">
        <v>0</v>
      </c>
      <c r="S110" s="186">
        <v>0</v>
      </c>
      <c r="T110" s="186">
        <v>0</v>
      </c>
      <c r="U110" s="186">
        <v>0</v>
      </c>
      <c r="V110" s="186">
        <v>0</v>
      </c>
      <c r="W110" s="186">
        <v>0</v>
      </c>
      <c r="X110" s="186">
        <v>0</v>
      </c>
      <c r="Y110" s="186">
        <v>0</v>
      </c>
      <c r="Z110" s="186">
        <v>0</v>
      </c>
      <c r="AA110" s="186">
        <v>0</v>
      </c>
      <c r="AB110" s="186">
        <v>0</v>
      </c>
      <c r="AC110" s="186">
        <v>0</v>
      </c>
      <c r="AD110" s="186">
        <v>0</v>
      </c>
      <c r="AE110" s="186">
        <v>0</v>
      </c>
      <c r="AF110" s="186">
        <v>0</v>
      </c>
      <c r="AG110" s="186">
        <v>0</v>
      </c>
      <c r="AH110" s="186">
        <v>0</v>
      </c>
      <c r="AI110" s="186">
        <v>0</v>
      </c>
      <c r="AJ110" s="186">
        <v>0</v>
      </c>
      <c r="AK110" s="186">
        <v>0</v>
      </c>
      <c r="AL110" s="186">
        <v>0</v>
      </c>
      <c r="AM110" s="186">
        <v>0</v>
      </c>
      <c r="AN110" s="186">
        <v>0</v>
      </c>
      <c r="AO110" s="186">
        <v>0</v>
      </c>
      <c r="AP110" s="186">
        <v>0</v>
      </c>
      <c r="AQ110" s="186">
        <v>0</v>
      </c>
      <c r="AR110" s="186">
        <v>0</v>
      </c>
      <c r="AS110" s="186">
        <v>0</v>
      </c>
      <c r="AT110" s="186">
        <v>0</v>
      </c>
      <c r="AU110" s="186">
        <v>0</v>
      </c>
      <c r="AV110" s="186">
        <v>0</v>
      </c>
      <c r="AW110" s="186">
        <v>0</v>
      </c>
      <c r="AX110" s="186">
        <v>0</v>
      </c>
      <c r="AY110" s="186">
        <v>0</v>
      </c>
      <c r="AZ110" s="186">
        <v>0</v>
      </c>
      <c r="BA110" s="186">
        <v>0</v>
      </c>
      <c r="BB110" s="186">
        <v>0</v>
      </c>
      <c r="BC110" s="186">
        <v>0</v>
      </c>
      <c r="BD110" s="186">
        <v>0</v>
      </c>
      <c r="BE110" s="186">
        <v>0</v>
      </c>
      <c r="BF110" s="186">
        <v>0</v>
      </c>
      <c r="BG110" s="186">
        <v>0</v>
      </c>
      <c r="BH110" s="186">
        <v>0</v>
      </c>
      <c r="BI110" s="186">
        <v>0</v>
      </c>
      <c r="BJ110" s="186">
        <v>0</v>
      </c>
      <c r="BK110" s="186">
        <v>0</v>
      </c>
      <c r="BL110" s="186">
        <v>0</v>
      </c>
      <c r="BM110" s="186">
        <v>0</v>
      </c>
      <c r="BN110" s="186">
        <v>0</v>
      </c>
      <c r="BO110" s="186">
        <v>0</v>
      </c>
      <c r="BP110" s="186">
        <v>0</v>
      </c>
      <c r="BQ110" s="186">
        <v>0</v>
      </c>
      <c r="BR110" s="186">
        <v>0</v>
      </c>
      <c r="BS110" s="186">
        <v>0</v>
      </c>
      <c r="BT110" s="186">
        <v>0</v>
      </c>
      <c r="BU110" s="186">
        <v>0</v>
      </c>
      <c r="BV110" s="186">
        <v>0</v>
      </c>
      <c r="BW110" s="186">
        <v>0</v>
      </c>
      <c r="BX110" s="186">
        <v>0</v>
      </c>
      <c r="BY110" s="186">
        <v>0</v>
      </c>
      <c r="BZ110" s="186">
        <v>0</v>
      </c>
      <c r="CA110" s="186">
        <v>0</v>
      </c>
      <c r="CB110" s="186">
        <v>0</v>
      </c>
      <c r="CC110" s="186">
        <v>0</v>
      </c>
      <c r="CD110" s="186">
        <v>0</v>
      </c>
      <c r="CE110" s="186">
        <v>0</v>
      </c>
      <c r="CF110" s="186">
        <v>0</v>
      </c>
      <c r="CG110" s="186">
        <v>0</v>
      </c>
      <c r="CH110" s="186">
        <v>0</v>
      </c>
      <c r="CI110" s="186">
        <v>0</v>
      </c>
      <c r="CJ110" s="186">
        <v>0</v>
      </c>
      <c r="CK110" s="186">
        <v>0</v>
      </c>
      <c r="CL110" s="186">
        <v>0</v>
      </c>
      <c r="CM110" s="186">
        <v>0</v>
      </c>
      <c r="CN110" s="186">
        <v>0</v>
      </c>
      <c r="CO110" s="186">
        <v>0</v>
      </c>
      <c r="CP110" s="186">
        <v>0</v>
      </c>
      <c r="CQ110" s="186">
        <v>0</v>
      </c>
      <c r="CR110" s="186">
        <v>0</v>
      </c>
      <c r="CS110" s="186">
        <v>0</v>
      </c>
      <c r="CT110" s="186">
        <v>0</v>
      </c>
      <c r="CU110" s="186">
        <v>0</v>
      </c>
      <c r="CV110" s="186">
        <v>0</v>
      </c>
    </row>
    <row r="111" spans="1:100">
      <c r="A111" s="541" t="str">
        <f t="shared" si="1"/>
        <v>1650599</v>
      </c>
      <c r="B111" s="541" t="s">
        <v>1515</v>
      </c>
      <c r="C111" s="463" t="s">
        <v>672</v>
      </c>
      <c r="D111" s="397">
        <v>0</v>
      </c>
      <c r="E111" s="397">
        <v>0</v>
      </c>
      <c r="F111" s="397">
        <v>0</v>
      </c>
      <c r="G111" s="397">
        <v>0</v>
      </c>
      <c r="H111" s="397">
        <v>0</v>
      </c>
      <c r="I111" s="397">
        <v>3780.46</v>
      </c>
      <c r="J111" s="397">
        <v>3780.46</v>
      </c>
      <c r="K111" s="397">
        <v>2835.34</v>
      </c>
      <c r="L111" s="397">
        <v>2520.3000000000002</v>
      </c>
      <c r="M111" s="397">
        <v>2015.65</v>
      </c>
      <c r="N111" s="397">
        <v>1700.61</v>
      </c>
      <c r="O111" s="397">
        <v>1385.57</v>
      </c>
      <c r="P111" s="398">
        <v>1070.53</v>
      </c>
      <c r="Q111" s="186">
        <v>755.49</v>
      </c>
      <c r="R111" s="186">
        <v>440.45</v>
      </c>
      <c r="S111" s="186">
        <v>125.41</v>
      </c>
      <c r="T111" s="186">
        <v>-189.63</v>
      </c>
      <c r="U111" s="186">
        <v>-504.67</v>
      </c>
      <c r="V111" s="186">
        <v>0</v>
      </c>
      <c r="W111" s="186">
        <v>1475458.46</v>
      </c>
      <c r="X111" s="186">
        <v>1339699.05</v>
      </c>
      <c r="Y111" s="186">
        <v>1203939.6399999999</v>
      </c>
      <c r="Z111" s="186">
        <v>1068180.23</v>
      </c>
      <c r="AA111" s="186">
        <v>932420.82</v>
      </c>
      <c r="AB111" s="186">
        <v>796661.44</v>
      </c>
      <c r="AC111" s="186">
        <v>661824.04</v>
      </c>
      <c r="AD111" s="186">
        <v>526081.9</v>
      </c>
      <c r="AE111" s="186">
        <v>390339.78</v>
      </c>
      <c r="AF111" s="186">
        <v>321294.40999999997</v>
      </c>
      <c r="AG111" s="186">
        <v>186105.79</v>
      </c>
      <c r="AH111" s="186">
        <v>52475.59</v>
      </c>
      <c r="AI111" s="186">
        <v>1406006.63</v>
      </c>
      <c r="AJ111" s="186">
        <v>1279284.32</v>
      </c>
      <c r="AK111" s="186">
        <v>1148904.1299999999</v>
      </c>
      <c r="AL111" s="186">
        <v>1019301.82</v>
      </c>
      <c r="AM111" s="186">
        <v>889699.51</v>
      </c>
      <c r="AN111" s="186">
        <v>1805779.65</v>
      </c>
      <c r="AO111" s="186">
        <v>1604154.32</v>
      </c>
      <c r="AP111" s="186">
        <v>1157541.3600000001</v>
      </c>
      <c r="AQ111" s="186">
        <v>1003395.93</v>
      </c>
      <c r="AR111" s="186">
        <v>873665.49</v>
      </c>
      <c r="AS111" s="186">
        <v>744269.69</v>
      </c>
      <c r="AT111" s="186">
        <v>614976.96</v>
      </c>
      <c r="AU111" s="186">
        <v>523500.21</v>
      </c>
      <c r="AV111" s="186">
        <v>397141.88</v>
      </c>
      <c r="AW111" s="186">
        <v>267963.33</v>
      </c>
      <c r="AX111" s="186">
        <v>138784.78</v>
      </c>
      <c r="AY111" s="186">
        <v>9606.23</v>
      </c>
      <c r="AZ111" s="186">
        <v>879739.83</v>
      </c>
      <c r="BA111" s="186">
        <v>1445318.78</v>
      </c>
      <c r="BB111" s="186">
        <v>1302159.8</v>
      </c>
      <c r="BC111" s="186">
        <v>1164520.72</v>
      </c>
      <c r="BD111" s="186">
        <v>1020090.27</v>
      </c>
      <c r="BE111" s="186">
        <v>881423.54</v>
      </c>
      <c r="BF111" s="186">
        <v>735131.63</v>
      </c>
      <c r="BG111" s="186">
        <v>588839.72</v>
      </c>
      <c r="BH111" s="186">
        <v>452513.08</v>
      </c>
      <c r="BI111" s="186">
        <v>314200.14</v>
      </c>
      <c r="BJ111" s="186">
        <v>166027.70000000001</v>
      </c>
      <c r="BK111" s="186">
        <v>17855.259999999998</v>
      </c>
      <c r="BL111" s="186">
        <v>75428.160000000003</v>
      </c>
      <c r="BM111" s="186">
        <v>1705445.95</v>
      </c>
      <c r="BN111" s="186">
        <v>1575414.92</v>
      </c>
      <c r="BO111" s="186">
        <v>1399338.11</v>
      </c>
      <c r="BP111" s="186">
        <v>1222824.17</v>
      </c>
      <c r="BQ111" s="186">
        <v>1046064.98</v>
      </c>
      <c r="BR111" s="186">
        <v>875121.34</v>
      </c>
      <c r="BS111" s="186">
        <v>721202.42</v>
      </c>
      <c r="BT111" s="186">
        <v>547447.39</v>
      </c>
      <c r="BU111" s="186">
        <v>370719.81</v>
      </c>
      <c r="BV111" s="186">
        <v>194298.8</v>
      </c>
      <c r="BW111" s="186">
        <v>21309.49</v>
      </c>
      <c r="BX111" s="186">
        <v>895645.02</v>
      </c>
      <c r="BY111" s="186">
        <v>2464223.79</v>
      </c>
      <c r="BZ111" s="186">
        <v>2359808.52</v>
      </c>
      <c r="CA111" s="186">
        <v>2133363.6</v>
      </c>
      <c r="CB111" s="186">
        <v>1906918.68</v>
      </c>
      <c r="CC111" s="186">
        <v>1685241.34</v>
      </c>
      <c r="CD111" s="186">
        <v>1395439.89</v>
      </c>
      <c r="CE111" s="186">
        <v>1158275.7</v>
      </c>
      <c r="CF111" s="186">
        <v>918815.87</v>
      </c>
      <c r="CG111" s="186">
        <v>711598.02</v>
      </c>
      <c r="CH111" s="186">
        <v>468967.95</v>
      </c>
      <c r="CI111" s="186">
        <v>227660.84</v>
      </c>
      <c r="CJ111" s="186">
        <v>88652.64</v>
      </c>
      <c r="CK111" s="186">
        <v>1617896.81</v>
      </c>
      <c r="CL111" s="186">
        <v>1476991.47</v>
      </c>
      <c r="CM111" s="186">
        <v>1198493.56</v>
      </c>
      <c r="CN111" s="186">
        <v>919995.65</v>
      </c>
      <c r="CO111" s="186">
        <v>675589.91</v>
      </c>
      <c r="CP111" s="186">
        <v>571916.23</v>
      </c>
      <c r="CQ111" s="186">
        <v>3320485.75</v>
      </c>
      <c r="CR111" s="186">
        <v>2975921.15</v>
      </c>
      <c r="CS111" s="186">
        <v>2575747.83</v>
      </c>
      <c r="CT111" s="186">
        <v>2175868.6800000002</v>
      </c>
      <c r="CU111" s="186">
        <v>1778930.33</v>
      </c>
      <c r="CV111" s="186">
        <v>1478700.95</v>
      </c>
    </row>
    <row r="112" spans="1:100">
      <c r="A112" s="541" t="str">
        <f t="shared" si="1"/>
        <v>1650800</v>
      </c>
      <c r="B112" s="541" t="s">
        <v>1516</v>
      </c>
      <c r="C112" s="463" t="s">
        <v>673</v>
      </c>
      <c r="D112" s="397">
        <v>197100</v>
      </c>
      <c r="E112" s="397">
        <v>0</v>
      </c>
      <c r="F112" s="397">
        <v>0</v>
      </c>
      <c r="G112" s="397">
        <v>57754.33</v>
      </c>
      <c r="H112" s="397">
        <v>57754.33</v>
      </c>
      <c r="I112" s="397">
        <v>57754.33</v>
      </c>
      <c r="J112" s="397">
        <v>158115.13</v>
      </c>
      <c r="K112" s="397">
        <v>123055.02</v>
      </c>
      <c r="L112" s="397">
        <v>74894.600000000006</v>
      </c>
      <c r="M112" s="397">
        <v>64833.1</v>
      </c>
      <c r="N112" s="397">
        <v>43222.05</v>
      </c>
      <c r="O112" s="397">
        <v>33161.730000000003</v>
      </c>
      <c r="P112" s="398">
        <v>490822.36</v>
      </c>
      <c r="Q112" s="186">
        <v>338902.77</v>
      </c>
      <c r="R112" s="186">
        <v>308093.43</v>
      </c>
      <c r="S112" s="186">
        <v>277284.09000000003</v>
      </c>
      <c r="T112" s="186">
        <v>342601.68</v>
      </c>
      <c r="U112" s="186">
        <v>381891.77</v>
      </c>
      <c r="V112" s="186">
        <v>333058</v>
      </c>
      <c r="W112" s="186">
        <v>353513.69</v>
      </c>
      <c r="X112" s="186">
        <v>298380.88</v>
      </c>
      <c r="Y112" s="186">
        <v>275293.07</v>
      </c>
      <c r="Z112" s="186">
        <v>217489.84</v>
      </c>
      <c r="AA112" s="186">
        <v>159686.60999999999</v>
      </c>
      <c r="AB112" s="186">
        <v>825244.76</v>
      </c>
      <c r="AC112" s="186">
        <v>576466.67000000004</v>
      </c>
      <c r="AD112" s="186">
        <v>492061.85</v>
      </c>
      <c r="AE112" s="186">
        <v>607756.53</v>
      </c>
      <c r="AF112" s="186">
        <v>469743.82</v>
      </c>
      <c r="AG112" s="186">
        <v>433491.35</v>
      </c>
      <c r="AH112" s="186">
        <v>372042.72</v>
      </c>
      <c r="AI112" s="186">
        <v>347635.65</v>
      </c>
      <c r="AJ112" s="186">
        <v>298269.33</v>
      </c>
      <c r="AK112" s="186">
        <v>280821.48</v>
      </c>
      <c r="AL112" s="186">
        <v>174647.21</v>
      </c>
      <c r="AM112" s="186">
        <v>271421.44</v>
      </c>
      <c r="AN112" s="186">
        <v>491255.89</v>
      </c>
      <c r="AO112" s="186">
        <v>763937.12</v>
      </c>
      <c r="AP112" s="186">
        <v>992080.98</v>
      </c>
      <c r="AQ112" s="186">
        <v>997017.17</v>
      </c>
      <c r="AR112" s="186">
        <v>845100.35</v>
      </c>
      <c r="AS112" s="186">
        <v>758578.86</v>
      </c>
      <c r="AT112" s="186">
        <v>667625.72</v>
      </c>
      <c r="AU112" s="186">
        <v>588781.56999999995</v>
      </c>
      <c r="AV112" s="186">
        <v>491057.66</v>
      </c>
      <c r="AW112" s="186">
        <v>393333.75</v>
      </c>
      <c r="AX112" s="186">
        <v>276254.15000000002</v>
      </c>
      <c r="AY112" s="186">
        <v>178141.1</v>
      </c>
      <c r="AZ112" s="186">
        <v>363526.65</v>
      </c>
      <c r="BA112" s="186">
        <v>787445.95</v>
      </c>
      <c r="BB112" s="186">
        <v>987986.37</v>
      </c>
      <c r="BC112" s="186">
        <v>1172019.8</v>
      </c>
      <c r="BD112" s="186">
        <v>972902.87</v>
      </c>
      <c r="BE112" s="186">
        <v>888143.13</v>
      </c>
      <c r="BF112" s="186">
        <v>710763.53</v>
      </c>
      <c r="BG112" s="186">
        <v>508609.61</v>
      </c>
      <c r="BH112" s="186">
        <v>449339.42</v>
      </c>
      <c r="BI112" s="186">
        <v>347392.91</v>
      </c>
      <c r="BJ112" s="186">
        <v>277705.93</v>
      </c>
      <c r="BK112" s="186">
        <v>175759.42</v>
      </c>
      <c r="BL112" s="186">
        <v>278213.7</v>
      </c>
      <c r="BM112" s="186">
        <v>136401.48000000001</v>
      </c>
      <c r="BN112" s="186">
        <v>896065.26</v>
      </c>
      <c r="BO112" s="186">
        <v>830429.63</v>
      </c>
      <c r="BP112" s="186">
        <v>694410.62</v>
      </c>
      <c r="BQ112" s="186">
        <v>615895.75</v>
      </c>
      <c r="BR112" s="186">
        <v>537380.88</v>
      </c>
      <c r="BS112" s="186">
        <v>552272.93000000005</v>
      </c>
      <c r="BT112" s="186">
        <v>707771.26</v>
      </c>
      <c r="BU112" s="186">
        <v>897269.59</v>
      </c>
      <c r="BV112" s="186">
        <v>758763.78</v>
      </c>
      <c r="BW112" s="186">
        <v>677762.11</v>
      </c>
      <c r="BX112" s="186">
        <v>253176.9</v>
      </c>
      <c r="BY112" s="186">
        <v>839523.6</v>
      </c>
      <c r="BZ112" s="186">
        <v>841449.27</v>
      </c>
      <c r="CA112" s="186">
        <v>950870.19</v>
      </c>
      <c r="CB112" s="186">
        <v>792230.11</v>
      </c>
      <c r="CC112" s="186">
        <v>692155.03</v>
      </c>
      <c r="CD112" s="186">
        <v>884523.36</v>
      </c>
      <c r="CE112" s="186">
        <v>677753.68</v>
      </c>
      <c r="CF112" s="186">
        <v>668061.29</v>
      </c>
      <c r="CG112" s="186">
        <v>565399.52</v>
      </c>
      <c r="CH112" s="186">
        <v>357711.75</v>
      </c>
      <c r="CI112" s="186">
        <v>266649.78000000003</v>
      </c>
      <c r="CJ112" s="186">
        <v>522201.96</v>
      </c>
      <c r="CK112" s="186">
        <v>911507.14</v>
      </c>
      <c r="CL112" s="186">
        <v>1174404.8600000001</v>
      </c>
      <c r="CM112" s="186">
        <v>1284402.1000000001</v>
      </c>
      <c r="CN112" s="186">
        <v>1303245.05</v>
      </c>
      <c r="CO112" s="186">
        <v>1150437.48</v>
      </c>
      <c r="CP112" s="186">
        <v>1086649.8799999999</v>
      </c>
      <c r="CQ112" s="186">
        <v>909766.41</v>
      </c>
      <c r="CR112" s="186">
        <v>884902.52</v>
      </c>
      <c r="CS112" s="186">
        <v>757164.42</v>
      </c>
      <c r="CT112" s="186">
        <v>546830.56999999995</v>
      </c>
      <c r="CU112" s="186">
        <v>515342.47</v>
      </c>
      <c r="CV112" s="186">
        <v>1012319.19</v>
      </c>
    </row>
    <row r="113" spans="1:100">
      <c r="A113" s="541" t="str">
        <f t="shared" si="1"/>
        <v>1720101</v>
      </c>
      <c r="B113" s="541" t="s">
        <v>1598</v>
      </c>
      <c r="C113" s="510" t="s">
        <v>1464</v>
      </c>
      <c r="D113" s="397"/>
      <c r="E113" s="397"/>
      <c r="F113" s="397"/>
      <c r="G113" s="397"/>
      <c r="H113" s="397"/>
      <c r="I113" s="397"/>
      <c r="J113" s="397"/>
      <c r="K113" s="397"/>
      <c r="L113" s="397"/>
      <c r="M113" s="397"/>
      <c r="N113" s="397"/>
      <c r="O113" s="397"/>
      <c r="P113" s="398"/>
      <c r="Q113" s="186"/>
      <c r="R113" s="186"/>
      <c r="S113" s="186"/>
      <c r="T113" s="186"/>
      <c r="U113" s="186"/>
      <c r="V113" s="186"/>
      <c r="W113" s="186"/>
      <c r="X113" s="186"/>
      <c r="Y113" s="186"/>
      <c r="Z113" s="186"/>
      <c r="AA113" s="186"/>
      <c r="AB113" s="186"/>
      <c r="AC113" s="186"/>
      <c r="AD113" s="186"/>
      <c r="AE113" s="186"/>
      <c r="AF113" s="186">
        <v>0</v>
      </c>
      <c r="AG113" s="186">
        <v>0</v>
      </c>
      <c r="AH113" s="511">
        <v>454460</v>
      </c>
      <c r="AI113" s="511">
        <v>480320</v>
      </c>
      <c r="AJ113" s="511">
        <v>506181</v>
      </c>
      <c r="AK113" s="511">
        <v>719930</v>
      </c>
      <c r="AL113" s="525">
        <v>777106</v>
      </c>
      <c r="AM113" s="525">
        <v>984015</v>
      </c>
      <c r="AN113" s="525">
        <v>1050147</v>
      </c>
      <c r="AO113" s="525">
        <v>1160341</v>
      </c>
      <c r="AP113" s="525">
        <v>1237678</v>
      </c>
      <c r="AQ113" s="525">
        <v>1315014</v>
      </c>
      <c r="AR113" s="525">
        <v>1335544</v>
      </c>
      <c r="AS113" s="525">
        <v>1356074</v>
      </c>
      <c r="AT113" s="525">
        <v>1376603</v>
      </c>
      <c r="AU113" s="525">
        <v>1397132</v>
      </c>
      <c r="AV113" s="525">
        <v>1417661</v>
      </c>
      <c r="AW113" s="525">
        <v>1438191</v>
      </c>
      <c r="AX113" s="525">
        <v>1438853</v>
      </c>
      <c r="AY113" s="525">
        <v>1439515</v>
      </c>
      <c r="AZ113" s="525">
        <v>1440177</v>
      </c>
      <c r="BA113" s="525">
        <v>1440840</v>
      </c>
      <c r="BB113" s="525">
        <v>1441503</v>
      </c>
      <c r="BC113" s="525">
        <v>1442164</v>
      </c>
      <c r="BD113" s="525">
        <v>1442827</v>
      </c>
      <c r="BE113" s="525">
        <v>1443489</v>
      </c>
      <c r="BF113" s="525">
        <v>1444152</v>
      </c>
      <c r="BG113" s="525">
        <v>1444813</v>
      </c>
      <c r="BH113" s="525">
        <v>1445476</v>
      </c>
      <c r="BI113" s="525">
        <v>1446139</v>
      </c>
      <c r="BJ113" s="525">
        <v>1446801</v>
      </c>
      <c r="BK113" s="525">
        <v>1447463</v>
      </c>
      <c r="BL113" s="525">
        <v>1448125</v>
      </c>
      <c r="BM113" s="525">
        <v>1448788</v>
      </c>
      <c r="BN113" s="525">
        <v>1449450</v>
      </c>
      <c r="BO113" s="525">
        <v>1450112</v>
      </c>
      <c r="BP113" s="525">
        <v>1435096</v>
      </c>
      <c r="BQ113" s="525">
        <v>1420081</v>
      </c>
      <c r="BR113" s="525">
        <v>1405066</v>
      </c>
      <c r="BS113" s="525">
        <v>1390050</v>
      </c>
      <c r="BT113" s="525">
        <v>1375034</v>
      </c>
      <c r="BU113" s="525">
        <v>1360018</v>
      </c>
      <c r="BV113" s="525">
        <v>1339520</v>
      </c>
      <c r="BW113" s="525">
        <v>1319021</v>
      </c>
      <c r="BX113" s="525">
        <v>1298523</v>
      </c>
      <c r="BY113" s="525">
        <v>1278025</v>
      </c>
      <c r="BZ113" s="525">
        <v>425128</v>
      </c>
      <c r="CA113" s="525">
        <v>1237027</v>
      </c>
      <c r="CB113" s="525">
        <v>1232206</v>
      </c>
      <c r="CC113" s="525">
        <v>1227386</v>
      </c>
      <c r="CD113" s="525">
        <v>1222565</v>
      </c>
      <c r="CE113" s="525">
        <v>1217744</v>
      </c>
      <c r="CF113" s="525">
        <v>1212923</v>
      </c>
      <c r="CG113" s="525">
        <v>1208103</v>
      </c>
      <c r="CH113" s="525">
        <v>1208766</v>
      </c>
      <c r="CI113" s="525">
        <v>1209427</v>
      </c>
      <c r="CJ113" s="525">
        <v>1210090</v>
      </c>
      <c r="CK113" s="525">
        <v>1210752</v>
      </c>
      <c r="CL113" s="525">
        <v>1211415</v>
      </c>
      <c r="CM113" s="525">
        <v>1212076</v>
      </c>
      <c r="CN113" s="525">
        <v>1212739</v>
      </c>
      <c r="CO113" s="525">
        <v>1213402</v>
      </c>
      <c r="CP113" s="525">
        <v>1214064</v>
      </c>
      <c r="CQ113" s="525">
        <v>1214726</v>
      </c>
      <c r="CR113" s="525">
        <v>1215388</v>
      </c>
      <c r="CS113" s="525">
        <v>1216051</v>
      </c>
      <c r="CT113" s="525">
        <v>1216713</v>
      </c>
      <c r="CU113" s="525">
        <v>1217375</v>
      </c>
      <c r="CV113" s="525">
        <v>1218037</v>
      </c>
    </row>
    <row r="114" spans="1:100">
      <c r="A114" s="541" t="str">
        <f t="shared" si="1"/>
        <v>1720201</v>
      </c>
      <c r="B114" s="541" t="s">
        <v>1599</v>
      </c>
      <c r="C114" s="510" t="s">
        <v>1465</v>
      </c>
      <c r="D114" s="397"/>
      <c r="E114" s="397"/>
      <c r="F114" s="397"/>
      <c r="G114" s="397"/>
      <c r="H114" s="397"/>
      <c r="I114" s="397"/>
      <c r="J114" s="397"/>
      <c r="K114" s="397"/>
      <c r="L114" s="397"/>
      <c r="M114" s="397"/>
      <c r="N114" s="397"/>
      <c r="O114" s="397"/>
      <c r="P114" s="398"/>
      <c r="Q114" s="186"/>
      <c r="R114" s="186"/>
      <c r="S114" s="186"/>
      <c r="T114" s="186"/>
      <c r="U114" s="186"/>
      <c r="V114" s="186"/>
      <c r="W114" s="186"/>
      <c r="X114" s="186"/>
      <c r="Y114" s="186"/>
      <c r="Z114" s="186"/>
      <c r="AA114" s="186"/>
      <c r="AB114" s="186"/>
      <c r="AC114" s="186"/>
      <c r="AD114" s="186"/>
      <c r="AE114" s="186"/>
      <c r="AF114" s="186">
        <v>0</v>
      </c>
      <c r="AG114" s="186">
        <v>0</v>
      </c>
      <c r="AH114" s="511">
        <v>18028986</v>
      </c>
      <c r="AI114" s="511">
        <v>17971811</v>
      </c>
      <c r="AJ114" s="511">
        <v>17914635</v>
      </c>
      <c r="AK114" s="511">
        <v>17669571</v>
      </c>
      <c r="AL114" s="525">
        <v>17581081</v>
      </c>
      <c r="AM114" s="525">
        <v>23818101</v>
      </c>
      <c r="AN114" s="525">
        <v>23709701</v>
      </c>
      <c r="AO114" s="525">
        <v>23556827</v>
      </c>
      <c r="AP114" s="525">
        <v>23436811</v>
      </c>
      <c r="AQ114" s="525">
        <v>23316796</v>
      </c>
      <c r="AR114" s="525">
        <v>23196780</v>
      </c>
      <c r="AS114" s="525">
        <v>23076764</v>
      </c>
      <c r="AT114" s="525">
        <v>22956749</v>
      </c>
      <c r="AU114" s="525">
        <v>22836734</v>
      </c>
      <c r="AV114" s="525">
        <v>22716719</v>
      </c>
      <c r="AW114" s="525">
        <v>22596703</v>
      </c>
      <c r="AX114" s="525">
        <v>22476688</v>
      </c>
      <c r="AY114" s="525">
        <v>22356673</v>
      </c>
      <c r="AZ114" s="525">
        <v>22236658</v>
      </c>
      <c r="BA114" s="525">
        <v>22115980</v>
      </c>
      <c r="BB114" s="525">
        <v>21995302</v>
      </c>
      <c r="BC114" s="525">
        <v>21874626</v>
      </c>
      <c r="BD114" s="525">
        <v>21753948</v>
      </c>
      <c r="BE114" s="525">
        <v>21633271</v>
      </c>
      <c r="BF114" s="525">
        <v>21512587</v>
      </c>
      <c r="BG114" s="525">
        <v>21391910</v>
      </c>
      <c r="BH114" s="525">
        <v>21271232</v>
      </c>
      <c r="BI114" s="525">
        <v>21150554</v>
      </c>
      <c r="BJ114" s="525">
        <v>21029877</v>
      </c>
      <c r="BK114" s="525">
        <v>20909200</v>
      </c>
      <c r="BL114" s="525">
        <v>20788523</v>
      </c>
      <c r="BM114" s="525">
        <v>20667182</v>
      </c>
      <c r="BN114" s="525">
        <v>20545842</v>
      </c>
      <c r="BO114" s="525">
        <v>20424502</v>
      </c>
      <c r="BP114" s="525">
        <v>20318840</v>
      </c>
      <c r="BQ114" s="525">
        <v>20213177</v>
      </c>
      <c r="BR114" s="525">
        <v>20107514</v>
      </c>
      <c r="BS114" s="525">
        <v>20001853</v>
      </c>
      <c r="BT114" s="525">
        <v>19896192</v>
      </c>
      <c r="BU114" s="525">
        <v>19790531</v>
      </c>
      <c r="BV114" s="525">
        <v>19690351</v>
      </c>
      <c r="BW114" s="525">
        <v>19590172</v>
      </c>
      <c r="BX114" s="525">
        <v>19489992</v>
      </c>
      <c r="BY114" s="525">
        <v>19389149</v>
      </c>
      <c r="BZ114" s="525">
        <v>20120706</v>
      </c>
      <c r="CA114" s="525">
        <v>19187466</v>
      </c>
      <c r="CB114" s="525">
        <v>19086624</v>
      </c>
      <c r="CC114" s="525">
        <v>18985782</v>
      </c>
      <c r="CD114" s="525">
        <v>18884940</v>
      </c>
      <c r="CE114" s="525">
        <v>18784098</v>
      </c>
      <c r="CF114" s="525">
        <v>18683256</v>
      </c>
      <c r="CG114" s="525">
        <v>18582413</v>
      </c>
      <c r="CH114" s="525">
        <v>18481571</v>
      </c>
      <c r="CI114" s="525">
        <v>18380731</v>
      </c>
      <c r="CJ114" s="525">
        <v>18279889</v>
      </c>
      <c r="CK114" s="525">
        <v>18178386</v>
      </c>
      <c r="CL114" s="525">
        <v>18076881</v>
      </c>
      <c r="CM114" s="525">
        <v>17975379</v>
      </c>
      <c r="CN114" s="525">
        <v>17873875</v>
      </c>
      <c r="CO114" s="525">
        <v>17772371</v>
      </c>
      <c r="CP114" s="525">
        <v>17670868</v>
      </c>
      <c r="CQ114" s="525">
        <v>17569365</v>
      </c>
      <c r="CR114" s="525">
        <v>17467862</v>
      </c>
      <c r="CS114" s="525">
        <v>17366358</v>
      </c>
      <c r="CT114" s="525">
        <v>17264855</v>
      </c>
      <c r="CU114" s="525">
        <v>17163352</v>
      </c>
      <c r="CV114" s="525">
        <v>17061849</v>
      </c>
    </row>
    <row r="115" spans="1:100">
      <c r="A115" s="541" t="str">
        <f t="shared" si="1"/>
        <v>1720202</v>
      </c>
      <c r="B115" s="541" t="s">
        <v>1517</v>
      </c>
      <c r="C115" s="510" t="s">
        <v>1466</v>
      </c>
      <c r="D115" s="397"/>
      <c r="E115" s="397"/>
      <c r="F115" s="397"/>
      <c r="G115" s="397"/>
      <c r="H115" s="397"/>
      <c r="I115" s="397"/>
      <c r="J115" s="397"/>
      <c r="K115" s="397"/>
      <c r="L115" s="397"/>
      <c r="M115" s="397"/>
      <c r="N115" s="397"/>
      <c r="O115" s="397"/>
      <c r="P115" s="398"/>
      <c r="Q115" s="186"/>
      <c r="R115" s="186"/>
      <c r="S115" s="186"/>
      <c r="T115" s="186"/>
      <c r="U115" s="186"/>
      <c r="V115" s="186"/>
      <c r="W115" s="186"/>
      <c r="X115" s="186"/>
      <c r="Y115" s="186"/>
      <c r="Z115" s="186"/>
      <c r="AA115" s="186"/>
      <c r="AB115" s="186"/>
      <c r="AC115" s="186"/>
      <c r="AD115" s="186"/>
      <c r="AE115" s="186"/>
      <c r="AF115" s="186">
        <v>0</v>
      </c>
      <c r="AG115" s="186">
        <v>0</v>
      </c>
      <c r="AH115" s="511">
        <v>-10529937</v>
      </c>
      <c r="AI115" s="511">
        <v>-10464217</v>
      </c>
      <c r="AJ115" s="511">
        <v>-10398213</v>
      </c>
      <c r="AK115" s="511">
        <v>-10331923</v>
      </c>
      <c r="AL115" s="525">
        <v>-10265344</v>
      </c>
      <c r="AM115" s="525">
        <v>-13905135</v>
      </c>
      <c r="AN115" s="525">
        <v>-13815080</v>
      </c>
      <c r="AO115" s="525">
        <v>-13724630</v>
      </c>
      <c r="AP115" s="525">
        <v>-13633785</v>
      </c>
      <c r="AQ115" s="525">
        <v>-13542542</v>
      </c>
      <c r="AR115" s="525">
        <v>-13450898</v>
      </c>
      <c r="AS115" s="525">
        <v>-13359319</v>
      </c>
      <c r="AT115" s="525">
        <v>-13267805</v>
      </c>
      <c r="AU115" s="525">
        <v>-13176357</v>
      </c>
      <c r="AV115" s="525">
        <v>-13084976</v>
      </c>
      <c r="AW115" s="525">
        <v>-12993662</v>
      </c>
      <c r="AX115" s="525">
        <v>-12902415</v>
      </c>
      <c r="AY115" s="525">
        <v>-12811400</v>
      </c>
      <c r="AZ115" s="525">
        <v>-12720619</v>
      </c>
      <c r="BA115" s="525">
        <v>-12630075</v>
      </c>
      <c r="BB115" s="525">
        <v>-12539774</v>
      </c>
      <c r="BC115" s="525">
        <v>-12449719</v>
      </c>
      <c r="BD115" s="525">
        <v>-12359911</v>
      </c>
      <c r="BE115" s="525">
        <v>-12270354</v>
      </c>
      <c r="BF115" s="525">
        <v>-12181047</v>
      </c>
      <c r="BG115" s="525">
        <v>-12091994</v>
      </c>
      <c r="BH115" s="525">
        <v>-12003197</v>
      </c>
      <c r="BI115" s="525">
        <v>-11914658</v>
      </c>
      <c r="BJ115" s="525">
        <v>-11826379</v>
      </c>
      <c r="BK115" s="525">
        <v>-11738362</v>
      </c>
      <c r="BL115" s="525">
        <v>-11650609</v>
      </c>
      <c r="BM115" s="525">
        <v>-11563124</v>
      </c>
      <c r="BN115" s="525">
        <v>-11475913</v>
      </c>
      <c r="BO115" s="525">
        <v>-11388978</v>
      </c>
      <c r="BP115" s="525">
        <v>-11302322</v>
      </c>
      <c r="BQ115" s="525">
        <v>-11215947</v>
      </c>
      <c r="BR115" s="525">
        <v>-11129856</v>
      </c>
      <c r="BS115" s="525">
        <v>-11044051</v>
      </c>
      <c r="BT115" s="525">
        <v>-10958534</v>
      </c>
      <c r="BU115" s="525">
        <v>-10873308</v>
      </c>
      <c r="BV115" s="525">
        <v>-10788374</v>
      </c>
      <c r="BW115" s="525">
        <v>-10703736</v>
      </c>
      <c r="BX115" s="525">
        <v>-10619395</v>
      </c>
      <c r="BY115" s="525">
        <v>-10535355</v>
      </c>
      <c r="BZ115" s="525">
        <v>-10451623</v>
      </c>
      <c r="CA115" s="525">
        <v>-10368201</v>
      </c>
      <c r="CB115" s="525">
        <v>-10285093</v>
      </c>
      <c r="CC115" s="525">
        <v>-10202172</v>
      </c>
      <c r="CD115" s="525">
        <v>-10119439</v>
      </c>
      <c r="CE115" s="525">
        <v>-10036895</v>
      </c>
      <c r="CF115" s="525">
        <v>-9954542</v>
      </c>
      <c r="CG115" s="525">
        <v>-9872382</v>
      </c>
      <c r="CH115" s="525">
        <v>-9790417</v>
      </c>
      <c r="CI115" s="525">
        <v>-9708602</v>
      </c>
      <c r="CJ115" s="525">
        <v>-9626825</v>
      </c>
      <c r="CK115" s="525">
        <v>-9545429</v>
      </c>
      <c r="CL115" s="525">
        <v>-9464078</v>
      </c>
      <c r="CM115" s="525">
        <v>-9382889</v>
      </c>
      <c r="CN115" s="525">
        <v>-9301862</v>
      </c>
      <c r="CO115" s="525">
        <v>-9220998</v>
      </c>
      <c r="CP115" s="525">
        <v>-9140300</v>
      </c>
      <c r="CQ115" s="525">
        <v>-9059768</v>
      </c>
      <c r="CR115" s="525">
        <v>-8979404</v>
      </c>
      <c r="CS115" s="525">
        <v>-8899209</v>
      </c>
      <c r="CT115" s="525">
        <v>-8819185</v>
      </c>
      <c r="CU115" s="525">
        <v>-8739332</v>
      </c>
      <c r="CV115" s="525">
        <v>-8659654</v>
      </c>
    </row>
    <row r="116" spans="1:100">
      <c r="A116" s="541" t="str">
        <f t="shared" si="1"/>
        <v>1730100</v>
      </c>
      <c r="B116" s="541" t="s">
        <v>1600</v>
      </c>
      <c r="C116" s="463" t="s">
        <v>674</v>
      </c>
      <c r="D116" s="397">
        <v>10453804</v>
      </c>
      <c r="E116" s="397">
        <v>14121424</v>
      </c>
      <c r="F116" s="397">
        <v>14501272</v>
      </c>
      <c r="G116" s="397">
        <v>12210429</v>
      </c>
      <c r="H116" s="397">
        <v>11264410</v>
      </c>
      <c r="I116" s="397">
        <v>9588042</v>
      </c>
      <c r="J116" s="397">
        <v>9309625</v>
      </c>
      <c r="K116" s="397">
        <v>8689961</v>
      </c>
      <c r="L116" s="397">
        <v>8265612</v>
      </c>
      <c r="M116" s="397">
        <v>8573106</v>
      </c>
      <c r="N116" s="397">
        <v>8758043</v>
      </c>
      <c r="O116" s="397">
        <v>9690129</v>
      </c>
      <c r="P116" s="398">
        <v>12160508</v>
      </c>
      <c r="Q116" s="186">
        <v>13773698</v>
      </c>
      <c r="R116" s="186">
        <v>13842191</v>
      </c>
      <c r="S116" s="186">
        <v>13153486</v>
      </c>
      <c r="T116" s="186">
        <v>10396447</v>
      </c>
      <c r="U116" s="186">
        <v>8997653</v>
      </c>
      <c r="V116" s="186">
        <v>9318367</v>
      </c>
      <c r="W116" s="186">
        <v>8578586</v>
      </c>
      <c r="X116" s="186">
        <v>8605700</v>
      </c>
      <c r="Y116" s="186">
        <v>8467002</v>
      </c>
      <c r="Z116" s="186">
        <v>8631054</v>
      </c>
      <c r="AA116" s="186">
        <v>9332814</v>
      </c>
      <c r="AB116" s="186">
        <v>10568472</v>
      </c>
      <c r="AC116" s="186">
        <v>13194093</v>
      </c>
      <c r="AD116" s="186">
        <v>14606125</v>
      </c>
      <c r="AE116" s="186">
        <v>12771278</v>
      </c>
      <c r="AF116" s="186">
        <v>11268386</v>
      </c>
      <c r="AG116" s="186">
        <v>9955795</v>
      </c>
      <c r="AH116" s="186">
        <v>9011790</v>
      </c>
      <c r="AI116" s="186">
        <v>8305546</v>
      </c>
      <c r="AJ116" s="186">
        <v>8236893</v>
      </c>
      <c r="AK116" s="186">
        <v>8329332</v>
      </c>
      <c r="AL116" s="186">
        <v>8272996</v>
      </c>
      <c r="AM116" s="186">
        <v>9246536</v>
      </c>
      <c r="AN116" s="186">
        <v>10736588</v>
      </c>
      <c r="AO116" s="186">
        <v>12078768</v>
      </c>
      <c r="AP116" s="186">
        <v>11961224</v>
      </c>
      <c r="AQ116" s="186">
        <v>11195527</v>
      </c>
      <c r="AR116" s="186">
        <v>10986039</v>
      </c>
      <c r="AS116" s="186">
        <v>9783910</v>
      </c>
      <c r="AT116" s="186">
        <v>8920964</v>
      </c>
      <c r="AU116" s="186">
        <v>8405325</v>
      </c>
      <c r="AV116" s="186">
        <v>8345855</v>
      </c>
      <c r="AW116" s="186">
        <v>8880385</v>
      </c>
      <c r="AX116" s="186">
        <v>9055757</v>
      </c>
      <c r="AY116" s="186">
        <v>10184241</v>
      </c>
      <c r="AZ116" s="186">
        <v>12037763</v>
      </c>
      <c r="BA116" s="186">
        <v>16903475</v>
      </c>
      <c r="BB116" s="186">
        <v>15075867</v>
      </c>
      <c r="BC116" s="186">
        <v>12324817</v>
      </c>
      <c r="BD116" s="186">
        <v>12712880</v>
      </c>
      <c r="BE116" s="186">
        <v>10609698</v>
      </c>
      <c r="BF116" s="186">
        <v>9391200</v>
      </c>
      <c r="BG116" s="186">
        <v>9182201</v>
      </c>
      <c r="BH116" s="186">
        <v>8937787</v>
      </c>
      <c r="BI116" s="186">
        <v>8976897</v>
      </c>
      <c r="BJ116" s="186">
        <v>8940430</v>
      </c>
      <c r="BK116" s="186">
        <v>10330350</v>
      </c>
      <c r="BL116" s="186">
        <v>12353298</v>
      </c>
      <c r="BM116" s="186">
        <v>13959659</v>
      </c>
      <c r="BN116" s="186">
        <v>11843869</v>
      </c>
      <c r="BO116" s="186">
        <v>12411808</v>
      </c>
      <c r="BP116" s="186">
        <v>12154083</v>
      </c>
      <c r="BQ116" s="186">
        <v>10937017</v>
      </c>
      <c r="BR116" s="186">
        <v>9590748</v>
      </c>
      <c r="BS116" s="186">
        <v>9249482</v>
      </c>
      <c r="BT116" s="186">
        <v>8624741</v>
      </c>
      <c r="BU116" s="186">
        <v>8918257</v>
      </c>
      <c r="BV116" s="186">
        <v>8868740</v>
      </c>
      <c r="BW116" s="186">
        <v>11408241</v>
      </c>
      <c r="BX116" s="186">
        <v>12585260</v>
      </c>
      <c r="BY116" s="186">
        <v>13948631</v>
      </c>
      <c r="BZ116" s="186">
        <v>13340275</v>
      </c>
      <c r="CA116" s="186">
        <v>11488328</v>
      </c>
      <c r="CB116" s="186">
        <v>10090773</v>
      </c>
      <c r="CC116" s="186">
        <v>9202897</v>
      </c>
      <c r="CD116" s="186">
        <v>9178472</v>
      </c>
      <c r="CE116" s="186">
        <v>8547643</v>
      </c>
      <c r="CF116" s="186">
        <v>8576101</v>
      </c>
      <c r="CG116" s="186">
        <v>8525635</v>
      </c>
      <c r="CH116" s="186">
        <v>9004210</v>
      </c>
      <c r="CI116" s="186">
        <v>10300774</v>
      </c>
      <c r="CJ116" s="186">
        <v>15058285</v>
      </c>
      <c r="CK116" s="186">
        <v>18903678</v>
      </c>
      <c r="CL116" s="186">
        <v>15409592</v>
      </c>
      <c r="CM116" s="186">
        <v>16257338</v>
      </c>
      <c r="CN116" s="186">
        <v>16067614</v>
      </c>
      <c r="CO116" s="186">
        <v>13825000</v>
      </c>
      <c r="CP116" s="186">
        <v>12980495</v>
      </c>
      <c r="CQ116" s="186">
        <v>12554084</v>
      </c>
      <c r="CR116" s="186">
        <v>11932838</v>
      </c>
      <c r="CS116" s="186">
        <v>12452247</v>
      </c>
      <c r="CT116" s="186">
        <v>12150759</v>
      </c>
      <c r="CU116" s="186">
        <v>13785737</v>
      </c>
      <c r="CV116" s="186">
        <v>17180538</v>
      </c>
    </row>
    <row r="117" spans="1:100">
      <c r="A117" s="541" t="str">
        <f t="shared" si="1"/>
        <v>1760100</v>
      </c>
      <c r="B117" s="541" t="s">
        <v>1601</v>
      </c>
      <c r="C117" s="463" t="s">
        <v>675</v>
      </c>
      <c r="D117" s="397">
        <v>1083910</v>
      </c>
      <c r="E117" s="397">
        <v>3450680</v>
      </c>
      <c r="F117" s="397">
        <v>2417910</v>
      </c>
      <c r="G117" s="397">
        <v>1479840</v>
      </c>
      <c r="H117" s="397">
        <v>2610693.6800000002</v>
      </c>
      <c r="I117" s="397">
        <v>1045615</v>
      </c>
      <c r="J117" s="397">
        <v>579510</v>
      </c>
      <c r="K117" s="397">
        <v>0</v>
      </c>
      <c r="L117" s="397">
        <v>4975</v>
      </c>
      <c r="M117" s="397">
        <v>0</v>
      </c>
      <c r="N117" s="397">
        <v>0</v>
      </c>
      <c r="O117" s="397">
        <v>0</v>
      </c>
      <c r="P117" s="398">
        <v>0</v>
      </c>
      <c r="Q117" s="186">
        <v>0</v>
      </c>
      <c r="R117" s="186">
        <v>0</v>
      </c>
      <c r="S117" s="186">
        <v>27523.919999999998</v>
      </c>
      <c r="T117" s="186">
        <v>187787.92</v>
      </c>
      <c r="U117" s="186">
        <v>0</v>
      </c>
      <c r="V117" s="186">
        <v>0</v>
      </c>
      <c r="W117" s="186">
        <v>0</v>
      </c>
      <c r="X117" s="186">
        <v>0</v>
      </c>
      <c r="Y117" s="186">
        <v>0</v>
      </c>
      <c r="Z117" s="186">
        <v>0</v>
      </c>
      <c r="AA117" s="186">
        <v>0</v>
      </c>
      <c r="AB117" s="186">
        <v>0</v>
      </c>
      <c r="AC117" s="186">
        <v>2520</v>
      </c>
      <c r="AD117" s="186">
        <v>0</v>
      </c>
      <c r="AE117" s="186">
        <v>0</v>
      </c>
      <c r="AF117" s="186">
        <v>0</v>
      </c>
      <c r="AG117" s="186">
        <v>3720</v>
      </c>
      <c r="AH117" s="186">
        <v>235290</v>
      </c>
      <c r="AI117" s="186">
        <v>215630</v>
      </c>
      <c r="AJ117" s="186">
        <v>103720</v>
      </c>
      <c r="AK117" s="186">
        <v>63240</v>
      </c>
      <c r="AL117" s="186">
        <v>24520</v>
      </c>
      <c r="AM117" s="186">
        <v>382970</v>
      </c>
      <c r="AN117" s="186">
        <v>1721815</v>
      </c>
      <c r="AO117" s="186">
        <v>428585</v>
      </c>
      <c r="AP117" s="186">
        <v>31520</v>
      </c>
      <c r="AQ117" s="186">
        <v>481000</v>
      </c>
      <c r="AR117" s="186">
        <v>504425</v>
      </c>
      <c r="AS117" s="186">
        <v>161805</v>
      </c>
      <c r="AT117" s="186">
        <v>86755</v>
      </c>
      <c r="AU117" s="186">
        <v>8450</v>
      </c>
      <c r="AV117" s="186">
        <v>94105</v>
      </c>
      <c r="AW117" s="186">
        <v>72175</v>
      </c>
      <c r="AX117" s="186">
        <v>0</v>
      </c>
      <c r="AY117" s="186">
        <v>7230</v>
      </c>
      <c r="AZ117" s="186">
        <v>0</v>
      </c>
      <c r="BA117" s="186">
        <v>77895</v>
      </c>
      <c r="BB117" s="186">
        <v>0</v>
      </c>
      <c r="BC117" s="186">
        <v>0</v>
      </c>
      <c r="BD117" s="186">
        <v>2040</v>
      </c>
      <c r="BE117" s="186">
        <v>20020</v>
      </c>
      <c r="BF117" s="186">
        <v>15330</v>
      </c>
      <c r="BG117" s="186">
        <v>0</v>
      </c>
      <c r="BH117" s="186">
        <v>3500</v>
      </c>
      <c r="BI117" s="186">
        <v>10040</v>
      </c>
      <c r="BJ117" s="186">
        <v>14650</v>
      </c>
      <c r="BK117" s="186">
        <v>0</v>
      </c>
      <c r="BL117" s="186">
        <v>0</v>
      </c>
      <c r="BM117" s="186">
        <v>0</v>
      </c>
      <c r="BN117" s="186">
        <v>0</v>
      </c>
      <c r="BO117" s="186">
        <v>0</v>
      </c>
      <c r="BP117" s="186">
        <v>0</v>
      </c>
      <c r="BQ117" s="186">
        <v>0</v>
      </c>
      <c r="BR117" s="186">
        <v>0</v>
      </c>
      <c r="BS117" s="186">
        <v>0</v>
      </c>
      <c r="BT117" s="186">
        <v>0</v>
      </c>
      <c r="BU117" s="186">
        <v>0</v>
      </c>
      <c r="BV117" s="186">
        <v>0</v>
      </c>
      <c r="BW117" s="186">
        <v>0</v>
      </c>
      <c r="BX117" s="186">
        <v>0</v>
      </c>
      <c r="BY117" s="186">
        <v>0</v>
      </c>
      <c r="BZ117" s="186">
        <v>0</v>
      </c>
      <c r="CA117" s="186">
        <v>0</v>
      </c>
      <c r="CB117" s="186">
        <v>0</v>
      </c>
      <c r="CC117" s="186">
        <v>0</v>
      </c>
      <c r="CD117" s="186">
        <v>0</v>
      </c>
      <c r="CE117" s="186">
        <v>0</v>
      </c>
      <c r="CF117" s="186">
        <v>0</v>
      </c>
      <c r="CG117" s="186">
        <v>0</v>
      </c>
      <c r="CH117" s="186">
        <v>0</v>
      </c>
      <c r="CI117" s="186">
        <v>0</v>
      </c>
      <c r="CJ117" s="186">
        <v>0</v>
      </c>
      <c r="CK117" s="186">
        <v>0</v>
      </c>
      <c r="CL117" s="186">
        <v>0</v>
      </c>
      <c r="CM117" s="186">
        <v>0</v>
      </c>
      <c r="CN117" s="186">
        <v>0</v>
      </c>
      <c r="CO117" s="186">
        <v>0</v>
      </c>
      <c r="CP117" s="186">
        <v>0</v>
      </c>
      <c r="CQ117" s="186">
        <v>0</v>
      </c>
      <c r="CR117" s="186">
        <v>0</v>
      </c>
      <c r="CS117" s="186">
        <v>0</v>
      </c>
      <c r="CT117" s="186">
        <v>0</v>
      </c>
      <c r="CU117" s="186">
        <v>0</v>
      </c>
      <c r="CV117" s="186">
        <v>0</v>
      </c>
    </row>
    <row r="118" spans="1:100">
      <c r="A118" s="541" t="str">
        <f t="shared" si="1"/>
        <v>1760200</v>
      </c>
      <c r="B118" s="541" t="s">
        <v>1518</v>
      </c>
      <c r="C118" s="463" t="s">
        <v>676</v>
      </c>
      <c r="D118" s="397">
        <v>51235</v>
      </c>
      <c r="E118" s="397">
        <v>113765</v>
      </c>
      <c r="F118" s="397">
        <v>71605</v>
      </c>
      <c r="G118" s="397">
        <v>25205</v>
      </c>
      <c r="H118" s="397">
        <v>481885</v>
      </c>
      <c r="I118" s="397">
        <v>134995</v>
      </c>
      <c r="J118" s="397">
        <v>98245</v>
      </c>
      <c r="K118" s="397">
        <v>0</v>
      </c>
      <c r="L118" s="397">
        <v>0</v>
      </c>
      <c r="M118" s="397">
        <v>0</v>
      </c>
      <c r="N118" s="397">
        <v>0</v>
      </c>
      <c r="O118" s="397">
        <v>0</v>
      </c>
      <c r="P118" s="398">
        <v>0</v>
      </c>
      <c r="Q118" s="186">
        <v>0</v>
      </c>
      <c r="R118" s="186">
        <v>0</v>
      </c>
      <c r="S118" s="186">
        <v>0</v>
      </c>
      <c r="T118" s="186">
        <v>0</v>
      </c>
      <c r="U118" s="186">
        <v>0</v>
      </c>
      <c r="V118" s="186">
        <v>360</v>
      </c>
      <c r="W118" s="186">
        <v>0</v>
      </c>
      <c r="X118" s="186">
        <v>0</v>
      </c>
      <c r="Y118" s="186">
        <v>0</v>
      </c>
      <c r="Z118" s="186">
        <v>0</v>
      </c>
      <c r="AA118" s="186">
        <v>0</v>
      </c>
      <c r="AB118" s="186">
        <v>0</v>
      </c>
      <c r="AC118" s="186">
        <v>0</v>
      </c>
      <c r="AD118" s="186">
        <v>0</v>
      </c>
      <c r="AE118" s="186">
        <v>2790</v>
      </c>
      <c r="AF118" s="186">
        <v>56285</v>
      </c>
      <c r="AG118" s="186">
        <v>74965</v>
      </c>
      <c r="AH118" s="186">
        <v>123345</v>
      </c>
      <c r="AI118" s="186">
        <v>136115</v>
      </c>
      <c r="AJ118" s="186">
        <v>97905</v>
      </c>
      <c r="AK118" s="186">
        <v>55055</v>
      </c>
      <c r="AL118" s="186">
        <v>128885</v>
      </c>
      <c r="AM118" s="186">
        <v>149175</v>
      </c>
      <c r="AN118" s="186">
        <v>267425</v>
      </c>
      <c r="AO118" s="186">
        <v>106815</v>
      </c>
      <c r="AP118" s="186">
        <v>0</v>
      </c>
      <c r="AQ118" s="186">
        <v>1880</v>
      </c>
      <c r="AR118" s="186">
        <v>34420</v>
      </c>
      <c r="AS118" s="186">
        <v>7720</v>
      </c>
      <c r="AT118" s="186">
        <v>1520</v>
      </c>
      <c r="AU118" s="186">
        <v>0</v>
      </c>
      <c r="AV118" s="186">
        <v>7090</v>
      </c>
      <c r="AW118" s="186">
        <v>7570</v>
      </c>
      <c r="AX118" s="186">
        <v>4800</v>
      </c>
      <c r="AY118" s="186">
        <v>0</v>
      </c>
      <c r="AZ118" s="186">
        <v>0</v>
      </c>
      <c r="BA118" s="186">
        <v>0</v>
      </c>
      <c r="BB118" s="186">
        <v>0</v>
      </c>
      <c r="BC118" s="186">
        <v>0</v>
      </c>
      <c r="BD118" s="186">
        <v>0</v>
      </c>
      <c r="BE118" s="186">
        <v>0</v>
      </c>
      <c r="BF118" s="186">
        <v>0</v>
      </c>
      <c r="BG118" s="186">
        <v>0</v>
      </c>
      <c r="BH118" s="186">
        <v>0</v>
      </c>
      <c r="BI118" s="186">
        <v>0</v>
      </c>
      <c r="BJ118" s="186">
        <v>0</v>
      </c>
      <c r="BK118" s="186">
        <v>0</v>
      </c>
      <c r="BL118" s="186">
        <v>0</v>
      </c>
      <c r="BM118" s="186">
        <v>0</v>
      </c>
      <c r="BN118" s="186">
        <v>0</v>
      </c>
      <c r="BO118" s="186">
        <v>0</v>
      </c>
      <c r="BP118" s="186">
        <v>0</v>
      </c>
      <c r="BQ118" s="186">
        <v>0</v>
      </c>
      <c r="BR118" s="186">
        <v>0</v>
      </c>
      <c r="BS118" s="186">
        <v>0</v>
      </c>
      <c r="BT118" s="186">
        <v>0</v>
      </c>
      <c r="BU118" s="186">
        <v>0</v>
      </c>
      <c r="BV118" s="186">
        <v>0</v>
      </c>
      <c r="BW118" s="186">
        <v>0</v>
      </c>
      <c r="BX118" s="186">
        <v>0</v>
      </c>
      <c r="BY118" s="186">
        <v>0</v>
      </c>
      <c r="BZ118" s="186">
        <v>0</v>
      </c>
      <c r="CA118" s="186">
        <v>0</v>
      </c>
      <c r="CB118" s="186">
        <v>0</v>
      </c>
      <c r="CC118" s="186">
        <v>0</v>
      </c>
      <c r="CD118" s="186">
        <v>0</v>
      </c>
      <c r="CE118" s="186">
        <v>0</v>
      </c>
      <c r="CF118" s="186">
        <v>0</v>
      </c>
      <c r="CG118" s="186">
        <v>0</v>
      </c>
      <c r="CH118" s="186">
        <v>0</v>
      </c>
      <c r="CI118" s="186">
        <v>0</v>
      </c>
      <c r="CJ118" s="186">
        <v>0</v>
      </c>
      <c r="CK118" s="186">
        <v>0</v>
      </c>
      <c r="CL118" s="186">
        <v>0</v>
      </c>
      <c r="CM118" s="186">
        <v>0</v>
      </c>
      <c r="CN118" s="186">
        <v>0</v>
      </c>
      <c r="CO118" s="186">
        <v>0</v>
      </c>
      <c r="CP118" s="186">
        <v>0</v>
      </c>
      <c r="CQ118" s="186">
        <v>0</v>
      </c>
      <c r="CR118" s="186">
        <v>0</v>
      </c>
      <c r="CS118" s="186">
        <v>0</v>
      </c>
      <c r="CT118" s="186">
        <v>0</v>
      </c>
      <c r="CU118" s="186">
        <v>0</v>
      </c>
      <c r="CV118" s="186">
        <v>0</v>
      </c>
    </row>
    <row r="119" spans="1:100">
      <c r="A119" s="541" t="str">
        <f>+B119</f>
        <v>1810100</v>
      </c>
      <c r="B119" s="541" t="s">
        <v>2225</v>
      </c>
      <c r="C119" s="463" t="s">
        <v>2224</v>
      </c>
      <c r="D119" s="397"/>
      <c r="E119" s="397"/>
      <c r="F119" s="397"/>
      <c r="G119" s="397"/>
      <c r="H119" s="397"/>
      <c r="I119" s="397"/>
      <c r="J119" s="397"/>
      <c r="K119" s="397"/>
      <c r="L119" s="397"/>
      <c r="M119" s="397"/>
      <c r="N119" s="397"/>
      <c r="O119" s="397"/>
      <c r="P119" s="398"/>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v>0</v>
      </c>
      <c r="BB119" s="186">
        <v>0</v>
      </c>
      <c r="BC119" s="186">
        <v>45859.38</v>
      </c>
      <c r="BD119" s="186">
        <v>39308.04</v>
      </c>
      <c r="BE119" s="186">
        <v>32756.7</v>
      </c>
      <c r="BF119" s="186">
        <v>26205.360000000001</v>
      </c>
      <c r="BG119" s="186">
        <v>19654.02</v>
      </c>
      <c r="BH119" s="186">
        <v>13102.68</v>
      </c>
      <c r="BI119" s="186">
        <v>6551.34</v>
      </c>
      <c r="BJ119" s="186">
        <v>0</v>
      </c>
      <c r="BK119" s="186">
        <v>0</v>
      </c>
      <c r="BL119" s="186">
        <v>0</v>
      </c>
      <c r="BM119" s="186">
        <v>0</v>
      </c>
      <c r="BN119" s="186">
        <v>0</v>
      </c>
      <c r="BO119" s="186">
        <v>0</v>
      </c>
      <c r="BP119" s="186">
        <v>0</v>
      </c>
      <c r="BQ119" s="186">
        <v>0</v>
      </c>
      <c r="BR119" s="186">
        <v>0</v>
      </c>
      <c r="BS119" s="186">
        <v>0</v>
      </c>
      <c r="BT119" s="186">
        <v>0</v>
      </c>
      <c r="BU119" s="186">
        <v>0</v>
      </c>
      <c r="BV119" s="186">
        <v>0</v>
      </c>
      <c r="BW119" s="186">
        <v>0</v>
      </c>
      <c r="BX119" s="186">
        <v>0</v>
      </c>
      <c r="BY119" s="186">
        <v>0</v>
      </c>
      <c r="BZ119" s="186">
        <v>11319.55</v>
      </c>
      <c r="CA119" s="186">
        <v>14670.6</v>
      </c>
      <c r="CB119" s="186">
        <v>13203.54</v>
      </c>
      <c r="CC119" s="186">
        <v>11736.48</v>
      </c>
      <c r="CD119" s="186">
        <v>10269.42</v>
      </c>
      <c r="CE119" s="186">
        <v>8802.36</v>
      </c>
      <c r="CF119" s="186">
        <v>7335.3</v>
      </c>
      <c r="CG119" s="186">
        <v>5868.24</v>
      </c>
      <c r="CH119" s="186">
        <v>4401.18</v>
      </c>
      <c r="CI119" s="186">
        <v>2934.12</v>
      </c>
      <c r="CJ119" s="186">
        <v>1467.06</v>
      </c>
      <c r="CK119" s="186">
        <v>6563.9</v>
      </c>
      <c r="CL119" s="186">
        <v>4375.9399999999996</v>
      </c>
      <c r="CM119" s="186">
        <v>2543.25</v>
      </c>
      <c r="CN119" s="186">
        <v>0</v>
      </c>
      <c r="CO119" s="186">
        <v>0</v>
      </c>
      <c r="CP119" s="186">
        <v>0</v>
      </c>
      <c r="CQ119" s="186">
        <v>0</v>
      </c>
      <c r="CR119" s="186">
        <v>0</v>
      </c>
      <c r="CS119" s="186">
        <v>0</v>
      </c>
      <c r="CT119" s="186">
        <v>0</v>
      </c>
      <c r="CU119" s="186">
        <v>0</v>
      </c>
      <c r="CV119" s="186">
        <v>14512.82</v>
      </c>
    </row>
    <row r="120" spans="1:100">
      <c r="A120" s="541" t="str">
        <f t="shared" si="1"/>
        <v>1810200</v>
      </c>
      <c r="B120" s="541" t="s">
        <v>1602</v>
      </c>
      <c r="C120" s="463" t="s">
        <v>677</v>
      </c>
      <c r="D120" s="397">
        <v>1094576.58</v>
      </c>
      <c r="E120" s="397">
        <v>1087397.54</v>
      </c>
      <c r="F120" s="397">
        <v>1080218.5</v>
      </c>
      <c r="G120" s="397">
        <v>1073039.46</v>
      </c>
      <c r="H120" s="397">
        <v>1065860.42</v>
      </c>
      <c r="I120" s="397">
        <v>1151468.8799999999</v>
      </c>
      <c r="J120" s="397">
        <v>1146259.69</v>
      </c>
      <c r="K120" s="397">
        <v>1141357.42</v>
      </c>
      <c r="L120" s="397">
        <v>1134105.01</v>
      </c>
      <c r="M120" s="397">
        <v>1136898.3899999999</v>
      </c>
      <c r="N120" s="397">
        <v>1129580.24</v>
      </c>
      <c r="O120" s="397">
        <v>1122097.51</v>
      </c>
      <c r="P120" s="398">
        <v>1114614.78</v>
      </c>
      <c r="Q120" s="186">
        <v>1107132.05</v>
      </c>
      <c r="R120" s="186">
        <v>1099649.32</v>
      </c>
      <c r="S120" s="186">
        <v>1092166.5900000001</v>
      </c>
      <c r="T120" s="186">
        <v>1084683.8600000001</v>
      </c>
      <c r="U120" s="186">
        <v>1266226.81</v>
      </c>
      <c r="V120" s="186">
        <v>1277958.69</v>
      </c>
      <c r="W120" s="186">
        <v>1271078.6399999999</v>
      </c>
      <c r="X120" s="186">
        <v>1263012.55</v>
      </c>
      <c r="Y120" s="186">
        <v>1264835.3400000001</v>
      </c>
      <c r="Z120" s="186">
        <v>1256741.47</v>
      </c>
      <c r="AA120" s="186">
        <v>1248648.31</v>
      </c>
      <c r="AB120" s="186">
        <v>1240554.44</v>
      </c>
      <c r="AC120" s="186">
        <v>1232460.57</v>
      </c>
      <c r="AD120" s="186">
        <v>1224366.7</v>
      </c>
      <c r="AE120" s="186">
        <v>1216272.83</v>
      </c>
      <c r="AF120" s="186">
        <v>1208178.96</v>
      </c>
      <c r="AG120" s="186">
        <v>1200085.0900000001</v>
      </c>
      <c r="AH120" s="186">
        <v>1191991.22</v>
      </c>
      <c r="AI120" s="186">
        <v>1183897.3500000001</v>
      </c>
      <c r="AJ120" s="186">
        <v>1175803.48</v>
      </c>
      <c r="AK120" s="186">
        <v>1167709.6100000001</v>
      </c>
      <c r="AL120" s="186">
        <v>1159615.74</v>
      </c>
      <c r="AM120" s="186">
        <v>1151521.8700000001</v>
      </c>
      <c r="AN120" s="186">
        <v>1143428</v>
      </c>
      <c r="AO120" s="186">
        <v>1135334.1299999999</v>
      </c>
      <c r="AP120" s="186">
        <v>1127240.26</v>
      </c>
      <c r="AQ120" s="186">
        <v>1119146.3899999999</v>
      </c>
      <c r="AR120" s="186">
        <v>1111052.52</v>
      </c>
      <c r="AS120" s="186">
        <v>1102958.6499999999</v>
      </c>
      <c r="AT120" s="186">
        <v>1094864.78</v>
      </c>
      <c r="AU120" s="186">
        <v>1086770.9099999999</v>
      </c>
      <c r="AV120" s="186">
        <v>1078677.04</v>
      </c>
      <c r="AW120" s="186">
        <v>1070583.17</v>
      </c>
      <c r="AX120" s="186">
        <v>1062489.3</v>
      </c>
      <c r="AY120" s="186">
        <v>1054395.43</v>
      </c>
      <c r="AZ120" s="186">
        <v>1046301.56</v>
      </c>
      <c r="BA120" s="186">
        <v>1038207.69</v>
      </c>
      <c r="BB120" s="186">
        <v>1030113.82</v>
      </c>
      <c r="BC120" s="186">
        <v>1022019.95</v>
      </c>
      <c r="BD120" s="186">
        <v>1013926.08</v>
      </c>
      <c r="BE120" s="186">
        <v>1007409.23</v>
      </c>
      <c r="BF120" s="186">
        <v>1758857.41</v>
      </c>
      <c r="BG120" s="186">
        <v>1768017.45</v>
      </c>
      <c r="BH120" s="186">
        <v>1766034.23</v>
      </c>
      <c r="BI120" s="186">
        <v>1800462.55</v>
      </c>
      <c r="BJ120" s="186">
        <v>2037074.48</v>
      </c>
      <c r="BK120" s="186">
        <v>2030609.45</v>
      </c>
      <c r="BL120" s="186">
        <v>2027977.83</v>
      </c>
      <c r="BM120" s="186">
        <v>2020072.15</v>
      </c>
      <c r="BN120" s="186">
        <v>2012183.48</v>
      </c>
      <c r="BO120" s="186">
        <v>2018048.28</v>
      </c>
      <c r="BP120" s="186">
        <v>2010104.56</v>
      </c>
      <c r="BQ120" s="186">
        <v>2002160.84</v>
      </c>
      <c r="BR120" s="186">
        <v>1994217.12</v>
      </c>
      <c r="BS120" s="186">
        <v>2205578.9</v>
      </c>
      <c r="BT120" s="186">
        <v>2242159.67</v>
      </c>
      <c r="BU120" s="186">
        <v>2244443.7000000002</v>
      </c>
      <c r="BV120" s="186">
        <v>2235757.23</v>
      </c>
      <c r="BW120" s="186">
        <v>2227070.7599999998</v>
      </c>
      <c r="BX120" s="186">
        <v>2233060.89</v>
      </c>
      <c r="BY120" s="186">
        <v>2224334.3199999998</v>
      </c>
      <c r="BZ120" s="186">
        <v>2215607.75</v>
      </c>
      <c r="CA120" s="186">
        <v>2207345.8199999998</v>
      </c>
      <c r="CB120" s="186">
        <v>2198617.9700000002</v>
      </c>
      <c r="CC120" s="186">
        <v>2189890.12</v>
      </c>
      <c r="CD120" s="186">
        <v>2181162.27</v>
      </c>
      <c r="CE120" s="186">
        <v>2172434.42</v>
      </c>
      <c r="CF120" s="186">
        <v>2163706.5699999998</v>
      </c>
      <c r="CG120" s="186">
        <v>2154978.7200000002</v>
      </c>
      <c r="CH120" s="186">
        <v>2146250.87</v>
      </c>
      <c r="CI120" s="186">
        <v>2137523.02</v>
      </c>
      <c r="CJ120" s="186">
        <v>2128795.17</v>
      </c>
      <c r="CK120" s="186">
        <v>2120067.3199999998</v>
      </c>
      <c r="CL120" s="186">
        <v>2111339.4700000002</v>
      </c>
      <c r="CM120" s="186">
        <v>3960407.64</v>
      </c>
      <c r="CN120" s="186">
        <v>4083428.36</v>
      </c>
      <c r="CO120" s="186">
        <v>4214954.07</v>
      </c>
      <c r="CP120" s="186">
        <v>4360244.96</v>
      </c>
      <c r="CQ120" s="186">
        <v>4339276.21</v>
      </c>
      <c r="CR120" s="186">
        <v>4318307.46</v>
      </c>
      <c r="CS120" s="186">
        <v>4297338.71</v>
      </c>
      <c r="CT120" s="186">
        <v>4276369.96</v>
      </c>
      <c r="CU120" s="186">
        <v>4255401.21</v>
      </c>
      <c r="CV120" s="186">
        <v>4234432.46</v>
      </c>
    </row>
    <row r="121" spans="1:100">
      <c r="A121" s="541" t="str">
        <f t="shared" si="1"/>
        <v>1823040</v>
      </c>
      <c r="B121" s="541" t="s">
        <v>1519</v>
      </c>
      <c r="C121" s="463" t="s">
        <v>678</v>
      </c>
      <c r="D121" s="397">
        <v>1701760</v>
      </c>
      <c r="E121" s="397">
        <v>1197700</v>
      </c>
      <c r="F121" s="397">
        <v>372893</v>
      </c>
      <c r="G121" s="397">
        <v>0</v>
      </c>
      <c r="H121" s="397">
        <v>0</v>
      </c>
      <c r="I121" s="397">
        <v>0</v>
      </c>
      <c r="J121" s="397">
        <v>0</v>
      </c>
      <c r="K121" s="397">
        <v>0</v>
      </c>
      <c r="L121" s="397">
        <v>0</v>
      </c>
      <c r="M121" s="397">
        <v>165017</v>
      </c>
      <c r="N121" s="397">
        <v>273314</v>
      </c>
      <c r="O121" s="397">
        <v>243252</v>
      </c>
      <c r="P121" s="398">
        <v>0</v>
      </c>
      <c r="Q121" s="186">
        <v>0</v>
      </c>
      <c r="R121" s="186">
        <v>0</v>
      </c>
      <c r="S121" s="186">
        <v>0</v>
      </c>
      <c r="T121" s="186">
        <v>0</v>
      </c>
      <c r="U121" s="186">
        <v>0</v>
      </c>
      <c r="V121" s="186">
        <v>0</v>
      </c>
      <c r="W121" s="186">
        <v>0</v>
      </c>
      <c r="X121" s="186">
        <v>0</v>
      </c>
      <c r="Y121" s="186">
        <v>0</v>
      </c>
      <c r="Z121" s="186">
        <v>0</v>
      </c>
      <c r="AA121" s="186">
        <v>0</v>
      </c>
      <c r="AB121" s="186">
        <v>0</v>
      </c>
      <c r="AC121" s="186">
        <v>0</v>
      </c>
      <c r="AD121" s="186">
        <v>0</v>
      </c>
      <c r="AE121" s="186">
        <v>0</v>
      </c>
      <c r="AF121" s="186">
        <v>0</v>
      </c>
      <c r="AG121" s="186">
        <v>0</v>
      </c>
      <c r="AH121" s="186">
        <v>0</v>
      </c>
      <c r="AI121" s="186">
        <v>0</v>
      </c>
      <c r="AJ121" s="186">
        <v>0</v>
      </c>
      <c r="AK121" s="186">
        <v>0</v>
      </c>
      <c r="AL121" s="186">
        <v>0</v>
      </c>
      <c r="AM121" s="186">
        <v>0</v>
      </c>
      <c r="AN121" s="186">
        <v>189617</v>
      </c>
      <c r="AO121" s="186">
        <v>0</v>
      </c>
      <c r="AP121" s="186">
        <v>0</v>
      </c>
      <c r="AQ121" s="186">
        <v>0</v>
      </c>
      <c r="AR121" s="186">
        <v>0</v>
      </c>
      <c r="AS121" s="186">
        <v>0</v>
      </c>
      <c r="AT121" s="186">
        <v>0</v>
      </c>
      <c r="AU121" s="186">
        <v>0</v>
      </c>
      <c r="AV121" s="186">
        <v>644180</v>
      </c>
      <c r="AW121" s="186">
        <v>1043840</v>
      </c>
      <c r="AX121" s="186">
        <v>2243077</v>
      </c>
      <c r="AY121" s="186">
        <v>2637591</v>
      </c>
      <c r="AZ121" s="186">
        <v>2498428</v>
      </c>
      <c r="BA121" s="186">
        <v>1599342</v>
      </c>
      <c r="BB121" s="186">
        <v>1232539</v>
      </c>
      <c r="BC121" s="186">
        <v>1526254</v>
      </c>
      <c r="BD121" s="186">
        <v>2526586</v>
      </c>
      <c r="BE121" s="186">
        <v>2276018</v>
      </c>
      <c r="BF121" s="186">
        <v>2209544</v>
      </c>
      <c r="BG121" s="186">
        <v>3301272</v>
      </c>
      <c r="BH121" s="186">
        <v>3838458</v>
      </c>
      <c r="BI121" s="186">
        <v>3615230</v>
      </c>
      <c r="BJ121" s="186">
        <v>4659576</v>
      </c>
      <c r="BK121" s="186">
        <v>4538810</v>
      </c>
      <c r="BL121" s="186">
        <v>4327501</v>
      </c>
      <c r="BM121" s="186">
        <v>3928978</v>
      </c>
      <c r="BN121" s="186">
        <v>2604221</v>
      </c>
      <c r="BO121" s="186">
        <v>1941372</v>
      </c>
      <c r="BP121" s="186">
        <v>1695605</v>
      </c>
      <c r="BQ121" s="186">
        <v>1332769</v>
      </c>
      <c r="BR121" s="186">
        <v>1894237</v>
      </c>
      <c r="BS121" s="186">
        <v>2877206</v>
      </c>
      <c r="BT121" s="186">
        <v>3118975</v>
      </c>
      <c r="BU121" s="186">
        <v>2922432</v>
      </c>
      <c r="BV121" s="186">
        <v>3370670</v>
      </c>
      <c r="BW121" s="186">
        <v>3465742</v>
      </c>
      <c r="BX121" s="186">
        <v>3036822</v>
      </c>
      <c r="BY121" s="186">
        <v>2633697</v>
      </c>
      <c r="BZ121" s="186">
        <v>1715623</v>
      </c>
      <c r="CA121" s="186">
        <v>691836</v>
      </c>
      <c r="CB121" s="186">
        <v>723557</v>
      </c>
      <c r="CC121" s="186">
        <v>748018</v>
      </c>
      <c r="CD121" s="186">
        <v>833637</v>
      </c>
      <c r="CE121" s="186">
        <v>867661</v>
      </c>
      <c r="CF121" s="186">
        <v>1134391</v>
      </c>
      <c r="CG121" s="186">
        <v>1694757</v>
      </c>
      <c r="CH121" s="186">
        <v>2368913</v>
      </c>
      <c r="CI121" s="186">
        <v>2272665</v>
      </c>
      <c r="CJ121" s="186">
        <v>1885102</v>
      </c>
      <c r="CK121" s="186">
        <v>889684</v>
      </c>
      <c r="CL121" s="186">
        <v>650520</v>
      </c>
      <c r="CM121" s="186">
        <v>483078</v>
      </c>
      <c r="CN121" s="186">
        <v>194675</v>
      </c>
      <c r="CO121" s="186">
        <v>88787</v>
      </c>
      <c r="CP121" s="186">
        <v>5123</v>
      </c>
      <c r="CQ121" s="186">
        <v>209420</v>
      </c>
      <c r="CR121" s="186">
        <v>59927</v>
      </c>
      <c r="CS121" s="186">
        <v>468406</v>
      </c>
      <c r="CT121" s="186">
        <v>764146</v>
      </c>
      <c r="CU121" s="186">
        <v>808833</v>
      </c>
      <c r="CV121" s="186">
        <v>601758</v>
      </c>
    </row>
    <row r="122" spans="1:100">
      <c r="A122" s="541" t="str">
        <f t="shared" si="1"/>
        <v>1823070</v>
      </c>
      <c r="B122" s="541" t="s">
        <v>883</v>
      </c>
      <c r="C122" s="463" t="s">
        <v>679</v>
      </c>
      <c r="D122" s="397">
        <v>4149218.84</v>
      </c>
      <c r="E122" s="397">
        <v>3881649.9</v>
      </c>
      <c r="F122" s="397">
        <v>3595984.45</v>
      </c>
      <c r="G122" s="397">
        <v>3356242.61</v>
      </c>
      <c r="H122" s="397">
        <v>3153815.07</v>
      </c>
      <c r="I122" s="397">
        <v>2998600.52</v>
      </c>
      <c r="J122" s="397">
        <v>2846062.38</v>
      </c>
      <c r="K122" s="397">
        <v>2754013.64</v>
      </c>
      <c r="L122" s="397">
        <v>2695425.26</v>
      </c>
      <c r="M122" s="397">
        <v>2593528.2999999998</v>
      </c>
      <c r="N122" s="397">
        <v>2832302.36</v>
      </c>
      <c r="O122" s="397">
        <v>2822611.69</v>
      </c>
      <c r="P122" s="398">
        <v>2791257.34</v>
      </c>
      <c r="Q122" s="186">
        <v>2733301.01</v>
      </c>
      <c r="R122" s="186">
        <v>2656755.98</v>
      </c>
      <c r="S122" s="186">
        <v>2587102.0099999998</v>
      </c>
      <c r="T122" s="186">
        <v>2549200.44</v>
      </c>
      <c r="U122" s="186">
        <v>2538827.5</v>
      </c>
      <c r="V122" s="186">
        <v>2506040.91</v>
      </c>
      <c r="W122" s="186">
        <v>2480624.2599999998</v>
      </c>
      <c r="X122" s="186">
        <v>2461141.5499999998</v>
      </c>
      <c r="Y122" s="186">
        <v>2444276.2400000002</v>
      </c>
      <c r="Z122" s="186">
        <v>2630639.09</v>
      </c>
      <c r="AA122" s="186">
        <v>2626735.1800000002</v>
      </c>
      <c r="AB122" s="186">
        <v>2616417.9900000002</v>
      </c>
      <c r="AC122" s="186">
        <v>2600383.5099999998</v>
      </c>
      <c r="AD122" s="186">
        <v>2555116.81</v>
      </c>
      <c r="AE122" s="186">
        <v>2543852.42</v>
      </c>
      <c r="AF122" s="186">
        <v>2534897.92</v>
      </c>
      <c r="AG122" s="186">
        <v>2528328.54</v>
      </c>
      <c r="AH122" s="186">
        <v>2532623.12</v>
      </c>
      <c r="AI122" s="186">
        <v>2517883.4900000002</v>
      </c>
      <c r="AJ122" s="186">
        <v>2537883.17</v>
      </c>
      <c r="AK122" s="186">
        <v>2543247.84</v>
      </c>
      <c r="AL122" s="186">
        <v>2725589.12</v>
      </c>
      <c r="AM122" s="186">
        <v>2731782.47</v>
      </c>
      <c r="AN122" s="186">
        <v>2726753.03</v>
      </c>
      <c r="AO122" s="186">
        <v>2715133.36</v>
      </c>
      <c r="AP122" s="186">
        <v>2685800.75</v>
      </c>
      <c r="AQ122" s="186">
        <v>2695731.94</v>
      </c>
      <c r="AR122" s="186">
        <v>2688156.83</v>
      </c>
      <c r="AS122" s="186">
        <v>2698362.17</v>
      </c>
      <c r="AT122" s="186">
        <v>2695538.46</v>
      </c>
      <c r="AU122" s="186">
        <v>2698530.13</v>
      </c>
      <c r="AV122" s="186">
        <v>2712868.69</v>
      </c>
      <c r="AW122" s="186">
        <v>2678963.89</v>
      </c>
      <c r="AX122" s="186">
        <v>2881127.79</v>
      </c>
      <c r="AY122" s="186">
        <v>2884220.64</v>
      </c>
      <c r="AZ122" s="186">
        <v>2885477.71</v>
      </c>
      <c r="BA122" s="186">
        <v>2806305.95</v>
      </c>
      <c r="BB122" s="186">
        <v>2706387.5</v>
      </c>
      <c r="BC122" s="186">
        <v>2727131.46</v>
      </c>
      <c r="BD122" s="186">
        <v>2707613.49</v>
      </c>
      <c r="BE122" s="186">
        <v>2709115.34</v>
      </c>
      <c r="BF122" s="186">
        <v>2702704.39</v>
      </c>
      <c r="BG122" s="186">
        <v>2704507.73</v>
      </c>
      <c r="BH122" s="186">
        <v>2702358.66</v>
      </c>
      <c r="BI122" s="186">
        <v>2685662.23</v>
      </c>
      <c r="BJ122" s="186">
        <v>2884730.31</v>
      </c>
      <c r="BK122" s="186">
        <v>2871545.31</v>
      </c>
      <c r="BL122" s="186">
        <v>3047398.14</v>
      </c>
      <c r="BM122" s="186">
        <v>2968833.26</v>
      </c>
      <c r="BN122" s="186">
        <v>2931366.27</v>
      </c>
      <c r="BO122" s="186">
        <v>2907963.42</v>
      </c>
      <c r="BP122" s="186">
        <v>2863286.67</v>
      </c>
      <c r="BQ122" s="186">
        <v>2868711.93</v>
      </c>
      <c r="BR122" s="186">
        <v>2846804.47</v>
      </c>
      <c r="BS122" s="186">
        <v>2853585.55</v>
      </c>
      <c r="BT122" s="186">
        <v>2785230.28</v>
      </c>
      <c r="BU122" s="186">
        <v>2856522.46</v>
      </c>
      <c r="BV122" s="186">
        <v>3074698.81</v>
      </c>
      <c r="BW122" s="186">
        <v>3065884.64</v>
      </c>
      <c r="BX122" s="186">
        <v>3035607.81</v>
      </c>
      <c r="BY122" s="186">
        <v>2981636.98</v>
      </c>
      <c r="BZ122" s="186">
        <v>2949472.71</v>
      </c>
      <c r="CA122" s="186">
        <v>2914420.77</v>
      </c>
      <c r="CB122" s="186">
        <v>2955122.67</v>
      </c>
      <c r="CC122" s="186">
        <v>3017050.97</v>
      </c>
      <c r="CD122" s="186">
        <v>3017741.43</v>
      </c>
      <c r="CE122" s="186">
        <v>3007112.01</v>
      </c>
      <c r="CF122" s="186">
        <v>3039422.32</v>
      </c>
      <c r="CG122" s="186">
        <v>3065669.68</v>
      </c>
      <c r="CH122" s="186">
        <v>3290228.97</v>
      </c>
      <c r="CI122" s="186">
        <v>3277817.81</v>
      </c>
      <c r="CJ122" s="186">
        <v>3237878.87</v>
      </c>
      <c r="CK122" s="186">
        <v>3208927.07</v>
      </c>
      <c r="CL122" s="186">
        <v>3177923.51</v>
      </c>
      <c r="CM122" s="186">
        <v>3265234.2</v>
      </c>
      <c r="CN122" s="186">
        <v>3289735.79</v>
      </c>
      <c r="CO122" s="186">
        <v>3370157.54</v>
      </c>
      <c r="CP122" s="186">
        <v>3449867.3</v>
      </c>
      <c r="CQ122" s="186">
        <v>3507792.7</v>
      </c>
      <c r="CR122" s="186">
        <v>3572579</v>
      </c>
      <c r="CS122" s="186">
        <v>3613025.2</v>
      </c>
      <c r="CT122" s="186">
        <v>3939284.26</v>
      </c>
      <c r="CU122" s="186">
        <v>3921548.21</v>
      </c>
      <c r="CV122" s="186">
        <v>3752772.99</v>
      </c>
    </row>
    <row r="123" spans="1:100">
      <c r="A123" s="541" t="str">
        <f t="shared" si="1"/>
        <v>1823071</v>
      </c>
      <c r="B123" s="541" t="s">
        <v>1603</v>
      </c>
      <c r="C123" s="463" t="s">
        <v>1467</v>
      </c>
      <c r="D123" s="397"/>
      <c r="E123" s="397"/>
      <c r="F123" s="397"/>
      <c r="G123" s="397"/>
      <c r="H123" s="397"/>
      <c r="I123" s="397"/>
      <c r="J123" s="397"/>
      <c r="K123" s="397"/>
      <c r="L123" s="397"/>
      <c r="M123" s="397"/>
      <c r="N123" s="397"/>
      <c r="O123" s="397"/>
      <c r="P123" s="398"/>
      <c r="Q123" s="186"/>
      <c r="R123" s="186"/>
      <c r="S123" s="186"/>
      <c r="T123" s="186"/>
      <c r="U123" s="186"/>
      <c r="V123" s="186"/>
      <c r="W123" s="186"/>
      <c r="X123" s="186"/>
      <c r="Y123" s="186"/>
      <c r="Z123" s="186"/>
      <c r="AA123" s="186"/>
      <c r="AB123" s="186"/>
      <c r="AC123" s="186"/>
      <c r="AD123" s="186"/>
      <c r="AE123" s="186"/>
      <c r="AF123" s="186">
        <v>0</v>
      </c>
      <c r="AG123" s="186">
        <v>0</v>
      </c>
      <c r="AH123" s="186">
        <v>0</v>
      </c>
      <c r="AI123" s="186">
        <v>0</v>
      </c>
      <c r="AJ123" s="186">
        <v>0</v>
      </c>
      <c r="AK123" s="186">
        <v>0</v>
      </c>
      <c r="AL123" s="186">
        <v>0</v>
      </c>
      <c r="AM123" s="186">
        <v>0</v>
      </c>
      <c r="AN123" s="186">
        <v>0</v>
      </c>
      <c r="AO123" s="186">
        <v>0</v>
      </c>
      <c r="AP123" s="186">
        <v>0</v>
      </c>
      <c r="AQ123" s="186">
        <v>0</v>
      </c>
      <c r="AR123" s="186">
        <v>0</v>
      </c>
      <c r="AS123" s="186">
        <v>0</v>
      </c>
      <c r="AT123" s="186">
        <v>0</v>
      </c>
      <c r="AU123" s="186">
        <v>0</v>
      </c>
      <c r="AV123" s="186">
        <v>0</v>
      </c>
      <c r="AW123" s="186">
        <v>20892</v>
      </c>
      <c r="AX123" s="186">
        <v>374994</v>
      </c>
      <c r="AY123" s="186">
        <v>691185</v>
      </c>
      <c r="AZ123" s="186">
        <v>1030552</v>
      </c>
      <c r="BA123" s="186">
        <v>409479</v>
      </c>
      <c r="BB123" s="186">
        <v>0</v>
      </c>
      <c r="BC123" s="186">
        <v>0</v>
      </c>
      <c r="BD123" s="186">
        <v>0</v>
      </c>
      <c r="BE123" s="186">
        <v>0</v>
      </c>
      <c r="BF123" s="186">
        <v>0</v>
      </c>
      <c r="BG123" s="186">
        <v>0</v>
      </c>
      <c r="BH123" s="186">
        <v>0</v>
      </c>
      <c r="BI123" s="186">
        <v>0</v>
      </c>
      <c r="BJ123" s="186">
        <v>0</v>
      </c>
      <c r="BK123" s="186">
        <v>0</v>
      </c>
      <c r="BL123" s="186">
        <v>0</v>
      </c>
      <c r="BM123" s="186">
        <v>0</v>
      </c>
      <c r="BN123" s="186">
        <v>0</v>
      </c>
      <c r="BO123" s="186">
        <v>0</v>
      </c>
      <c r="BP123" s="186">
        <v>0</v>
      </c>
      <c r="BQ123" s="186">
        <v>0</v>
      </c>
      <c r="BR123" s="186">
        <v>296896</v>
      </c>
      <c r="BS123" s="186">
        <v>764380</v>
      </c>
      <c r="BT123" s="186">
        <v>1275141</v>
      </c>
      <c r="BU123" s="186">
        <v>1795596</v>
      </c>
      <c r="BV123" s="186">
        <v>2279551</v>
      </c>
      <c r="BW123" s="186">
        <v>2772764</v>
      </c>
      <c r="BX123" s="186">
        <v>3382549</v>
      </c>
      <c r="BY123" s="186">
        <v>2748249</v>
      </c>
      <c r="BZ123" s="186">
        <v>2185698</v>
      </c>
      <c r="CA123" s="186">
        <v>1786204</v>
      </c>
      <c r="CB123" s="186">
        <v>1888696</v>
      </c>
      <c r="CC123" s="186">
        <v>2168596</v>
      </c>
      <c r="CD123" s="186">
        <v>2473698</v>
      </c>
      <c r="CE123" s="186">
        <v>2911099</v>
      </c>
      <c r="CF123" s="186">
        <v>3383454</v>
      </c>
      <c r="CG123" s="186">
        <v>3892511</v>
      </c>
      <c r="CH123" s="186">
        <v>4349664</v>
      </c>
      <c r="CI123" s="186">
        <v>4644312</v>
      </c>
      <c r="CJ123" s="186">
        <v>4581212</v>
      </c>
      <c r="CK123" s="186">
        <v>3927879</v>
      </c>
      <c r="CL123" s="186">
        <v>3358080</v>
      </c>
      <c r="CM123" s="186">
        <v>2895960</v>
      </c>
      <c r="CN123" s="186">
        <v>2471088</v>
      </c>
      <c r="CO123" s="186">
        <v>2144007</v>
      </c>
      <c r="CP123" s="186">
        <v>1861783</v>
      </c>
      <c r="CQ123" s="186">
        <v>1609829</v>
      </c>
      <c r="CR123" s="186">
        <v>1407755</v>
      </c>
      <c r="CS123" s="186">
        <v>1200758</v>
      </c>
      <c r="CT123" s="186">
        <v>1033527</v>
      </c>
      <c r="CU123" s="186">
        <v>837170</v>
      </c>
      <c r="CV123" s="186">
        <v>563794</v>
      </c>
    </row>
    <row r="124" spans="1:100">
      <c r="A124" s="541" t="str">
        <f t="shared" si="1"/>
        <v>1823100</v>
      </c>
      <c r="B124" s="541" t="s">
        <v>1604</v>
      </c>
      <c r="C124" s="463" t="s">
        <v>680</v>
      </c>
      <c r="D124" s="397">
        <v>1383953</v>
      </c>
      <c r="E124" s="397">
        <v>1383953</v>
      </c>
      <c r="F124" s="397">
        <v>1383953</v>
      </c>
      <c r="G124" s="397">
        <v>1383953</v>
      </c>
      <c r="H124" s="397">
        <v>1383953</v>
      </c>
      <c r="I124" s="397">
        <v>1383953</v>
      </c>
      <c r="J124" s="397">
        <v>1383953</v>
      </c>
      <c r="K124" s="397">
        <v>1383953</v>
      </c>
      <c r="L124" s="397">
        <v>1383953</v>
      </c>
      <c r="M124" s="397">
        <v>1383953</v>
      </c>
      <c r="N124" s="397">
        <v>1383953</v>
      </c>
      <c r="O124" s="397">
        <v>1383953</v>
      </c>
      <c r="P124" s="398">
        <v>1110915</v>
      </c>
      <c r="Q124" s="186">
        <v>1110915</v>
      </c>
      <c r="R124" s="186">
        <v>1110915</v>
      </c>
      <c r="S124" s="186">
        <v>1110915</v>
      </c>
      <c r="T124" s="186">
        <v>1110915</v>
      </c>
      <c r="U124" s="186">
        <v>1110915</v>
      </c>
      <c r="V124" s="186">
        <v>1110915</v>
      </c>
      <c r="W124" s="186">
        <v>1110915</v>
      </c>
      <c r="X124" s="186">
        <v>1110915</v>
      </c>
      <c r="Y124" s="186">
        <v>1110915</v>
      </c>
      <c r="Z124" s="186">
        <v>1110915</v>
      </c>
      <c r="AA124" s="186">
        <v>1110915</v>
      </c>
      <c r="AB124" s="186">
        <v>1110915</v>
      </c>
      <c r="AC124" s="186">
        <v>1086987</v>
      </c>
      <c r="AD124" s="186">
        <v>1086987</v>
      </c>
      <c r="AE124" s="186">
        <v>1086987</v>
      </c>
      <c r="AF124" s="186">
        <v>1086987</v>
      </c>
      <c r="AG124" s="186">
        <v>1086987</v>
      </c>
      <c r="AH124" s="186">
        <v>1086987</v>
      </c>
      <c r="AI124" s="186">
        <v>1086987</v>
      </c>
      <c r="AJ124" s="186">
        <v>1086987</v>
      </c>
      <c r="AK124" s="186">
        <v>1086987</v>
      </c>
      <c r="AL124" s="186">
        <v>1086987</v>
      </c>
      <c r="AM124" s="186">
        <v>1086987</v>
      </c>
      <c r="AN124" s="186">
        <v>1086987</v>
      </c>
      <c r="AO124" s="186">
        <v>1086987</v>
      </c>
      <c r="AP124" s="186">
        <v>1086987</v>
      </c>
      <c r="AQ124" s="186">
        <v>1086987</v>
      </c>
      <c r="AR124" s="186">
        <v>1086987</v>
      </c>
      <c r="AS124" s="186">
        <v>1086987</v>
      </c>
      <c r="AT124" s="186">
        <v>1086987</v>
      </c>
      <c r="AU124" s="186">
        <v>1086987</v>
      </c>
      <c r="AV124" s="186">
        <v>1086987</v>
      </c>
      <c r="AW124" s="186">
        <v>1086987</v>
      </c>
      <c r="AX124" s="186">
        <v>1086987</v>
      </c>
      <c r="AY124" s="186">
        <v>1086987</v>
      </c>
      <c r="AZ124" s="186">
        <v>1086987</v>
      </c>
      <c r="BA124" s="186">
        <v>1086987</v>
      </c>
      <c r="BB124" s="186">
        <v>1086987</v>
      </c>
      <c r="BC124" s="186">
        <v>1086987</v>
      </c>
      <c r="BD124" s="186">
        <v>1086987</v>
      </c>
      <c r="BE124" s="186">
        <v>1086987</v>
      </c>
      <c r="BF124" s="186">
        <v>1064492</v>
      </c>
      <c r="BG124" s="186">
        <v>1064492</v>
      </c>
      <c r="BH124" s="186">
        <v>1064492</v>
      </c>
      <c r="BI124" s="186">
        <v>1064492</v>
      </c>
      <c r="BJ124" s="186">
        <v>1064492</v>
      </c>
      <c r="BK124" s="186">
        <v>1064492</v>
      </c>
      <c r="BL124" s="186">
        <v>1064492</v>
      </c>
      <c r="BM124" s="186">
        <v>1064492</v>
      </c>
      <c r="BN124" s="186">
        <v>1064492</v>
      </c>
      <c r="BO124" s="186">
        <v>1132280</v>
      </c>
      <c r="BP124" s="186">
        <v>1132280</v>
      </c>
      <c r="BQ124" s="186">
        <v>1132280</v>
      </c>
      <c r="BR124" s="186">
        <v>1132280</v>
      </c>
      <c r="BS124" s="186">
        <v>1132280</v>
      </c>
      <c r="BT124" s="186">
        <v>1132280</v>
      </c>
      <c r="BU124" s="186">
        <v>1132280</v>
      </c>
      <c r="BV124" s="186">
        <v>1132280</v>
      </c>
      <c r="BW124" s="186">
        <v>1132280</v>
      </c>
      <c r="BX124" s="186">
        <v>1097401</v>
      </c>
      <c r="BY124" s="186">
        <v>1097401</v>
      </c>
      <c r="BZ124" s="186">
        <v>1097401</v>
      </c>
      <c r="CA124" s="186">
        <v>1167159</v>
      </c>
      <c r="CB124" s="186">
        <v>1167159</v>
      </c>
      <c r="CC124" s="186">
        <v>1167159</v>
      </c>
      <c r="CD124" s="186">
        <v>1167159</v>
      </c>
      <c r="CE124" s="186">
        <v>1167159</v>
      </c>
      <c r="CF124" s="186">
        <v>1167159</v>
      </c>
      <c r="CG124" s="186">
        <v>1167159</v>
      </c>
      <c r="CH124" s="186">
        <v>1167159</v>
      </c>
      <c r="CI124" s="186">
        <v>1167159</v>
      </c>
      <c r="CJ124" s="186">
        <v>924658</v>
      </c>
      <c r="CK124" s="186">
        <v>924658</v>
      </c>
      <c r="CL124" s="186">
        <v>924658</v>
      </c>
      <c r="CM124" s="186">
        <v>924658</v>
      </c>
      <c r="CN124" s="186">
        <v>0</v>
      </c>
      <c r="CO124" s="186">
        <v>0</v>
      </c>
      <c r="CP124" s="186">
        <v>0</v>
      </c>
      <c r="CQ124" s="186">
        <v>0</v>
      </c>
      <c r="CR124" s="186">
        <v>0</v>
      </c>
      <c r="CS124" s="186">
        <v>0</v>
      </c>
      <c r="CT124" s="186">
        <v>0</v>
      </c>
      <c r="CU124" s="186">
        <v>0</v>
      </c>
      <c r="CV124" s="186">
        <v>0</v>
      </c>
    </row>
    <row r="125" spans="1:100">
      <c r="A125" s="541" t="str">
        <f t="shared" si="1"/>
        <v>1823102</v>
      </c>
      <c r="B125" s="541" t="s">
        <v>886</v>
      </c>
      <c r="C125" s="463" t="s">
        <v>681</v>
      </c>
      <c r="D125" s="397">
        <v>0</v>
      </c>
      <c r="E125" s="397">
        <v>0</v>
      </c>
      <c r="F125" s="397">
        <v>0</v>
      </c>
      <c r="G125" s="397">
        <v>0</v>
      </c>
      <c r="H125" s="397">
        <v>0</v>
      </c>
      <c r="I125" s="397">
        <v>0</v>
      </c>
      <c r="J125" s="397">
        <v>0</v>
      </c>
      <c r="K125" s="397">
        <v>0</v>
      </c>
      <c r="L125" s="397">
        <v>0</v>
      </c>
      <c r="M125" s="397">
        <v>0</v>
      </c>
      <c r="N125" s="397">
        <v>0</v>
      </c>
      <c r="O125" s="397">
        <v>0</v>
      </c>
      <c r="P125" s="398">
        <v>0</v>
      </c>
      <c r="Q125" s="186">
        <v>0</v>
      </c>
      <c r="R125" s="186">
        <v>0</v>
      </c>
      <c r="S125" s="186">
        <v>0</v>
      </c>
      <c r="T125" s="186">
        <v>0</v>
      </c>
      <c r="U125" s="186">
        <v>0</v>
      </c>
      <c r="V125" s="186">
        <v>0</v>
      </c>
      <c r="W125" s="186">
        <v>0</v>
      </c>
      <c r="X125" s="186">
        <v>0</v>
      </c>
      <c r="Y125" s="186">
        <v>0</v>
      </c>
      <c r="Z125" s="186">
        <v>0</v>
      </c>
      <c r="AA125" s="186">
        <v>0</v>
      </c>
      <c r="AB125" s="186">
        <v>0</v>
      </c>
      <c r="AC125" s="186">
        <v>0</v>
      </c>
      <c r="AD125" s="186">
        <v>0</v>
      </c>
      <c r="AE125" s="186">
        <v>0</v>
      </c>
      <c r="AF125" s="186">
        <v>0</v>
      </c>
      <c r="AG125" s="186">
        <v>0</v>
      </c>
      <c r="AH125" s="186">
        <v>0</v>
      </c>
      <c r="AI125" s="186">
        <v>0</v>
      </c>
      <c r="AJ125" s="186">
        <v>0</v>
      </c>
      <c r="AK125" s="186">
        <v>0</v>
      </c>
      <c r="AL125" s="186">
        <v>0</v>
      </c>
      <c r="AM125" s="186">
        <v>0</v>
      </c>
      <c r="AN125" s="186">
        <v>0</v>
      </c>
      <c r="AO125" s="186">
        <v>0</v>
      </c>
      <c r="AP125" s="186">
        <v>0</v>
      </c>
      <c r="AQ125" s="186">
        <v>0</v>
      </c>
      <c r="AR125" s="186">
        <v>0</v>
      </c>
      <c r="AS125" s="186">
        <v>0</v>
      </c>
      <c r="AT125" s="186">
        <v>0</v>
      </c>
      <c r="AU125" s="186">
        <v>0</v>
      </c>
      <c r="AV125" s="186">
        <v>0</v>
      </c>
      <c r="AW125" s="186">
        <v>0</v>
      </c>
      <c r="AX125" s="186">
        <v>0</v>
      </c>
      <c r="AY125" s="186">
        <v>0</v>
      </c>
      <c r="AZ125" s="186">
        <v>0</v>
      </c>
      <c r="BA125" s="186">
        <v>0</v>
      </c>
      <c r="BB125" s="186">
        <v>0</v>
      </c>
      <c r="BC125" s="186">
        <v>0</v>
      </c>
      <c r="BD125" s="186">
        <v>0</v>
      </c>
      <c r="BE125" s="186">
        <v>0</v>
      </c>
      <c r="BF125" s="186">
        <v>0</v>
      </c>
      <c r="BG125" s="186">
        <v>0</v>
      </c>
      <c r="BH125" s="186">
        <v>0</v>
      </c>
      <c r="BI125" s="186">
        <v>0</v>
      </c>
      <c r="BJ125" s="186">
        <v>0</v>
      </c>
      <c r="BK125" s="186">
        <v>0</v>
      </c>
      <c r="BL125" s="186">
        <v>0</v>
      </c>
      <c r="BM125" s="186">
        <v>0</v>
      </c>
      <c r="BN125" s="186">
        <v>0</v>
      </c>
      <c r="BO125" s="186">
        <v>0</v>
      </c>
      <c r="BP125" s="186">
        <v>0</v>
      </c>
      <c r="BQ125" s="186">
        <v>0</v>
      </c>
      <c r="BR125" s="186">
        <v>0</v>
      </c>
      <c r="BS125" s="186">
        <v>0</v>
      </c>
      <c r="BT125" s="186">
        <v>0</v>
      </c>
      <c r="BU125" s="186">
        <v>0</v>
      </c>
      <c r="BV125" s="186">
        <v>0</v>
      </c>
      <c r="BW125" s="186">
        <v>0</v>
      </c>
      <c r="BX125" s="186">
        <v>0</v>
      </c>
      <c r="BY125" s="186">
        <v>0</v>
      </c>
      <c r="BZ125" s="186">
        <v>0</v>
      </c>
      <c r="CA125" s="186">
        <v>0</v>
      </c>
      <c r="CB125" s="186">
        <v>0</v>
      </c>
      <c r="CC125" s="186">
        <v>0</v>
      </c>
      <c r="CD125" s="186">
        <v>0</v>
      </c>
      <c r="CE125" s="186">
        <v>0</v>
      </c>
      <c r="CF125" s="186">
        <v>0</v>
      </c>
      <c r="CG125" s="186">
        <v>0</v>
      </c>
      <c r="CH125" s="186">
        <v>0</v>
      </c>
      <c r="CI125" s="186">
        <v>0</v>
      </c>
      <c r="CJ125" s="186">
        <v>410149.62</v>
      </c>
      <c r="CK125" s="186">
        <v>419664.57</v>
      </c>
      <c r="CL125" s="186">
        <v>420104.43</v>
      </c>
      <c r="CM125" s="186">
        <v>420119.03999999998</v>
      </c>
      <c r="CN125" s="186">
        <v>420119.03999999998</v>
      </c>
      <c r="CO125" s="186">
        <v>423476.42</v>
      </c>
      <c r="CP125" s="186">
        <v>423476.42</v>
      </c>
      <c r="CQ125" s="186">
        <v>423476.42</v>
      </c>
      <c r="CR125" s="186">
        <v>423476.42</v>
      </c>
      <c r="CS125" s="186">
        <v>423476.42</v>
      </c>
      <c r="CT125" s="186">
        <v>423476.42</v>
      </c>
      <c r="CU125" s="186">
        <v>423476.42</v>
      </c>
      <c r="CV125" s="186">
        <v>423476.42</v>
      </c>
    </row>
    <row r="126" spans="1:100">
      <c r="A126" s="541" t="str">
        <f t="shared" si="1"/>
        <v>1823105</v>
      </c>
      <c r="B126" s="541" t="s">
        <v>884</v>
      </c>
      <c r="C126" s="463" t="s">
        <v>682</v>
      </c>
      <c r="D126" s="397">
        <v>7120</v>
      </c>
      <c r="E126" s="397">
        <v>0</v>
      </c>
      <c r="F126" s="397">
        <v>0</v>
      </c>
      <c r="G126" s="397">
        <v>0</v>
      </c>
      <c r="H126" s="397">
        <v>0</v>
      </c>
      <c r="I126" s="397">
        <v>38715</v>
      </c>
      <c r="J126" s="397">
        <v>128875</v>
      </c>
      <c r="K126" s="397">
        <v>2468590</v>
      </c>
      <c r="L126" s="397">
        <v>1173365</v>
      </c>
      <c r="M126" s="397">
        <v>1223070</v>
      </c>
      <c r="N126" s="397">
        <v>2881650</v>
      </c>
      <c r="O126" s="397">
        <v>2014370</v>
      </c>
      <c r="P126" s="398">
        <v>7392240</v>
      </c>
      <c r="Q126" s="186">
        <v>7790065</v>
      </c>
      <c r="R126" s="186">
        <v>6393740</v>
      </c>
      <c r="S126" s="186">
        <v>6342450</v>
      </c>
      <c r="T126" s="186">
        <v>5637320</v>
      </c>
      <c r="U126" s="186">
        <v>5755855</v>
      </c>
      <c r="V126" s="186">
        <v>4880205</v>
      </c>
      <c r="W126" s="186">
        <v>4858745</v>
      </c>
      <c r="X126" s="186">
        <v>5110565</v>
      </c>
      <c r="Y126" s="186">
        <v>5737865</v>
      </c>
      <c r="Z126" s="186">
        <v>7190665</v>
      </c>
      <c r="AA126" s="186">
        <v>7185065</v>
      </c>
      <c r="AB126" s="186">
        <v>5677115</v>
      </c>
      <c r="AC126" s="186">
        <v>4421245</v>
      </c>
      <c r="AD126" s="186">
        <v>5029175</v>
      </c>
      <c r="AE126" s="186">
        <v>3317630</v>
      </c>
      <c r="AF126" s="186">
        <v>1955540</v>
      </c>
      <c r="AG126" s="186">
        <v>1672795</v>
      </c>
      <c r="AH126" s="186">
        <v>343605</v>
      </c>
      <c r="AI126" s="186">
        <v>334975</v>
      </c>
      <c r="AJ126" s="186">
        <v>322945</v>
      </c>
      <c r="AK126" s="186">
        <v>385945</v>
      </c>
      <c r="AL126" s="186">
        <v>407985</v>
      </c>
      <c r="AM126" s="186">
        <v>73985</v>
      </c>
      <c r="AN126" s="186">
        <v>0</v>
      </c>
      <c r="AO126" s="186">
        <v>55450</v>
      </c>
      <c r="AP126" s="186">
        <v>358425</v>
      </c>
      <c r="AQ126" s="186">
        <v>0</v>
      </c>
      <c r="AR126" s="186">
        <v>0</v>
      </c>
      <c r="AS126" s="186">
        <v>3400</v>
      </c>
      <c r="AT126" s="186">
        <v>20300</v>
      </c>
      <c r="AU126" s="186">
        <v>132075</v>
      </c>
      <c r="AV126" s="186">
        <v>4680</v>
      </c>
      <c r="AW126" s="186">
        <v>9230</v>
      </c>
      <c r="AX126" s="186">
        <v>138225</v>
      </c>
      <c r="AY126" s="186">
        <v>60555</v>
      </c>
      <c r="AZ126" s="186">
        <v>181065</v>
      </c>
      <c r="BA126" s="186">
        <v>1780</v>
      </c>
      <c r="BB126" s="186">
        <v>113125</v>
      </c>
      <c r="BC126" s="186">
        <v>32645</v>
      </c>
      <c r="BD126" s="186">
        <v>25690</v>
      </c>
      <c r="BE126" s="186">
        <v>0</v>
      </c>
      <c r="BF126" s="186">
        <v>280</v>
      </c>
      <c r="BG126" s="186">
        <v>11720</v>
      </c>
      <c r="BH126" s="186">
        <v>0</v>
      </c>
      <c r="BI126" s="186">
        <v>0</v>
      </c>
      <c r="BJ126" s="186">
        <v>0</v>
      </c>
      <c r="BK126" s="186">
        <v>0</v>
      </c>
      <c r="BL126" s="186">
        <v>0</v>
      </c>
      <c r="BM126" s="186">
        <v>0</v>
      </c>
      <c r="BN126" s="186">
        <v>0</v>
      </c>
      <c r="BO126" s="186">
        <v>0</v>
      </c>
      <c r="BP126" s="186">
        <v>0</v>
      </c>
      <c r="BQ126" s="186">
        <v>0</v>
      </c>
      <c r="BR126" s="186">
        <v>0</v>
      </c>
      <c r="BS126" s="186">
        <v>0</v>
      </c>
      <c r="BT126" s="186">
        <v>0</v>
      </c>
      <c r="BU126" s="186">
        <v>0</v>
      </c>
      <c r="BV126" s="186">
        <v>0</v>
      </c>
      <c r="BW126" s="186">
        <v>0</v>
      </c>
      <c r="BX126" s="186">
        <v>0</v>
      </c>
      <c r="BY126" s="186">
        <v>0</v>
      </c>
      <c r="BZ126" s="186">
        <v>0</v>
      </c>
      <c r="CA126" s="186">
        <v>0</v>
      </c>
      <c r="CB126" s="186">
        <v>0</v>
      </c>
      <c r="CC126" s="186">
        <v>0</v>
      </c>
      <c r="CD126" s="186">
        <v>0</v>
      </c>
      <c r="CE126" s="186">
        <v>0</v>
      </c>
      <c r="CF126" s="186">
        <v>0</v>
      </c>
      <c r="CG126" s="186">
        <v>0</v>
      </c>
      <c r="CH126" s="186">
        <v>0</v>
      </c>
      <c r="CI126" s="186">
        <v>0</v>
      </c>
      <c r="CJ126" s="186">
        <v>0</v>
      </c>
      <c r="CK126" s="186">
        <v>0</v>
      </c>
      <c r="CL126" s="186">
        <v>0</v>
      </c>
      <c r="CM126" s="186">
        <v>0</v>
      </c>
      <c r="CN126" s="186">
        <v>0</v>
      </c>
      <c r="CO126" s="186">
        <v>0</v>
      </c>
      <c r="CP126" s="186">
        <v>0</v>
      </c>
      <c r="CQ126" s="186">
        <v>0</v>
      </c>
      <c r="CR126" s="186">
        <v>0</v>
      </c>
      <c r="CS126" s="186">
        <v>0</v>
      </c>
      <c r="CT126" s="186">
        <v>0</v>
      </c>
      <c r="CU126" s="186">
        <v>0</v>
      </c>
      <c r="CV126" s="186">
        <v>0</v>
      </c>
    </row>
    <row r="127" spans="1:100">
      <c r="A127" s="541" t="str">
        <f t="shared" si="1"/>
        <v>1823200</v>
      </c>
      <c r="B127" s="541" t="s">
        <v>1520</v>
      </c>
      <c r="C127" s="463" t="s">
        <v>683</v>
      </c>
      <c r="D127" s="397">
        <v>15895212</v>
      </c>
      <c r="E127" s="397">
        <v>15895212</v>
      </c>
      <c r="F127" s="397">
        <v>15895212</v>
      </c>
      <c r="G127" s="397">
        <v>15515120</v>
      </c>
      <c r="H127" s="397">
        <v>15515120</v>
      </c>
      <c r="I127" s="397">
        <v>15515120</v>
      </c>
      <c r="J127" s="397">
        <v>15123910</v>
      </c>
      <c r="K127" s="397">
        <v>15123910</v>
      </c>
      <c r="L127" s="397">
        <v>15123910</v>
      </c>
      <c r="M127" s="397">
        <v>14917721</v>
      </c>
      <c r="N127" s="397">
        <v>14917721</v>
      </c>
      <c r="O127" s="397">
        <v>14917721</v>
      </c>
      <c r="P127" s="398">
        <v>18221183</v>
      </c>
      <c r="Q127" s="186">
        <v>18221183</v>
      </c>
      <c r="R127" s="186">
        <v>18221183</v>
      </c>
      <c r="S127" s="186">
        <v>18583829</v>
      </c>
      <c r="T127" s="186">
        <v>18583829</v>
      </c>
      <c r="U127" s="186">
        <v>18583829</v>
      </c>
      <c r="V127" s="186">
        <v>17393031</v>
      </c>
      <c r="W127" s="186">
        <v>17393031</v>
      </c>
      <c r="X127" s="186">
        <v>17086508</v>
      </c>
      <c r="Y127" s="186">
        <v>16672431</v>
      </c>
      <c r="Z127" s="186">
        <v>16672431</v>
      </c>
      <c r="AA127" s="186">
        <v>16672431</v>
      </c>
      <c r="AB127" s="186">
        <v>23999401</v>
      </c>
      <c r="AC127" s="186">
        <v>24023329</v>
      </c>
      <c r="AD127" s="186">
        <v>24023329</v>
      </c>
      <c r="AE127" s="186">
        <v>23669511</v>
      </c>
      <c r="AF127" s="186">
        <v>23669511</v>
      </c>
      <c r="AG127" s="186">
        <v>23678786</v>
      </c>
      <c r="AH127" s="186">
        <v>23206944</v>
      </c>
      <c r="AI127" s="186">
        <v>23206944</v>
      </c>
      <c r="AJ127" s="186">
        <v>23206944</v>
      </c>
      <c r="AK127" s="186">
        <v>31647791</v>
      </c>
      <c r="AL127" s="186">
        <v>31647791</v>
      </c>
      <c r="AM127" s="186">
        <v>31647791</v>
      </c>
      <c r="AN127" s="186">
        <v>27242785</v>
      </c>
      <c r="AO127" s="186">
        <v>27242785</v>
      </c>
      <c r="AP127" s="186">
        <v>27242785</v>
      </c>
      <c r="AQ127" s="186">
        <v>26819238</v>
      </c>
      <c r="AR127" s="186">
        <v>26819238</v>
      </c>
      <c r="AS127" s="186">
        <v>26819238</v>
      </c>
      <c r="AT127" s="186">
        <v>27584550</v>
      </c>
      <c r="AU127" s="186">
        <v>27584550</v>
      </c>
      <c r="AV127" s="186">
        <v>27584550</v>
      </c>
      <c r="AW127" s="186">
        <v>27125023</v>
      </c>
      <c r="AX127" s="186">
        <v>27125023</v>
      </c>
      <c r="AY127" s="186">
        <v>27125023</v>
      </c>
      <c r="AZ127" s="186">
        <v>25198875</v>
      </c>
      <c r="BA127" s="186">
        <v>25198875</v>
      </c>
      <c r="BB127" s="186">
        <v>25198875</v>
      </c>
      <c r="BC127" s="186">
        <v>24715716</v>
      </c>
      <c r="BD127" s="186">
        <v>24715716</v>
      </c>
      <c r="BE127" s="186">
        <v>24715716</v>
      </c>
      <c r="BF127" s="186">
        <v>24200293</v>
      </c>
      <c r="BG127" s="186">
        <v>24200293</v>
      </c>
      <c r="BH127" s="186">
        <v>24200293</v>
      </c>
      <c r="BI127" s="186">
        <v>23713049</v>
      </c>
      <c r="BJ127" s="186">
        <v>23713049</v>
      </c>
      <c r="BK127" s="186">
        <v>23713049</v>
      </c>
      <c r="BL127" s="186">
        <v>29672933</v>
      </c>
      <c r="BM127" s="186">
        <v>29672933</v>
      </c>
      <c r="BN127" s="186">
        <v>29672933</v>
      </c>
      <c r="BO127" s="186">
        <v>29208554</v>
      </c>
      <c r="BP127" s="186">
        <v>29208554</v>
      </c>
      <c r="BQ127" s="186">
        <v>29208554</v>
      </c>
      <c r="BR127" s="186">
        <v>28773624</v>
      </c>
      <c r="BS127" s="186">
        <v>28773624</v>
      </c>
      <c r="BT127" s="186">
        <v>28773624</v>
      </c>
      <c r="BU127" s="186">
        <v>28357863</v>
      </c>
      <c r="BV127" s="186">
        <v>28357863</v>
      </c>
      <c r="BW127" s="186">
        <v>28357863</v>
      </c>
      <c r="BX127" s="186">
        <v>28607784</v>
      </c>
      <c r="BY127" s="186">
        <v>28607784</v>
      </c>
      <c r="BZ127" s="186">
        <v>28607784</v>
      </c>
      <c r="CA127" s="186">
        <v>28018094</v>
      </c>
      <c r="CB127" s="186">
        <v>28018094</v>
      </c>
      <c r="CC127" s="186">
        <v>28018094</v>
      </c>
      <c r="CD127" s="186">
        <v>27469279</v>
      </c>
      <c r="CE127" s="186">
        <v>27469279</v>
      </c>
      <c r="CF127" s="186">
        <v>27469279</v>
      </c>
      <c r="CG127" s="186">
        <v>26934905</v>
      </c>
      <c r="CH127" s="186">
        <v>26934905</v>
      </c>
      <c r="CI127" s="186">
        <v>26934905</v>
      </c>
      <c r="CJ127" s="186">
        <v>33407291</v>
      </c>
      <c r="CK127" s="186">
        <v>33407291</v>
      </c>
      <c r="CL127" s="186">
        <v>33407291</v>
      </c>
      <c r="CM127" s="186">
        <v>32711380</v>
      </c>
      <c r="CN127" s="186">
        <v>33636038</v>
      </c>
      <c r="CO127" s="186">
        <v>33636038</v>
      </c>
      <c r="CP127" s="186">
        <v>32940127</v>
      </c>
      <c r="CQ127" s="186">
        <v>32940127</v>
      </c>
      <c r="CR127" s="186">
        <v>32940127</v>
      </c>
      <c r="CS127" s="186">
        <v>31860403</v>
      </c>
      <c r="CT127" s="186">
        <v>31860403</v>
      </c>
      <c r="CU127" s="186">
        <v>31860403</v>
      </c>
      <c r="CV127" s="186">
        <v>25456886</v>
      </c>
    </row>
    <row r="128" spans="1:100">
      <c r="A128" s="541" t="str">
        <f>+B128</f>
        <v>1823202</v>
      </c>
      <c r="B128" s="541" t="s">
        <v>2597</v>
      </c>
      <c r="C128" s="1080" t="s">
        <v>2545</v>
      </c>
      <c r="D128" s="186">
        <v>0</v>
      </c>
      <c r="E128" s="186">
        <v>0</v>
      </c>
      <c r="F128" s="186">
        <v>0</v>
      </c>
      <c r="G128" s="186">
        <v>0</v>
      </c>
      <c r="H128" s="186">
        <v>0</v>
      </c>
      <c r="I128" s="186">
        <v>0</v>
      </c>
      <c r="J128" s="186">
        <v>0</v>
      </c>
      <c r="K128" s="186">
        <v>0</v>
      </c>
      <c r="L128" s="186">
        <v>0</v>
      </c>
      <c r="M128" s="186">
        <v>0</v>
      </c>
      <c r="N128" s="186">
        <v>0</v>
      </c>
      <c r="O128" s="186">
        <v>0</v>
      </c>
      <c r="P128" s="186">
        <v>0</v>
      </c>
      <c r="Q128" s="186">
        <v>0</v>
      </c>
      <c r="R128" s="186">
        <v>0</v>
      </c>
      <c r="S128" s="186">
        <v>0</v>
      </c>
      <c r="T128" s="186">
        <v>0</v>
      </c>
      <c r="U128" s="186">
        <v>0</v>
      </c>
      <c r="V128" s="186">
        <v>0</v>
      </c>
      <c r="W128" s="186">
        <v>0</v>
      </c>
      <c r="X128" s="186">
        <v>0</v>
      </c>
      <c r="Y128" s="186">
        <v>0</v>
      </c>
      <c r="Z128" s="186">
        <v>0</v>
      </c>
      <c r="AA128" s="186">
        <v>0</v>
      </c>
      <c r="AB128" s="186">
        <v>0</v>
      </c>
      <c r="AC128" s="186">
        <v>0</v>
      </c>
      <c r="AD128" s="186">
        <v>0</v>
      </c>
      <c r="AE128" s="186">
        <v>0</v>
      </c>
      <c r="AF128" s="186">
        <v>0</v>
      </c>
      <c r="AG128" s="186">
        <v>0</v>
      </c>
      <c r="AH128" s="186">
        <v>0</v>
      </c>
      <c r="AI128" s="186">
        <v>0</v>
      </c>
      <c r="AJ128" s="186">
        <v>0</v>
      </c>
      <c r="AK128" s="186">
        <v>0</v>
      </c>
      <c r="AL128" s="186">
        <v>0</v>
      </c>
      <c r="AM128" s="186">
        <v>0</v>
      </c>
      <c r="AN128" s="186">
        <v>0</v>
      </c>
      <c r="AO128" s="186">
        <v>0</v>
      </c>
      <c r="AP128" s="186">
        <v>0</v>
      </c>
      <c r="AQ128" s="186">
        <v>0</v>
      </c>
      <c r="AR128" s="186">
        <v>0</v>
      </c>
      <c r="AS128" s="186">
        <v>0</v>
      </c>
      <c r="AT128" s="186">
        <v>0</v>
      </c>
      <c r="AU128" s="186">
        <v>0</v>
      </c>
      <c r="AV128" s="186">
        <v>0</v>
      </c>
      <c r="AW128" s="186">
        <v>0</v>
      </c>
      <c r="AX128" s="186">
        <v>0</v>
      </c>
      <c r="AY128" s="186">
        <v>0</v>
      </c>
      <c r="AZ128" s="186">
        <v>0</v>
      </c>
      <c r="BA128" s="186">
        <v>0</v>
      </c>
      <c r="BB128" s="186">
        <v>0</v>
      </c>
      <c r="BC128" s="186">
        <v>0</v>
      </c>
      <c r="BD128" s="186">
        <v>0</v>
      </c>
      <c r="BE128" s="186">
        <v>0</v>
      </c>
      <c r="BF128" s="186">
        <v>0</v>
      </c>
      <c r="BG128" s="186">
        <v>0</v>
      </c>
      <c r="BH128" s="186">
        <v>0</v>
      </c>
      <c r="BI128" s="186">
        <v>0</v>
      </c>
      <c r="BJ128" s="186">
        <v>0</v>
      </c>
      <c r="BK128" s="186">
        <v>0</v>
      </c>
      <c r="BL128" s="186">
        <v>0</v>
      </c>
      <c r="BM128" s="186">
        <v>0</v>
      </c>
      <c r="BN128" s="186">
        <v>0</v>
      </c>
      <c r="BO128" s="186">
        <v>0</v>
      </c>
      <c r="BP128" s="186">
        <v>0</v>
      </c>
      <c r="BQ128" s="186">
        <v>0</v>
      </c>
      <c r="BR128" s="186">
        <v>0</v>
      </c>
      <c r="BS128" s="186">
        <v>0</v>
      </c>
      <c r="BT128" s="186">
        <v>0</v>
      </c>
      <c r="BU128" s="186">
        <v>0</v>
      </c>
      <c r="BV128" s="186">
        <v>0</v>
      </c>
      <c r="BW128" s="186">
        <v>0</v>
      </c>
      <c r="BX128" s="186">
        <v>0</v>
      </c>
      <c r="BY128" s="186">
        <v>0</v>
      </c>
      <c r="BZ128" s="186">
        <v>0</v>
      </c>
      <c r="CA128" s="186">
        <v>0</v>
      </c>
      <c r="CB128" s="186">
        <v>0</v>
      </c>
      <c r="CC128" s="186">
        <v>0</v>
      </c>
      <c r="CD128" s="186">
        <v>0</v>
      </c>
      <c r="CE128" s="186">
        <v>0</v>
      </c>
      <c r="CF128" s="186">
        <v>550933</v>
      </c>
      <c r="CG128" s="186">
        <v>1385701</v>
      </c>
      <c r="CH128" s="186">
        <v>0</v>
      </c>
      <c r="CI128" s="186">
        <v>0</v>
      </c>
      <c r="CJ128" s="186">
        <v>820299.24</v>
      </c>
      <c r="CK128" s="186">
        <v>805150.02</v>
      </c>
      <c r="CL128" s="186">
        <v>770191.46</v>
      </c>
      <c r="CM128" s="186">
        <v>735208.32</v>
      </c>
      <c r="CN128" s="186">
        <v>700198.40000000002</v>
      </c>
      <c r="CO128" s="186">
        <v>670504.31999999995</v>
      </c>
      <c r="CP128" s="186">
        <v>635214.62</v>
      </c>
      <c r="CQ128" s="186">
        <v>599924.92000000004</v>
      </c>
      <c r="CR128" s="186">
        <v>564635.22</v>
      </c>
      <c r="CS128" s="186">
        <v>529345.52</v>
      </c>
      <c r="CT128" s="186">
        <v>494055.82</v>
      </c>
      <c r="CU128" s="186">
        <v>458766.12</v>
      </c>
      <c r="CV128" s="186">
        <v>423476.42</v>
      </c>
    </row>
    <row r="129" spans="1:100">
      <c r="A129" s="541" t="str">
        <f t="shared" si="1"/>
        <v>1823205</v>
      </c>
      <c r="B129" s="541" t="s">
        <v>885</v>
      </c>
      <c r="C129" s="463" t="s">
        <v>684</v>
      </c>
      <c r="D129" s="397">
        <v>28565</v>
      </c>
      <c r="E129" s="397">
        <v>16835</v>
      </c>
      <c r="F129" s="397">
        <v>11185</v>
      </c>
      <c r="G129" s="397">
        <v>18490</v>
      </c>
      <c r="H129" s="397">
        <v>800</v>
      </c>
      <c r="I129" s="397">
        <v>48975</v>
      </c>
      <c r="J129" s="397">
        <v>58765</v>
      </c>
      <c r="K129" s="397">
        <v>780035</v>
      </c>
      <c r="L129" s="397">
        <v>352435</v>
      </c>
      <c r="M129" s="397">
        <v>394780</v>
      </c>
      <c r="N129" s="397">
        <v>777250</v>
      </c>
      <c r="O129" s="397">
        <v>688750</v>
      </c>
      <c r="P129" s="398">
        <v>1593250</v>
      </c>
      <c r="Q129" s="186">
        <v>1274880</v>
      </c>
      <c r="R129" s="186">
        <v>1033930</v>
      </c>
      <c r="S129" s="186">
        <v>879585</v>
      </c>
      <c r="T129" s="186">
        <v>655185</v>
      </c>
      <c r="U129" s="186">
        <v>552090</v>
      </c>
      <c r="V129" s="186">
        <v>314130</v>
      </c>
      <c r="W129" s="186">
        <v>359700</v>
      </c>
      <c r="X129" s="186">
        <v>439100</v>
      </c>
      <c r="Y129" s="186">
        <v>594500</v>
      </c>
      <c r="Z129" s="186">
        <v>853370</v>
      </c>
      <c r="AA129" s="186">
        <v>880470</v>
      </c>
      <c r="AB129" s="186">
        <v>668840</v>
      </c>
      <c r="AC129" s="186">
        <v>461890</v>
      </c>
      <c r="AD129" s="186">
        <v>401870</v>
      </c>
      <c r="AE129" s="186">
        <v>134920</v>
      </c>
      <c r="AF129" s="186">
        <v>16250</v>
      </c>
      <c r="AG129" s="186">
        <v>15820</v>
      </c>
      <c r="AH129" s="186">
        <v>0</v>
      </c>
      <c r="AI129" s="186">
        <v>0</v>
      </c>
      <c r="AJ129" s="186">
        <v>480</v>
      </c>
      <c r="AK129" s="186">
        <v>18320</v>
      </c>
      <c r="AL129" s="186">
        <v>530</v>
      </c>
      <c r="AM129" s="186">
        <v>2800</v>
      </c>
      <c r="AN129" s="186">
        <v>0</v>
      </c>
      <c r="AO129" s="186">
        <v>600</v>
      </c>
      <c r="AP129" s="186">
        <v>31075</v>
      </c>
      <c r="AQ129" s="186">
        <v>4235</v>
      </c>
      <c r="AR129" s="186">
        <v>0</v>
      </c>
      <c r="AS129" s="186">
        <v>520</v>
      </c>
      <c r="AT129" s="186">
        <v>1980</v>
      </c>
      <c r="AU129" s="186">
        <v>7950</v>
      </c>
      <c r="AV129" s="186">
        <v>0</v>
      </c>
      <c r="AW129" s="186">
        <v>0</v>
      </c>
      <c r="AX129" s="186">
        <v>0</v>
      </c>
      <c r="AY129" s="186">
        <v>0</v>
      </c>
      <c r="AZ129" s="186">
        <v>0</v>
      </c>
      <c r="BA129" s="186">
        <v>0</v>
      </c>
      <c r="BB129" s="186">
        <v>0</v>
      </c>
      <c r="BC129" s="186">
        <v>0</v>
      </c>
      <c r="BD129" s="186">
        <v>0</v>
      </c>
      <c r="BE129" s="186">
        <v>0</v>
      </c>
      <c r="BF129" s="186">
        <v>0</v>
      </c>
      <c r="BG129" s="186">
        <v>0</v>
      </c>
      <c r="BH129" s="186">
        <v>0</v>
      </c>
      <c r="BI129" s="186">
        <v>0</v>
      </c>
      <c r="BJ129" s="186">
        <v>0</v>
      </c>
      <c r="BK129" s="186">
        <v>0</v>
      </c>
      <c r="BL129" s="186">
        <v>0</v>
      </c>
      <c r="BM129" s="186">
        <v>0</v>
      </c>
      <c r="BN129" s="186">
        <v>0</v>
      </c>
      <c r="BO129" s="186">
        <v>0</v>
      </c>
      <c r="BP129" s="186">
        <v>0</v>
      </c>
      <c r="BQ129" s="186">
        <v>0</v>
      </c>
      <c r="BR129" s="186">
        <v>0</v>
      </c>
      <c r="BS129" s="186">
        <v>0</v>
      </c>
      <c r="BT129" s="186">
        <v>0</v>
      </c>
      <c r="BU129" s="186">
        <v>0</v>
      </c>
      <c r="BV129" s="186">
        <v>0</v>
      </c>
      <c r="BW129" s="186">
        <v>0</v>
      </c>
      <c r="BX129" s="186">
        <v>0</v>
      </c>
      <c r="BY129" s="186">
        <v>0</v>
      </c>
      <c r="BZ129" s="186">
        <v>0</v>
      </c>
      <c r="CA129" s="186">
        <v>0</v>
      </c>
      <c r="CB129" s="186">
        <v>0</v>
      </c>
      <c r="CC129" s="186">
        <v>0</v>
      </c>
      <c r="CD129" s="186">
        <v>0</v>
      </c>
      <c r="CE129" s="186">
        <v>0</v>
      </c>
      <c r="CF129" s="186">
        <v>0</v>
      </c>
      <c r="CG129" s="186">
        <v>0</v>
      </c>
      <c r="CH129" s="186">
        <v>0</v>
      </c>
      <c r="CI129" s="186">
        <v>0</v>
      </c>
      <c r="CJ129" s="186">
        <v>0</v>
      </c>
      <c r="CK129" s="186">
        <v>0</v>
      </c>
      <c r="CL129" s="186">
        <v>0</v>
      </c>
      <c r="CM129" s="186">
        <v>0</v>
      </c>
      <c r="CN129" s="186">
        <v>0</v>
      </c>
      <c r="CO129" s="186">
        <v>0</v>
      </c>
      <c r="CP129" s="186">
        <v>0</v>
      </c>
      <c r="CQ129" s="186">
        <v>0</v>
      </c>
      <c r="CR129" s="186">
        <v>0</v>
      </c>
      <c r="CS129" s="186">
        <v>0</v>
      </c>
      <c r="CT129" s="186">
        <v>0</v>
      </c>
      <c r="CU129" s="186">
        <v>0</v>
      </c>
      <c r="CV129" s="186">
        <v>0</v>
      </c>
    </row>
    <row r="130" spans="1:100">
      <c r="A130" s="541" t="str">
        <f>+B130</f>
        <v>1823208</v>
      </c>
      <c r="B130" s="541" t="s">
        <v>2472</v>
      </c>
      <c r="C130" s="463" t="s">
        <v>2473</v>
      </c>
      <c r="D130" s="397"/>
      <c r="E130" s="397"/>
      <c r="F130" s="397"/>
      <c r="G130" s="397"/>
      <c r="H130" s="397"/>
      <c r="I130" s="397"/>
      <c r="J130" s="397"/>
      <c r="K130" s="397"/>
      <c r="L130" s="397"/>
      <c r="M130" s="397"/>
      <c r="N130" s="397"/>
      <c r="O130" s="397"/>
      <c r="P130" s="398"/>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v>0</v>
      </c>
      <c r="BZ130" s="186">
        <v>242507.17</v>
      </c>
      <c r="CA130" s="186">
        <v>242768.72</v>
      </c>
      <c r="CB130" s="186">
        <v>237603.43</v>
      </c>
      <c r="CC130" s="186">
        <v>232438.14</v>
      </c>
      <c r="CD130" s="186">
        <v>227272.85</v>
      </c>
      <c r="CE130" s="186">
        <v>222107.56</v>
      </c>
      <c r="CF130" s="186">
        <v>216942.27</v>
      </c>
      <c r="CG130" s="186">
        <v>211776.98</v>
      </c>
      <c r="CH130" s="186">
        <v>206611.69</v>
      </c>
      <c r="CI130" s="186">
        <v>201446.39999999999</v>
      </c>
      <c r="CJ130" s="186">
        <v>196281.11</v>
      </c>
      <c r="CK130" s="186">
        <v>191115.82</v>
      </c>
      <c r="CL130" s="186">
        <v>185950.53</v>
      </c>
      <c r="CM130" s="186">
        <v>180785.24</v>
      </c>
      <c r="CN130" s="186">
        <v>175619.95</v>
      </c>
      <c r="CO130" s="186">
        <v>170454.66</v>
      </c>
      <c r="CP130" s="186">
        <v>165289.37</v>
      </c>
      <c r="CQ130" s="186">
        <v>160124.07999999999</v>
      </c>
      <c r="CR130" s="186">
        <v>154958.79</v>
      </c>
      <c r="CS130" s="186">
        <v>149793.5</v>
      </c>
      <c r="CT130" s="186">
        <v>144628.21</v>
      </c>
      <c r="CU130" s="186">
        <v>139462.92000000001</v>
      </c>
      <c r="CV130" s="186">
        <v>134297.63</v>
      </c>
    </row>
    <row r="131" spans="1:100">
      <c r="A131" s="541">
        <f>+B131</f>
        <v>1823210</v>
      </c>
      <c r="B131" s="541">
        <v>1823210</v>
      </c>
      <c r="C131" s="1080" t="s">
        <v>2546</v>
      </c>
      <c r="D131" s="186">
        <v>0</v>
      </c>
      <c r="E131" s="186">
        <v>0</v>
      </c>
      <c r="F131" s="186">
        <v>0</v>
      </c>
      <c r="G131" s="186">
        <v>0</v>
      </c>
      <c r="H131" s="186">
        <v>0</v>
      </c>
      <c r="I131" s="186">
        <v>0</v>
      </c>
      <c r="J131" s="186">
        <v>0</v>
      </c>
      <c r="K131" s="186">
        <v>0</v>
      </c>
      <c r="L131" s="186">
        <v>0</v>
      </c>
      <c r="M131" s="186">
        <v>0</v>
      </c>
      <c r="N131" s="186">
        <v>0</v>
      </c>
      <c r="O131" s="186">
        <v>0</v>
      </c>
      <c r="P131" s="186">
        <v>0</v>
      </c>
      <c r="Q131" s="186">
        <v>0</v>
      </c>
      <c r="R131" s="186">
        <v>0</v>
      </c>
      <c r="S131" s="186">
        <v>0</v>
      </c>
      <c r="T131" s="186">
        <v>0</v>
      </c>
      <c r="U131" s="186">
        <v>0</v>
      </c>
      <c r="V131" s="186">
        <v>0</v>
      </c>
      <c r="W131" s="186">
        <v>0</v>
      </c>
      <c r="X131" s="186">
        <v>0</v>
      </c>
      <c r="Y131" s="186">
        <v>0</v>
      </c>
      <c r="Z131" s="186">
        <v>0</v>
      </c>
      <c r="AA131" s="186">
        <v>0</v>
      </c>
      <c r="AB131" s="186">
        <v>0</v>
      </c>
      <c r="AC131" s="186">
        <v>0</v>
      </c>
      <c r="AD131" s="186">
        <v>0</v>
      </c>
      <c r="AE131" s="186">
        <v>0</v>
      </c>
      <c r="AF131" s="186">
        <v>0</v>
      </c>
      <c r="AG131" s="186">
        <v>0</v>
      </c>
      <c r="AH131" s="186">
        <v>0</v>
      </c>
      <c r="AI131" s="186">
        <v>0</v>
      </c>
      <c r="AJ131" s="186">
        <v>0</v>
      </c>
      <c r="AK131" s="186">
        <v>0</v>
      </c>
      <c r="AL131" s="186">
        <v>0</v>
      </c>
      <c r="AM131" s="186">
        <v>0</v>
      </c>
      <c r="AN131" s="186">
        <v>0</v>
      </c>
      <c r="AO131" s="186">
        <v>0</v>
      </c>
      <c r="AP131" s="186">
        <v>0</v>
      </c>
      <c r="AQ131" s="186">
        <v>0</v>
      </c>
      <c r="AR131" s="186">
        <v>0</v>
      </c>
      <c r="AS131" s="186">
        <v>0</v>
      </c>
      <c r="AT131" s="186">
        <v>0</v>
      </c>
      <c r="AU131" s="186">
        <v>0</v>
      </c>
      <c r="AV131" s="186">
        <v>0</v>
      </c>
      <c r="AW131" s="186">
        <v>0</v>
      </c>
      <c r="AX131" s="186">
        <v>0</v>
      </c>
      <c r="AY131" s="186">
        <v>0</v>
      </c>
      <c r="AZ131" s="186">
        <v>0</v>
      </c>
      <c r="BA131" s="186">
        <v>0</v>
      </c>
      <c r="BB131" s="186">
        <v>0</v>
      </c>
      <c r="BC131" s="186">
        <v>0</v>
      </c>
      <c r="BD131" s="186">
        <v>0</v>
      </c>
      <c r="BE131" s="186">
        <v>0</v>
      </c>
      <c r="BF131" s="186">
        <v>0</v>
      </c>
      <c r="BG131" s="186">
        <v>0</v>
      </c>
      <c r="BH131" s="186">
        <v>0</v>
      </c>
      <c r="BI131" s="186">
        <v>0</v>
      </c>
      <c r="BJ131" s="186">
        <v>0</v>
      </c>
      <c r="BK131" s="186">
        <v>0</v>
      </c>
      <c r="BL131" s="186">
        <v>0</v>
      </c>
      <c r="BM131" s="186">
        <v>0</v>
      </c>
      <c r="BN131" s="186">
        <v>0</v>
      </c>
      <c r="BO131" s="186">
        <v>0</v>
      </c>
      <c r="BP131" s="186">
        <v>0</v>
      </c>
      <c r="BQ131" s="186">
        <v>0</v>
      </c>
      <c r="BR131" s="186">
        <v>0</v>
      </c>
      <c r="BS131" s="186">
        <v>0</v>
      </c>
      <c r="BT131" s="186">
        <v>0</v>
      </c>
      <c r="BU131" s="186">
        <v>0</v>
      </c>
      <c r="BV131" s="186">
        <v>0</v>
      </c>
      <c r="BW131" s="186">
        <v>0</v>
      </c>
      <c r="BX131" s="186">
        <v>0</v>
      </c>
      <c r="BY131" s="186">
        <v>0</v>
      </c>
      <c r="BZ131" s="186">
        <v>0</v>
      </c>
      <c r="CA131" s="186">
        <v>0</v>
      </c>
      <c r="CB131" s="186">
        <v>0</v>
      </c>
      <c r="CC131" s="186">
        <v>0</v>
      </c>
      <c r="CD131" s="186">
        <v>0</v>
      </c>
      <c r="CE131" s="186">
        <v>0</v>
      </c>
      <c r="CF131" s="186">
        <v>550933</v>
      </c>
      <c r="CG131" s="186">
        <v>1385701</v>
      </c>
      <c r="CH131" s="186">
        <v>0</v>
      </c>
      <c r="CI131" s="186">
        <v>0</v>
      </c>
      <c r="CJ131" s="186">
        <v>52454.57</v>
      </c>
      <c r="CK131" s="186">
        <v>15526.83</v>
      </c>
      <c r="CL131" s="186">
        <v>281372.48</v>
      </c>
      <c r="CM131" s="186">
        <v>289771.12</v>
      </c>
      <c r="CN131" s="186">
        <v>289771.12</v>
      </c>
      <c r="CO131" s="186">
        <v>309148.39</v>
      </c>
      <c r="CP131" s="186">
        <v>318939.01</v>
      </c>
      <c r="CQ131" s="186">
        <v>327079.78999999998</v>
      </c>
      <c r="CR131" s="186">
        <v>335363.44</v>
      </c>
      <c r="CS131" s="186">
        <v>349833.47</v>
      </c>
      <c r="CT131" s="186">
        <v>366468.03</v>
      </c>
      <c r="CU131" s="186">
        <v>378525.37</v>
      </c>
      <c r="CV131" s="186">
        <v>384858.52</v>
      </c>
    </row>
    <row r="132" spans="1:100">
      <c r="A132" s="541" t="str">
        <f t="shared" si="1"/>
        <v>1823245</v>
      </c>
      <c r="B132" s="541" t="s">
        <v>1521</v>
      </c>
      <c r="C132" s="463" t="s">
        <v>685</v>
      </c>
      <c r="D132" s="397">
        <v>0</v>
      </c>
      <c r="E132" s="397">
        <v>0</v>
      </c>
      <c r="F132" s="397">
        <v>0</v>
      </c>
      <c r="G132" s="397">
        <v>0</v>
      </c>
      <c r="H132" s="397">
        <v>0</v>
      </c>
      <c r="I132" s="397">
        <v>0</v>
      </c>
      <c r="J132" s="397">
        <v>0</v>
      </c>
      <c r="K132" s="397">
        <v>0</v>
      </c>
      <c r="L132" s="397">
        <v>0</v>
      </c>
      <c r="M132" s="397">
        <v>18363858.07</v>
      </c>
      <c r="N132" s="397">
        <v>18398728.989999998</v>
      </c>
      <c r="O132" s="397">
        <v>18714715.5</v>
      </c>
      <c r="P132" s="398">
        <v>19130863.190000001</v>
      </c>
      <c r="Q132" s="186">
        <v>19251652.18</v>
      </c>
      <c r="R132" s="186">
        <v>19262416.27</v>
      </c>
      <c r="S132" s="186">
        <v>19451612.09</v>
      </c>
      <c r="T132" s="186">
        <v>17884838.050000001</v>
      </c>
      <c r="U132" s="186">
        <v>18061345.780000001</v>
      </c>
      <c r="V132" s="186">
        <v>18529860.780000001</v>
      </c>
      <c r="W132" s="186">
        <v>18717871.989999998</v>
      </c>
      <c r="X132" s="186">
        <v>18579730.59</v>
      </c>
      <c r="Y132" s="186">
        <v>18707942.100000001</v>
      </c>
      <c r="Z132" s="186">
        <v>18783072.949999999</v>
      </c>
      <c r="AA132" s="186">
        <v>19275563.25</v>
      </c>
      <c r="AB132" s="186">
        <v>19351996.600000001</v>
      </c>
      <c r="AC132" s="186">
        <v>19491791.550000001</v>
      </c>
      <c r="AD132" s="186">
        <v>19532169.859999999</v>
      </c>
      <c r="AE132" s="186">
        <v>19717101.739999998</v>
      </c>
      <c r="AF132" s="186">
        <v>19704177.66</v>
      </c>
      <c r="AG132" s="186">
        <v>19746889.16</v>
      </c>
      <c r="AH132" s="186">
        <v>20157733.030000001</v>
      </c>
      <c r="AI132" s="186">
        <v>20153677.280000001</v>
      </c>
      <c r="AJ132" s="186">
        <v>20268550.670000002</v>
      </c>
      <c r="AK132" s="186">
        <v>20253233.98</v>
      </c>
      <c r="AL132" s="186">
        <v>20268550.670000002</v>
      </c>
      <c r="AM132" s="186">
        <v>20414253.219999999</v>
      </c>
      <c r="AN132" s="186">
        <v>0</v>
      </c>
      <c r="AO132" s="186">
        <v>0</v>
      </c>
      <c r="AP132" s="186">
        <v>0</v>
      </c>
      <c r="AQ132" s="186">
        <v>0</v>
      </c>
      <c r="AR132" s="186">
        <v>0</v>
      </c>
      <c r="AS132" s="186">
        <v>0</v>
      </c>
      <c r="AT132" s="186">
        <v>0</v>
      </c>
      <c r="AU132" s="186">
        <v>0</v>
      </c>
      <c r="AV132" s="186">
        <v>0</v>
      </c>
      <c r="AW132" s="186">
        <v>0</v>
      </c>
      <c r="AX132" s="186">
        <v>0</v>
      </c>
      <c r="AY132" s="186">
        <v>0</v>
      </c>
      <c r="AZ132" s="186">
        <v>0</v>
      </c>
      <c r="BA132" s="186">
        <v>0</v>
      </c>
      <c r="BB132" s="186">
        <v>0</v>
      </c>
      <c r="BC132" s="186">
        <v>0</v>
      </c>
      <c r="BD132" s="186">
        <v>0</v>
      </c>
      <c r="BE132" s="186">
        <v>0</v>
      </c>
      <c r="BF132" s="186">
        <v>0</v>
      </c>
      <c r="BG132" s="186">
        <v>0</v>
      </c>
      <c r="BH132" s="186">
        <v>0</v>
      </c>
      <c r="BI132" s="186">
        <v>-5792407.5999999996</v>
      </c>
      <c r="BJ132" s="186">
        <v>-6058410.2699999996</v>
      </c>
      <c r="BK132" s="186">
        <v>-5508665.9900000002</v>
      </c>
      <c r="BL132" s="186">
        <v>-5357398.4000000004</v>
      </c>
      <c r="BM132" s="186">
        <v>-5328923.1500000004</v>
      </c>
      <c r="BN132" s="186">
        <v>-4528553.33</v>
      </c>
      <c r="BO132" s="186">
        <v>-4422102.78</v>
      </c>
      <c r="BP132" s="186">
        <v>-3869786.44</v>
      </c>
      <c r="BQ132" s="186">
        <v>-3204277.27</v>
      </c>
      <c r="BR132" s="186">
        <v>-2531784.81</v>
      </c>
      <c r="BS132" s="186">
        <v>-2449547.7200000002</v>
      </c>
      <c r="BT132" s="186">
        <v>-2315438.73</v>
      </c>
      <c r="BU132" s="186">
        <v>-1380738.59</v>
      </c>
      <c r="BV132" s="186">
        <v>-1310066.8999999999</v>
      </c>
      <c r="BW132" s="186">
        <v>-620994.42000000004</v>
      </c>
      <c r="BX132" s="186">
        <v>-844525.4</v>
      </c>
      <c r="BY132" s="186">
        <v>-869902.38</v>
      </c>
      <c r="BZ132" s="186">
        <v>-769991.41</v>
      </c>
      <c r="CA132" s="186">
        <v>-482200.19</v>
      </c>
      <c r="CB132" s="186">
        <v>-447003.73</v>
      </c>
      <c r="CC132" s="186">
        <v>-39999.08</v>
      </c>
      <c r="CD132" s="186">
        <v>180217.56</v>
      </c>
      <c r="CE132" s="186">
        <v>464250.37</v>
      </c>
      <c r="CF132" s="186">
        <v>760879.01</v>
      </c>
      <c r="CG132" s="186">
        <v>1217000.7</v>
      </c>
      <c r="CH132" s="186">
        <v>1968452.79</v>
      </c>
      <c r="CI132" s="186">
        <v>3632193.85</v>
      </c>
      <c r="CJ132" s="186">
        <v>3601049.9</v>
      </c>
      <c r="CK132" s="186">
        <v>3490704.27</v>
      </c>
      <c r="CL132" s="186">
        <v>4316685.58</v>
      </c>
      <c r="CM132" s="186">
        <v>4851445.0199999996</v>
      </c>
      <c r="CN132" s="186">
        <v>4845790.1500000004</v>
      </c>
      <c r="CO132" s="186">
        <v>6315838.2199999997</v>
      </c>
      <c r="CP132" s="186">
        <v>6336294.9900000002</v>
      </c>
      <c r="CQ132" s="186">
        <v>7145631.7400000002</v>
      </c>
      <c r="CR132" s="186">
        <v>7108228.9699999997</v>
      </c>
      <c r="CS132" s="186">
        <v>5678650.8300000001</v>
      </c>
      <c r="CT132" s="186">
        <v>5843976.3399999999</v>
      </c>
      <c r="CU132" s="186">
        <v>6782716.7699999996</v>
      </c>
      <c r="CV132" s="186">
        <v>6887518.2800000003</v>
      </c>
    </row>
    <row r="133" spans="1:100">
      <c r="A133" s="541" t="str">
        <f>+B133</f>
        <v>1823325</v>
      </c>
      <c r="B133" s="541" t="s">
        <v>2527</v>
      </c>
      <c r="C133" s="1080" t="s">
        <v>2528</v>
      </c>
      <c r="D133" s="186">
        <v>0</v>
      </c>
      <c r="E133" s="186">
        <v>0</v>
      </c>
      <c r="F133" s="186">
        <v>0</v>
      </c>
      <c r="G133" s="186">
        <v>0</v>
      </c>
      <c r="H133" s="186">
        <v>0</v>
      </c>
      <c r="I133" s="186">
        <v>0</v>
      </c>
      <c r="J133" s="186">
        <v>0</v>
      </c>
      <c r="K133" s="186">
        <v>0</v>
      </c>
      <c r="L133" s="186">
        <v>0</v>
      </c>
      <c r="M133" s="186">
        <v>0</v>
      </c>
      <c r="N133" s="186">
        <v>0</v>
      </c>
      <c r="O133" s="186">
        <v>0</v>
      </c>
      <c r="P133" s="186">
        <v>0</v>
      </c>
      <c r="Q133" s="186">
        <v>0</v>
      </c>
      <c r="R133" s="186">
        <v>0</v>
      </c>
      <c r="S133" s="186">
        <v>0</v>
      </c>
      <c r="T133" s="186">
        <v>0</v>
      </c>
      <c r="U133" s="186">
        <v>0</v>
      </c>
      <c r="V133" s="186">
        <v>0</v>
      </c>
      <c r="W133" s="186">
        <v>0</v>
      </c>
      <c r="X133" s="186">
        <v>0</v>
      </c>
      <c r="Y133" s="186">
        <v>0</v>
      </c>
      <c r="Z133" s="186">
        <v>0</v>
      </c>
      <c r="AA133" s="186">
        <v>0</v>
      </c>
      <c r="AB133" s="186">
        <v>0</v>
      </c>
      <c r="AC133" s="186">
        <v>0</v>
      </c>
      <c r="AD133" s="186">
        <v>0</v>
      </c>
      <c r="AE133" s="186">
        <v>0</v>
      </c>
      <c r="AF133" s="186">
        <v>0</v>
      </c>
      <c r="AG133" s="186">
        <v>0</v>
      </c>
      <c r="AH133" s="186">
        <v>0</v>
      </c>
      <c r="AI133" s="186">
        <v>0</v>
      </c>
      <c r="AJ133" s="186">
        <v>0</v>
      </c>
      <c r="AK133" s="186">
        <v>0</v>
      </c>
      <c r="AL133" s="186">
        <v>0</v>
      </c>
      <c r="AM133" s="186">
        <v>0</v>
      </c>
      <c r="AN133" s="186">
        <v>0</v>
      </c>
      <c r="AO133" s="186">
        <v>0</v>
      </c>
      <c r="AP133" s="186">
        <v>0</v>
      </c>
      <c r="AQ133" s="186">
        <v>0</v>
      </c>
      <c r="AR133" s="186">
        <v>0</v>
      </c>
      <c r="AS133" s="186">
        <v>0</v>
      </c>
      <c r="AT133" s="186">
        <v>0</v>
      </c>
      <c r="AU133" s="186">
        <v>0</v>
      </c>
      <c r="AV133" s="186">
        <v>0</v>
      </c>
      <c r="AW133" s="186">
        <v>0</v>
      </c>
      <c r="AX133" s="186">
        <v>0</v>
      </c>
      <c r="AY133" s="186">
        <v>0</v>
      </c>
      <c r="AZ133" s="186">
        <v>0</v>
      </c>
      <c r="BA133" s="186">
        <v>0</v>
      </c>
      <c r="BB133" s="186">
        <v>0</v>
      </c>
      <c r="BC133" s="186">
        <v>0</v>
      </c>
      <c r="BD133" s="186">
        <v>0</v>
      </c>
      <c r="BE133" s="186">
        <v>0</v>
      </c>
      <c r="BF133" s="186">
        <v>0</v>
      </c>
      <c r="BG133" s="186">
        <v>0</v>
      </c>
      <c r="BH133" s="186">
        <v>0</v>
      </c>
      <c r="BI133" s="186">
        <v>0</v>
      </c>
      <c r="BJ133" s="186">
        <v>0</v>
      </c>
      <c r="BK133" s="186">
        <v>0</v>
      </c>
      <c r="BL133" s="186">
        <v>0</v>
      </c>
      <c r="BM133" s="186">
        <v>0</v>
      </c>
      <c r="BN133" s="186">
        <v>0</v>
      </c>
      <c r="BO133" s="186">
        <v>0</v>
      </c>
      <c r="BP133" s="186">
        <v>0</v>
      </c>
      <c r="BQ133" s="186">
        <v>0</v>
      </c>
      <c r="BR133" s="186">
        <v>0</v>
      </c>
      <c r="BS133" s="186">
        <v>0</v>
      </c>
      <c r="BT133" s="186">
        <v>0</v>
      </c>
      <c r="BU133" s="186">
        <v>0</v>
      </c>
      <c r="BV133" s="186">
        <v>0</v>
      </c>
      <c r="BW133" s="186">
        <v>0</v>
      </c>
      <c r="BX133" s="186">
        <v>0</v>
      </c>
      <c r="BY133" s="186">
        <v>0</v>
      </c>
      <c r="BZ133" s="186">
        <v>0</v>
      </c>
      <c r="CA133" s="186">
        <v>0</v>
      </c>
      <c r="CB133" s="186">
        <v>0</v>
      </c>
      <c r="CC133" s="186">
        <v>0</v>
      </c>
      <c r="CD133" s="186">
        <v>0</v>
      </c>
      <c r="CE133" s="186">
        <v>0</v>
      </c>
      <c r="CF133" s="186">
        <v>550933</v>
      </c>
      <c r="CG133" s="186">
        <v>1385701</v>
      </c>
      <c r="CH133" s="186">
        <v>0</v>
      </c>
      <c r="CI133" s="186">
        <v>0</v>
      </c>
      <c r="CJ133" s="186">
        <v>0</v>
      </c>
      <c r="CK133" s="186">
        <v>0</v>
      </c>
      <c r="CL133" s="186">
        <v>0</v>
      </c>
      <c r="CM133" s="186">
        <v>0</v>
      </c>
      <c r="CN133" s="186">
        <v>0</v>
      </c>
      <c r="CO133" s="186">
        <v>0</v>
      </c>
      <c r="CP133" s="186">
        <v>0</v>
      </c>
      <c r="CQ133" s="186">
        <v>0</v>
      </c>
      <c r="CR133" s="186">
        <v>0</v>
      </c>
      <c r="CS133" s="186">
        <v>0</v>
      </c>
      <c r="CT133" s="186">
        <v>0</v>
      </c>
      <c r="CU133" s="186">
        <v>0</v>
      </c>
      <c r="CV133" s="186">
        <v>0</v>
      </c>
    </row>
    <row r="134" spans="1:100">
      <c r="A134" s="541">
        <f>+B134</f>
        <v>1823331</v>
      </c>
      <c r="B134" s="463">
        <v>1823331</v>
      </c>
      <c r="C134" s="1180" t="s">
        <v>2591</v>
      </c>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c r="BK134" s="186"/>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c r="CH134" s="186"/>
      <c r="CI134" s="186"/>
      <c r="CJ134" s="186"/>
      <c r="CK134" s="186">
        <v>-119789.58</v>
      </c>
      <c r="CL134" s="186">
        <v>-239579.16</v>
      </c>
      <c r="CM134" s="186">
        <v>175667.09</v>
      </c>
      <c r="CN134" s="186">
        <v>56716.68</v>
      </c>
      <c r="CO134" s="186">
        <v>-52377.9</v>
      </c>
      <c r="CP134" s="186">
        <v>441305.99</v>
      </c>
      <c r="CQ134" s="186">
        <v>835316.04</v>
      </c>
      <c r="CR134" s="186">
        <v>863608.46</v>
      </c>
      <c r="CS134" s="186">
        <v>913782.88</v>
      </c>
      <c r="CT134" s="186">
        <v>878248.4</v>
      </c>
      <c r="CU134" s="186">
        <v>758458.82</v>
      </c>
      <c r="CV134" s="186">
        <v>638669.24</v>
      </c>
    </row>
    <row r="135" spans="1:100">
      <c r="A135" s="541" t="str">
        <f t="shared" si="1"/>
        <v>1823340</v>
      </c>
      <c r="B135" s="541" t="s">
        <v>1522</v>
      </c>
      <c r="C135" s="463" t="s">
        <v>686</v>
      </c>
      <c r="D135" s="397">
        <v>40439944</v>
      </c>
      <c r="E135" s="397">
        <v>40439944</v>
      </c>
      <c r="F135" s="397">
        <v>40439944</v>
      </c>
      <c r="G135" s="397">
        <v>38439944</v>
      </c>
      <c r="H135" s="397">
        <v>38439944</v>
      </c>
      <c r="I135" s="397">
        <v>38439944</v>
      </c>
      <c r="J135" s="397">
        <v>35939944</v>
      </c>
      <c r="K135" s="397">
        <v>35939944</v>
      </c>
      <c r="L135" s="397">
        <v>35939944</v>
      </c>
      <c r="M135" s="397">
        <v>33284401</v>
      </c>
      <c r="N135" s="397">
        <v>33284401</v>
      </c>
      <c r="O135" s="397">
        <v>33284401</v>
      </c>
      <c r="P135" s="398">
        <v>33295565</v>
      </c>
      <c r="Q135" s="186">
        <v>33295565</v>
      </c>
      <c r="R135" s="186">
        <v>33295565</v>
      </c>
      <c r="S135" s="186">
        <v>33295565</v>
      </c>
      <c r="T135" s="186">
        <v>33295565</v>
      </c>
      <c r="U135" s="186">
        <v>33295565</v>
      </c>
      <c r="V135" s="186">
        <v>33295565</v>
      </c>
      <c r="W135" s="186">
        <v>33295565</v>
      </c>
      <c r="X135" s="186">
        <v>33295565</v>
      </c>
      <c r="Y135" s="186">
        <v>33295565</v>
      </c>
      <c r="Z135" s="186">
        <v>33295565</v>
      </c>
      <c r="AA135" s="186">
        <v>33295565</v>
      </c>
      <c r="AB135" s="186">
        <v>33938077</v>
      </c>
      <c r="AC135" s="186">
        <v>33938077</v>
      </c>
      <c r="AD135" s="186">
        <v>33938077</v>
      </c>
      <c r="AE135" s="186">
        <v>33938077</v>
      </c>
      <c r="AF135" s="186">
        <v>33938077</v>
      </c>
      <c r="AG135" s="186">
        <v>33938077</v>
      </c>
      <c r="AH135" s="186">
        <v>33938077</v>
      </c>
      <c r="AI135" s="186">
        <v>33938077</v>
      </c>
      <c r="AJ135" s="186">
        <v>33938077</v>
      </c>
      <c r="AK135" s="186">
        <v>33938077</v>
      </c>
      <c r="AL135" s="186">
        <v>33938077</v>
      </c>
      <c r="AM135" s="186">
        <v>33938077</v>
      </c>
      <c r="AN135" s="186">
        <v>31563329</v>
      </c>
      <c r="AO135" s="186">
        <v>31563329</v>
      </c>
      <c r="AP135" s="186">
        <v>31563329</v>
      </c>
      <c r="AQ135" s="186">
        <v>30390812</v>
      </c>
      <c r="AR135" s="186">
        <v>30390812</v>
      </c>
      <c r="AS135" s="186">
        <v>30390812</v>
      </c>
      <c r="AT135" s="186">
        <v>30390812</v>
      </c>
      <c r="AU135" s="186">
        <v>30390812</v>
      </c>
      <c r="AV135" s="186">
        <v>30390812</v>
      </c>
      <c r="AW135" s="186">
        <v>30390812</v>
      </c>
      <c r="AX135" s="186">
        <v>30390812</v>
      </c>
      <c r="AY135" s="186">
        <v>30390812</v>
      </c>
      <c r="AZ135" s="186">
        <v>30039284</v>
      </c>
      <c r="BA135" s="186">
        <v>30039284</v>
      </c>
      <c r="BB135" s="186">
        <v>30039284</v>
      </c>
      <c r="BC135" s="186">
        <v>27963655</v>
      </c>
      <c r="BD135" s="186">
        <v>27963655</v>
      </c>
      <c r="BE135" s="186">
        <v>27963655</v>
      </c>
      <c r="BF135" s="186">
        <v>27963655</v>
      </c>
      <c r="BG135" s="186">
        <v>27963655</v>
      </c>
      <c r="BH135" s="186">
        <v>27963655</v>
      </c>
      <c r="BI135" s="186">
        <v>27963655</v>
      </c>
      <c r="BJ135" s="186">
        <v>27963655</v>
      </c>
      <c r="BK135" s="186">
        <v>27963655</v>
      </c>
      <c r="BL135" s="186">
        <v>27962095</v>
      </c>
      <c r="BM135" s="186">
        <v>27962095</v>
      </c>
      <c r="BN135" s="186">
        <v>27962095</v>
      </c>
      <c r="BO135" s="186">
        <v>27962095</v>
      </c>
      <c r="BP135" s="186">
        <v>27962095</v>
      </c>
      <c r="BQ135" s="186">
        <v>27962095</v>
      </c>
      <c r="BR135" s="186">
        <v>27962095</v>
      </c>
      <c r="BS135" s="186">
        <v>27962095</v>
      </c>
      <c r="BT135" s="186">
        <v>27962095</v>
      </c>
      <c r="BU135" s="186">
        <v>27962095</v>
      </c>
      <c r="BV135" s="186">
        <v>27962095</v>
      </c>
      <c r="BW135" s="186">
        <v>27962095</v>
      </c>
      <c r="BX135" s="186">
        <v>20805063</v>
      </c>
      <c r="BY135" s="186">
        <v>20805063</v>
      </c>
      <c r="BZ135" s="186">
        <v>20805063</v>
      </c>
      <c r="CA135" s="186">
        <v>20805063</v>
      </c>
      <c r="CB135" s="186">
        <v>20805063</v>
      </c>
      <c r="CC135" s="186">
        <v>20805063</v>
      </c>
      <c r="CD135" s="186">
        <v>20805063</v>
      </c>
      <c r="CE135" s="186">
        <v>20805063</v>
      </c>
      <c r="CF135" s="186">
        <v>20805063</v>
      </c>
      <c r="CG135" s="186">
        <v>20805063</v>
      </c>
      <c r="CH135" s="186">
        <v>20805063</v>
      </c>
      <c r="CI135" s="186">
        <v>20805063</v>
      </c>
      <c r="CJ135" s="186">
        <v>17404076</v>
      </c>
      <c r="CK135" s="186">
        <v>17404076</v>
      </c>
      <c r="CL135" s="186">
        <v>17404076</v>
      </c>
      <c r="CM135" s="186">
        <v>17404076</v>
      </c>
      <c r="CN135" s="186">
        <v>17404076</v>
      </c>
      <c r="CO135" s="186">
        <v>17404076</v>
      </c>
      <c r="CP135" s="186">
        <v>17404076</v>
      </c>
      <c r="CQ135" s="186">
        <v>17404076</v>
      </c>
      <c r="CR135" s="186">
        <v>17404076</v>
      </c>
      <c r="CS135" s="186">
        <v>17404076</v>
      </c>
      <c r="CT135" s="186">
        <v>17404076</v>
      </c>
      <c r="CU135" s="186">
        <v>17404076</v>
      </c>
      <c r="CV135" s="186">
        <v>13903851</v>
      </c>
    </row>
    <row r="136" spans="1:100">
      <c r="A136" s="541" t="str">
        <f t="shared" si="1"/>
        <v>1823345</v>
      </c>
      <c r="B136" s="541" t="s">
        <v>1523</v>
      </c>
      <c r="C136" s="463" t="s">
        <v>687</v>
      </c>
      <c r="D136" s="397">
        <v>10963627.550000001</v>
      </c>
      <c r="E136" s="397">
        <v>10991818.220000001</v>
      </c>
      <c r="F136" s="397">
        <v>12906272.789999999</v>
      </c>
      <c r="G136" s="397">
        <v>12938463.060000001</v>
      </c>
      <c r="H136" s="397">
        <v>14172729.17</v>
      </c>
      <c r="I136" s="397">
        <v>15034002.460000001</v>
      </c>
      <c r="J136" s="397">
        <v>16051375.82</v>
      </c>
      <c r="K136" s="397">
        <v>17339455.219999999</v>
      </c>
      <c r="L136" s="397">
        <v>18912768.109999999</v>
      </c>
      <c r="M136" s="397">
        <v>640785.9</v>
      </c>
      <c r="N136" s="397">
        <v>640000</v>
      </c>
      <c r="O136" s="397">
        <v>640000</v>
      </c>
      <c r="P136" s="398">
        <v>640000</v>
      </c>
      <c r="Q136" s="186">
        <v>640000</v>
      </c>
      <c r="R136" s="186">
        <v>640000</v>
      </c>
      <c r="S136" s="186">
        <v>640000</v>
      </c>
      <c r="T136" s="186">
        <v>640000</v>
      </c>
      <c r="U136" s="186">
        <v>640000</v>
      </c>
      <c r="V136" s="186">
        <v>640000</v>
      </c>
      <c r="W136" s="186">
        <v>651387.55000000005</v>
      </c>
      <c r="X136" s="186">
        <v>640000</v>
      </c>
      <c r="Y136" s="186">
        <v>640000</v>
      </c>
      <c r="Z136" s="186">
        <v>640000</v>
      </c>
      <c r="AA136" s="186">
        <v>640000</v>
      </c>
      <c r="AB136" s="186">
        <v>640000</v>
      </c>
      <c r="AC136" s="186">
        <v>651508.61</v>
      </c>
      <c r="AD136" s="186">
        <v>651236.93000000005</v>
      </c>
      <c r="AE136" s="186">
        <v>640000</v>
      </c>
      <c r="AF136" s="186">
        <v>640000</v>
      </c>
      <c r="AG136" s="186">
        <v>640000</v>
      </c>
      <c r="AH136" s="186">
        <v>640000</v>
      </c>
      <c r="AI136" s="186">
        <v>640000</v>
      </c>
      <c r="AJ136" s="186">
        <v>640000</v>
      </c>
      <c r="AK136" s="186">
        <v>640000</v>
      </c>
      <c r="AL136" s="186">
        <v>650137.81000000006</v>
      </c>
      <c r="AM136" s="186">
        <v>640000</v>
      </c>
      <c r="AN136" s="186">
        <v>5386294.5099999998</v>
      </c>
      <c r="AO136" s="186">
        <v>5489687.9500000002</v>
      </c>
      <c r="AP136" s="186">
        <v>4791816.68</v>
      </c>
      <c r="AQ136" s="186">
        <v>4420507.99</v>
      </c>
      <c r="AR136" s="186">
        <v>4091990.79</v>
      </c>
      <c r="AS136" s="186">
        <v>3912201.07</v>
      </c>
      <c r="AT136" s="186">
        <v>3515072.9</v>
      </c>
      <c r="AU136" s="186">
        <v>3149354.11</v>
      </c>
      <c r="AV136" s="186">
        <v>3302798.76</v>
      </c>
      <c r="AW136" s="186">
        <v>2483445.73</v>
      </c>
      <c r="AX136" s="186">
        <v>2167939.35</v>
      </c>
      <c r="AY136" s="186">
        <v>1787053.5</v>
      </c>
      <c r="AZ136" s="186">
        <v>2643026.87</v>
      </c>
      <c r="BA136" s="186">
        <v>2921728.14</v>
      </c>
      <c r="BB136" s="186">
        <v>3413269.72</v>
      </c>
      <c r="BC136" s="186">
        <v>571963.46</v>
      </c>
      <c r="BD136" s="186">
        <v>781297.63</v>
      </c>
      <c r="BE136" s="186">
        <v>861189.82</v>
      </c>
      <c r="BF136" s="186">
        <v>932580.57</v>
      </c>
      <c r="BG136" s="186">
        <v>1299590.25</v>
      </c>
      <c r="BH136" s="186">
        <v>1540588.71</v>
      </c>
      <c r="BI136" s="186">
        <v>927790</v>
      </c>
      <c r="BJ136" s="186">
        <v>927790</v>
      </c>
      <c r="BK136" s="186">
        <v>0</v>
      </c>
      <c r="BL136" s="186">
        <v>0</v>
      </c>
      <c r="BM136" s="186">
        <v>0</v>
      </c>
      <c r="BN136" s="186">
        <v>0</v>
      </c>
      <c r="BO136" s="186">
        <v>0</v>
      </c>
      <c r="BP136" s="186">
        <v>0</v>
      </c>
      <c r="BQ136" s="186">
        <v>0</v>
      </c>
      <c r="BR136" s="186">
        <v>0</v>
      </c>
      <c r="BS136" s="186">
        <v>0</v>
      </c>
      <c r="BT136" s="186">
        <v>0</v>
      </c>
      <c r="BU136" s="186">
        <v>0</v>
      </c>
      <c r="BV136" s="186">
        <v>0</v>
      </c>
      <c r="BW136" s="186">
        <v>0</v>
      </c>
      <c r="BX136" s="186">
        <v>0</v>
      </c>
      <c r="BY136" s="186">
        <v>0</v>
      </c>
      <c r="BZ136" s="186">
        <v>0</v>
      </c>
      <c r="CA136" s="186">
        <v>0</v>
      </c>
      <c r="CB136" s="186">
        <v>0</v>
      </c>
      <c r="CC136" s="186">
        <v>0</v>
      </c>
      <c r="CD136" s="186">
        <v>0</v>
      </c>
      <c r="CE136" s="186">
        <v>0</v>
      </c>
      <c r="CF136" s="186">
        <v>0</v>
      </c>
      <c r="CG136" s="186">
        <v>0</v>
      </c>
      <c r="CH136" s="186">
        <v>0</v>
      </c>
      <c r="CI136" s="186">
        <v>0</v>
      </c>
      <c r="CJ136" s="186">
        <v>1000000</v>
      </c>
      <c r="CK136" s="186">
        <v>1000000</v>
      </c>
      <c r="CL136" s="186">
        <v>1000000</v>
      </c>
      <c r="CM136" s="186">
        <v>1000000</v>
      </c>
      <c r="CN136" s="186">
        <v>1000000</v>
      </c>
      <c r="CO136" s="186">
        <v>1000000</v>
      </c>
      <c r="CP136" s="186">
        <v>1000000</v>
      </c>
      <c r="CQ136" s="186">
        <v>1000000</v>
      </c>
      <c r="CR136" s="186">
        <v>1000000</v>
      </c>
      <c r="CS136" s="186">
        <v>1000000</v>
      </c>
      <c r="CT136" s="186">
        <v>1000000</v>
      </c>
      <c r="CU136" s="186">
        <v>1000000</v>
      </c>
      <c r="CV136" s="186">
        <v>1000000</v>
      </c>
    </row>
    <row r="137" spans="1:100">
      <c r="A137" s="541" t="str">
        <f>+B137</f>
        <v>1823610</v>
      </c>
      <c r="B137" s="541" t="s">
        <v>2303</v>
      </c>
      <c r="C137" s="463" t="s">
        <v>2294</v>
      </c>
      <c r="D137" s="397">
        <v>0</v>
      </c>
      <c r="E137" s="397">
        <v>0</v>
      </c>
      <c r="F137" s="397">
        <v>0</v>
      </c>
      <c r="G137" s="397">
        <v>0</v>
      </c>
      <c r="H137" s="397">
        <v>0</v>
      </c>
      <c r="I137" s="397">
        <v>0</v>
      </c>
      <c r="J137" s="397">
        <v>0</v>
      </c>
      <c r="K137" s="397">
        <v>0</v>
      </c>
      <c r="L137" s="397">
        <v>0</v>
      </c>
      <c r="M137" s="397">
        <v>0</v>
      </c>
      <c r="N137" s="397">
        <v>0</v>
      </c>
      <c r="O137" s="397">
        <v>0</v>
      </c>
      <c r="P137" s="398">
        <v>0</v>
      </c>
      <c r="Q137" s="186">
        <v>0</v>
      </c>
      <c r="R137" s="186">
        <v>0</v>
      </c>
      <c r="S137" s="186">
        <v>0</v>
      </c>
      <c r="T137" s="186">
        <v>0</v>
      </c>
      <c r="U137" s="186">
        <v>0</v>
      </c>
      <c r="V137" s="186">
        <v>0</v>
      </c>
      <c r="W137" s="186">
        <v>0</v>
      </c>
      <c r="X137" s="186">
        <v>0</v>
      </c>
      <c r="Y137" s="186">
        <v>0</v>
      </c>
      <c r="Z137" s="186">
        <v>0</v>
      </c>
      <c r="AA137" s="186">
        <v>0</v>
      </c>
      <c r="AB137" s="186">
        <v>0</v>
      </c>
      <c r="AC137" s="186">
        <v>0</v>
      </c>
      <c r="AD137" s="186">
        <v>0</v>
      </c>
      <c r="AE137" s="186">
        <v>0</v>
      </c>
      <c r="AF137" s="186">
        <v>0</v>
      </c>
      <c r="AG137" s="186">
        <v>0</v>
      </c>
      <c r="AH137" s="186">
        <v>0</v>
      </c>
      <c r="AI137" s="186">
        <v>0</v>
      </c>
      <c r="AJ137" s="186">
        <v>0</v>
      </c>
      <c r="AK137" s="186">
        <v>0</v>
      </c>
      <c r="AL137" s="186">
        <v>0</v>
      </c>
      <c r="AM137" s="186">
        <v>0</v>
      </c>
      <c r="AN137" s="186">
        <v>0</v>
      </c>
      <c r="AO137" s="186">
        <v>0</v>
      </c>
      <c r="AP137" s="186">
        <v>0</v>
      </c>
      <c r="AQ137" s="186">
        <v>0</v>
      </c>
      <c r="AR137" s="186">
        <v>0</v>
      </c>
      <c r="AS137" s="186">
        <v>0</v>
      </c>
      <c r="AT137" s="186">
        <v>0</v>
      </c>
      <c r="AU137" s="186">
        <v>0</v>
      </c>
      <c r="AV137" s="186">
        <v>0</v>
      </c>
      <c r="AW137" s="186">
        <v>0</v>
      </c>
      <c r="AX137" s="186">
        <v>0</v>
      </c>
      <c r="AY137" s="186">
        <v>0</v>
      </c>
      <c r="AZ137" s="186">
        <v>0</v>
      </c>
      <c r="BA137" s="186">
        <v>0</v>
      </c>
      <c r="BB137" s="186">
        <v>0</v>
      </c>
      <c r="BC137" s="186">
        <v>0</v>
      </c>
      <c r="BD137" s="186">
        <v>0</v>
      </c>
      <c r="BE137" s="186">
        <v>0</v>
      </c>
      <c r="BF137" s="186">
        <v>0</v>
      </c>
      <c r="BG137" s="186">
        <v>0</v>
      </c>
      <c r="BH137" s="186">
        <v>0</v>
      </c>
      <c r="BI137" s="186">
        <v>0</v>
      </c>
      <c r="BJ137" s="186">
        <v>0</v>
      </c>
      <c r="BK137" s="186">
        <v>0</v>
      </c>
      <c r="BL137" s="186">
        <v>0</v>
      </c>
      <c r="BM137" s="186">
        <v>0</v>
      </c>
      <c r="BN137" s="186">
        <v>0</v>
      </c>
      <c r="BO137" s="186">
        <v>0</v>
      </c>
      <c r="BP137" s="186">
        <v>0</v>
      </c>
      <c r="BQ137" s="186">
        <v>0</v>
      </c>
      <c r="BR137" s="186">
        <v>0</v>
      </c>
      <c r="BS137" s="186">
        <v>0</v>
      </c>
      <c r="BT137" s="186">
        <v>45567.42</v>
      </c>
      <c r="BU137" s="186">
        <v>75174.31</v>
      </c>
      <c r="BV137" s="186">
        <v>98598.53</v>
      </c>
      <c r="BW137" s="186">
        <v>124843.7</v>
      </c>
      <c r="BX137" s="186">
        <v>158391.91</v>
      </c>
      <c r="BY137" s="186">
        <v>200733.99</v>
      </c>
      <c r="BZ137" s="186">
        <v>254402.09</v>
      </c>
      <c r="CA137" s="186">
        <v>316988.55</v>
      </c>
      <c r="CB137" s="186">
        <v>388324.47</v>
      </c>
      <c r="CC137" s="186">
        <v>475014.17</v>
      </c>
      <c r="CD137" s="186">
        <v>574265.81000000006</v>
      </c>
      <c r="CE137" s="186">
        <v>681120.1</v>
      </c>
      <c r="CF137" s="186">
        <v>800293</v>
      </c>
      <c r="CG137" s="186">
        <v>934111.41</v>
      </c>
      <c r="CH137" s="186">
        <v>1039552.16</v>
      </c>
      <c r="CI137" s="186">
        <v>1116898.8400000001</v>
      </c>
      <c r="CJ137" s="186">
        <v>1206726.8899999999</v>
      </c>
      <c r="CK137" s="186">
        <v>1307965.5900000001</v>
      </c>
      <c r="CL137" s="186">
        <v>1431380.41</v>
      </c>
      <c r="CM137" s="186">
        <v>1561950.37</v>
      </c>
      <c r="CN137" s="186">
        <v>1670561.21</v>
      </c>
      <c r="CO137" s="186">
        <v>1743753.73</v>
      </c>
      <c r="CP137" s="186">
        <v>1819694.46</v>
      </c>
      <c r="CQ137" s="186">
        <v>1902130.74</v>
      </c>
      <c r="CR137" s="186">
        <v>1994983.06</v>
      </c>
      <c r="CS137" s="186">
        <v>2096617.68</v>
      </c>
      <c r="CT137" s="186">
        <v>2205902.7200000002</v>
      </c>
      <c r="CU137" s="186">
        <v>2242783.67</v>
      </c>
      <c r="CV137" s="186">
        <v>2294930.2799999998</v>
      </c>
    </row>
    <row r="138" spans="1:100" s="56" customFormat="1">
      <c r="A138" s="541" t="str">
        <f t="shared" si="1"/>
        <v>1840500</v>
      </c>
      <c r="B138" s="541" t="s">
        <v>1524</v>
      </c>
      <c r="C138" s="463" t="s">
        <v>688</v>
      </c>
      <c r="D138" s="397">
        <v>0</v>
      </c>
      <c r="E138" s="397">
        <v>0</v>
      </c>
      <c r="F138" s="397">
        <v>0</v>
      </c>
      <c r="G138" s="397">
        <v>0</v>
      </c>
      <c r="H138" s="397">
        <v>0</v>
      </c>
      <c r="I138" s="397">
        <v>0</v>
      </c>
      <c r="J138" s="397">
        <v>0</v>
      </c>
      <c r="K138" s="397">
        <v>0</v>
      </c>
      <c r="L138" s="397">
        <v>0</v>
      </c>
      <c r="M138" s="397">
        <v>0</v>
      </c>
      <c r="N138" s="397">
        <v>0</v>
      </c>
      <c r="O138" s="397">
        <v>0</v>
      </c>
      <c r="P138" s="398">
        <v>0</v>
      </c>
      <c r="Q138" s="186">
        <v>0</v>
      </c>
      <c r="R138" s="186">
        <v>0</v>
      </c>
      <c r="S138" s="186">
        <v>0</v>
      </c>
      <c r="T138" s="186">
        <v>0</v>
      </c>
      <c r="U138" s="186">
        <v>0</v>
      </c>
      <c r="V138" s="186">
        <v>0</v>
      </c>
      <c r="W138" s="186">
        <v>0</v>
      </c>
      <c r="X138" s="186">
        <v>0</v>
      </c>
      <c r="Y138" s="186">
        <v>0</v>
      </c>
      <c r="Z138" s="186">
        <v>0</v>
      </c>
      <c r="AA138" s="186">
        <v>0</v>
      </c>
      <c r="AB138" s="186">
        <v>0</v>
      </c>
      <c r="AC138" s="186">
        <v>0</v>
      </c>
      <c r="AD138" s="186">
        <v>0</v>
      </c>
      <c r="AE138" s="186">
        <v>0</v>
      </c>
      <c r="AF138" s="186">
        <v>0</v>
      </c>
      <c r="AG138" s="186">
        <v>0</v>
      </c>
      <c r="AH138" s="186">
        <v>0</v>
      </c>
      <c r="AI138" s="186">
        <v>0</v>
      </c>
      <c r="AJ138" s="186">
        <v>0</v>
      </c>
      <c r="AK138" s="186">
        <v>0</v>
      </c>
      <c r="AL138" s="186">
        <v>0</v>
      </c>
      <c r="AM138" s="186">
        <v>0</v>
      </c>
      <c r="AN138" s="186">
        <v>0</v>
      </c>
      <c r="AO138" s="186">
        <v>0</v>
      </c>
      <c r="AP138" s="186">
        <v>0</v>
      </c>
      <c r="AQ138" s="186">
        <v>0</v>
      </c>
      <c r="AR138" s="186">
        <v>0</v>
      </c>
      <c r="AS138" s="186">
        <v>0</v>
      </c>
      <c r="AT138" s="186">
        <v>0</v>
      </c>
      <c r="AU138" s="186">
        <v>0</v>
      </c>
      <c r="AV138" s="186">
        <v>0</v>
      </c>
      <c r="AW138" s="186">
        <v>0</v>
      </c>
      <c r="AX138" s="186">
        <v>0</v>
      </c>
      <c r="AY138" s="186">
        <v>0</v>
      </c>
      <c r="AZ138" s="186">
        <v>0</v>
      </c>
      <c r="BA138" s="186">
        <v>0</v>
      </c>
      <c r="BB138" s="186">
        <v>0</v>
      </c>
      <c r="BC138" s="186">
        <v>0</v>
      </c>
      <c r="BD138" s="186">
        <v>0</v>
      </c>
      <c r="BE138" s="186">
        <v>0</v>
      </c>
      <c r="BF138" s="186">
        <v>0</v>
      </c>
      <c r="BG138" s="186">
        <v>0</v>
      </c>
      <c r="BH138" s="186">
        <v>0</v>
      </c>
      <c r="BI138" s="186">
        <v>0</v>
      </c>
      <c r="BJ138" s="186">
        <v>0</v>
      </c>
      <c r="BK138" s="186">
        <v>0</v>
      </c>
      <c r="BL138" s="186">
        <v>0</v>
      </c>
      <c r="BM138" s="186">
        <v>0</v>
      </c>
      <c r="BN138" s="186">
        <v>0</v>
      </c>
      <c r="BO138" s="186">
        <v>0</v>
      </c>
      <c r="BP138" s="186">
        <v>0</v>
      </c>
      <c r="BQ138" s="186">
        <v>0</v>
      </c>
      <c r="BR138" s="186">
        <v>0</v>
      </c>
      <c r="BS138" s="186">
        <v>0</v>
      </c>
      <c r="BT138" s="186">
        <v>0</v>
      </c>
      <c r="BU138" s="186">
        <v>0</v>
      </c>
      <c r="BV138" s="186">
        <v>0</v>
      </c>
      <c r="BW138" s="186">
        <v>0</v>
      </c>
      <c r="BX138" s="186">
        <v>0</v>
      </c>
      <c r="BY138" s="186">
        <v>0</v>
      </c>
      <c r="BZ138" s="186">
        <v>0</v>
      </c>
      <c r="CA138" s="186">
        <v>0</v>
      </c>
      <c r="CB138" s="186">
        <v>0</v>
      </c>
      <c r="CC138" s="186">
        <v>0</v>
      </c>
      <c r="CD138" s="186">
        <v>0</v>
      </c>
      <c r="CE138" s="186">
        <v>0</v>
      </c>
      <c r="CF138" s="186">
        <v>0</v>
      </c>
      <c r="CG138" s="186">
        <v>0</v>
      </c>
      <c r="CH138" s="186">
        <v>0</v>
      </c>
      <c r="CI138" s="186">
        <v>0</v>
      </c>
      <c r="CJ138" s="186">
        <v>0</v>
      </c>
      <c r="CK138" s="186">
        <v>0</v>
      </c>
      <c r="CL138" s="186">
        <v>0</v>
      </c>
      <c r="CM138" s="186">
        <v>0</v>
      </c>
      <c r="CN138" s="186">
        <v>0</v>
      </c>
      <c r="CO138" s="186">
        <v>0</v>
      </c>
      <c r="CP138" s="186">
        <v>0</v>
      </c>
      <c r="CQ138" s="186">
        <v>0</v>
      </c>
      <c r="CR138" s="186">
        <v>0</v>
      </c>
      <c r="CS138" s="186">
        <v>0</v>
      </c>
      <c r="CT138" s="186">
        <v>0</v>
      </c>
      <c r="CU138" s="186">
        <v>0</v>
      </c>
      <c r="CV138" s="186">
        <v>0</v>
      </c>
    </row>
    <row r="139" spans="1:100" s="56" customFormat="1">
      <c r="A139" s="541" t="str">
        <f t="shared" si="1"/>
        <v>1840510</v>
      </c>
      <c r="B139" s="541" t="s">
        <v>1605</v>
      </c>
      <c r="C139" s="463" t="s">
        <v>689</v>
      </c>
      <c r="D139" s="397"/>
      <c r="E139" s="397">
        <v>0</v>
      </c>
      <c r="F139" s="397">
        <v>0</v>
      </c>
      <c r="G139" s="397">
        <v>0</v>
      </c>
      <c r="H139" s="397">
        <v>0</v>
      </c>
      <c r="I139" s="397">
        <v>0</v>
      </c>
      <c r="J139" s="397">
        <v>0</v>
      </c>
      <c r="K139" s="397">
        <v>0</v>
      </c>
      <c r="L139" s="397">
        <v>0</v>
      </c>
      <c r="M139" s="397">
        <v>0</v>
      </c>
      <c r="N139" s="397">
        <v>0</v>
      </c>
      <c r="O139" s="397">
        <v>0</v>
      </c>
      <c r="P139" s="398">
        <v>0</v>
      </c>
      <c r="Q139" s="186">
        <v>0</v>
      </c>
      <c r="R139" s="186">
        <v>0</v>
      </c>
      <c r="S139" s="186">
        <v>0</v>
      </c>
      <c r="T139" s="186">
        <v>0</v>
      </c>
      <c r="U139" s="186">
        <v>0</v>
      </c>
      <c r="V139" s="186">
        <v>0</v>
      </c>
      <c r="W139" s="186">
        <v>0</v>
      </c>
      <c r="X139" s="186">
        <v>0</v>
      </c>
      <c r="Y139" s="186">
        <v>0</v>
      </c>
      <c r="Z139" s="186">
        <v>0</v>
      </c>
      <c r="AA139" s="186">
        <v>0</v>
      </c>
      <c r="AB139" s="186">
        <v>0</v>
      </c>
      <c r="AC139" s="186">
        <v>0</v>
      </c>
      <c r="AD139" s="186">
        <v>0</v>
      </c>
      <c r="AE139" s="186">
        <v>0</v>
      </c>
      <c r="AF139" s="186">
        <v>0</v>
      </c>
      <c r="AG139" s="186">
        <v>0</v>
      </c>
      <c r="AH139" s="186">
        <v>0</v>
      </c>
      <c r="AI139" s="186">
        <v>0</v>
      </c>
      <c r="AJ139" s="186">
        <v>0</v>
      </c>
      <c r="AK139" s="186">
        <v>0</v>
      </c>
      <c r="AL139" s="186">
        <v>0</v>
      </c>
      <c r="AM139" s="186">
        <v>0</v>
      </c>
      <c r="AN139" s="186">
        <v>0</v>
      </c>
      <c r="AO139" s="186">
        <v>0</v>
      </c>
      <c r="AP139" s="186">
        <v>0</v>
      </c>
      <c r="AQ139" s="186">
        <v>0</v>
      </c>
      <c r="AR139" s="186">
        <v>0</v>
      </c>
      <c r="AS139" s="186">
        <v>0</v>
      </c>
      <c r="AT139" s="186">
        <v>0</v>
      </c>
      <c r="AU139" s="186">
        <v>0</v>
      </c>
      <c r="AV139" s="186">
        <v>0</v>
      </c>
      <c r="AW139" s="186">
        <v>0</v>
      </c>
      <c r="AX139" s="186">
        <v>0</v>
      </c>
      <c r="AY139" s="186">
        <v>0</v>
      </c>
      <c r="AZ139" s="186">
        <v>0</v>
      </c>
      <c r="BA139" s="186">
        <v>0</v>
      </c>
      <c r="BB139" s="186">
        <v>0</v>
      </c>
      <c r="BC139" s="186">
        <v>0</v>
      </c>
      <c r="BD139" s="186">
        <v>0</v>
      </c>
      <c r="BE139" s="186">
        <v>0</v>
      </c>
      <c r="BF139" s="186">
        <v>0</v>
      </c>
      <c r="BG139" s="186">
        <v>0</v>
      </c>
      <c r="BH139" s="186">
        <v>0</v>
      </c>
      <c r="BI139" s="186">
        <v>0</v>
      </c>
      <c r="BJ139" s="186">
        <v>0</v>
      </c>
      <c r="BK139" s="186">
        <v>0</v>
      </c>
      <c r="BL139" s="186">
        <v>0</v>
      </c>
      <c r="BM139" s="186">
        <v>0</v>
      </c>
      <c r="BN139" s="186">
        <v>0</v>
      </c>
      <c r="BO139" s="186">
        <v>0</v>
      </c>
      <c r="BP139" s="186">
        <v>0</v>
      </c>
      <c r="BQ139" s="186">
        <v>0</v>
      </c>
      <c r="BR139" s="186">
        <v>0</v>
      </c>
      <c r="BS139" s="186">
        <v>0</v>
      </c>
      <c r="BT139" s="186">
        <v>0</v>
      </c>
      <c r="BU139" s="186">
        <v>0</v>
      </c>
      <c r="BV139" s="186">
        <v>0</v>
      </c>
      <c r="BW139" s="186">
        <v>0</v>
      </c>
      <c r="BX139" s="186">
        <v>0</v>
      </c>
      <c r="BY139" s="186">
        <v>0</v>
      </c>
      <c r="BZ139" s="186">
        <v>0</v>
      </c>
      <c r="CA139" s="186">
        <v>0</v>
      </c>
      <c r="CB139" s="186">
        <v>0</v>
      </c>
      <c r="CC139" s="186">
        <v>0</v>
      </c>
      <c r="CD139" s="186">
        <v>0</v>
      </c>
      <c r="CE139" s="186">
        <v>0</v>
      </c>
      <c r="CF139" s="186">
        <v>0</v>
      </c>
      <c r="CG139" s="186">
        <v>0</v>
      </c>
      <c r="CH139" s="186">
        <v>0</v>
      </c>
      <c r="CI139" s="186">
        <v>0</v>
      </c>
      <c r="CJ139" s="186">
        <v>0</v>
      </c>
      <c r="CK139" s="186">
        <v>0</v>
      </c>
      <c r="CL139" s="186">
        <v>0</v>
      </c>
      <c r="CM139" s="186">
        <v>0</v>
      </c>
      <c r="CN139" s="186">
        <v>0</v>
      </c>
      <c r="CO139" s="186">
        <v>0</v>
      </c>
      <c r="CP139" s="186">
        <v>0</v>
      </c>
      <c r="CQ139" s="186">
        <v>0</v>
      </c>
      <c r="CR139" s="186">
        <v>0</v>
      </c>
      <c r="CS139" s="186">
        <v>0</v>
      </c>
      <c r="CT139" s="186">
        <v>0</v>
      </c>
      <c r="CU139" s="186">
        <v>0</v>
      </c>
      <c r="CV139" s="186">
        <v>0</v>
      </c>
    </row>
    <row r="140" spans="1:100" s="56" customFormat="1">
      <c r="A140" s="541" t="str">
        <f t="shared" si="1"/>
        <v>1840590</v>
      </c>
      <c r="B140" s="541" t="s">
        <v>1525</v>
      </c>
      <c r="C140" s="463" t="s">
        <v>690</v>
      </c>
      <c r="D140" s="397">
        <v>0</v>
      </c>
      <c r="E140" s="397">
        <v>0</v>
      </c>
      <c r="F140" s="397">
        <v>0</v>
      </c>
      <c r="G140" s="397">
        <v>0</v>
      </c>
      <c r="H140" s="397">
        <v>0</v>
      </c>
      <c r="I140" s="397">
        <v>0</v>
      </c>
      <c r="J140" s="397">
        <v>0</v>
      </c>
      <c r="K140" s="397">
        <v>0</v>
      </c>
      <c r="L140" s="397">
        <v>0</v>
      </c>
      <c r="M140" s="397">
        <v>0</v>
      </c>
      <c r="N140" s="397">
        <v>0</v>
      </c>
      <c r="O140" s="397">
        <v>0</v>
      </c>
      <c r="P140" s="398">
        <v>0</v>
      </c>
      <c r="Q140" s="186">
        <v>0</v>
      </c>
      <c r="R140" s="186">
        <v>0</v>
      </c>
      <c r="S140" s="186">
        <v>0</v>
      </c>
      <c r="T140" s="186">
        <v>0</v>
      </c>
      <c r="U140" s="186">
        <v>0</v>
      </c>
      <c r="V140" s="186">
        <v>0</v>
      </c>
      <c r="W140" s="186">
        <v>0</v>
      </c>
      <c r="X140" s="186">
        <v>0</v>
      </c>
      <c r="Y140" s="186">
        <v>0</v>
      </c>
      <c r="Z140" s="186">
        <v>0</v>
      </c>
      <c r="AA140" s="186">
        <v>0</v>
      </c>
      <c r="AB140" s="186">
        <v>0</v>
      </c>
      <c r="AC140" s="186">
        <v>0</v>
      </c>
      <c r="AD140" s="186">
        <v>0</v>
      </c>
      <c r="AE140" s="186">
        <v>0</v>
      </c>
      <c r="AF140" s="186">
        <v>0</v>
      </c>
      <c r="AG140" s="186">
        <v>0</v>
      </c>
      <c r="AH140" s="186">
        <v>0</v>
      </c>
      <c r="AI140" s="186">
        <v>0</v>
      </c>
      <c r="AJ140" s="186">
        <v>0</v>
      </c>
      <c r="AK140" s="186">
        <v>41828.07</v>
      </c>
      <c r="AL140" s="186">
        <v>0</v>
      </c>
      <c r="AM140" s="186">
        <v>0</v>
      </c>
      <c r="AN140" s="186">
        <v>0</v>
      </c>
      <c r="AO140" s="186">
        <v>0</v>
      </c>
      <c r="AP140" s="186">
        <v>0</v>
      </c>
      <c r="AQ140" s="186">
        <v>0</v>
      </c>
      <c r="AR140" s="186">
        <v>0</v>
      </c>
      <c r="AS140" s="186">
        <v>0</v>
      </c>
      <c r="AT140" s="186">
        <v>0</v>
      </c>
      <c r="AU140" s="186">
        <v>0</v>
      </c>
      <c r="AV140" s="186">
        <v>0</v>
      </c>
      <c r="AW140" s="186">
        <v>0</v>
      </c>
      <c r="AX140" s="186">
        <v>0</v>
      </c>
      <c r="AY140" s="186">
        <v>0</v>
      </c>
      <c r="AZ140" s="186">
        <v>0</v>
      </c>
      <c r="BA140" s="186">
        <v>0</v>
      </c>
      <c r="BB140" s="186">
        <v>0</v>
      </c>
      <c r="BC140" s="186">
        <v>0</v>
      </c>
      <c r="BD140" s="186">
        <v>0</v>
      </c>
      <c r="BE140" s="186">
        <v>0</v>
      </c>
      <c r="BF140" s="186">
        <v>0</v>
      </c>
      <c r="BG140" s="186">
        <v>0</v>
      </c>
      <c r="BH140" s="186">
        <v>0</v>
      </c>
      <c r="BI140" s="186">
        <v>0</v>
      </c>
      <c r="BJ140" s="186">
        <v>0</v>
      </c>
      <c r="BK140" s="186">
        <v>0</v>
      </c>
      <c r="BL140" s="186">
        <v>0</v>
      </c>
      <c r="BM140" s="186">
        <v>0</v>
      </c>
      <c r="BN140" s="186">
        <v>0</v>
      </c>
      <c r="BO140" s="186">
        <v>0</v>
      </c>
      <c r="BP140" s="186">
        <v>0</v>
      </c>
      <c r="BQ140" s="186">
        <v>0</v>
      </c>
      <c r="BR140" s="186">
        <v>0</v>
      </c>
      <c r="BS140" s="186">
        <v>0</v>
      </c>
      <c r="BT140" s="186">
        <v>0</v>
      </c>
      <c r="BU140" s="186">
        <v>0</v>
      </c>
      <c r="BV140" s="186">
        <v>0</v>
      </c>
      <c r="BW140" s="186">
        <v>0</v>
      </c>
      <c r="BX140" s="186">
        <v>0</v>
      </c>
      <c r="BY140" s="186">
        <v>0</v>
      </c>
      <c r="BZ140" s="186">
        <v>0</v>
      </c>
      <c r="CA140" s="186">
        <v>0</v>
      </c>
      <c r="CB140" s="186">
        <v>0</v>
      </c>
      <c r="CC140" s="186">
        <v>0</v>
      </c>
      <c r="CD140" s="186">
        <v>0</v>
      </c>
      <c r="CE140" s="186">
        <v>0</v>
      </c>
      <c r="CF140" s="186">
        <v>0</v>
      </c>
      <c r="CG140" s="186">
        <v>0</v>
      </c>
      <c r="CH140" s="186">
        <v>0</v>
      </c>
      <c r="CI140" s="186">
        <v>0</v>
      </c>
      <c r="CJ140" s="186">
        <v>0</v>
      </c>
      <c r="CK140" s="186">
        <v>0</v>
      </c>
      <c r="CL140" s="186">
        <v>0</v>
      </c>
      <c r="CM140" s="186">
        <v>0</v>
      </c>
      <c r="CN140" s="186">
        <v>0</v>
      </c>
      <c r="CO140" s="186">
        <v>0</v>
      </c>
      <c r="CP140" s="186">
        <v>0</v>
      </c>
      <c r="CQ140" s="186">
        <v>0</v>
      </c>
      <c r="CR140" s="186">
        <v>0</v>
      </c>
      <c r="CS140" s="186">
        <v>0</v>
      </c>
      <c r="CT140" s="186">
        <v>0</v>
      </c>
      <c r="CU140" s="186">
        <v>0</v>
      </c>
      <c r="CV140" s="186">
        <v>0</v>
      </c>
    </row>
    <row r="141" spans="1:100" s="56" customFormat="1">
      <c r="A141" s="541" t="str">
        <f t="shared" si="1"/>
        <v>1840591</v>
      </c>
      <c r="B141" s="541" t="s">
        <v>1606</v>
      </c>
      <c r="C141" s="463" t="s">
        <v>691</v>
      </c>
      <c r="D141" s="397">
        <v>5502.76</v>
      </c>
      <c r="E141" s="397">
        <v>5562.76</v>
      </c>
      <c r="F141" s="397">
        <v>5622.76</v>
      </c>
      <c r="G141" s="397">
        <v>5682.76</v>
      </c>
      <c r="H141" s="397">
        <v>5742.76</v>
      </c>
      <c r="I141" s="397">
        <v>5802.76</v>
      </c>
      <c r="J141" s="397">
        <v>5862.76</v>
      </c>
      <c r="K141" s="397">
        <v>5922.76</v>
      </c>
      <c r="L141" s="397">
        <v>5982.76</v>
      </c>
      <c r="M141" s="397">
        <v>6042.76</v>
      </c>
      <c r="N141" s="397">
        <v>0</v>
      </c>
      <c r="O141" s="397">
        <v>0</v>
      </c>
      <c r="P141" s="398">
        <v>0</v>
      </c>
      <c r="Q141" s="186">
        <v>0</v>
      </c>
      <c r="R141" s="186">
        <v>0</v>
      </c>
      <c r="S141" s="186">
        <v>0</v>
      </c>
      <c r="T141" s="186">
        <v>0</v>
      </c>
      <c r="U141" s="186">
        <v>0</v>
      </c>
      <c r="V141" s="186">
        <v>0</v>
      </c>
      <c r="W141" s="186">
        <v>0</v>
      </c>
      <c r="X141" s="186">
        <v>0</v>
      </c>
      <c r="Y141" s="186">
        <v>0</v>
      </c>
      <c r="Z141" s="186">
        <v>0</v>
      </c>
      <c r="AA141" s="186">
        <v>0</v>
      </c>
      <c r="AB141" s="186">
        <v>0</v>
      </c>
      <c r="AC141" s="186">
        <v>0</v>
      </c>
      <c r="AD141" s="186">
        <v>0</v>
      </c>
      <c r="AE141" s="186">
        <v>0</v>
      </c>
      <c r="AF141" s="186">
        <v>0</v>
      </c>
      <c r="AG141" s="186">
        <v>0</v>
      </c>
      <c r="AH141" s="186">
        <v>0</v>
      </c>
      <c r="AI141" s="186">
        <v>0</v>
      </c>
      <c r="AJ141" s="186">
        <v>0</v>
      </c>
      <c r="AK141" s="186">
        <v>0</v>
      </c>
      <c r="AL141" s="186">
        <v>0</v>
      </c>
      <c r="AM141" s="186">
        <v>0</v>
      </c>
      <c r="AN141" s="186">
        <v>0</v>
      </c>
      <c r="AO141" s="186">
        <v>0</v>
      </c>
      <c r="AP141" s="186">
        <v>0</v>
      </c>
      <c r="AQ141" s="186">
        <v>0</v>
      </c>
      <c r="AR141" s="186">
        <v>0</v>
      </c>
      <c r="AS141" s="186">
        <v>0</v>
      </c>
      <c r="AT141" s="186">
        <v>0</v>
      </c>
      <c r="AU141" s="186">
        <v>0</v>
      </c>
      <c r="AV141" s="186">
        <v>0</v>
      </c>
      <c r="AW141" s="186">
        <v>0</v>
      </c>
      <c r="AX141" s="186">
        <v>0</v>
      </c>
      <c r="AY141" s="186">
        <v>0</v>
      </c>
      <c r="AZ141" s="186">
        <v>0</v>
      </c>
      <c r="BA141" s="186">
        <v>0</v>
      </c>
      <c r="BB141" s="186">
        <v>0</v>
      </c>
      <c r="BC141" s="186">
        <v>0</v>
      </c>
      <c r="BD141" s="186">
        <v>0</v>
      </c>
      <c r="BE141" s="186">
        <v>0</v>
      </c>
      <c r="BF141" s="186">
        <v>0</v>
      </c>
      <c r="BG141" s="186">
        <v>0</v>
      </c>
      <c r="BH141" s="186">
        <v>0</v>
      </c>
      <c r="BI141" s="186">
        <v>0</v>
      </c>
      <c r="BJ141" s="186">
        <v>0</v>
      </c>
      <c r="BK141" s="186">
        <v>0</v>
      </c>
      <c r="BL141" s="186">
        <v>0</v>
      </c>
      <c r="BM141" s="186">
        <v>0</v>
      </c>
      <c r="BN141" s="186">
        <v>0</v>
      </c>
      <c r="BO141" s="186">
        <v>0</v>
      </c>
      <c r="BP141" s="186">
        <v>0</v>
      </c>
      <c r="BQ141" s="186">
        <v>0</v>
      </c>
      <c r="BR141" s="186">
        <v>0</v>
      </c>
      <c r="BS141" s="186">
        <v>0</v>
      </c>
      <c r="BT141" s="186">
        <v>0</v>
      </c>
      <c r="BU141" s="186">
        <v>0</v>
      </c>
      <c r="BV141" s="186">
        <v>0</v>
      </c>
      <c r="BW141" s="186">
        <v>0</v>
      </c>
      <c r="BX141" s="186">
        <v>0</v>
      </c>
      <c r="BY141" s="186">
        <v>0</v>
      </c>
      <c r="BZ141" s="186">
        <v>0</v>
      </c>
      <c r="CA141" s="186">
        <v>0</v>
      </c>
      <c r="CB141" s="186">
        <v>0</v>
      </c>
      <c r="CC141" s="186">
        <v>0</v>
      </c>
      <c r="CD141" s="186">
        <v>0</v>
      </c>
      <c r="CE141" s="186">
        <v>0</v>
      </c>
      <c r="CF141" s="186">
        <v>0</v>
      </c>
      <c r="CG141" s="186">
        <v>0</v>
      </c>
      <c r="CH141" s="186">
        <v>60</v>
      </c>
      <c r="CI141" s="186">
        <v>0</v>
      </c>
      <c r="CJ141" s="186">
        <v>0</v>
      </c>
      <c r="CK141" s="186">
        <v>0</v>
      </c>
      <c r="CL141" s="186">
        <v>0</v>
      </c>
      <c r="CM141" s="186">
        <v>0</v>
      </c>
      <c r="CN141" s="186">
        <v>0</v>
      </c>
      <c r="CO141" s="186">
        <v>0</v>
      </c>
      <c r="CP141" s="186">
        <v>0</v>
      </c>
      <c r="CQ141" s="186">
        <v>0</v>
      </c>
      <c r="CR141" s="186">
        <v>0</v>
      </c>
      <c r="CS141" s="186">
        <v>0</v>
      </c>
      <c r="CT141" s="186">
        <v>0</v>
      </c>
      <c r="CU141" s="186">
        <v>0</v>
      </c>
      <c r="CV141" s="186">
        <v>0</v>
      </c>
    </row>
    <row r="142" spans="1:100" s="56" customFormat="1">
      <c r="A142" s="541" t="str">
        <f t="shared" si="1"/>
        <v>1860020</v>
      </c>
      <c r="B142" s="541" t="s">
        <v>1526</v>
      </c>
      <c r="C142" s="463" t="s">
        <v>1468</v>
      </c>
      <c r="D142" s="397"/>
      <c r="E142" s="397"/>
      <c r="F142" s="397"/>
      <c r="G142" s="397"/>
      <c r="H142" s="397"/>
      <c r="I142" s="397"/>
      <c r="J142" s="397"/>
      <c r="K142" s="397"/>
      <c r="L142" s="397"/>
      <c r="M142" s="397"/>
      <c r="N142" s="397"/>
      <c r="O142" s="397"/>
      <c r="P142" s="398"/>
      <c r="Q142" s="186"/>
      <c r="R142" s="186"/>
      <c r="S142" s="186"/>
      <c r="T142" s="186"/>
      <c r="U142" s="186"/>
      <c r="V142" s="186"/>
      <c r="W142" s="186"/>
      <c r="X142" s="186"/>
      <c r="Y142" s="186"/>
      <c r="Z142" s="186"/>
      <c r="AA142" s="186"/>
      <c r="AB142" s="186"/>
      <c r="AC142" s="186"/>
      <c r="AD142" s="186"/>
      <c r="AE142" s="186"/>
      <c r="AF142" s="186">
        <v>2950896</v>
      </c>
      <c r="AG142" s="186">
        <v>2950896</v>
      </c>
      <c r="AH142" s="186">
        <v>2950896</v>
      </c>
      <c r="AI142" s="186">
        <v>2950896</v>
      </c>
      <c r="AJ142" s="186">
        <v>2950896</v>
      </c>
      <c r="AK142" s="186">
        <v>2950896</v>
      </c>
      <c r="AL142" s="186">
        <v>2950896</v>
      </c>
      <c r="AM142" s="186">
        <v>2950896</v>
      </c>
      <c r="AN142" s="186">
        <v>2950896</v>
      </c>
      <c r="AO142" s="186">
        <v>2950896</v>
      </c>
      <c r="AP142" s="186">
        <v>2366610</v>
      </c>
      <c r="AQ142" s="186">
        <v>2366610</v>
      </c>
      <c r="AR142" s="186">
        <v>2366610</v>
      </c>
      <c r="AS142" s="186">
        <v>2366610</v>
      </c>
      <c r="AT142" s="186">
        <v>2366610</v>
      </c>
      <c r="AU142" s="186">
        <v>2366610</v>
      </c>
      <c r="AV142" s="186">
        <v>2366610</v>
      </c>
      <c r="AW142" s="186">
        <v>2366610</v>
      </c>
      <c r="AX142" s="186">
        <v>2366610</v>
      </c>
      <c r="AY142" s="186">
        <v>2366610</v>
      </c>
      <c r="AZ142" s="186">
        <v>2366610</v>
      </c>
      <c r="BA142" s="186">
        <v>2366610</v>
      </c>
      <c r="BB142" s="186">
        <v>2083308</v>
      </c>
      <c r="BC142" s="186">
        <v>2083308</v>
      </c>
      <c r="BD142" s="186">
        <v>2083308</v>
      </c>
      <c r="BE142" s="186">
        <v>2083308</v>
      </c>
      <c r="BF142" s="186">
        <v>2083308</v>
      </c>
      <c r="BG142" s="186">
        <v>2083308</v>
      </c>
      <c r="BH142" s="186">
        <v>2083308</v>
      </c>
      <c r="BI142" s="186">
        <v>2083308</v>
      </c>
      <c r="BJ142" s="186">
        <v>2083308</v>
      </c>
      <c r="BK142" s="186">
        <v>2083308</v>
      </c>
      <c r="BL142" s="186">
        <v>2083308</v>
      </c>
      <c r="BM142" s="186">
        <v>1876488</v>
      </c>
      <c r="BN142" s="186">
        <v>1876488</v>
      </c>
      <c r="BO142" s="186">
        <v>1876488</v>
      </c>
      <c r="BP142" s="186">
        <v>1876488</v>
      </c>
      <c r="BQ142" s="186">
        <v>1876488</v>
      </c>
      <c r="BR142" s="186">
        <v>1876488</v>
      </c>
      <c r="BS142" s="186">
        <v>1876488</v>
      </c>
      <c r="BT142" s="186">
        <v>1876488</v>
      </c>
      <c r="BU142" s="186">
        <v>1876488</v>
      </c>
      <c r="BV142" s="186">
        <v>1876488</v>
      </c>
      <c r="BW142" s="186">
        <v>1876488</v>
      </c>
      <c r="BX142" s="186">
        <v>1876488</v>
      </c>
      <c r="BY142" s="186">
        <v>1876488</v>
      </c>
      <c r="BZ142" s="186">
        <v>1876488</v>
      </c>
      <c r="CA142" s="186">
        <v>1876488</v>
      </c>
      <c r="CB142" s="186">
        <v>1876488</v>
      </c>
      <c r="CC142" s="186">
        <v>1876488</v>
      </c>
      <c r="CD142" s="186">
        <v>1876488</v>
      </c>
      <c r="CE142" s="186">
        <v>1876488</v>
      </c>
      <c r="CF142" s="186">
        <v>1876488</v>
      </c>
      <c r="CG142" s="186">
        <v>1876488</v>
      </c>
      <c r="CH142" s="186">
        <v>1876488</v>
      </c>
      <c r="CI142" s="186">
        <v>1876488</v>
      </c>
      <c r="CJ142" s="186">
        <v>1876488</v>
      </c>
      <c r="CK142" s="186">
        <v>1651972</v>
      </c>
      <c r="CL142" s="186">
        <v>1651972</v>
      </c>
      <c r="CM142" s="186">
        <v>1651972</v>
      </c>
      <c r="CN142" s="186">
        <v>1651972</v>
      </c>
      <c r="CO142" s="186">
        <v>1651972</v>
      </c>
      <c r="CP142" s="186">
        <v>1651972</v>
      </c>
      <c r="CQ142" s="186">
        <v>1651972</v>
      </c>
      <c r="CR142" s="186">
        <v>1651972</v>
      </c>
      <c r="CS142" s="186">
        <v>1651972</v>
      </c>
      <c r="CT142" s="186">
        <v>1651972</v>
      </c>
      <c r="CU142" s="186">
        <v>1651972</v>
      </c>
      <c r="CV142" s="186">
        <v>1651972</v>
      </c>
    </row>
    <row r="143" spans="1:100">
      <c r="A143" s="541" t="str">
        <f t="shared" si="1"/>
        <v>1860800</v>
      </c>
      <c r="B143" s="541" t="s">
        <v>1527</v>
      </c>
      <c r="C143" s="463" t="s">
        <v>692</v>
      </c>
      <c r="D143" s="397">
        <v>86795.96</v>
      </c>
      <c r="E143" s="397">
        <v>88384</v>
      </c>
      <c r="F143" s="397">
        <v>89989.31</v>
      </c>
      <c r="G143" s="397">
        <v>90844.64</v>
      </c>
      <c r="H143" s="397">
        <v>99264.48</v>
      </c>
      <c r="I143" s="397">
        <v>110175.51</v>
      </c>
      <c r="J143" s="397">
        <v>76940.460000000006</v>
      </c>
      <c r="K143" s="397">
        <v>59996.959999999999</v>
      </c>
      <c r="L143" s="397">
        <v>58519.46</v>
      </c>
      <c r="M143" s="397">
        <v>62883.22</v>
      </c>
      <c r="N143" s="397">
        <v>65352.2</v>
      </c>
      <c r="O143" s="397">
        <v>65604.2</v>
      </c>
      <c r="P143" s="398">
        <v>68874.649999999994</v>
      </c>
      <c r="Q143" s="186">
        <v>72874.28</v>
      </c>
      <c r="R143" s="186">
        <v>72879.320000000007</v>
      </c>
      <c r="S143" s="186">
        <v>76937.59</v>
      </c>
      <c r="T143" s="186">
        <v>56464.08</v>
      </c>
      <c r="U143" s="186">
        <v>114055.15</v>
      </c>
      <c r="V143" s="186">
        <v>139182.43</v>
      </c>
      <c r="W143" s="186">
        <v>79661.02</v>
      </c>
      <c r="X143" s="186">
        <v>407401.19</v>
      </c>
      <c r="Y143" s="186">
        <v>86393.03</v>
      </c>
      <c r="Z143" s="186">
        <v>88225.52</v>
      </c>
      <c r="AA143" s="186">
        <v>107563.82</v>
      </c>
      <c r="AB143" s="186">
        <v>159094.73000000001</v>
      </c>
      <c r="AC143" s="186">
        <v>161426.23999999999</v>
      </c>
      <c r="AD143" s="186">
        <v>114707.76</v>
      </c>
      <c r="AE143" s="186">
        <v>117024.39</v>
      </c>
      <c r="AF143" s="186">
        <v>96846.36</v>
      </c>
      <c r="AG143" s="186">
        <v>104568.63</v>
      </c>
      <c r="AH143" s="186">
        <v>168406.55</v>
      </c>
      <c r="AI143" s="186">
        <v>171089.8</v>
      </c>
      <c r="AJ143" s="186">
        <v>155215.38</v>
      </c>
      <c r="AK143" s="186">
        <v>192431.13</v>
      </c>
      <c r="AL143" s="186">
        <v>323779.05</v>
      </c>
      <c r="AM143" s="186">
        <v>332738.05</v>
      </c>
      <c r="AN143" s="186">
        <v>231630.91</v>
      </c>
      <c r="AO143" s="186">
        <v>2496568.8199999998</v>
      </c>
      <c r="AP143" s="186">
        <v>3203374.84</v>
      </c>
      <c r="AQ143" s="186">
        <v>3451686.52</v>
      </c>
      <c r="AR143" s="186">
        <v>3357250.16</v>
      </c>
      <c r="AS143" s="186">
        <v>3112872.17</v>
      </c>
      <c r="AT143" s="186">
        <v>3171250.12</v>
      </c>
      <c r="AU143" s="186">
        <v>3153292.53</v>
      </c>
      <c r="AV143" s="186">
        <v>3158725.57</v>
      </c>
      <c r="AW143" s="186">
        <v>3509190.18</v>
      </c>
      <c r="AX143" s="186">
        <v>3482180</v>
      </c>
      <c r="AY143" s="186">
        <v>3507650.78</v>
      </c>
      <c r="AZ143" s="186">
        <v>3500798.79</v>
      </c>
      <c r="BA143" s="186">
        <v>3319911.45</v>
      </c>
      <c r="BB143" s="186">
        <v>3422684.9</v>
      </c>
      <c r="BC143" s="186">
        <v>3406331.55</v>
      </c>
      <c r="BD143" s="186">
        <v>3475003.04</v>
      </c>
      <c r="BE143" s="186">
        <v>3375539.49</v>
      </c>
      <c r="BF143" s="186">
        <v>3378075.29</v>
      </c>
      <c r="BG143" s="186">
        <v>3362549.5</v>
      </c>
      <c r="BH143" s="186">
        <v>3780094.9</v>
      </c>
      <c r="BI143" s="186">
        <v>3416070.9</v>
      </c>
      <c r="BJ143" s="186">
        <v>4589153.0999999996</v>
      </c>
      <c r="BK143" s="186">
        <v>6514301.7699999996</v>
      </c>
      <c r="BL143" s="186">
        <v>2851715.49</v>
      </c>
      <c r="BM143" s="186">
        <v>2833097.98</v>
      </c>
      <c r="BN143" s="186">
        <v>2817067.62</v>
      </c>
      <c r="BO143" s="186">
        <v>2867050.06</v>
      </c>
      <c r="BP143" s="186">
        <v>2823970.11</v>
      </c>
      <c r="BQ143" s="186">
        <v>2814873.01</v>
      </c>
      <c r="BR143" s="186">
        <v>2775839.66</v>
      </c>
      <c r="BS143" s="186">
        <v>2724938.35</v>
      </c>
      <c r="BT143" s="186">
        <v>2949895.23</v>
      </c>
      <c r="BU143" s="186">
        <v>3083394.47</v>
      </c>
      <c r="BV143" s="186">
        <v>3240010.19</v>
      </c>
      <c r="BW143" s="186">
        <v>3353538.42</v>
      </c>
      <c r="BX143" s="186">
        <v>2931886.83</v>
      </c>
      <c r="BY143" s="186">
        <v>2907048.91</v>
      </c>
      <c r="BZ143" s="186">
        <v>2734373.27</v>
      </c>
      <c r="CA143" s="186">
        <v>2949762.27</v>
      </c>
      <c r="CB143" s="186">
        <v>3160667.99</v>
      </c>
      <c r="CC143" s="186">
        <v>3420032.25</v>
      </c>
      <c r="CD143" s="186">
        <v>3432738.71</v>
      </c>
      <c r="CE143" s="186">
        <v>3478460.19</v>
      </c>
      <c r="CF143" s="186">
        <v>3792145.01</v>
      </c>
      <c r="CG143" s="186">
        <v>3985290.61</v>
      </c>
      <c r="CH143" s="186">
        <v>4106831.75</v>
      </c>
      <c r="CI143" s="186">
        <v>3557241.5</v>
      </c>
      <c r="CJ143" s="186">
        <v>2179477.52</v>
      </c>
      <c r="CK143" s="186">
        <v>2158432.2599999998</v>
      </c>
      <c r="CL143" s="186">
        <v>2143203.17</v>
      </c>
      <c r="CM143" s="186">
        <v>2133779.17</v>
      </c>
      <c r="CN143" s="186">
        <v>2122450.15</v>
      </c>
      <c r="CO143" s="186">
        <v>2109847.25</v>
      </c>
      <c r="CP143" s="186">
        <v>2094259.45</v>
      </c>
      <c r="CQ143" s="186">
        <v>2090746.57</v>
      </c>
      <c r="CR143" s="186">
        <v>2072893.07</v>
      </c>
      <c r="CS143" s="186">
        <v>2054800.49</v>
      </c>
      <c r="CT143" s="186">
        <v>2131639.9900000002</v>
      </c>
      <c r="CU143" s="186">
        <v>2086418.59</v>
      </c>
      <c r="CV143" s="186">
        <v>2430458.84</v>
      </c>
    </row>
    <row r="144" spans="1:100">
      <c r="A144" s="541" t="str">
        <f t="shared" si="1"/>
        <v>1890200</v>
      </c>
      <c r="B144" s="541" t="s">
        <v>1528</v>
      </c>
      <c r="C144" s="463" t="s">
        <v>693</v>
      </c>
      <c r="D144" s="397">
        <v>0</v>
      </c>
      <c r="E144" s="397">
        <v>0</v>
      </c>
      <c r="F144" s="397">
        <v>0</v>
      </c>
      <c r="G144" s="397">
        <v>0</v>
      </c>
      <c r="H144" s="397">
        <v>0</v>
      </c>
      <c r="I144" s="397">
        <v>0</v>
      </c>
      <c r="J144" s="397">
        <v>0</v>
      </c>
      <c r="K144" s="397">
        <v>0</v>
      </c>
      <c r="L144" s="397">
        <v>0</v>
      </c>
      <c r="M144" s="397">
        <v>0</v>
      </c>
      <c r="N144" s="397">
        <v>0</v>
      </c>
      <c r="O144" s="397">
        <v>0</v>
      </c>
      <c r="P144" s="398">
        <v>0</v>
      </c>
      <c r="Q144" s="186">
        <v>0</v>
      </c>
      <c r="R144" s="186">
        <v>0</v>
      </c>
      <c r="S144" s="186">
        <v>0</v>
      </c>
      <c r="T144" s="186">
        <v>0</v>
      </c>
      <c r="U144" s="186">
        <v>0</v>
      </c>
      <c r="V144" s="186">
        <v>0</v>
      </c>
      <c r="W144" s="186">
        <v>0</v>
      </c>
      <c r="X144" s="186">
        <v>0</v>
      </c>
      <c r="Y144" s="186">
        <v>0</v>
      </c>
      <c r="Z144" s="186">
        <v>0</v>
      </c>
      <c r="AA144" s="186">
        <v>0</v>
      </c>
      <c r="AB144" s="186">
        <v>0</v>
      </c>
      <c r="AC144" s="186">
        <v>0</v>
      </c>
      <c r="AD144" s="186">
        <v>0</v>
      </c>
      <c r="AE144" s="186">
        <v>0</v>
      </c>
      <c r="AF144" s="186">
        <v>0</v>
      </c>
      <c r="AG144" s="186">
        <v>0</v>
      </c>
      <c r="AH144" s="186">
        <v>0</v>
      </c>
      <c r="AI144" s="186">
        <v>0</v>
      </c>
      <c r="AJ144" s="186">
        <v>0</v>
      </c>
      <c r="AK144" s="186">
        <v>0</v>
      </c>
      <c r="AL144" s="186">
        <v>0</v>
      </c>
      <c r="AM144" s="186">
        <v>0</v>
      </c>
      <c r="AN144" s="186">
        <v>0</v>
      </c>
      <c r="AO144" s="186">
        <v>0</v>
      </c>
      <c r="AP144" s="186">
        <v>0</v>
      </c>
      <c r="AQ144" s="186">
        <v>0</v>
      </c>
      <c r="AR144" s="186">
        <v>0</v>
      </c>
      <c r="AS144" s="186">
        <v>0</v>
      </c>
      <c r="AT144" s="186">
        <v>0</v>
      </c>
      <c r="AU144" s="186">
        <v>0</v>
      </c>
      <c r="AV144" s="186">
        <v>0</v>
      </c>
      <c r="AW144" s="186">
        <v>0</v>
      </c>
      <c r="AX144" s="186">
        <v>0</v>
      </c>
      <c r="AY144" s="186">
        <v>0</v>
      </c>
      <c r="AZ144" s="186">
        <v>0</v>
      </c>
      <c r="BA144" s="186">
        <v>0</v>
      </c>
      <c r="BB144" s="186">
        <v>0</v>
      </c>
      <c r="BC144" s="186">
        <v>0</v>
      </c>
      <c r="BD144" s="186">
        <v>0</v>
      </c>
      <c r="BE144" s="186">
        <v>0</v>
      </c>
      <c r="BF144" s="186">
        <v>0</v>
      </c>
      <c r="BG144" s="186">
        <v>0</v>
      </c>
      <c r="BH144" s="186">
        <v>0</v>
      </c>
      <c r="BI144" s="186">
        <v>0</v>
      </c>
      <c r="BJ144" s="186">
        <v>0</v>
      </c>
      <c r="BK144" s="186">
        <v>0</v>
      </c>
      <c r="BL144" s="186">
        <v>0</v>
      </c>
      <c r="BM144" s="186">
        <v>0</v>
      </c>
      <c r="BN144" s="186">
        <v>0</v>
      </c>
      <c r="BO144" s="186">
        <v>0</v>
      </c>
      <c r="BP144" s="186">
        <v>0</v>
      </c>
      <c r="BQ144" s="186">
        <v>0</v>
      </c>
      <c r="BR144" s="186">
        <v>0</v>
      </c>
      <c r="BS144" s="186">
        <v>0</v>
      </c>
      <c r="BT144" s="186">
        <v>0</v>
      </c>
      <c r="BU144" s="186">
        <v>0</v>
      </c>
      <c r="BV144" s="186">
        <v>0</v>
      </c>
      <c r="BW144" s="186">
        <v>0</v>
      </c>
      <c r="BX144" s="186">
        <v>0</v>
      </c>
      <c r="BY144" s="186">
        <v>0</v>
      </c>
      <c r="BZ144" s="186">
        <v>0</v>
      </c>
      <c r="CA144" s="186">
        <v>0</v>
      </c>
      <c r="CB144" s="186">
        <v>0</v>
      </c>
      <c r="CC144" s="186">
        <v>0</v>
      </c>
      <c r="CD144" s="186">
        <v>0</v>
      </c>
      <c r="CE144" s="186">
        <v>0</v>
      </c>
      <c r="CF144" s="186">
        <v>0</v>
      </c>
      <c r="CG144" s="186">
        <v>0</v>
      </c>
      <c r="CH144" s="186">
        <v>0</v>
      </c>
      <c r="CI144" s="186">
        <v>0</v>
      </c>
      <c r="CJ144" s="186">
        <v>0</v>
      </c>
      <c r="CK144" s="186">
        <v>0</v>
      </c>
      <c r="CL144" s="186">
        <v>0</v>
      </c>
      <c r="CM144" s="186">
        <v>0</v>
      </c>
      <c r="CN144" s="186">
        <v>0</v>
      </c>
      <c r="CO144" s="186">
        <v>0</v>
      </c>
      <c r="CP144" s="186">
        <v>0</v>
      </c>
      <c r="CQ144" s="186">
        <v>0</v>
      </c>
      <c r="CR144" s="186">
        <v>0</v>
      </c>
      <c r="CS144" s="186">
        <v>0</v>
      </c>
      <c r="CT144" s="186">
        <v>0</v>
      </c>
      <c r="CU144" s="186">
        <v>0</v>
      </c>
      <c r="CV144" s="186">
        <v>0</v>
      </c>
    </row>
    <row r="145" spans="1:100">
      <c r="A145" s="541" t="str">
        <f t="shared" ref="A145:A211" si="2">+B145</f>
        <v>1900300</v>
      </c>
      <c r="B145" s="541" t="s">
        <v>1529</v>
      </c>
      <c r="C145" s="463" t="s">
        <v>694</v>
      </c>
      <c r="D145" s="397">
        <v>21628001.879999999</v>
      </c>
      <c r="E145" s="397">
        <v>21257218.539999999</v>
      </c>
      <c r="F145" s="397">
        <v>21078413.539999999</v>
      </c>
      <c r="G145" s="397">
        <v>21506647.09</v>
      </c>
      <c r="H145" s="397">
        <v>21627617.16</v>
      </c>
      <c r="I145" s="397">
        <v>21756798.170000002</v>
      </c>
      <c r="J145" s="397">
        <v>21684736.66</v>
      </c>
      <c r="K145" s="397">
        <v>21598264.09</v>
      </c>
      <c r="L145" s="397">
        <v>21307278.170000002</v>
      </c>
      <c r="M145" s="397">
        <v>21850043.800000001</v>
      </c>
      <c r="N145" s="397">
        <v>22200630.010000002</v>
      </c>
      <c r="O145" s="397">
        <v>20151378.109999999</v>
      </c>
      <c r="P145" s="398">
        <v>20385210.100000001</v>
      </c>
      <c r="Q145" s="186">
        <v>20788723.390000001</v>
      </c>
      <c r="R145" s="186">
        <v>20106538.640000001</v>
      </c>
      <c r="S145" s="186">
        <v>20561585.879999999</v>
      </c>
      <c r="T145" s="186">
        <v>20849182.739999998</v>
      </c>
      <c r="U145" s="186">
        <v>20841028.949999999</v>
      </c>
      <c r="V145" s="186">
        <v>20797679.09</v>
      </c>
      <c r="W145" s="186">
        <v>20825804.210000001</v>
      </c>
      <c r="X145" s="186">
        <v>20862305.91</v>
      </c>
      <c r="Y145" s="186">
        <v>20856989.66</v>
      </c>
      <c r="Z145" s="186">
        <v>20873795.5</v>
      </c>
      <c r="AA145" s="186">
        <v>21019758.379999999</v>
      </c>
      <c r="AB145" s="186">
        <v>21158352.989999998</v>
      </c>
      <c r="AC145" s="186">
        <v>21417772.989999998</v>
      </c>
      <c r="AD145" s="186">
        <v>21071637.719999999</v>
      </c>
      <c r="AE145" s="186">
        <v>21388524.829999998</v>
      </c>
      <c r="AF145" s="186">
        <v>21532902.850000001</v>
      </c>
      <c r="AG145" s="186">
        <v>21621250.199999999</v>
      </c>
      <c r="AH145" s="186">
        <v>21618534.699999999</v>
      </c>
      <c r="AI145" s="186">
        <v>21727442.100000001</v>
      </c>
      <c r="AJ145" s="186">
        <v>21869034.66</v>
      </c>
      <c r="AK145" s="186">
        <v>22072339.899999999</v>
      </c>
      <c r="AL145" s="186">
        <v>22031045.390000001</v>
      </c>
      <c r="AM145" s="186">
        <v>21862518.829999998</v>
      </c>
      <c r="AN145" s="186">
        <v>27089342.120000001</v>
      </c>
      <c r="AO145" s="186">
        <v>27867573.079999998</v>
      </c>
      <c r="AP145" s="186">
        <v>27024912.350000001</v>
      </c>
      <c r="AQ145" s="186">
        <v>27485652</v>
      </c>
      <c r="AR145" s="186">
        <v>27752437.969999999</v>
      </c>
      <c r="AS145" s="186">
        <v>27906920.309999999</v>
      </c>
      <c r="AT145" s="186">
        <v>28134592.719999999</v>
      </c>
      <c r="AU145" s="186">
        <v>28295488.719999999</v>
      </c>
      <c r="AV145" s="186">
        <v>28284701.059999999</v>
      </c>
      <c r="AW145" s="186">
        <v>28880199.940000001</v>
      </c>
      <c r="AX145" s="186">
        <v>28810048.719999999</v>
      </c>
      <c r="AY145" s="186">
        <v>28935820.190000001</v>
      </c>
      <c r="AZ145" s="186">
        <v>28470878.440000001</v>
      </c>
      <c r="BA145" s="186">
        <v>28952719.100000001</v>
      </c>
      <c r="BB145" s="186">
        <v>28723646.800000001</v>
      </c>
      <c r="BC145" s="186">
        <v>29590823.870000001</v>
      </c>
      <c r="BD145" s="186">
        <v>29837500.84</v>
      </c>
      <c r="BE145" s="186">
        <v>30042629.73</v>
      </c>
      <c r="BF145" s="186">
        <v>30184002.920000002</v>
      </c>
      <c r="BG145" s="186">
        <v>30238523.23</v>
      </c>
      <c r="BH145" s="186">
        <v>30268817.02</v>
      </c>
      <c r="BI145" s="186">
        <v>31645217.93</v>
      </c>
      <c r="BJ145" s="186">
        <v>31701980.02</v>
      </c>
      <c r="BK145" s="186">
        <v>31735623.52</v>
      </c>
      <c r="BL145" s="186">
        <v>31216129.710000001</v>
      </c>
      <c r="BM145" s="186">
        <v>31397899.620000001</v>
      </c>
      <c r="BN145" s="186">
        <v>30783785.710000001</v>
      </c>
      <c r="BO145" s="186">
        <v>31277440.899999999</v>
      </c>
      <c r="BP145" s="186">
        <v>31372037.969999999</v>
      </c>
      <c r="BQ145" s="186">
        <v>31401284.469999999</v>
      </c>
      <c r="BR145" s="186">
        <v>31505541.859999999</v>
      </c>
      <c r="BS145" s="186">
        <v>31733914.780000001</v>
      </c>
      <c r="BT145" s="186">
        <v>31809459.34</v>
      </c>
      <c r="BU145" s="186">
        <v>31797211.850000001</v>
      </c>
      <c r="BV145" s="186">
        <v>31896964.190000001</v>
      </c>
      <c r="BW145" s="186">
        <v>32129934.199999999</v>
      </c>
      <c r="BX145" s="186">
        <v>32387504.850000001</v>
      </c>
      <c r="BY145" s="186">
        <v>32844580.809999999</v>
      </c>
      <c r="BZ145" s="186">
        <v>32082072.780000001</v>
      </c>
      <c r="CA145" s="186">
        <v>32342112.609999999</v>
      </c>
      <c r="CB145" s="186">
        <v>32546323.899999999</v>
      </c>
      <c r="CC145" s="186">
        <v>32657507.210000001</v>
      </c>
      <c r="CD145" s="186">
        <v>33002745.93</v>
      </c>
      <c r="CE145" s="186">
        <v>33075814.050000001</v>
      </c>
      <c r="CF145" s="186">
        <v>33030982.460000001</v>
      </c>
      <c r="CG145" s="186">
        <v>33295588.210000001</v>
      </c>
      <c r="CH145" s="186">
        <v>33349655.199999999</v>
      </c>
      <c r="CI145" s="186">
        <v>33167719.989999998</v>
      </c>
      <c r="CJ145" s="186">
        <v>33742293.310000002</v>
      </c>
      <c r="CK145" s="186">
        <v>34280918.25</v>
      </c>
      <c r="CL145" s="186">
        <v>34559950.119999997</v>
      </c>
      <c r="CM145" s="186">
        <v>33215260.219999999</v>
      </c>
      <c r="CN145" s="186">
        <v>33568588.909999996</v>
      </c>
      <c r="CO145" s="186">
        <v>33524413.370000001</v>
      </c>
      <c r="CP145" s="186">
        <v>33843798.890000001</v>
      </c>
      <c r="CQ145" s="186">
        <v>33936106.479999997</v>
      </c>
      <c r="CR145" s="186">
        <v>34166557.579999998</v>
      </c>
      <c r="CS145" s="186">
        <v>34873747.079999998</v>
      </c>
      <c r="CT145" s="186">
        <v>34335105.240000002</v>
      </c>
      <c r="CU145" s="186">
        <v>34918379.270000003</v>
      </c>
      <c r="CV145" s="186">
        <v>35600459.32</v>
      </c>
    </row>
    <row r="146" spans="1:100">
      <c r="A146" s="541" t="str">
        <f t="shared" si="2"/>
        <v>1900303</v>
      </c>
      <c r="B146" s="541" t="s">
        <v>1745</v>
      </c>
      <c r="C146" s="463" t="s">
        <v>1744</v>
      </c>
      <c r="D146" s="397"/>
      <c r="E146" s="397"/>
      <c r="F146" s="397"/>
      <c r="G146" s="397"/>
      <c r="H146" s="397"/>
      <c r="I146" s="397"/>
      <c r="J146" s="397"/>
      <c r="K146" s="397"/>
      <c r="L146" s="397"/>
      <c r="M146" s="397"/>
      <c r="N146" s="397"/>
      <c r="O146" s="397"/>
      <c r="P146" s="398"/>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v>0</v>
      </c>
      <c r="AM146" s="186">
        <v>0</v>
      </c>
      <c r="AN146" s="186">
        <v>2950480.06</v>
      </c>
      <c r="AO146" s="186">
        <v>2950480.06</v>
      </c>
      <c r="AP146" s="186">
        <v>2950480.06</v>
      </c>
      <c r="AQ146" s="186">
        <v>2950480.06</v>
      </c>
      <c r="AR146" s="186">
        <v>2950480.06</v>
      </c>
      <c r="AS146" s="186">
        <v>2950480.06</v>
      </c>
      <c r="AT146" s="186">
        <v>2950480.06</v>
      </c>
      <c r="AU146" s="186">
        <v>2950480.06</v>
      </c>
      <c r="AV146" s="186">
        <v>2950480.06</v>
      </c>
      <c r="AW146" s="186">
        <v>4432944.58</v>
      </c>
      <c r="AX146" s="186">
        <v>4432944.58</v>
      </c>
      <c r="AY146" s="186">
        <v>4432944.58</v>
      </c>
      <c r="AZ146" s="186">
        <v>3236134.48</v>
      </c>
      <c r="BA146" s="186">
        <v>3236134.48</v>
      </c>
      <c r="BB146" s="186">
        <v>3236134.48</v>
      </c>
      <c r="BC146" s="186">
        <v>3236134.48</v>
      </c>
      <c r="BD146" s="186">
        <v>3236134.48</v>
      </c>
      <c r="BE146" s="186">
        <v>3236134.48</v>
      </c>
      <c r="BF146" s="186">
        <v>3236134.48</v>
      </c>
      <c r="BG146" s="186">
        <v>3236134.48</v>
      </c>
      <c r="BH146" s="186">
        <v>3236134.48</v>
      </c>
      <c r="BI146" s="186">
        <v>3236134.48</v>
      </c>
      <c r="BJ146" s="186">
        <v>3236134.48</v>
      </c>
      <c r="BK146" s="186">
        <v>3685535.11</v>
      </c>
      <c r="BL146" s="186">
        <v>3685535.11</v>
      </c>
      <c r="BM146" s="186">
        <v>3685535.11</v>
      </c>
      <c r="BN146" s="186">
        <v>3685535.11</v>
      </c>
      <c r="BO146" s="186">
        <v>3685535.11</v>
      </c>
      <c r="BP146" s="186">
        <v>3685535.11</v>
      </c>
      <c r="BQ146" s="186">
        <v>3685535.11</v>
      </c>
      <c r="BR146" s="186">
        <v>3685535.11</v>
      </c>
      <c r="BS146" s="186">
        <v>3685535.11</v>
      </c>
      <c r="BT146" s="186">
        <v>3685535.11</v>
      </c>
      <c r="BU146" s="186">
        <v>3685535.11</v>
      </c>
      <c r="BV146" s="186">
        <v>3685535.11</v>
      </c>
      <c r="BW146" s="186">
        <v>3685535.11</v>
      </c>
      <c r="BX146" s="186">
        <v>3685535.11</v>
      </c>
      <c r="BY146" s="186">
        <v>3685535.11</v>
      </c>
      <c r="BZ146" s="186">
        <v>3685535.11</v>
      </c>
      <c r="CA146" s="186">
        <v>3685535.11</v>
      </c>
      <c r="CB146" s="186">
        <v>3685535.11</v>
      </c>
      <c r="CC146" s="186">
        <v>3685535.11</v>
      </c>
      <c r="CD146" s="186">
        <v>3685535.11</v>
      </c>
      <c r="CE146" s="186">
        <v>3685535.11</v>
      </c>
      <c r="CF146" s="186">
        <v>3685535.11</v>
      </c>
      <c r="CG146" s="186">
        <v>3685535.11</v>
      </c>
      <c r="CH146" s="186">
        <v>3685535.11</v>
      </c>
      <c r="CI146" s="186">
        <v>3685535.11</v>
      </c>
      <c r="CJ146" s="186">
        <v>3685535.11</v>
      </c>
      <c r="CK146" s="186">
        <v>3685535.11</v>
      </c>
      <c r="CL146" s="186">
        <v>3685535.11</v>
      </c>
      <c r="CM146" s="186">
        <v>3685535.11</v>
      </c>
      <c r="CN146" s="186">
        <v>3685535.11</v>
      </c>
      <c r="CO146" s="186">
        <v>3685535.11</v>
      </c>
      <c r="CP146" s="186">
        <v>3685535.11</v>
      </c>
      <c r="CQ146" s="186">
        <v>3685535.11</v>
      </c>
      <c r="CR146" s="186">
        <v>3685535.11</v>
      </c>
      <c r="CS146" s="186">
        <v>3685535.11</v>
      </c>
      <c r="CT146" s="186">
        <v>3685535.11</v>
      </c>
      <c r="CU146" s="186">
        <v>3685535.11</v>
      </c>
      <c r="CV146" s="186">
        <v>3685535.11</v>
      </c>
    </row>
    <row r="147" spans="1:100">
      <c r="A147" s="541" t="str">
        <f t="shared" si="2"/>
        <v>1900305</v>
      </c>
      <c r="B147" s="541" t="s">
        <v>1746</v>
      </c>
      <c r="C147" s="463" t="s">
        <v>1747</v>
      </c>
      <c r="D147" s="397"/>
      <c r="E147" s="397"/>
      <c r="F147" s="397"/>
      <c r="G147" s="397"/>
      <c r="H147" s="397"/>
      <c r="I147" s="397"/>
      <c r="J147" s="397"/>
      <c r="K147" s="397"/>
      <c r="L147" s="397"/>
      <c r="M147" s="397"/>
      <c r="N147" s="397"/>
      <c r="O147" s="397"/>
      <c r="P147" s="398"/>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v>0</v>
      </c>
      <c r="AM147" s="186">
        <v>0</v>
      </c>
      <c r="AN147" s="186">
        <v>6.32</v>
      </c>
      <c r="AO147" s="186">
        <v>6.32</v>
      </c>
      <c r="AP147" s="186">
        <v>6.32</v>
      </c>
      <c r="AQ147" s="186">
        <v>0</v>
      </c>
      <c r="AR147" s="186">
        <v>0</v>
      </c>
      <c r="AS147" s="186">
        <v>0</v>
      </c>
      <c r="AT147" s="186">
        <v>0</v>
      </c>
      <c r="AU147" s="186">
        <v>0</v>
      </c>
      <c r="AV147" s="186">
        <v>0</v>
      </c>
      <c r="AW147" s="186">
        <v>0</v>
      </c>
      <c r="AX147" s="186">
        <v>-18.8</v>
      </c>
      <c r="AY147" s="186">
        <v>0</v>
      </c>
      <c r="AZ147" s="186">
        <v>0</v>
      </c>
      <c r="BA147" s="186">
        <v>0</v>
      </c>
      <c r="BB147" s="186">
        <v>0</v>
      </c>
      <c r="BC147" s="186">
        <v>0</v>
      </c>
      <c r="BD147" s="186">
        <v>0</v>
      </c>
      <c r="BE147" s="186">
        <v>0</v>
      </c>
      <c r="BF147" s="186">
        <v>-20.91</v>
      </c>
      <c r="BG147" s="186">
        <v>-330.9</v>
      </c>
      <c r="BH147" s="186">
        <v>-261.52</v>
      </c>
      <c r="BI147" s="186">
        <v>-600.67999999999995</v>
      </c>
      <c r="BJ147" s="186">
        <v>-118.65</v>
      </c>
      <c r="BK147" s="186">
        <v>183.13</v>
      </c>
      <c r="BL147" s="186">
        <v>768.35</v>
      </c>
      <c r="BM147" s="186">
        <v>-37.83</v>
      </c>
      <c r="BN147" s="186">
        <v>40.53</v>
      </c>
      <c r="BO147" s="186">
        <v>40.53</v>
      </c>
      <c r="BP147" s="186">
        <v>1251.22</v>
      </c>
      <c r="BQ147" s="186">
        <v>1728.23</v>
      </c>
      <c r="BR147" s="186">
        <v>302.68</v>
      </c>
      <c r="BS147" s="186">
        <v>-890.09</v>
      </c>
      <c r="BT147" s="186">
        <v>-4.95</v>
      </c>
      <c r="BU147" s="186">
        <v>9.93</v>
      </c>
      <c r="BV147" s="186">
        <v>49.28</v>
      </c>
      <c r="BW147" s="186">
        <v>-33.06</v>
      </c>
      <c r="BX147" s="186">
        <v>-47.55</v>
      </c>
      <c r="BY147" s="186">
        <v>-47.55</v>
      </c>
      <c r="BZ147" s="186">
        <v>-47.55</v>
      </c>
      <c r="CA147" s="186">
        <v>-47.55</v>
      </c>
      <c r="CB147" s="186">
        <v>-47.55</v>
      </c>
      <c r="CC147" s="186">
        <v>-47.55</v>
      </c>
      <c r="CD147" s="186">
        <v>-47.55</v>
      </c>
      <c r="CE147" s="186">
        <v>-47.55</v>
      </c>
      <c r="CF147" s="186">
        <v>-47.55</v>
      </c>
      <c r="CG147" s="186">
        <v>-47.55</v>
      </c>
      <c r="CH147" s="186">
        <v>-47.55</v>
      </c>
      <c r="CI147" s="186">
        <v>-47.55</v>
      </c>
      <c r="CJ147" s="186">
        <v>-47.55</v>
      </c>
      <c r="CK147" s="186">
        <v>-47.55</v>
      </c>
      <c r="CL147" s="186">
        <v>-47.55</v>
      </c>
      <c r="CM147" s="186">
        <v>-47.55</v>
      </c>
      <c r="CN147" s="186">
        <v>-47.55</v>
      </c>
      <c r="CO147" s="186">
        <v>-47.55</v>
      </c>
      <c r="CP147" s="186">
        <v>-47.55</v>
      </c>
      <c r="CQ147" s="186">
        <v>-47.55</v>
      </c>
      <c r="CR147" s="186">
        <v>-47.55</v>
      </c>
      <c r="CS147" s="186">
        <v>-47.55</v>
      </c>
      <c r="CT147" s="186">
        <v>-47.55</v>
      </c>
      <c r="CU147" s="186">
        <v>-47.55</v>
      </c>
      <c r="CV147" s="186">
        <v>-47.55</v>
      </c>
    </row>
    <row r="148" spans="1:100">
      <c r="A148" s="541" t="str">
        <f t="shared" si="2"/>
        <v>1900306</v>
      </c>
      <c r="B148" s="541" t="s">
        <v>1530</v>
      </c>
      <c r="C148" s="463" t="s">
        <v>695</v>
      </c>
      <c r="D148" s="397">
        <v>387252.06</v>
      </c>
      <c r="E148" s="397">
        <v>1184508.3999999999</v>
      </c>
      <c r="F148" s="397">
        <v>827106.56</v>
      </c>
      <c r="G148" s="397">
        <v>503909.24</v>
      </c>
      <c r="H148" s="397">
        <v>1022346.63</v>
      </c>
      <c r="I148" s="397">
        <v>419490.27</v>
      </c>
      <c r="J148" s="397">
        <v>286229.44</v>
      </c>
      <c r="K148" s="397">
        <v>1074482.76</v>
      </c>
      <c r="L148" s="397">
        <v>506303.87</v>
      </c>
      <c r="M148" s="397">
        <v>535103.92000000004</v>
      </c>
      <c r="N148" s="397">
        <v>1210181.22</v>
      </c>
      <c r="O148" s="397">
        <v>894056.98</v>
      </c>
      <c r="P148" s="398">
        <v>2971950.86</v>
      </c>
      <c r="Q148" s="186">
        <v>2998230.6</v>
      </c>
      <c r="R148" s="186">
        <v>2456701.89</v>
      </c>
      <c r="S148" s="186">
        <v>2388688.12</v>
      </c>
      <c r="T148" s="186">
        <v>2081246.07</v>
      </c>
      <c r="U148" s="186">
        <v>2086352.85</v>
      </c>
      <c r="V148" s="186">
        <v>1718145.41</v>
      </c>
      <c r="W148" s="186">
        <v>1726000.72</v>
      </c>
      <c r="X148" s="186">
        <v>1835551.73</v>
      </c>
      <c r="Y148" s="186">
        <v>2094429.76</v>
      </c>
      <c r="Z148" s="186">
        <v>2660564.62</v>
      </c>
      <c r="AA148" s="186">
        <v>2667675.7400000002</v>
      </c>
      <c r="AB148" s="186">
        <v>2098924.66</v>
      </c>
      <c r="AC148" s="186">
        <v>1615930.43</v>
      </c>
      <c r="AD148" s="186">
        <v>1796318.17</v>
      </c>
      <c r="AE148" s="186">
        <v>1142853.74</v>
      </c>
      <c r="AF148" s="186">
        <v>670785.84</v>
      </c>
      <c r="AG148" s="186">
        <v>584534.52</v>
      </c>
      <c r="AH148" s="186">
        <v>232265.92</v>
      </c>
      <c r="AI148" s="186">
        <v>227132.68</v>
      </c>
      <c r="AJ148" s="186">
        <v>173660.33</v>
      </c>
      <c r="AK148" s="186">
        <v>172836.76</v>
      </c>
      <c r="AL148" s="186">
        <v>185855.08</v>
      </c>
      <c r="AM148" s="186">
        <v>201403.64</v>
      </c>
      <c r="AN148" s="186">
        <v>657941.17000000004</v>
      </c>
      <c r="AO148" s="186">
        <v>195622.13</v>
      </c>
      <c r="AP148" s="186">
        <v>139252.41</v>
      </c>
      <c r="AQ148" s="186">
        <v>161113.32999999999</v>
      </c>
      <c r="AR148" s="186">
        <v>178223.02</v>
      </c>
      <c r="AS148" s="186">
        <v>57366.97</v>
      </c>
      <c r="AT148" s="186">
        <v>36566.1</v>
      </c>
      <c r="AU148" s="186">
        <v>49108.14</v>
      </c>
      <c r="AV148" s="186">
        <v>35018.199999999997</v>
      </c>
      <c r="AW148" s="186">
        <v>29428.52</v>
      </c>
      <c r="AX148" s="186">
        <v>47305.56</v>
      </c>
      <c r="AY148" s="186">
        <v>22419.93</v>
      </c>
      <c r="AZ148" s="186">
        <v>299108.84000000003</v>
      </c>
      <c r="BA148" s="186">
        <v>278987.99</v>
      </c>
      <c r="BB148" s="186">
        <v>285626.15000000002</v>
      </c>
      <c r="BC148" s="186">
        <v>269654.89</v>
      </c>
      <c r="BD148" s="186">
        <v>268679.51</v>
      </c>
      <c r="BE148" s="186">
        <v>267149.46000000002</v>
      </c>
      <c r="BF148" s="186">
        <v>266274.3</v>
      </c>
      <c r="BG148" s="186">
        <v>265502.32</v>
      </c>
      <c r="BH148" s="186">
        <v>263871.07</v>
      </c>
      <c r="BI148" s="186">
        <v>265168.93</v>
      </c>
      <c r="BJ148" s="186">
        <v>266083.78000000003</v>
      </c>
      <c r="BK148" s="186">
        <v>263176.49</v>
      </c>
      <c r="BL148" s="186">
        <v>263176.49</v>
      </c>
      <c r="BM148" s="186">
        <v>263176.49</v>
      </c>
      <c r="BN148" s="186">
        <v>263176.49</v>
      </c>
      <c r="BO148" s="186">
        <v>263176.49</v>
      </c>
      <c r="BP148" s="186">
        <v>263176.49</v>
      </c>
      <c r="BQ148" s="186">
        <v>263176.49</v>
      </c>
      <c r="BR148" s="186">
        <v>263176.49</v>
      </c>
      <c r="BS148" s="186">
        <v>263176.49</v>
      </c>
      <c r="BT148" s="186">
        <v>263176.49</v>
      </c>
      <c r="BU148" s="186">
        <v>263176.49</v>
      </c>
      <c r="BV148" s="186">
        <v>263176.49</v>
      </c>
      <c r="BW148" s="186">
        <v>263176.49</v>
      </c>
      <c r="BX148" s="186">
        <v>263176.49</v>
      </c>
      <c r="BY148" s="186">
        <v>263176.49</v>
      </c>
      <c r="BZ148" s="186">
        <v>263176.49</v>
      </c>
      <c r="CA148" s="186">
        <v>263176.49</v>
      </c>
      <c r="CB148" s="186">
        <v>263176.49</v>
      </c>
      <c r="CC148" s="186">
        <v>263176.49</v>
      </c>
      <c r="CD148" s="186">
        <v>263176.49</v>
      </c>
      <c r="CE148" s="186">
        <v>263176.49</v>
      </c>
      <c r="CF148" s="186">
        <v>263176.49</v>
      </c>
      <c r="CG148" s="186">
        <v>263176.49</v>
      </c>
      <c r="CH148" s="186">
        <v>263176.49</v>
      </c>
      <c r="CI148" s="186">
        <v>263176.49</v>
      </c>
      <c r="CJ148" s="186">
        <v>263176.49</v>
      </c>
      <c r="CK148" s="186">
        <v>263176.49</v>
      </c>
      <c r="CL148" s="186">
        <v>263176.49</v>
      </c>
      <c r="CM148" s="186">
        <v>263176.49</v>
      </c>
      <c r="CN148" s="186">
        <v>263176.49</v>
      </c>
      <c r="CO148" s="186">
        <v>263176.49</v>
      </c>
      <c r="CP148" s="186">
        <v>263176.49</v>
      </c>
      <c r="CQ148" s="186">
        <v>263176.49</v>
      </c>
      <c r="CR148" s="186">
        <v>263176.49</v>
      </c>
      <c r="CS148" s="186">
        <v>263176.49</v>
      </c>
      <c r="CT148" s="186">
        <v>263176.49</v>
      </c>
      <c r="CU148" s="186">
        <v>263176.49</v>
      </c>
      <c r="CV148" s="186">
        <v>263176.49</v>
      </c>
    </row>
    <row r="149" spans="1:100">
      <c r="A149" s="541" t="str">
        <f t="shared" si="2"/>
        <v>1900307</v>
      </c>
      <c r="B149" s="541" t="s">
        <v>1531</v>
      </c>
      <c r="C149" s="463" t="s">
        <v>696</v>
      </c>
      <c r="D149" s="397">
        <v>985034.78</v>
      </c>
      <c r="E149" s="397">
        <v>972968.37</v>
      </c>
      <c r="F149" s="397">
        <v>960901.97</v>
      </c>
      <c r="G149" s="397">
        <v>948835.56</v>
      </c>
      <c r="H149" s="397">
        <v>935980.75</v>
      </c>
      <c r="I149" s="397">
        <v>928123.12</v>
      </c>
      <c r="J149" s="397">
        <v>916047.19</v>
      </c>
      <c r="K149" s="397">
        <v>903971.27</v>
      </c>
      <c r="L149" s="397">
        <v>891895.35</v>
      </c>
      <c r="M149" s="397">
        <v>879819.43</v>
      </c>
      <c r="N149" s="397">
        <v>867743.51</v>
      </c>
      <c r="O149" s="397">
        <v>855667.58</v>
      </c>
      <c r="P149" s="398">
        <v>843591.66</v>
      </c>
      <c r="Q149" s="186">
        <v>831515.75</v>
      </c>
      <c r="R149" s="186">
        <v>819439.83</v>
      </c>
      <c r="S149" s="186">
        <v>798260.36</v>
      </c>
      <c r="T149" s="186">
        <v>733177.13</v>
      </c>
      <c r="U149" s="186">
        <v>668428.57999999996</v>
      </c>
      <c r="V149" s="186">
        <v>656671.51</v>
      </c>
      <c r="W149" s="186">
        <v>644914.43000000005</v>
      </c>
      <c r="X149" s="186">
        <v>633157.35</v>
      </c>
      <c r="Y149" s="186">
        <v>621400.27</v>
      </c>
      <c r="Z149" s="186">
        <v>609643.18999999994</v>
      </c>
      <c r="AA149" s="186">
        <v>597886.12</v>
      </c>
      <c r="AB149" s="186">
        <v>586129.04</v>
      </c>
      <c r="AC149" s="186">
        <v>574371.97</v>
      </c>
      <c r="AD149" s="186">
        <v>562614.88</v>
      </c>
      <c r="AE149" s="186">
        <v>550857.81000000006</v>
      </c>
      <c r="AF149" s="186">
        <v>539100.73</v>
      </c>
      <c r="AG149" s="186">
        <v>527343.65</v>
      </c>
      <c r="AH149" s="186">
        <v>515586.58</v>
      </c>
      <c r="AI149" s="186">
        <v>503829.49</v>
      </c>
      <c r="AJ149" s="186">
        <v>492072.42</v>
      </c>
      <c r="AK149" s="186">
        <v>480315.34</v>
      </c>
      <c r="AL149" s="186">
        <v>468558.27</v>
      </c>
      <c r="AM149" s="186">
        <v>456801.19</v>
      </c>
      <c r="AN149" s="186">
        <v>445044.1</v>
      </c>
      <c r="AO149" s="186">
        <v>433287.03</v>
      </c>
      <c r="AP149" s="186">
        <v>421529.95</v>
      </c>
      <c r="AQ149" s="186">
        <v>409772.88</v>
      </c>
      <c r="AR149" s="186">
        <v>398015.8</v>
      </c>
      <c r="AS149" s="186">
        <v>386258.72</v>
      </c>
      <c r="AT149" s="186">
        <v>374501.64</v>
      </c>
      <c r="AU149" s="186">
        <v>362744.57</v>
      </c>
      <c r="AV149" s="186">
        <v>350987.49</v>
      </c>
      <c r="AW149" s="186">
        <v>339230.41</v>
      </c>
      <c r="AX149" s="186">
        <v>327473.33</v>
      </c>
      <c r="AY149" s="186">
        <v>315716.25</v>
      </c>
      <c r="AZ149" s="186">
        <v>360393.15</v>
      </c>
      <c r="BA149" s="186">
        <v>353338.9</v>
      </c>
      <c r="BB149" s="186">
        <v>346284.66</v>
      </c>
      <c r="BC149" s="186">
        <v>339230.41</v>
      </c>
      <c r="BD149" s="186">
        <v>332176.17</v>
      </c>
      <c r="BE149" s="186">
        <v>328376.3</v>
      </c>
      <c r="BF149" s="186">
        <v>327830.77</v>
      </c>
      <c r="BG149" s="186">
        <v>327285.24</v>
      </c>
      <c r="BH149" s="186">
        <v>326739.73</v>
      </c>
      <c r="BI149" s="186">
        <v>326194.2</v>
      </c>
      <c r="BJ149" s="186">
        <v>325648.67</v>
      </c>
      <c r="BK149" s="186">
        <v>325103.14</v>
      </c>
      <c r="BL149" s="186">
        <v>324557.62</v>
      </c>
      <c r="BM149" s="186">
        <v>324012.09000000003</v>
      </c>
      <c r="BN149" s="186">
        <v>323466.57</v>
      </c>
      <c r="BO149" s="186">
        <v>322921.03999999998</v>
      </c>
      <c r="BP149" s="186">
        <v>322375.51</v>
      </c>
      <c r="BQ149" s="186">
        <v>321829.98</v>
      </c>
      <c r="BR149" s="186">
        <v>321284.46000000002</v>
      </c>
      <c r="BS149" s="186">
        <v>320738.93</v>
      </c>
      <c r="BT149" s="186">
        <v>320193.40000000002</v>
      </c>
      <c r="BU149" s="186">
        <v>319647.87</v>
      </c>
      <c r="BV149" s="186">
        <v>319102.34999999998</v>
      </c>
      <c r="BW149" s="186">
        <v>318556.82</v>
      </c>
      <c r="BX149" s="186">
        <v>318011.28999999998</v>
      </c>
      <c r="BY149" s="186">
        <v>317465.76</v>
      </c>
      <c r="BZ149" s="186">
        <v>316920.24</v>
      </c>
      <c r="CA149" s="186">
        <v>316374.71000000002</v>
      </c>
      <c r="CB149" s="186">
        <v>315829.18</v>
      </c>
      <c r="CC149" s="186">
        <v>315283.65000000002</v>
      </c>
      <c r="CD149" s="186">
        <v>314738.13</v>
      </c>
      <c r="CE149" s="186">
        <v>314192.59999999998</v>
      </c>
      <c r="CF149" s="186">
        <v>313647.07</v>
      </c>
      <c r="CG149" s="186">
        <v>313101.53999999998</v>
      </c>
      <c r="CH149" s="186">
        <v>312556.02</v>
      </c>
      <c r="CI149" s="186">
        <v>312010.49</v>
      </c>
      <c r="CJ149" s="186">
        <v>311464.96000000002</v>
      </c>
      <c r="CK149" s="186">
        <v>310919.43</v>
      </c>
      <c r="CL149" s="186">
        <v>310373.90999999997</v>
      </c>
      <c r="CM149" s="186">
        <v>309828.38</v>
      </c>
      <c r="CN149" s="186">
        <v>309282.84999999998</v>
      </c>
      <c r="CO149" s="186">
        <v>308737.32</v>
      </c>
      <c r="CP149" s="186">
        <v>308191.8</v>
      </c>
      <c r="CQ149" s="186">
        <v>307646.27</v>
      </c>
      <c r="CR149" s="186">
        <v>307100.74</v>
      </c>
      <c r="CS149" s="186">
        <v>306555.21000000002</v>
      </c>
      <c r="CT149" s="186">
        <v>306009.69</v>
      </c>
      <c r="CU149" s="186">
        <v>305464.15999999997</v>
      </c>
      <c r="CV149" s="186">
        <v>304918.63</v>
      </c>
    </row>
    <row r="150" spans="1:100">
      <c r="A150" s="541" t="str">
        <f t="shared" si="2"/>
        <v>1900308</v>
      </c>
      <c r="B150" s="541" t="s">
        <v>1532</v>
      </c>
      <c r="C150" s="463" t="s">
        <v>697</v>
      </c>
      <c r="D150" s="397">
        <v>5715079.0599999996</v>
      </c>
      <c r="E150" s="397">
        <v>5715079.0599999996</v>
      </c>
      <c r="F150" s="397">
        <v>5715079.0599999996</v>
      </c>
      <c r="G150" s="397">
        <v>5589363.6399999997</v>
      </c>
      <c r="H150" s="397">
        <v>5589363.6399999997</v>
      </c>
      <c r="I150" s="397">
        <v>5589363.6399999997</v>
      </c>
      <c r="J150" s="397">
        <v>5459970.9199999999</v>
      </c>
      <c r="K150" s="397">
        <v>5459970.9199999999</v>
      </c>
      <c r="L150" s="397">
        <v>5459970.9199999999</v>
      </c>
      <c r="M150" s="397">
        <v>5391773.9100000001</v>
      </c>
      <c r="N150" s="397">
        <v>5391773.9100000001</v>
      </c>
      <c r="O150" s="397">
        <v>5391773.9100000001</v>
      </c>
      <c r="P150" s="398">
        <v>6394086.6500000004</v>
      </c>
      <c r="Q150" s="186">
        <v>6394086.6500000004</v>
      </c>
      <c r="R150" s="186">
        <v>6394086.6500000004</v>
      </c>
      <c r="S150" s="186">
        <v>6514031.8099999996</v>
      </c>
      <c r="T150" s="186">
        <v>6514031.8099999996</v>
      </c>
      <c r="U150" s="186">
        <v>6514031.8099999996</v>
      </c>
      <c r="V150" s="186">
        <v>6120175.3700000001</v>
      </c>
      <c r="W150" s="186">
        <v>6120175.3700000001</v>
      </c>
      <c r="X150" s="186">
        <v>6018792.9000000004</v>
      </c>
      <c r="Y150" s="186">
        <v>5881836.9299999997</v>
      </c>
      <c r="Z150" s="186">
        <v>5881836.9299999997</v>
      </c>
      <c r="AA150" s="186">
        <v>5881836.9299999997</v>
      </c>
      <c r="AB150" s="186">
        <v>8305232.25</v>
      </c>
      <c r="AC150" s="186">
        <v>8305232.25</v>
      </c>
      <c r="AD150" s="186">
        <v>8305232.25</v>
      </c>
      <c r="AE150" s="186">
        <v>8188206.9500000002</v>
      </c>
      <c r="AF150" s="186">
        <v>8188206.9500000002</v>
      </c>
      <c r="AG150" s="186">
        <v>8191274.6600000001</v>
      </c>
      <c r="AH150" s="186">
        <v>8035212.9100000001</v>
      </c>
      <c r="AI150" s="186">
        <v>8035212.9100000001</v>
      </c>
      <c r="AJ150" s="186">
        <v>8035212.9100000001</v>
      </c>
      <c r="AK150" s="186">
        <v>10827023.060000001</v>
      </c>
      <c r="AL150" s="186">
        <v>10827023.060000001</v>
      </c>
      <c r="AM150" s="186">
        <v>10827023.060000001</v>
      </c>
      <c r="AN150" s="186">
        <v>9370067.3300000001</v>
      </c>
      <c r="AO150" s="186">
        <v>9370067.3300000001</v>
      </c>
      <c r="AP150" s="186">
        <v>9370067.3300000001</v>
      </c>
      <c r="AQ150" s="186">
        <v>9229979.1500000004</v>
      </c>
      <c r="AR150" s="186">
        <v>9229979.1500000004</v>
      </c>
      <c r="AS150" s="186">
        <v>9229979.1500000004</v>
      </c>
      <c r="AT150" s="186">
        <v>9483106.1099999994</v>
      </c>
      <c r="AU150" s="186">
        <v>9483106.1099999994</v>
      </c>
      <c r="AV150" s="186">
        <v>9483106.1099999994</v>
      </c>
      <c r="AW150" s="186">
        <v>9331117.5399999991</v>
      </c>
      <c r="AX150" s="186">
        <v>9331117.5399999991</v>
      </c>
      <c r="AY150" s="186">
        <v>9331117.5399999991</v>
      </c>
      <c r="AZ150" s="186">
        <v>8964453.3800000008</v>
      </c>
      <c r="BA150" s="186">
        <v>8964453.3800000008</v>
      </c>
      <c r="BB150" s="186">
        <v>8964453.3800000008</v>
      </c>
      <c r="BC150" s="186">
        <v>8868570.4700000007</v>
      </c>
      <c r="BD150" s="186">
        <v>8868570.4700000007</v>
      </c>
      <c r="BE150" s="186">
        <v>8868570.4700000007</v>
      </c>
      <c r="BF150" s="186">
        <v>8761820.6600000001</v>
      </c>
      <c r="BG150" s="186">
        <v>8761820.6600000001</v>
      </c>
      <c r="BH150" s="186">
        <v>8761820.6600000001</v>
      </c>
      <c r="BI150" s="186">
        <v>8665127.0800000001</v>
      </c>
      <c r="BJ150" s="186">
        <v>8665127.0800000001</v>
      </c>
      <c r="BK150" s="186">
        <v>8665127.0800000001</v>
      </c>
      <c r="BL150" s="186">
        <v>9847866.0700000003</v>
      </c>
      <c r="BM150" s="186">
        <v>9847866.0700000003</v>
      </c>
      <c r="BN150" s="186">
        <v>9847866.0700000003</v>
      </c>
      <c r="BO150" s="186">
        <v>9769162.5999999996</v>
      </c>
      <c r="BP150" s="186">
        <v>9769162.5999999996</v>
      </c>
      <c r="BQ150" s="186">
        <v>9769162.5999999996</v>
      </c>
      <c r="BR150" s="186">
        <v>9682850.7300000004</v>
      </c>
      <c r="BS150" s="186">
        <v>9682850.7300000004</v>
      </c>
      <c r="BT150" s="186">
        <v>9682850.7300000004</v>
      </c>
      <c r="BU150" s="186">
        <v>9600342.9700000007</v>
      </c>
      <c r="BV150" s="186">
        <v>9600342.9700000007</v>
      </c>
      <c r="BW150" s="186">
        <v>9600342.9700000007</v>
      </c>
      <c r="BX150" s="186">
        <v>9643018.0399999991</v>
      </c>
      <c r="BY150" s="186">
        <v>9643018.0399999991</v>
      </c>
      <c r="BZ150" s="186">
        <v>9643018.0399999991</v>
      </c>
      <c r="CA150" s="186">
        <v>9539837.5299999993</v>
      </c>
      <c r="CB150" s="186">
        <v>9539837.5299999993</v>
      </c>
      <c r="CC150" s="186">
        <v>9539837.5299999993</v>
      </c>
      <c r="CD150" s="186">
        <v>9430925.1999999993</v>
      </c>
      <c r="CE150" s="186">
        <v>9430925.1999999993</v>
      </c>
      <c r="CF150" s="186">
        <v>9430925.1999999993</v>
      </c>
      <c r="CG150" s="186">
        <v>9324878.6799999997</v>
      </c>
      <c r="CH150" s="186">
        <v>9324878.6799999997</v>
      </c>
      <c r="CI150" s="186">
        <v>9324878.6799999997</v>
      </c>
      <c r="CJ150" s="186">
        <v>10561199.359999999</v>
      </c>
      <c r="CK150" s="186">
        <v>10561199.359999999</v>
      </c>
      <c r="CL150" s="186">
        <v>10561199.359999999</v>
      </c>
      <c r="CM150" s="186">
        <v>10423095.82</v>
      </c>
      <c r="CN150" s="186">
        <v>10423095.82</v>
      </c>
      <c r="CO150" s="186">
        <v>10423095.82</v>
      </c>
      <c r="CP150" s="186">
        <v>10284992.279999999</v>
      </c>
      <c r="CQ150" s="186">
        <v>10284992.279999999</v>
      </c>
      <c r="CR150" s="186">
        <v>10284992.279999999</v>
      </c>
      <c r="CS150" s="186">
        <v>10070721.060000001</v>
      </c>
      <c r="CT150" s="186">
        <v>10070721.060000001</v>
      </c>
      <c r="CU150" s="186">
        <v>10070721.060000001</v>
      </c>
      <c r="CV150" s="186">
        <v>8799943.1199999992</v>
      </c>
    </row>
    <row r="151" spans="1:100">
      <c r="A151" s="541" t="str">
        <f t="shared" si="2"/>
        <v>1900309</v>
      </c>
      <c r="B151" s="541" t="s">
        <v>1533</v>
      </c>
      <c r="C151" s="463" t="s">
        <v>698</v>
      </c>
      <c r="D151" s="397">
        <v>31991</v>
      </c>
      <c r="E151" s="397">
        <v>31991</v>
      </c>
      <c r="F151" s="397">
        <v>31991</v>
      </c>
      <c r="G151" s="397">
        <v>31991</v>
      </c>
      <c r="H151" s="397">
        <v>31991</v>
      </c>
      <c r="I151" s="397">
        <v>31991</v>
      </c>
      <c r="J151" s="397">
        <v>31991</v>
      </c>
      <c r="K151" s="397">
        <v>31991</v>
      </c>
      <c r="L151" s="397">
        <v>31991</v>
      </c>
      <c r="M151" s="397">
        <v>31991</v>
      </c>
      <c r="N151" s="397">
        <v>31991</v>
      </c>
      <c r="O151" s="397">
        <v>31991</v>
      </c>
      <c r="P151" s="398">
        <v>31991</v>
      </c>
      <c r="Q151" s="186">
        <v>31991</v>
      </c>
      <c r="R151" s="186">
        <v>31991</v>
      </c>
      <c r="S151" s="186">
        <v>31991</v>
      </c>
      <c r="T151" s="186">
        <v>31991</v>
      </c>
      <c r="U151" s="186">
        <v>31991</v>
      </c>
      <c r="V151" s="186">
        <v>31991</v>
      </c>
      <c r="W151" s="186">
        <v>31991</v>
      </c>
      <c r="X151" s="186">
        <v>31991</v>
      </c>
      <c r="Y151" s="186">
        <v>31991</v>
      </c>
      <c r="Z151" s="186">
        <v>31991</v>
      </c>
      <c r="AA151" s="186">
        <v>31991</v>
      </c>
      <c r="AB151" s="186">
        <v>31991</v>
      </c>
      <c r="AC151" s="186">
        <v>31991</v>
      </c>
      <c r="AD151" s="186">
        <v>31991</v>
      </c>
      <c r="AE151" s="186">
        <v>31991</v>
      </c>
      <c r="AF151" s="186">
        <v>31991</v>
      </c>
      <c r="AG151" s="186">
        <v>31991</v>
      </c>
      <c r="AH151" s="186">
        <v>31991</v>
      </c>
      <c r="AI151" s="186">
        <v>31991</v>
      </c>
      <c r="AJ151" s="186">
        <v>31991</v>
      </c>
      <c r="AK151" s="186">
        <v>31991</v>
      </c>
      <c r="AL151" s="186">
        <v>31991</v>
      </c>
      <c r="AM151" s="186">
        <v>31991</v>
      </c>
      <c r="AN151" s="186">
        <v>31991</v>
      </c>
      <c r="AO151" s="186">
        <v>31991</v>
      </c>
      <c r="AP151" s="186">
        <v>31991</v>
      </c>
      <c r="AQ151" s="186">
        <v>31991</v>
      </c>
      <c r="AR151" s="186">
        <v>31991</v>
      </c>
      <c r="AS151" s="186">
        <v>31991</v>
      </c>
      <c r="AT151" s="186">
        <v>31991</v>
      </c>
      <c r="AU151" s="186">
        <v>31991</v>
      </c>
      <c r="AV151" s="186">
        <v>31991</v>
      </c>
      <c r="AW151" s="186">
        <v>31991</v>
      </c>
      <c r="AX151" s="186">
        <v>31991</v>
      </c>
      <c r="AY151" s="186">
        <v>31991</v>
      </c>
      <c r="AZ151" s="186">
        <v>31991</v>
      </c>
      <c r="BA151" s="186">
        <v>31991</v>
      </c>
      <c r="BB151" s="186">
        <v>31991</v>
      </c>
      <c r="BC151" s="186">
        <v>31991</v>
      </c>
      <c r="BD151" s="186">
        <v>31991</v>
      </c>
      <c r="BE151" s="186">
        <v>31991</v>
      </c>
      <c r="BF151" s="186">
        <v>31991</v>
      </c>
      <c r="BG151" s="186">
        <v>31991</v>
      </c>
      <c r="BH151" s="186">
        <v>31991</v>
      </c>
      <c r="BI151" s="186">
        <v>31991</v>
      </c>
      <c r="BJ151" s="186">
        <v>31991</v>
      </c>
      <c r="BK151" s="186">
        <v>31991</v>
      </c>
      <c r="BL151" s="186">
        <v>31991</v>
      </c>
      <c r="BM151" s="186">
        <v>31991</v>
      </c>
      <c r="BN151" s="186">
        <v>31991</v>
      </c>
      <c r="BO151" s="186">
        <v>31991</v>
      </c>
      <c r="BP151" s="186">
        <v>31991</v>
      </c>
      <c r="BQ151" s="186">
        <v>31991</v>
      </c>
      <c r="BR151" s="186">
        <v>31991</v>
      </c>
      <c r="BS151" s="186">
        <v>31991</v>
      </c>
      <c r="BT151" s="186">
        <v>31991</v>
      </c>
      <c r="BU151" s="186">
        <v>31991</v>
      </c>
      <c r="BV151" s="186">
        <v>31991</v>
      </c>
      <c r="BW151" s="186">
        <v>31991</v>
      </c>
      <c r="BX151" s="186">
        <v>31991</v>
      </c>
      <c r="BY151" s="186">
        <v>31991</v>
      </c>
      <c r="BZ151" s="186">
        <v>31991</v>
      </c>
      <c r="CA151" s="186">
        <v>31991</v>
      </c>
      <c r="CB151" s="186">
        <v>31991</v>
      </c>
      <c r="CC151" s="186">
        <v>31991</v>
      </c>
      <c r="CD151" s="186">
        <v>31991</v>
      </c>
      <c r="CE151" s="186">
        <v>31991</v>
      </c>
      <c r="CF151" s="186">
        <v>31991</v>
      </c>
      <c r="CG151" s="186">
        <v>31991</v>
      </c>
      <c r="CH151" s="186">
        <v>31991</v>
      </c>
      <c r="CI151" s="186">
        <v>31991</v>
      </c>
      <c r="CJ151" s="186">
        <v>31991</v>
      </c>
      <c r="CK151" s="186">
        <v>31991</v>
      </c>
      <c r="CL151" s="186">
        <v>31991</v>
      </c>
      <c r="CM151" s="186">
        <v>31991</v>
      </c>
      <c r="CN151" s="186">
        <v>31991</v>
      </c>
      <c r="CO151" s="186">
        <v>31991</v>
      </c>
      <c r="CP151" s="186">
        <v>31991</v>
      </c>
      <c r="CQ151" s="186">
        <v>31991</v>
      </c>
      <c r="CR151" s="186">
        <v>31991</v>
      </c>
      <c r="CS151" s="186">
        <v>31991</v>
      </c>
      <c r="CT151" s="186">
        <v>31991</v>
      </c>
      <c r="CU151" s="186">
        <v>31991</v>
      </c>
      <c r="CV151" s="186">
        <v>31991</v>
      </c>
    </row>
    <row r="152" spans="1:100">
      <c r="A152" s="541" t="str">
        <f t="shared" si="2"/>
        <v>1900310</v>
      </c>
      <c r="B152" s="541" t="s">
        <v>1607</v>
      </c>
      <c r="C152" s="463" t="s">
        <v>699</v>
      </c>
      <c r="D152" s="397">
        <v>104848</v>
      </c>
      <c r="E152" s="397">
        <v>104848</v>
      </c>
      <c r="F152" s="397">
        <v>104848</v>
      </c>
      <c r="G152" s="397">
        <v>104848</v>
      </c>
      <c r="H152" s="397">
        <v>104848</v>
      </c>
      <c r="I152" s="397">
        <v>104848</v>
      </c>
      <c r="J152" s="397">
        <v>104848</v>
      </c>
      <c r="K152" s="397">
        <v>104848</v>
      </c>
      <c r="L152" s="397">
        <v>104848</v>
      </c>
      <c r="M152" s="397">
        <v>104848</v>
      </c>
      <c r="N152" s="397">
        <v>104848</v>
      </c>
      <c r="O152" s="397">
        <v>104848</v>
      </c>
      <c r="P152" s="398">
        <v>104848</v>
      </c>
      <c r="Q152" s="186">
        <v>104848</v>
      </c>
      <c r="R152" s="186">
        <v>104848</v>
      </c>
      <c r="S152" s="186">
        <v>104848</v>
      </c>
      <c r="T152" s="186">
        <v>104848</v>
      </c>
      <c r="U152" s="186">
        <v>104848</v>
      </c>
      <c r="V152" s="186">
        <v>104848</v>
      </c>
      <c r="W152" s="186">
        <v>104848</v>
      </c>
      <c r="X152" s="186">
        <v>104848</v>
      </c>
      <c r="Y152" s="186">
        <v>104848</v>
      </c>
      <c r="Z152" s="186">
        <v>104848</v>
      </c>
      <c r="AA152" s="186">
        <v>104848</v>
      </c>
      <c r="AB152" s="186">
        <v>104848</v>
      </c>
      <c r="AC152" s="186">
        <v>104848</v>
      </c>
      <c r="AD152" s="186">
        <v>104848</v>
      </c>
      <c r="AE152" s="186">
        <v>104848</v>
      </c>
      <c r="AF152" s="186">
        <v>104848</v>
      </c>
      <c r="AG152" s="186">
        <v>104848</v>
      </c>
      <c r="AH152" s="186">
        <v>104848</v>
      </c>
      <c r="AI152" s="186">
        <v>104848</v>
      </c>
      <c r="AJ152" s="186">
        <v>462207</v>
      </c>
      <c r="AK152" s="186">
        <v>394317</v>
      </c>
      <c r="AL152" s="186">
        <v>394317</v>
      </c>
      <c r="AM152" s="186">
        <v>394317</v>
      </c>
      <c r="AN152" s="186">
        <v>394317</v>
      </c>
      <c r="AO152" s="186">
        <v>394317</v>
      </c>
      <c r="AP152" s="186">
        <v>394317</v>
      </c>
      <c r="AQ152" s="186">
        <v>394317</v>
      </c>
      <c r="AR152" s="186">
        <v>394317</v>
      </c>
      <c r="AS152" s="186">
        <v>394317</v>
      </c>
      <c r="AT152" s="186">
        <v>394317</v>
      </c>
      <c r="AU152" s="186">
        <v>394317</v>
      </c>
      <c r="AV152" s="186">
        <v>394317</v>
      </c>
      <c r="AW152" s="186">
        <v>394317</v>
      </c>
      <c r="AX152" s="186">
        <v>394317</v>
      </c>
      <c r="AY152" s="186">
        <v>394317</v>
      </c>
      <c r="AZ152" s="186">
        <v>394317</v>
      </c>
      <c r="BA152" s="186">
        <v>394317</v>
      </c>
      <c r="BB152" s="186">
        <v>394317</v>
      </c>
      <c r="BC152" s="186">
        <v>394317</v>
      </c>
      <c r="BD152" s="186">
        <v>394317</v>
      </c>
      <c r="BE152" s="186">
        <v>394317</v>
      </c>
      <c r="BF152" s="186">
        <v>394317</v>
      </c>
      <c r="BG152" s="186">
        <v>394317</v>
      </c>
      <c r="BH152" s="186">
        <v>394317</v>
      </c>
      <c r="BI152" s="186">
        <v>394317</v>
      </c>
      <c r="BJ152" s="186">
        <v>394317</v>
      </c>
      <c r="BK152" s="186">
        <v>394317</v>
      </c>
      <c r="BL152" s="186">
        <v>683608.01</v>
      </c>
      <c r="BM152" s="186">
        <v>683608.01</v>
      </c>
      <c r="BN152" s="186">
        <v>683608.01</v>
      </c>
      <c r="BO152" s="186">
        <v>683608.01</v>
      </c>
      <c r="BP152" s="186">
        <v>683608.01</v>
      </c>
      <c r="BQ152" s="186">
        <v>683608.01</v>
      </c>
      <c r="BR152" s="186">
        <v>683608.01</v>
      </c>
      <c r="BS152" s="186">
        <v>683608.01</v>
      </c>
      <c r="BT152" s="186">
        <v>683608.01</v>
      </c>
      <c r="BU152" s="186">
        <v>683608.01</v>
      </c>
      <c r="BV152" s="186">
        <v>683608.01</v>
      </c>
      <c r="BW152" s="186">
        <v>683608.01</v>
      </c>
      <c r="BX152" s="186">
        <v>925322.01</v>
      </c>
      <c r="BY152" s="186">
        <v>925322.01</v>
      </c>
      <c r="BZ152" s="186">
        <v>925322.01</v>
      </c>
      <c r="CA152" s="186">
        <v>925322.01</v>
      </c>
      <c r="CB152" s="186">
        <v>925322.01</v>
      </c>
      <c r="CC152" s="186">
        <v>925322.01</v>
      </c>
      <c r="CD152" s="186">
        <v>925322.01</v>
      </c>
      <c r="CE152" s="186">
        <v>925322.01</v>
      </c>
      <c r="CF152" s="186">
        <v>925322.01</v>
      </c>
      <c r="CG152" s="186">
        <v>925322.01</v>
      </c>
      <c r="CH152" s="186">
        <v>1263660.01</v>
      </c>
      <c r="CI152" s="186">
        <v>1263660.01</v>
      </c>
      <c r="CJ152" s="186">
        <v>1821886.01</v>
      </c>
      <c r="CK152" s="186">
        <v>1821886.01</v>
      </c>
      <c r="CL152" s="186">
        <v>1821886.01</v>
      </c>
      <c r="CM152" s="186">
        <v>1821886.01</v>
      </c>
      <c r="CN152" s="186">
        <v>1821886.01</v>
      </c>
      <c r="CO152" s="186">
        <v>1821886.01</v>
      </c>
      <c r="CP152" s="186">
        <v>1821886.01</v>
      </c>
      <c r="CQ152" s="186">
        <v>1821886.01</v>
      </c>
      <c r="CR152" s="186">
        <v>1821886.01</v>
      </c>
      <c r="CS152" s="186">
        <v>1821886.01</v>
      </c>
      <c r="CT152" s="186">
        <v>1821886.01</v>
      </c>
      <c r="CU152" s="186">
        <v>1821886.01</v>
      </c>
      <c r="CV152" s="186">
        <v>2028740.01</v>
      </c>
    </row>
    <row r="153" spans="1:100">
      <c r="A153" s="541" t="str">
        <f t="shared" si="2"/>
        <v>1900400</v>
      </c>
      <c r="B153" s="541" t="s">
        <v>1534</v>
      </c>
      <c r="C153" s="463" t="s">
        <v>700</v>
      </c>
      <c r="D153" s="397">
        <v>3596496.98</v>
      </c>
      <c r="E153" s="397">
        <v>3534839.91</v>
      </c>
      <c r="F153" s="397">
        <v>3505106.64</v>
      </c>
      <c r="G153" s="397">
        <v>3576317.07</v>
      </c>
      <c r="H153" s="397">
        <v>3596433.02</v>
      </c>
      <c r="I153" s="397">
        <v>3617914.37</v>
      </c>
      <c r="J153" s="397">
        <v>3605931.36</v>
      </c>
      <c r="K153" s="397">
        <v>3591551.95</v>
      </c>
      <c r="L153" s="397">
        <v>3543164.26</v>
      </c>
      <c r="M153" s="397">
        <v>3633420.07</v>
      </c>
      <c r="N153" s="397">
        <v>3691718.62</v>
      </c>
      <c r="O153" s="397">
        <v>3350951.11</v>
      </c>
      <c r="P153" s="398">
        <v>3389834.74</v>
      </c>
      <c r="Q153" s="186">
        <v>3456934.45</v>
      </c>
      <c r="R153" s="186">
        <v>3343494.81</v>
      </c>
      <c r="S153" s="186">
        <v>3419164.06</v>
      </c>
      <c r="T153" s="186">
        <v>3466988.16</v>
      </c>
      <c r="U153" s="186">
        <v>3465632.27</v>
      </c>
      <c r="V153" s="186">
        <v>3458423.72</v>
      </c>
      <c r="W153" s="186">
        <v>3463100.59</v>
      </c>
      <c r="X153" s="186">
        <v>3469170.42</v>
      </c>
      <c r="Y153" s="186">
        <v>3468286.38</v>
      </c>
      <c r="Z153" s="186">
        <v>3471080.99</v>
      </c>
      <c r="AA153" s="186">
        <v>3495352.96</v>
      </c>
      <c r="AB153" s="186">
        <v>3518399.69</v>
      </c>
      <c r="AC153" s="186">
        <v>3561538.32</v>
      </c>
      <c r="AD153" s="186">
        <v>3503979.91</v>
      </c>
      <c r="AE153" s="186">
        <v>3556674.69</v>
      </c>
      <c r="AF153" s="186">
        <v>3580683.11</v>
      </c>
      <c r="AG153" s="186">
        <v>3595374.3</v>
      </c>
      <c r="AH153" s="186">
        <v>3594922.74</v>
      </c>
      <c r="AI153" s="186">
        <v>3613032.82</v>
      </c>
      <c r="AJ153" s="186">
        <v>3636578.07</v>
      </c>
      <c r="AK153" s="186">
        <v>3670385.45</v>
      </c>
      <c r="AL153" s="186">
        <v>3663518.65</v>
      </c>
      <c r="AM153" s="186">
        <v>3635494.59</v>
      </c>
      <c r="AN153" s="186">
        <v>4504656.41</v>
      </c>
      <c r="AO153" s="186">
        <v>4634067.47</v>
      </c>
      <c r="AP153" s="186">
        <v>4493942.4800000004</v>
      </c>
      <c r="AQ153" s="186">
        <v>4570558.29</v>
      </c>
      <c r="AR153" s="186">
        <v>4614921.8</v>
      </c>
      <c r="AS153" s="186">
        <v>4640610.46</v>
      </c>
      <c r="AT153" s="186">
        <v>4678469.83</v>
      </c>
      <c r="AU153" s="186">
        <v>4705225.01</v>
      </c>
      <c r="AV153" s="186">
        <v>4703431.13</v>
      </c>
      <c r="AW153" s="186">
        <v>4802455.92</v>
      </c>
      <c r="AX153" s="186">
        <v>4790790.5199999996</v>
      </c>
      <c r="AY153" s="186">
        <v>4811704.91</v>
      </c>
      <c r="AZ153" s="186">
        <v>4734390.3099999996</v>
      </c>
      <c r="BA153" s="186">
        <v>4867931.43</v>
      </c>
      <c r="BB153" s="186">
        <v>4804444.53</v>
      </c>
      <c r="BC153" s="186">
        <v>5044780.84</v>
      </c>
      <c r="BD153" s="186">
        <v>5113146.83</v>
      </c>
      <c r="BE153" s="186">
        <v>5169997.8899999997</v>
      </c>
      <c r="BF153" s="186">
        <v>5209179.17</v>
      </c>
      <c r="BG153" s="186">
        <v>5224289.33</v>
      </c>
      <c r="BH153" s="186">
        <v>5232685.16</v>
      </c>
      <c r="BI153" s="186">
        <v>5614151.8300000001</v>
      </c>
      <c r="BJ153" s="186">
        <v>5629883.3200000003</v>
      </c>
      <c r="BK153" s="186">
        <v>5655171.21</v>
      </c>
      <c r="BL153" s="186">
        <v>5511194.5800000001</v>
      </c>
      <c r="BM153" s="186">
        <v>5561571.7400000002</v>
      </c>
      <c r="BN153" s="186">
        <v>5391371.3600000003</v>
      </c>
      <c r="BO153" s="186">
        <v>5528186.8799999999</v>
      </c>
      <c r="BP153" s="186">
        <v>5554404.2300000004</v>
      </c>
      <c r="BQ153" s="186">
        <v>5562509.8200000003</v>
      </c>
      <c r="BR153" s="186">
        <v>5591404.54</v>
      </c>
      <c r="BS153" s="186">
        <v>5654697.6399999997</v>
      </c>
      <c r="BT153" s="186">
        <v>5675634.6699999999</v>
      </c>
      <c r="BU153" s="186">
        <v>5640338.4199999999</v>
      </c>
      <c r="BV153" s="186">
        <v>5662500.7999999998</v>
      </c>
      <c r="BW153" s="186">
        <v>5714268.1600000001</v>
      </c>
      <c r="BX153" s="186">
        <v>5755791.2699999996</v>
      </c>
      <c r="BY153" s="186">
        <v>5857340.7400000002</v>
      </c>
      <c r="BZ153" s="186">
        <v>5688702.4400000004</v>
      </c>
      <c r="CA153" s="186">
        <v>5746567.4299999997</v>
      </c>
      <c r="CB153" s="186">
        <v>5791915.6600000001</v>
      </c>
      <c r="CC153" s="186">
        <v>5816596.6799999997</v>
      </c>
      <c r="CD153" s="186">
        <v>5895500.9400000004</v>
      </c>
      <c r="CE153" s="186">
        <v>5911726.7699999996</v>
      </c>
      <c r="CF153" s="186">
        <v>5901744.6399999997</v>
      </c>
      <c r="CG153" s="186">
        <v>5964287.04</v>
      </c>
      <c r="CH153" s="186">
        <v>5976300.5800000001</v>
      </c>
      <c r="CI153" s="186">
        <v>5935857.5300000003</v>
      </c>
      <c r="CJ153" s="186">
        <v>6067292.54</v>
      </c>
      <c r="CK153" s="186">
        <v>6186995.7199999997</v>
      </c>
      <c r="CL153" s="186">
        <v>6248982.9900000002</v>
      </c>
      <c r="CM153" s="186">
        <v>5986342.1699999999</v>
      </c>
      <c r="CN153" s="186">
        <v>6064816.8499999996</v>
      </c>
      <c r="CO153" s="186">
        <v>6055023.3099999996</v>
      </c>
      <c r="CP153" s="186">
        <v>6165453.25</v>
      </c>
      <c r="CQ153" s="186">
        <v>6190224.8499999996</v>
      </c>
      <c r="CR153" s="186">
        <v>6241744.8600000003</v>
      </c>
      <c r="CS153" s="186">
        <v>6372000.2000000002</v>
      </c>
      <c r="CT153" s="186">
        <v>6277965.5199999996</v>
      </c>
      <c r="CU153" s="186">
        <v>6379811.96</v>
      </c>
      <c r="CV153" s="186">
        <v>6390655.1200000001</v>
      </c>
    </row>
    <row r="154" spans="1:100">
      <c r="A154" s="541" t="str">
        <f t="shared" si="2"/>
        <v>1900403</v>
      </c>
      <c r="B154" s="541" t="s">
        <v>1748</v>
      </c>
      <c r="C154" s="463" t="s">
        <v>1749</v>
      </c>
      <c r="D154" s="397"/>
      <c r="E154" s="397"/>
      <c r="F154" s="397"/>
      <c r="G154" s="397"/>
      <c r="H154" s="397"/>
      <c r="I154" s="397"/>
      <c r="J154" s="397"/>
      <c r="K154" s="397"/>
      <c r="L154" s="397"/>
      <c r="M154" s="397"/>
      <c r="N154" s="397"/>
      <c r="O154" s="397"/>
      <c r="P154" s="398"/>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v>0</v>
      </c>
      <c r="AM154" s="186">
        <v>0</v>
      </c>
      <c r="AN154" s="186">
        <v>221311.32</v>
      </c>
      <c r="AO154" s="186">
        <v>221311.32</v>
      </c>
      <c r="AP154" s="186">
        <v>221311.32</v>
      </c>
      <c r="AQ154" s="186">
        <v>221311.32</v>
      </c>
      <c r="AR154" s="186">
        <v>221311.32</v>
      </c>
      <c r="AS154" s="186">
        <v>221311.32</v>
      </c>
      <c r="AT154" s="186">
        <v>221311.32</v>
      </c>
      <c r="AU154" s="186">
        <v>221311.32</v>
      </c>
      <c r="AV154" s="186">
        <v>221311.32</v>
      </c>
      <c r="AW154" s="186">
        <v>221311.32</v>
      </c>
      <c r="AX154" s="186">
        <v>221311.32</v>
      </c>
      <c r="AY154" s="186">
        <v>221311.32</v>
      </c>
      <c r="AZ154" s="186">
        <v>254375.84</v>
      </c>
      <c r="BA154" s="186">
        <v>254375.84</v>
      </c>
      <c r="BB154" s="186">
        <v>254375.84</v>
      </c>
      <c r="BC154" s="186">
        <v>254375.84</v>
      </c>
      <c r="BD154" s="186">
        <v>254375.84</v>
      </c>
      <c r="BE154" s="186">
        <v>254375.84</v>
      </c>
      <c r="BF154" s="186">
        <v>254375.84</v>
      </c>
      <c r="BG154" s="186">
        <v>254375.84</v>
      </c>
      <c r="BH154" s="186">
        <v>254375.84</v>
      </c>
      <c r="BI154" s="186">
        <v>254375.84</v>
      </c>
      <c r="BJ154" s="186">
        <v>254375.84</v>
      </c>
      <c r="BK154" s="186">
        <v>278220.05</v>
      </c>
      <c r="BL154" s="186">
        <v>278220.05</v>
      </c>
      <c r="BM154" s="186">
        <v>278220.05</v>
      </c>
      <c r="BN154" s="186">
        <v>278220.05</v>
      </c>
      <c r="BO154" s="186">
        <v>278220.05</v>
      </c>
      <c r="BP154" s="186">
        <v>278220.05</v>
      </c>
      <c r="BQ154" s="186">
        <v>278220.05</v>
      </c>
      <c r="BR154" s="186">
        <v>278220.05</v>
      </c>
      <c r="BS154" s="186">
        <v>278220.05</v>
      </c>
      <c r="BT154" s="186">
        <v>278220.05</v>
      </c>
      <c r="BU154" s="186">
        <v>278220.05</v>
      </c>
      <c r="BV154" s="186">
        <v>278220.05</v>
      </c>
      <c r="BW154" s="186">
        <v>278220.05</v>
      </c>
      <c r="BX154" s="186">
        <v>278220.05</v>
      </c>
      <c r="BY154" s="186">
        <v>278220.05</v>
      </c>
      <c r="BZ154" s="186">
        <v>278220.05</v>
      </c>
      <c r="CA154" s="186">
        <v>278220.05</v>
      </c>
      <c r="CB154" s="186">
        <v>278220.05</v>
      </c>
      <c r="CC154" s="186">
        <v>278220.05</v>
      </c>
      <c r="CD154" s="186">
        <v>278220.05</v>
      </c>
      <c r="CE154" s="186">
        <v>278220.05</v>
      </c>
      <c r="CF154" s="186">
        <v>278220.05</v>
      </c>
      <c r="CG154" s="186">
        <v>278220.05</v>
      </c>
      <c r="CH154" s="186">
        <v>278220.05</v>
      </c>
      <c r="CI154" s="186">
        <v>278220.05</v>
      </c>
      <c r="CJ154" s="186">
        <v>278220.05</v>
      </c>
      <c r="CK154" s="186">
        <v>278220.05</v>
      </c>
      <c r="CL154" s="186">
        <v>278220.05</v>
      </c>
      <c r="CM154" s="186">
        <v>278220.05</v>
      </c>
      <c r="CN154" s="186">
        <v>278220.05</v>
      </c>
      <c r="CO154" s="186">
        <v>278220.05</v>
      </c>
      <c r="CP154" s="186">
        <v>278220.05</v>
      </c>
      <c r="CQ154" s="186">
        <v>278220.05</v>
      </c>
      <c r="CR154" s="186">
        <v>278220.05</v>
      </c>
      <c r="CS154" s="186">
        <v>278220.05</v>
      </c>
      <c r="CT154" s="186">
        <v>278220.05</v>
      </c>
      <c r="CU154" s="186">
        <v>278220.05</v>
      </c>
      <c r="CV154" s="186">
        <v>278220.05</v>
      </c>
    </row>
    <row r="155" spans="1:100">
      <c r="A155" s="541" t="str">
        <f t="shared" si="2"/>
        <v>1900405</v>
      </c>
      <c r="B155" s="541" t="s">
        <v>1751</v>
      </c>
      <c r="C155" s="463" t="s">
        <v>1750</v>
      </c>
      <c r="D155" s="397"/>
      <c r="E155" s="397"/>
      <c r="F155" s="397"/>
      <c r="G155" s="397"/>
      <c r="H155" s="397"/>
      <c r="I155" s="397"/>
      <c r="J155" s="397"/>
      <c r="K155" s="397"/>
      <c r="L155" s="397"/>
      <c r="M155" s="397"/>
      <c r="N155" s="397"/>
      <c r="O155" s="397"/>
      <c r="P155" s="398"/>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v>0</v>
      </c>
      <c r="AM155" s="186">
        <v>0</v>
      </c>
      <c r="AN155" s="186">
        <v>1.05</v>
      </c>
      <c r="AO155" s="186">
        <v>1.05</v>
      </c>
      <c r="AP155" s="186">
        <v>1.05</v>
      </c>
      <c r="AQ155" s="186">
        <v>0</v>
      </c>
      <c r="AR155" s="186">
        <v>0</v>
      </c>
      <c r="AS155" s="186">
        <v>0</v>
      </c>
      <c r="AT155" s="186">
        <v>0</v>
      </c>
      <c r="AU155" s="186">
        <v>0</v>
      </c>
      <c r="AV155" s="186">
        <v>0</v>
      </c>
      <c r="AW155" s="186">
        <v>0</v>
      </c>
      <c r="AX155" s="186">
        <v>-3.13</v>
      </c>
      <c r="AY155" s="186">
        <v>0</v>
      </c>
      <c r="AZ155" s="186">
        <v>0</v>
      </c>
      <c r="BA155" s="186">
        <v>0</v>
      </c>
      <c r="BB155" s="186">
        <v>0</v>
      </c>
      <c r="BC155" s="186">
        <v>0</v>
      </c>
      <c r="BD155" s="186">
        <v>0</v>
      </c>
      <c r="BE155" s="186">
        <v>0</v>
      </c>
      <c r="BF155" s="186">
        <v>0</v>
      </c>
      <c r="BG155" s="186">
        <v>0</v>
      </c>
      <c r="BH155" s="186">
        <v>0</v>
      </c>
      <c r="BI155" s="186">
        <v>0</v>
      </c>
      <c r="BJ155" s="186">
        <v>0</v>
      </c>
      <c r="BK155" s="186">
        <v>0</v>
      </c>
      <c r="BL155" s="186">
        <v>0</v>
      </c>
      <c r="BM155" s="186">
        <v>0</v>
      </c>
      <c r="BN155" s="186">
        <v>0</v>
      </c>
      <c r="BO155" s="186">
        <v>0</v>
      </c>
      <c r="BP155" s="186">
        <v>0</v>
      </c>
      <c r="BQ155" s="186">
        <v>0</v>
      </c>
      <c r="BR155" s="186">
        <v>0</v>
      </c>
      <c r="BS155" s="186">
        <v>0</v>
      </c>
      <c r="BT155" s="186">
        <v>0</v>
      </c>
      <c r="BU155" s="186">
        <v>0</v>
      </c>
      <c r="BV155" s="186">
        <v>0</v>
      </c>
      <c r="BW155" s="186">
        <v>0</v>
      </c>
      <c r="BX155" s="186">
        <v>0</v>
      </c>
      <c r="BY155" s="186">
        <v>0</v>
      </c>
      <c r="BZ155" s="186">
        <v>0</v>
      </c>
      <c r="CA155" s="186">
        <v>0</v>
      </c>
      <c r="CB155" s="186">
        <v>0</v>
      </c>
      <c r="CC155" s="186">
        <v>0</v>
      </c>
      <c r="CD155" s="186">
        <v>0</v>
      </c>
      <c r="CE155" s="186">
        <v>0</v>
      </c>
      <c r="CF155" s="186">
        <v>0</v>
      </c>
      <c r="CG155" s="186">
        <v>0</v>
      </c>
      <c r="CH155" s="186">
        <v>0</v>
      </c>
      <c r="CI155" s="186">
        <v>0</v>
      </c>
      <c r="CJ155" s="186">
        <v>0</v>
      </c>
      <c r="CK155" s="186">
        <v>0</v>
      </c>
      <c r="CL155" s="186">
        <v>0</v>
      </c>
      <c r="CM155" s="186">
        <v>0</v>
      </c>
      <c r="CN155" s="186">
        <v>0</v>
      </c>
      <c r="CO155" s="186">
        <v>0</v>
      </c>
      <c r="CP155" s="186">
        <v>0</v>
      </c>
      <c r="CQ155" s="186">
        <v>0</v>
      </c>
      <c r="CR155" s="186">
        <v>0</v>
      </c>
      <c r="CS155" s="186">
        <v>0</v>
      </c>
      <c r="CT155" s="186">
        <v>0</v>
      </c>
      <c r="CU155" s="186">
        <v>0</v>
      </c>
      <c r="CV155" s="186">
        <v>0</v>
      </c>
    </row>
    <row r="156" spans="1:100">
      <c r="A156" s="541" t="str">
        <f t="shared" si="2"/>
        <v>1900406</v>
      </c>
      <c r="B156" s="541" t="s">
        <v>1535</v>
      </c>
      <c r="C156" s="463" t="s">
        <v>701</v>
      </c>
      <c r="D156" s="397">
        <v>64395.26</v>
      </c>
      <c r="E156" s="397">
        <v>196970.01</v>
      </c>
      <c r="F156" s="397">
        <v>137538.10999999999</v>
      </c>
      <c r="G156" s="397">
        <v>83794.039999999994</v>
      </c>
      <c r="H156" s="397">
        <v>170004.34</v>
      </c>
      <c r="I156" s="397">
        <v>69756.11</v>
      </c>
      <c r="J156" s="397">
        <v>47596.34</v>
      </c>
      <c r="K156" s="397">
        <v>178673.99</v>
      </c>
      <c r="L156" s="397">
        <v>84192.24</v>
      </c>
      <c r="M156" s="397">
        <v>88981.36</v>
      </c>
      <c r="N156" s="397">
        <v>201239.11</v>
      </c>
      <c r="O156" s="397">
        <v>148671.21</v>
      </c>
      <c r="P156" s="398">
        <v>494201.56</v>
      </c>
      <c r="Q156" s="186">
        <v>498571.59</v>
      </c>
      <c r="R156" s="186">
        <v>408521.46</v>
      </c>
      <c r="S156" s="186">
        <v>397211.54</v>
      </c>
      <c r="T156" s="186">
        <v>346087.39</v>
      </c>
      <c r="U156" s="186">
        <v>346936.59</v>
      </c>
      <c r="V156" s="186">
        <v>285707.84000000003</v>
      </c>
      <c r="W156" s="186">
        <v>287014.09000000003</v>
      </c>
      <c r="X156" s="186">
        <v>305231.19</v>
      </c>
      <c r="Y156" s="186">
        <v>348279.69</v>
      </c>
      <c r="Z156" s="186">
        <v>442421.54</v>
      </c>
      <c r="AA156" s="186">
        <v>443604.04</v>
      </c>
      <c r="AB156" s="186">
        <v>349027.14</v>
      </c>
      <c r="AC156" s="186">
        <v>268710.64</v>
      </c>
      <c r="AD156" s="186">
        <v>298707.09000000003</v>
      </c>
      <c r="AE156" s="186">
        <v>190043.31</v>
      </c>
      <c r="AF156" s="186">
        <v>111543.74</v>
      </c>
      <c r="AG156" s="186">
        <v>97201.12</v>
      </c>
      <c r="AH156" s="186">
        <v>38622.82</v>
      </c>
      <c r="AI156" s="186">
        <v>37769.22</v>
      </c>
      <c r="AJ156" s="186">
        <v>28877.37</v>
      </c>
      <c r="AK156" s="186">
        <v>28740.42</v>
      </c>
      <c r="AL156" s="186">
        <v>30905.22</v>
      </c>
      <c r="AM156" s="186">
        <v>33490.769999999997</v>
      </c>
      <c r="AN156" s="186">
        <v>109407.82</v>
      </c>
      <c r="AO156" s="186">
        <v>32529.37</v>
      </c>
      <c r="AP156" s="186">
        <v>23155.72</v>
      </c>
      <c r="AQ156" s="186">
        <v>26790.94</v>
      </c>
      <c r="AR156" s="186">
        <v>29636.09</v>
      </c>
      <c r="AS156" s="186">
        <v>9539.09</v>
      </c>
      <c r="AT156" s="186">
        <v>6080.14</v>
      </c>
      <c r="AU156" s="186">
        <v>8165.74</v>
      </c>
      <c r="AV156" s="186">
        <v>5822.74</v>
      </c>
      <c r="AW156" s="186">
        <v>4893.24</v>
      </c>
      <c r="AX156" s="186">
        <v>7865.99</v>
      </c>
      <c r="AY156" s="186">
        <v>3727.79</v>
      </c>
      <c r="AZ156" s="186">
        <v>9958.19</v>
      </c>
      <c r="BA156" s="186">
        <v>4381.74</v>
      </c>
      <c r="BB156" s="186">
        <v>6221.49</v>
      </c>
      <c r="BC156" s="186">
        <v>1795.09</v>
      </c>
      <c r="BD156" s="186">
        <v>1524.76</v>
      </c>
      <c r="BE156" s="186">
        <v>1100.71</v>
      </c>
      <c r="BF156" s="186">
        <v>858.16</v>
      </c>
      <c r="BG156" s="186">
        <v>644.21</v>
      </c>
      <c r="BH156" s="186">
        <v>192.11</v>
      </c>
      <c r="BI156" s="186">
        <v>551.80999999999995</v>
      </c>
      <c r="BJ156" s="186">
        <v>805.36</v>
      </c>
      <c r="BK156" s="186">
        <v>-0.39</v>
      </c>
      <c r="BL156" s="186">
        <v>-0.39</v>
      </c>
      <c r="BM156" s="186">
        <v>-0.39</v>
      </c>
      <c r="BN156" s="186">
        <v>-0.39</v>
      </c>
      <c r="BO156" s="186">
        <v>-0.39</v>
      </c>
      <c r="BP156" s="186">
        <v>-0.39</v>
      </c>
      <c r="BQ156" s="186">
        <v>-0.39</v>
      </c>
      <c r="BR156" s="186">
        <v>-0.39</v>
      </c>
      <c r="BS156" s="186">
        <v>-0.39</v>
      </c>
      <c r="BT156" s="186">
        <v>-0.39</v>
      </c>
      <c r="BU156" s="186">
        <v>-0.39</v>
      </c>
      <c r="BV156" s="186">
        <v>-0.39</v>
      </c>
      <c r="BW156" s="186">
        <v>-0.39</v>
      </c>
      <c r="BX156" s="186">
        <v>-0.39</v>
      </c>
      <c r="BY156" s="186">
        <v>-0.39</v>
      </c>
      <c r="BZ156" s="186">
        <v>-0.39</v>
      </c>
      <c r="CA156" s="186">
        <v>-0.39</v>
      </c>
      <c r="CB156" s="186">
        <v>-0.39</v>
      </c>
      <c r="CC156" s="186">
        <v>-0.39</v>
      </c>
      <c r="CD156" s="186">
        <v>-0.39</v>
      </c>
      <c r="CE156" s="186">
        <v>-0.39</v>
      </c>
      <c r="CF156" s="186">
        <v>-0.39</v>
      </c>
      <c r="CG156" s="186">
        <v>-0.39</v>
      </c>
      <c r="CH156" s="186">
        <v>-0.39</v>
      </c>
      <c r="CI156" s="186">
        <v>-0.39</v>
      </c>
      <c r="CJ156" s="186">
        <v>-0.39</v>
      </c>
      <c r="CK156" s="186">
        <v>-0.39</v>
      </c>
      <c r="CL156" s="186">
        <v>-0.39</v>
      </c>
      <c r="CM156" s="186">
        <v>-0.39</v>
      </c>
      <c r="CN156" s="186">
        <v>-0.39</v>
      </c>
      <c r="CO156" s="186">
        <v>-0.39</v>
      </c>
      <c r="CP156" s="186">
        <v>-0.39</v>
      </c>
      <c r="CQ156" s="186">
        <v>-0.39</v>
      </c>
      <c r="CR156" s="186">
        <v>-0.39</v>
      </c>
      <c r="CS156" s="186">
        <v>-0.39</v>
      </c>
      <c r="CT156" s="186">
        <v>-0.39</v>
      </c>
      <c r="CU156" s="186">
        <v>-0.39</v>
      </c>
      <c r="CV156" s="186">
        <v>-0.39</v>
      </c>
    </row>
    <row r="157" spans="1:100">
      <c r="A157" s="541" t="str">
        <f t="shared" si="2"/>
        <v>1900407</v>
      </c>
      <c r="B157" s="541" t="s">
        <v>1536</v>
      </c>
      <c r="C157" s="463" t="s">
        <v>702</v>
      </c>
      <c r="D157" s="397">
        <v>163800</v>
      </c>
      <c r="E157" s="397">
        <v>161793.5</v>
      </c>
      <c r="F157" s="397">
        <v>159786.99</v>
      </c>
      <c r="G157" s="397">
        <v>157780.48000000001</v>
      </c>
      <c r="H157" s="397">
        <v>155642.87</v>
      </c>
      <c r="I157" s="397">
        <v>154336.24</v>
      </c>
      <c r="J157" s="397">
        <v>152328.15</v>
      </c>
      <c r="K157" s="397">
        <v>150320.06</v>
      </c>
      <c r="L157" s="397">
        <v>148311.97</v>
      </c>
      <c r="M157" s="397">
        <v>146303.88</v>
      </c>
      <c r="N157" s="397">
        <v>144295.79</v>
      </c>
      <c r="O157" s="397">
        <v>142287.70000000001</v>
      </c>
      <c r="P157" s="398">
        <v>140279.60999999999</v>
      </c>
      <c r="Q157" s="186">
        <v>138271.51999999999</v>
      </c>
      <c r="R157" s="186">
        <v>136263.43</v>
      </c>
      <c r="S157" s="186">
        <v>132741.51999999999</v>
      </c>
      <c r="T157" s="186">
        <v>121918.91</v>
      </c>
      <c r="U157" s="186">
        <v>111151.96</v>
      </c>
      <c r="V157" s="186">
        <v>109196.89</v>
      </c>
      <c r="W157" s="186">
        <v>107241.82</v>
      </c>
      <c r="X157" s="186">
        <v>105286.75</v>
      </c>
      <c r="Y157" s="186">
        <v>103331.68</v>
      </c>
      <c r="Z157" s="186">
        <v>101376.61</v>
      </c>
      <c r="AA157" s="186">
        <v>99421.54</v>
      </c>
      <c r="AB157" s="186">
        <v>97466.47</v>
      </c>
      <c r="AC157" s="186">
        <v>95511.4</v>
      </c>
      <c r="AD157" s="186">
        <v>93556.33</v>
      </c>
      <c r="AE157" s="186">
        <v>91601.26</v>
      </c>
      <c r="AF157" s="186">
        <v>89646.2</v>
      </c>
      <c r="AG157" s="186">
        <v>87691.13</v>
      </c>
      <c r="AH157" s="186">
        <v>85736.06</v>
      </c>
      <c r="AI157" s="186">
        <v>83780.990000000005</v>
      </c>
      <c r="AJ157" s="186">
        <v>81825.919999999998</v>
      </c>
      <c r="AK157" s="186">
        <v>79870.850000000006</v>
      </c>
      <c r="AL157" s="186">
        <v>77915.78</v>
      </c>
      <c r="AM157" s="186">
        <v>75960.710000000006</v>
      </c>
      <c r="AN157" s="186">
        <v>74005.64</v>
      </c>
      <c r="AO157" s="186">
        <v>72050.570000000007</v>
      </c>
      <c r="AP157" s="186">
        <v>70095.5</v>
      </c>
      <c r="AQ157" s="186">
        <v>68140.429999999993</v>
      </c>
      <c r="AR157" s="186">
        <v>66185.36</v>
      </c>
      <c r="AS157" s="186">
        <v>64230.29</v>
      </c>
      <c r="AT157" s="186">
        <v>62275.22</v>
      </c>
      <c r="AU157" s="186">
        <v>60320.15</v>
      </c>
      <c r="AV157" s="186">
        <v>58365.08</v>
      </c>
      <c r="AW157" s="186">
        <v>56410.01</v>
      </c>
      <c r="AX157" s="186">
        <v>54454.94</v>
      </c>
      <c r="AY157" s="186">
        <v>52499.87</v>
      </c>
      <c r="AZ157" s="186">
        <v>50544.800000000003</v>
      </c>
      <c r="BA157" s="186">
        <v>48589.73</v>
      </c>
      <c r="BB157" s="186">
        <v>46634.66</v>
      </c>
      <c r="BC157" s="186">
        <v>44679.59</v>
      </c>
      <c r="BD157" s="186">
        <v>42724.52</v>
      </c>
      <c r="BE157" s="186">
        <v>41671.4</v>
      </c>
      <c r="BF157" s="186">
        <v>41520.21</v>
      </c>
      <c r="BG157" s="186">
        <v>41369.01</v>
      </c>
      <c r="BH157" s="186">
        <v>41217.82</v>
      </c>
      <c r="BI157" s="186">
        <v>41066.629999999997</v>
      </c>
      <c r="BJ157" s="186">
        <v>40915.440000000002</v>
      </c>
      <c r="BK157" s="186">
        <v>40764.25</v>
      </c>
      <c r="BL157" s="186">
        <v>40613.06</v>
      </c>
      <c r="BM157" s="186">
        <v>40461.870000000003</v>
      </c>
      <c r="BN157" s="186">
        <v>40310.68</v>
      </c>
      <c r="BO157" s="186">
        <v>40159.480000000003</v>
      </c>
      <c r="BP157" s="186">
        <v>40008.29</v>
      </c>
      <c r="BQ157" s="186">
        <v>39857.1</v>
      </c>
      <c r="BR157" s="186">
        <v>39705.910000000003</v>
      </c>
      <c r="BS157" s="186">
        <v>39554.720000000001</v>
      </c>
      <c r="BT157" s="186">
        <v>39403.53</v>
      </c>
      <c r="BU157" s="186">
        <v>39252.33</v>
      </c>
      <c r="BV157" s="186">
        <v>39101.14</v>
      </c>
      <c r="BW157" s="186">
        <v>38949.949999999997</v>
      </c>
      <c r="BX157" s="186">
        <v>38798.76</v>
      </c>
      <c r="BY157" s="186">
        <v>38647.57</v>
      </c>
      <c r="BZ157" s="186">
        <v>38496.379999999997</v>
      </c>
      <c r="CA157" s="186">
        <v>38345.18</v>
      </c>
      <c r="CB157" s="186">
        <v>38193.99</v>
      </c>
      <c r="CC157" s="186">
        <v>38042.800000000003</v>
      </c>
      <c r="CD157" s="186">
        <v>37891.61</v>
      </c>
      <c r="CE157" s="186">
        <v>37740.42</v>
      </c>
      <c r="CF157" s="186">
        <v>37589.230000000003</v>
      </c>
      <c r="CG157" s="186">
        <v>37438.03</v>
      </c>
      <c r="CH157" s="186">
        <v>37286.839999999997</v>
      </c>
      <c r="CI157" s="186">
        <v>37135.65</v>
      </c>
      <c r="CJ157" s="186">
        <v>36984.46</v>
      </c>
      <c r="CK157" s="186">
        <v>36833.269999999997</v>
      </c>
      <c r="CL157" s="186">
        <v>36682.080000000002</v>
      </c>
      <c r="CM157" s="186">
        <v>36530.879999999997</v>
      </c>
      <c r="CN157" s="186">
        <v>36379.69</v>
      </c>
      <c r="CO157" s="186">
        <v>36228.5</v>
      </c>
      <c r="CP157" s="186">
        <v>36077.31</v>
      </c>
      <c r="CQ157" s="186">
        <v>35926.120000000003</v>
      </c>
      <c r="CR157" s="186">
        <v>35774.93</v>
      </c>
      <c r="CS157" s="186">
        <v>35623.730000000003</v>
      </c>
      <c r="CT157" s="186">
        <v>35472.54</v>
      </c>
      <c r="CU157" s="186">
        <v>35321.35</v>
      </c>
      <c r="CV157" s="186">
        <v>35170.160000000003</v>
      </c>
    </row>
    <row r="158" spans="1:100">
      <c r="A158" s="541" t="str">
        <f t="shared" si="2"/>
        <v>1900408</v>
      </c>
      <c r="B158" s="541" t="s">
        <v>1537</v>
      </c>
      <c r="C158" s="463" t="s">
        <v>703</v>
      </c>
      <c r="D158" s="397">
        <v>950350.38</v>
      </c>
      <c r="E158" s="397">
        <v>950350.38</v>
      </c>
      <c r="F158" s="397">
        <v>950350.38</v>
      </c>
      <c r="G158" s="397">
        <v>929445.33</v>
      </c>
      <c r="H158" s="397">
        <v>929445.33</v>
      </c>
      <c r="I158" s="397">
        <v>929445.33</v>
      </c>
      <c r="J158" s="397">
        <v>907928.77</v>
      </c>
      <c r="K158" s="397">
        <v>907928.77</v>
      </c>
      <c r="L158" s="397">
        <v>907928.77</v>
      </c>
      <c r="M158" s="397">
        <v>896588.37</v>
      </c>
      <c r="N158" s="397">
        <v>896588.37</v>
      </c>
      <c r="O158" s="397">
        <v>896588.37</v>
      </c>
      <c r="P158" s="398">
        <v>1063261.7</v>
      </c>
      <c r="Q158" s="186">
        <v>1063261.7</v>
      </c>
      <c r="R158" s="186">
        <v>1063261.7</v>
      </c>
      <c r="S158" s="186">
        <v>1083207.22</v>
      </c>
      <c r="T158" s="186">
        <v>1083207.22</v>
      </c>
      <c r="U158" s="186">
        <v>1083207.22</v>
      </c>
      <c r="V158" s="186">
        <v>1017713.34</v>
      </c>
      <c r="W158" s="186">
        <v>1017713.34</v>
      </c>
      <c r="X158" s="186">
        <v>1000854.58</v>
      </c>
      <c r="Y158" s="186">
        <v>978080.34</v>
      </c>
      <c r="Z158" s="186">
        <v>978080.34</v>
      </c>
      <c r="AA158" s="186">
        <v>978080.34</v>
      </c>
      <c r="AB158" s="186">
        <v>1381063.69</v>
      </c>
      <c r="AC158" s="186">
        <v>1381063.69</v>
      </c>
      <c r="AD158" s="186">
        <v>1381063.69</v>
      </c>
      <c r="AE158" s="186">
        <v>1361603.7</v>
      </c>
      <c r="AF158" s="186">
        <v>1361603.7</v>
      </c>
      <c r="AG158" s="186">
        <v>1362113.83</v>
      </c>
      <c r="AH158" s="186">
        <v>1336162.52</v>
      </c>
      <c r="AI158" s="186">
        <v>1336162.52</v>
      </c>
      <c r="AJ158" s="186">
        <v>1336162.52</v>
      </c>
      <c r="AK158" s="186">
        <v>1800409.1</v>
      </c>
      <c r="AL158" s="186">
        <v>1800409.1</v>
      </c>
      <c r="AM158" s="186">
        <v>1800409.1</v>
      </c>
      <c r="AN158" s="186">
        <v>1558133.78</v>
      </c>
      <c r="AO158" s="186">
        <v>1558133.78</v>
      </c>
      <c r="AP158" s="186">
        <v>1558133.78</v>
      </c>
      <c r="AQ158" s="186">
        <v>1534838.69</v>
      </c>
      <c r="AR158" s="186">
        <v>1534838.69</v>
      </c>
      <c r="AS158" s="186">
        <v>1534838.69</v>
      </c>
      <c r="AT158" s="186">
        <v>1576930.85</v>
      </c>
      <c r="AU158" s="186">
        <v>1576930.85</v>
      </c>
      <c r="AV158" s="186">
        <v>1576930.85</v>
      </c>
      <c r="AW158" s="186">
        <v>1551656.86</v>
      </c>
      <c r="AX158" s="186">
        <v>1551656.86</v>
      </c>
      <c r="AY158" s="186">
        <v>1551656.86</v>
      </c>
      <c r="AZ158" s="186">
        <v>1445718.72</v>
      </c>
      <c r="BA158" s="186">
        <v>1445718.72</v>
      </c>
      <c r="BB158" s="186">
        <v>1445718.72</v>
      </c>
      <c r="BC158" s="186">
        <v>1419144.98</v>
      </c>
      <c r="BD158" s="186">
        <v>1419144.98</v>
      </c>
      <c r="BE158" s="186">
        <v>1419144.98</v>
      </c>
      <c r="BF158" s="186">
        <v>1389559.47</v>
      </c>
      <c r="BG158" s="186">
        <v>1389559.47</v>
      </c>
      <c r="BH158" s="186">
        <v>1389559.47</v>
      </c>
      <c r="BI158" s="186">
        <v>1362761.05</v>
      </c>
      <c r="BJ158" s="186">
        <v>1362761.05</v>
      </c>
      <c r="BK158" s="186">
        <v>1362761.05</v>
      </c>
      <c r="BL158" s="186">
        <v>1690554.69</v>
      </c>
      <c r="BM158" s="186">
        <v>1690554.69</v>
      </c>
      <c r="BN158" s="186">
        <v>1690554.69</v>
      </c>
      <c r="BO158" s="186">
        <v>1668742.19</v>
      </c>
      <c r="BP158" s="186">
        <v>1668742.19</v>
      </c>
      <c r="BQ158" s="186">
        <v>1668742.19</v>
      </c>
      <c r="BR158" s="186">
        <v>1644821.03</v>
      </c>
      <c r="BS158" s="186">
        <v>1644821.03</v>
      </c>
      <c r="BT158" s="186">
        <v>1644821.03</v>
      </c>
      <c r="BU158" s="186">
        <v>1621954.17</v>
      </c>
      <c r="BV158" s="186">
        <v>1621954.17</v>
      </c>
      <c r="BW158" s="186">
        <v>1621954.17</v>
      </c>
      <c r="BX158" s="186">
        <v>1633781.48</v>
      </c>
      <c r="BY158" s="186">
        <v>1633781.48</v>
      </c>
      <c r="BZ158" s="186">
        <v>1633781.48</v>
      </c>
      <c r="CA158" s="186">
        <v>1605185.21</v>
      </c>
      <c r="CB158" s="186">
        <v>1605185.21</v>
      </c>
      <c r="CC158" s="186">
        <v>1605185.21</v>
      </c>
      <c r="CD158" s="186">
        <v>1575000.39</v>
      </c>
      <c r="CE158" s="186">
        <v>1575000.39</v>
      </c>
      <c r="CF158" s="186">
        <v>1575000.39</v>
      </c>
      <c r="CG158" s="186">
        <v>1545609.82</v>
      </c>
      <c r="CH158" s="186">
        <v>1545609.82</v>
      </c>
      <c r="CI158" s="186">
        <v>1545609.82</v>
      </c>
      <c r="CJ158" s="186">
        <v>1888253.51</v>
      </c>
      <c r="CK158" s="186">
        <v>1888253.51</v>
      </c>
      <c r="CL158" s="186">
        <v>1888253.51</v>
      </c>
      <c r="CM158" s="186">
        <v>1849978.39</v>
      </c>
      <c r="CN158" s="186">
        <v>1849978.39</v>
      </c>
      <c r="CO158" s="186">
        <v>1849978.39</v>
      </c>
      <c r="CP158" s="186">
        <v>1811703.3</v>
      </c>
      <c r="CQ158" s="186">
        <v>1811703.3</v>
      </c>
      <c r="CR158" s="186">
        <v>1811703.3</v>
      </c>
      <c r="CS158" s="186">
        <v>1752318.47</v>
      </c>
      <c r="CT158" s="186">
        <v>1752318.47</v>
      </c>
      <c r="CU158" s="186">
        <v>1752318.47</v>
      </c>
      <c r="CV158" s="186">
        <v>1400125.04</v>
      </c>
    </row>
    <row r="159" spans="1:100">
      <c r="A159" s="541" t="str">
        <f t="shared" si="2"/>
        <v>1900409</v>
      </c>
      <c r="B159" s="541" t="s">
        <v>1538</v>
      </c>
      <c r="C159" s="463" t="s">
        <v>704</v>
      </c>
      <c r="D159" s="397">
        <v>5320</v>
      </c>
      <c r="E159" s="397">
        <v>5320</v>
      </c>
      <c r="F159" s="397">
        <v>5320</v>
      </c>
      <c r="G159" s="397">
        <v>5320</v>
      </c>
      <c r="H159" s="397">
        <v>5320</v>
      </c>
      <c r="I159" s="397">
        <v>5320</v>
      </c>
      <c r="J159" s="397">
        <v>5320</v>
      </c>
      <c r="K159" s="397">
        <v>5320</v>
      </c>
      <c r="L159" s="397">
        <v>5320</v>
      </c>
      <c r="M159" s="397">
        <v>5320</v>
      </c>
      <c r="N159" s="397">
        <v>5320</v>
      </c>
      <c r="O159" s="397">
        <v>5320</v>
      </c>
      <c r="P159" s="398">
        <v>5320</v>
      </c>
      <c r="Q159" s="186">
        <v>5320</v>
      </c>
      <c r="R159" s="186">
        <v>5320</v>
      </c>
      <c r="S159" s="186">
        <v>5320</v>
      </c>
      <c r="T159" s="186">
        <v>5320</v>
      </c>
      <c r="U159" s="186">
        <v>5320</v>
      </c>
      <c r="V159" s="186">
        <v>5320</v>
      </c>
      <c r="W159" s="186">
        <v>5320</v>
      </c>
      <c r="X159" s="186">
        <v>5320</v>
      </c>
      <c r="Y159" s="186">
        <v>5320</v>
      </c>
      <c r="Z159" s="186">
        <v>5320</v>
      </c>
      <c r="AA159" s="186">
        <v>5320</v>
      </c>
      <c r="AB159" s="186">
        <v>5320</v>
      </c>
      <c r="AC159" s="186">
        <v>5320</v>
      </c>
      <c r="AD159" s="186">
        <v>5320</v>
      </c>
      <c r="AE159" s="186">
        <v>5320</v>
      </c>
      <c r="AF159" s="186">
        <v>5320</v>
      </c>
      <c r="AG159" s="186">
        <v>5320</v>
      </c>
      <c r="AH159" s="186">
        <v>5320</v>
      </c>
      <c r="AI159" s="186">
        <v>5320</v>
      </c>
      <c r="AJ159" s="186">
        <v>5320</v>
      </c>
      <c r="AK159" s="186">
        <v>5320</v>
      </c>
      <c r="AL159" s="186">
        <v>5320</v>
      </c>
      <c r="AM159" s="186">
        <v>5320</v>
      </c>
      <c r="AN159" s="186">
        <v>5320</v>
      </c>
      <c r="AO159" s="186">
        <v>5320</v>
      </c>
      <c r="AP159" s="186">
        <v>5320</v>
      </c>
      <c r="AQ159" s="186">
        <v>5320</v>
      </c>
      <c r="AR159" s="186">
        <v>5320</v>
      </c>
      <c r="AS159" s="186">
        <v>5320</v>
      </c>
      <c r="AT159" s="186">
        <v>5320</v>
      </c>
      <c r="AU159" s="186">
        <v>5320</v>
      </c>
      <c r="AV159" s="186">
        <v>5320</v>
      </c>
      <c r="AW159" s="186">
        <v>5320</v>
      </c>
      <c r="AX159" s="186">
        <v>5320</v>
      </c>
      <c r="AY159" s="186">
        <v>5320</v>
      </c>
      <c r="AZ159" s="186">
        <v>5320</v>
      </c>
      <c r="BA159" s="186">
        <v>5320</v>
      </c>
      <c r="BB159" s="186">
        <v>5320</v>
      </c>
      <c r="BC159" s="186">
        <v>5320</v>
      </c>
      <c r="BD159" s="186">
        <v>5320</v>
      </c>
      <c r="BE159" s="186">
        <v>5320</v>
      </c>
      <c r="BF159" s="186">
        <v>5320</v>
      </c>
      <c r="BG159" s="186">
        <v>5320</v>
      </c>
      <c r="BH159" s="186">
        <v>5320</v>
      </c>
      <c r="BI159" s="186">
        <v>5320</v>
      </c>
      <c r="BJ159" s="186">
        <v>5320</v>
      </c>
      <c r="BK159" s="186">
        <v>5320</v>
      </c>
      <c r="BL159" s="186">
        <v>5320</v>
      </c>
      <c r="BM159" s="186">
        <v>5320</v>
      </c>
      <c r="BN159" s="186">
        <v>5320</v>
      </c>
      <c r="BO159" s="186">
        <v>5320</v>
      </c>
      <c r="BP159" s="186">
        <v>5320</v>
      </c>
      <c r="BQ159" s="186">
        <v>5320</v>
      </c>
      <c r="BR159" s="186">
        <v>5320</v>
      </c>
      <c r="BS159" s="186">
        <v>5320</v>
      </c>
      <c r="BT159" s="186">
        <v>5320</v>
      </c>
      <c r="BU159" s="186">
        <v>5320</v>
      </c>
      <c r="BV159" s="186">
        <v>5320</v>
      </c>
      <c r="BW159" s="186">
        <v>5320</v>
      </c>
      <c r="BX159" s="186">
        <v>5320</v>
      </c>
      <c r="BY159" s="186">
        <v>5320</v>
      </c>
      <c r="BZ159" s="186">
        <v>5320</v>
      </c>
      <c r="CA159" s="186">
        <v>5320</v>
      </c>
      <c r="CB159" s="186">
        <v>5320</v>
      </c>
      <c r="CC159" s="186">
        <v>5320</v>
      </c>
      <c r="CD159" s="186">
        <v>5320</v>
      </c>
      <c r="CE159" s="186">
        <v>5320</v>
      </c>
      <c r="CF159" s="186">
        <v>5320</v>
      </c>
      <c r="CG159" s="186">
        <v>5320</v>
      </c>
      <c r="CH159" s="186">
        <v>5320</v>
      </c>
      <c r="CI159" s="186">
        <v>5320</v>
      </c>
      <c r="CJ159" s="186">
        <v>5320</v>
      </c>
      <c r="CK159" s="186">
        <v>5320</v>
      </c>
      <c r="CL159" s="186">
        <v>5320</v>
      </c>
      <c r="CM159" s="186">
        <v>5320</v>
      </c>
      <c r="CN159" s="186">
        <v>5320</v>
      </c>
      <c r="CO159" s="186">
        <v>5320</v>
      </c>
      <c r="CP159" s="186">
        <v>5320</v>
      </c>
      <c r="CQ159" s="186">
        <v>5320</v>
      </c>
      <c r="CR159" s="186">
        <v>5320</v>
      </c>
      <c r="CS159" s="186">
        <v>5320</v>
      </c>
      <c r="CT159" s="186">
        <v>5320</v>
      </c>
      <c r="CU159" s="186">
        <v>5320</v>
      </c>
      <c r="CV159" s="186">
        <v>5320</v>
      </c>
    </row>
    <row r="160" spans="1:100">
      <c r="A160" s="541" t="str">
        <f t="shared" si="2"/>
        <v>1900410</v>
      </c>
      <c r="B160" s="541" t="s">
        <v>1608</v>
      </c>
      <c r="C160" s="463" t="s">
        <v>1469</v>
      </c>
      <c r="D160" s="397"/>
      <c r="E160" s="397"/>
      <c r="F160" s="397"/>
      <c r="G160" s="397"/>
      <c r="H160" s="397"/>
      <c r="I160" s="397"/>
      <c r="J160" s="397"/>
      <c r="K160" s="397"/>
      <c r="L160" s="397"/>
      <c r="M160" s="397"/>
      <c r="N160" s="397"/>
      <c r="O160" s="397"/>
      <c r="P160" s="398"/>
      <c r="Q160" s="186"/>
      <c r="R160" s="186"/>
      <c r="S160" s="186"/>
      <c r="T160" s="186"/>
      <c r="U160" s="186"/>
      <c r="V160" s="186"/>
      <c r="W160" s="186"/>
      <c r="X160" s="186"/>
      <c r="Y160" s="186"/>
      <c r="Z160" s="186"/>
      <c r="AA160" s="186"/>
      <c r="AB160" s="186"/>
      <c r="AC160" s="186"/>
      <c r="AD160" s="186"/>
      <c r="AE160" s="186"/>
      <c r="AF160" s="186">
        <v>786467</v>
      </c>
      <c r="AG160" s="186">
        <v>786467</v>
      </c>
      <c r="AH160" s="186">
        <v>511203.55</v>
      </c>
      <c r="AI160" s="186">
        <v>511203.55</v>
      </c>
      <c r="AJ160" s="186">
        <v>511203.55</v>
      </c>
      <c r="AK160" s="186">
        <v>511203.55</v>
      </c>
      <c r="AL160" s="186">
        <v>511203.55</v>
      </c>
      <c r="AM160" s="186">
        <v>511203.55</v>
      </c>
      <c r="AN160" s="186">
        <v>511203.55</v>
      </c>
      <c r="AO160" s="186">
        <v>511203.55</v>
      </c>
      <c r="AP160" s="186">
        <v>0</v>
      </c>
      <c r="AQ160" s="186">
        <v>0</v>
      </c>
      <c r="AR160" s="186">
        <v>0</v>
      </c>
      <c r="AS160" s="186">
        <v>0</v>
      </c>
      <c r="AT160" s="186">
        <v>0</v>
      </c>
      <c r="AU160" s="186">
        <v>0</v>
      </c>
      <c r="AV160" s="186">
        <v>0</v>
      </c>
      <c r="AW160" s="186">
        <v>0</v>
      </c>
      <c r="AX160" s="186">
        <v>0</v>
      </c>
      <c r="AY160" s="186">
        <v>0</v>
      </c>
      <c r="AZ160" s="186">
        <v>0</v>
      </c>
      <c r="BA160" s="186">
        <v>0</v>
      </c>
      <c r="BB160" s="186">
        <v>0</v>
      </c>
      <c r="BC160" s="186">
        <v>0</v>
      </c>
      <c r="BD160" s="186">
        <v>0</v>
      </c>
      <c r="BE160" s="186">
        <v>0</v>
      </c>
      <c r="BF160" s="186">
        <v>0</v>
      </c>
      <c r="BG160" s="186">
        <v>0</v>
      </c>
      <c r="BH160" s="186">
        <v>0</v>
      </c>
      <c r="BI160" s="186">
        <v>0</v>
      </c>
      <c r="BJ160" s="186">
        <v>0</v>
      </c>
      <c r="BK160" s="186">
        <v>0</v>
      </c>
      <c r="BL160" s="186">
        <v>0</v>
      </c>
      <c r="BM160" s="186">
        <v>0</v>
      </c>
      <c r="BN160" s="186">
        <v>0</v>
      </c>
      <c r="BO160" s="186">
        <v>0</v>
      </c>
      <c r="BP160" s="186">
        <v>0</v>
      </c>
      <c r="BQ160" s="186">
        <v>0</v>
      </c>
      <c r="BR160" s="186">
        <v>0</v>
      </c>
      <c r="BS160" s="186">
        <v>0</v>
      </c>
      <c r="BT160" s="186">
        <v>0</v>
      </c>
      <c r="BU160" s="186">
        <v>0</v>
      </c>
      <c r="BV160" s="186">
        <v>0</v>
      </c>
      <c r="BW160" s="186">
        <v>0</v>
      </c>
      <c r="BX160" s="186">
        <v>0</v>
      </c>
      <c r="BY160" s="186">
        <v>0</v>
      </c>
      <c r="BZ160" s="186">
        <v>0</v>
      </c>
      <c r="CA160" s="186">
        <v>0</v>
      </c>
      <c r="CB160" s="186">
        <v>0</v>
      </c>
      <c r="CC160" s="186">
        <v>0</v>
      </c>
      <c r="CD160" s="186">
        <v>0</v>
      </c>
      <c r="CE160" s="186">
        <v>0</v>
      </c>
      <c r="CF160" s="186">
        <v>0</v>
      </c>
      <c r="CG160" s="186">
        <v>0</v>
      </c>
      <c r="CH160" s="186">
        <v>0</v>
      </c>
      <c r="CI160" s="186">
        <v>0</v>
      </c>
      <c r="CJ160" s="186">
        <v>0</v>
      </c>
      <c r="CK160" s="186">
        <v>0</v>
      </c>
      <c r="CL160" s="186">
        <v>0</v>
      </c>
      <c r="CM160" s="186">
        <v>0</v>
      </c>
      <c r="CN160" s="186">
        <v>0</v>
      </c>
      <c r="CO160" s="186">
        <v>0</v>
      </c>
      <c r="CP160" s="186">
        <v>0</v>
      </c>
      <c r="CQ160" s="186">
        <v>0</v>
      </c>
      <c r="CR160" s="186">
        <v>0</v>
      </c>
      <c r="CS160" s="186">
        <v>0</v>
      </c>
      <c r="CT160" s="186">
        <v>0</v>
      </c>
      <c r="CU160" s="186">
        <v>0</v>
      </c>
      <c r="CV160" s="186">
        <v>0</v>
      </c>
    </row>
    <row r="161" spans="1:100">
      <c r="A161" s="541" t="str">
        <f t="shared" si="2"/>
        <v>1900600</v>
      </c>
      <c r="B161" s="541" t="s">
        <v>1539</v>
      </c>
      <c r="C161" s="463" t="s">
        <v>1470</v>
      </c>
      <c r="D161" s="397"/>
      <c r="E161" s="397"/>
      <c r="F161" s="397"/>
      <c r="G161" s="397"/>
      <c r="H161" s="397"/>
      <c r="I161" s="397"/>
      <c r="J161" s="397"/>
      <c r="K161" s="397"/>
      <c r="L161" s="397"/>
      <c r="M161" s="397"/>
      <c r="N161" s="397"/>
      <c r="O161" s="397"/>
      <c r="P161" s="398"/>
      <c r="Q161" s="186"/>
      <c r="R161" s="186"/>
      <c r="S161" s="186"/>
      <c r="T161" s="186"/>
      <c r="U161" s="186"/>
      <c r="V161" s="186"/>
      <c r="W161" s="186"/>
      <c r="X161" s="186"/>
      <c r="Y161" s="186"/>
      <c r="Z161" s="186"/>
      <c r="AA161" s="186"/>
      <c r="AB161" s="186"/>
      <c r="AC161" s="186"/>
      <c r="AD161" s="186"/>
      <c r="AE161" s="186"/>
      <c r="AF161" s="186">
        <v>0</v>
      </c>
      <c r="AG161" s="186">
        <v>0</v>
      </c>
      <c r="AH161" s="186">
        <v>-61344.4</v>
      </c>
      <c r="AI161" s="186">
        <v>-61344.4</v>
      </c>
      <c r="AJ161" s="186">
        <v>-61344.4</v>
      </c>
      <c r="AK161" s="186">
        <v>-61344.4</v>
      </c>
      <c r="AL161" s="186">
        <v>-61344.4</v>
      </c>
      <c r="AM161" s="186">
        <v>-61344.4</v>
      </c>
      <c r="AN161" s="186">
        <v>-61344.4</v>
      </c>
      <c r="AO161" s="186">
        <v>-61344.4</v>
      </c>
      <c r="AP161" s="186">
        <v>0</v>
      </c>
      <c r="AQ161" s="186">
        <v>0</v>
      </c>
      <c r="AR161" s="186">
        <v>0</v>
      </c>
      <c r="AS161" s="186">
        <v>0</v>
      </c>
      <c r="AT161" s="186">
        <v>0</v>
      </c>
      <c r="AU161" s="186">
        <v>0</v>
      </c>
      <c r="AV161" s="186">
        <v>0</v>
      </c>
      <c r="AW161" s="186">
        <v>0</v>
      </c>
      <c r="AX161" s="186">
        <v>0</v>
      </c>
      <c r="AY161" s="186">
        <v>0</v>
      </c>
      <c r="AZ161" s="186">
        <v>0</v>
      </c>
      <c r="BA161" s="186">
        <v>0</v>
      </c>
      <c r="BB161" s="186">
        <v>0</v>
      </c>
      <c r="BC161" s="186">
        <v>0</v>
      </c>
      <c r="BD161" s="186">
        <v>0</v>
      </c>
      <c r="BE161" s="186">
        <v>0</v>
      </c>
      <c r="BF161" s="186">
        <v>0</v>
      </c>
      <c r="BG161" s="186">
        <v>0</v>
      </c>
      <c r="BH161" s="186">
        <v>0</v>
      </c>
      <c r="BI161" s="186">
        <v>0</v>
      </c>
      <c r="BJ161" s="186">
        <v>0</v>
      </c>
      <c r="BK161" s="186">
        <v>0</v>
      </c>
      <c r="BL161" s="186">
        <v>0</v>
      </c>
      <c r="BM161" s="186">
        <v>0</v>
      </c>
      <c r="BN161" s="186">
        <v>0</v>
      </c>
      <c r="BO161" s="186">
        <v>0</v>
      </c>
      <c r="BP161" s="186">
        <v>0</v>
      </c>
      <c r="BQ161" s="186">
        <v>0</v>
      </c>
      <c r="BR161" s="186">
        <v>0</v>
      </c>
      <c r="BS161" s="186">
        <v>0</v>
      </c>
      <c r="BT161" s="186">
        <v>0</v>
      </c>
      <c r="BU161" s="186">
        <v>0</v>
      </c>
      <c r="BV161" s="186">
        <v>0</v>
      </c>
      <c r="BW161" s="186">
        <v>0</v>
      </c>
      <c r="BX161" s="186">
        <v>0</v>
      </c>
      <c r="BY161" s="186">
        <v>0</v>
      </c>
      <c r="BZ161" s="186">
        <v>0</v>
      </c>
      <c r="CA161" s="186">
        <v>0</v>
      </c>
      <c r="CB161" s="186">
        <v>0</v>
      </c>
      <c r="CC161" s="186">
        <v>0</v>
      </c>
      <c r="CD161" s="186">
        <v>0</v>
      </c>
      <c r="CE161" s="186">
        <v>0</v>
      </c>
      <c r="CF161" s="186">
        <v>0</v>
      </c>
      <c r="CG161" s="186">
        <v>0</v>
      </c>
      <c r="CH161" s="186">
        <v>0</v>
      </c>
      <c r="CI161" s="186">
        <v>0</v>
      </c>
      <c r="CJ161" s="186">
        <v>0</v>
      </c>
      <c r="CK161" s="186">
        <v>0</v>
      </c>
      <c r="CL161" s="186">
        <v>0</v>
      </c>
      <c r="CM161" s="186">
        <v>0</v>
      </c>
      <c r="CN161" s="186">
        <v>0</v>
      </c>
      <c r="CO161" s="186">
        <v>0</v>
      </c>
      <c r="CP161" s="186">
        <v>0</v>
      </c>
      <c r="CQ161" s="186">
        <v>0</v>
      </c>
      <c r="CR161" s="186">
        <v>0</v>
      </c>
      <c r="CS161" s="186">
        <v>0</v>
      </c>
      <c r="CT161" s="186">
        <v>0</v>
      </c>
      <c r="CU161" s="186">
        <v>0</v>
      </c>
      <c r="CV161" s="186">
        <v>0</v>
      </c>
    </row>
    <row r="162" spans="1:100">
      <c r="A162" s="541" t="str">
        <f t="shared" si="2"/>
        <v>1910100</v>
      </c>
      <c r="B162" s="541" t="s">
        <v>1609</v>
      </c>
      <c r="C162" s="463" t="s">
        <v>705</v>
      </c>
      <c r="D162" s="397">
        <v>-96106223.920000002</v>
      </c>
      <c r="E162" s="397">
        <v>-96394532.439999998</v>
      </c>
      <c r="F162" s="397">
        <v>-99828320.439999998</v>
      </c>
      <c r="G162" s="397">
        <v>-98512647.439999998</v>
      </c>
      <c r="H162" s="397">
        <v>-100061166.2</v>
      </c>
      <c r="I162" s="397">
        <v>-97764840.200000003</v>
      </c>
      <c r="J162" s="397">
        <v>-99400115.129999995</v>
      </c>
      <c r="K162" s="397">
        <v>-100056751.18000001</v>
      </c>
      <c r="L162" s="397">
        <v>-100443908.18000001</v>
      </c>
      <c r="M162" s="397">
        <v>-100322514.18000001</v>
      </c>
      <c r="N162" s="397">
        <v>-98457434.180000007</v>
      </c>
      <c r="O162" s="397">
        <v>-93170295.180000007</v>
      </c>
      <c r="P162" s="398">
        <v>-95671733.079999998</v>
      </c>
      <c r="Q162" s="186">
        <v>-97818951.079999998</v>
      </c>
      <c r="R162" s="186">
        <v>-98769599.079999998</v>
      </c>
      <c r="S162" s="186">
        <v>-101256492.08</v>
      </c>
      <c r="T162" s="186">
        <v>-100332145.08</v>
      </c>
      <c r="U162" s="186">
        <v>-100412482.08</v>
      </c>
      <c r="V162" s="186">
        <v>-103136454.08</v>
      </c>
      <c r="W162" s="186">
        <v>-102453662.08</v>
      </c>
      <c r="X162" s="186">
        <v>-103265220.08</v>
      </c>
      <c r="Y162" s="186">
        <v>-103307102.08</v>
      </c>
      <c r="Z162" s="186">
        <v>-101491686.08</v>
      </c>
      <c r="AA162" s="186">
        <v>-100274678.08</v>
      </c>
      <c r="AB162" s="186">
        <v>-101425799.06999999</v>
      </c>
      <c r="AC162" s="186">
        <v>-104182998.06999999</v>
      </c>
      <c r="AD162" s="186">
        <v>-110531518.27</v>
      </c>
      <c r="AE162" s="186">
        <v>-113125774.27</v>
      </c>
      <c r="AF162" s="186">
        <v>-114438345.27</v>
      </c>
      <c r="AG162" s="186">
        <v>-116374299.27</v>
      </c>
      <c r="AH162" s="186">
        <v>-118691714.27</v>
      </c>
      <c r="AI162" s="186">
        <v>-119986027.59999999</v>
      </c>
      <c r="AJ162" s="186">
        <v>-120886961.59999999</v>
      </c>
      <c r="AK162" s="186">
        <v>-120415701.59999999</v>
      </c>
      <c r="AL162" s="186">
        <v>-117749437.59999999</v>
      </c>
      <c r="AM162" s="186">
        <v>-115012916.59999999</v>
      </c>
      <c r="AN162" s="186">
        <v>-114552574.54000001</v>
      </c>
      <c r="AO162" s="186">
        <v>-114567801.54000001</v>
      </c>
      <c r="AP162" s="186">
        <v>-117692525.55</v>
      </c>
      <c r="AQ162" s="186">
        <v>-114430444.55</v>
      </c>
      <c r="AR162" s="186">
        <v>-115333953.55</v>
      </c>
      <c r="AS162" s="186">
        <v>-115302898.55</v>
      </c>
      <c r="AT162" s="186">
        <v>-114351282.55</v>
      </c>
      <c r="AU162" s="186">
        <v>-113167939.91</v>
      </c>
      <c r="AV162" s="186">
        <v>-111983976.91</v>
      </c>
      <c r="AW162" s="186">
        <v>-113177314.91</v>
      </c>
      <c r="AX162" s="186">
        <v>-109761241.91</v>
      </c>
      <c r="AY162" s="186">
        <v>-108607491.91</v>
      </c>
      <c r="AZ162" s="186">
        <v>-109278934.06999999</v>
      </c>
      <c r="BA162" s="186">
        <v>-114575765.06999999</v>
      </c>
      <c r="BB162" s="186">
        <v>-120659536.06999999</v>
      </c>
      <c r="BC162" s="186">
        <v>-118040921.06999999</v>
      </c>
      <c r="BD162" s="186">
        <v>-121708933.06999999</v>
      </c>
      <c r="BE162" s="186">
        <v>-121584129.06999999</v>
      </c>
      <c r="BF162" s="186">
        <v>-122137109.06999999</v>
      </c>
      <c r="BG162" s="186">
        <v>-122271981.34</v>
      </c>
      <c r="BH162" s="186">
        <v>-121868162.34</v>
      </c>
      <c r="BI162" s="186">
        <v>-122380938.34</v>
      </c>
      <c r="BJ162" s="186">
        <v>-119323885.39</v>
      </c>
      <c r="BK162" s="186">
        <v>-112994846.39</v>
      </c>
      <c r="BL162" s="186">
        <v>-109747687.8</v>
      </c>
      <c r="BM162" s="186">
        <v>-111530054.95</v>
      </c>
      <c r="BN162" s="186">
        <v>-114924164.95</v>
      </c>
      <c r="BO162" s="186">
        <v>-115966382.95</v>
      </c>
      <c r="BP162" s="186">
        <v>-118894174.95</v>
      </c>
      <c r="BQ162" s="186">
        <v>-121312929.95</v>
      </c>
      <c r="BR162" s="186">
        <v>-122461259.95</v>
      </c>
      <c r="BS162" s="186">
        <v>-122621523.95</v>
      </c>
      <c r="BT162" s="186">
        <v>-121061920.95</v>
      </c>
      <c r="BU162" s="186">
        <v>-121615677.61</v>
      </c>
      <c r="BV162" s="186">
        <v>-118995406.61</v>
      </c>
      <c r="BW162" s="186">
        <v>-116667471.61</v>
      </c>
      <c r="BX162" s="186">
        <v>-117770364.61</v>
      </c>
      <c r="BY162" s="186">
        <v>-121160462.61</v>
      </c>
      <c r="BZ162" s="186">
        <v>-124245125.78</v>
      </c>
      <c r="CA162" s="186">
        <v>-125475141.78</v>
      </c>
      <c r="CB162" s="186">
        <v>-126115777.78</v>
      </c>
      <c r="CC162" s="186">
        <v>-125579668.78</v>
      </c>
      <c r="CD162" s="186">
        <v>-126229763.78</v>
      </c>
      <c r="CE162" s="186">
        <v>-125646219.78</v>
      </c>
      <c r="CF162" s="186">
        <v>-123137797.78</v>
      </c>
      <c r="CG162" s="186">
        <v>-122343773.94</v>
      </c>
      <c r="CH162" s="186">
        <v>-118327958.94</v>
      </c>
      <c r="CI162" s="186">
        <v>-114832209.13</v>
      </c>
      <c r="CJ162" s="186">
        <v>-114047246.16</v>
      </c>
      <c r="CK162" s="186">
        <v>-117674224.16</v>
      </c>
      <c r="CL162" s="186">
        <v>-115144037.5</v>
      </c>
      <c r="CM162" s="186">
        <v>-113837467.5</v>
      </c>
      <c r="CN162" s="186">
        <v>-117659334.5</v>
      </c>
      <c r="CO162" s="186">
        <v>-118055349.5</v>
      </c>
      <c r="CP162" s="186">
        <v>-117314832.5</v>
      </c>
      <c r="CQ162" s="186">
        <v>-117625812.5</v>
      </c>
      <c r="CR162" s="186">
        <v>-116615187.5</v>
      </c>
      <c r="CS162" s="186">
        <v>-115139066.68000001</v>
      </c>
      <c r="CT162" s="186">
        <v>-107422458.68000001</v>
      </c>
      <c r="CU162" s="186">
        <v>-99629730.189999998</v>
      </c>
      <c r="CV162" s="186">
        <v>-100110911.19</v>
      </c>
    </row>
    <row r="163" spans="1:100">
      <c r="A163" s="541" t="str">
        <f t="shared" si="2"/>
        <v>1910110</v>
      </c>
      <c r="B163" s="541" t="s">
        <v>1610</v>
      </c>
      <c r="C163" s="463" t="s">
        <v>706</v>
      </c>
      <c r="D163" s="397">
        <v>99135200.140000001</v>
      </c>
      <c r="E163" s="397">
        <v>98722850.140000001</v>
      </c>
      <c r="F163" s="397">
        <v>97137940.140000001</v>
      </c>
      <c r="G163" s="397">
        <v>96641460.140000001</v>
      </c>
      <c r="H163" s="397">
        <v>96235685.140000001</v>
      </c>
      <c r="I163" s="397">
        <v>95893455.140000001</v>
      </c>
      <c r="J163" s="397">
        <v>95668535.140000001</v>
      </c>
      <c r="K163" s="397">
        <v>95561065.140000001</v>
      </c>
      <c r="L163" s="397">
        <v>95758605.140000001</v>
      </c>
      <c r="M163" s="397">
        <v>95906895.140000001</v>
      </c>
      <c r="N163" s="397">
        <v>96030895.140000001</v>
      </c>
      <c r="O163" s="397">
        <v>96432405.140000001</v>
      </c>
      <c r="P163" s="398">
        <v>96494455.140000001</v>
      </c>
      <c r="Q163" s="186">
        <v>97819350.140000001</v>
      </c>
      <c r="R163" s="186">
        <v>99294180.140000001</v>
      </c>
      <c r="S163" s="186">
        <v>100140360.14</v>
      </c>
      <c r="T163" s="186">
        <v>100888430.14</v>
      </c>
      <c r="U163" s="186">
        <v>101465100.14</v>
      </c>
      <c r="V163" s="186">
        <v>101894990.14</v>
      </c>
      <c r="W163" s="186">
        <v>102347520.14</v>
      </c>
      <c r="X163" s="186">
        <v>102678190.14</v>
      </c>
      <c r="Y163" s="186">
        <v>103141990.14</v>
      </c>
      <c r="Z163" s="186">
        <v>103742890.14</v>
      </c>
      <c r="AA163" s="186">
        <v>104841160.14</v>
      </c>
      <c r="AB163" s="186">
        <v>106243330.14</v>
      </c>
      <c r="AC163" s="186">
        <v>108059660.14</v>
      </c>
      <c r="AD163" s="186">
        <v>109407050.14</v>
      </c>
      <c r="AE163" s="186">
        <v>110445060.14</v>
      </c>
      <c r="AF163" s="186">
        <v>111046550.14</v>
      </c>
      <c r="AG163" s="186">
        <v>111456145.14</v>
      </c>
      <c r="AH163" s="186">
        <v>111866685.14</v>
      </c>
      <c r="AI163" s="186">
        <v>111934325.14</v>
      </c>
      <c r="AJ163" s="186">
        <v>112064995.14</v>
      </c>
      <c r="AK163" s="186">
        <v>112131775.14</v>
      </c>
      <c r="AL163" s="186">
        <v>112203715.14</v>
      </c>
      <c r="AM163" s="186">
        <v>112354875.14</v>
      </c>
      <c r="AN163" s="186">
        <v>112375905.14</v>
      </c>
      <c r="AO163" s="186">
        <v>111925455.14</v>
      </c>
      <c r="AP163" s="186">
        <v>111887535.14</v>
      </c>
      <c r="AQ163" s="186">
        <v>112135590.14</v>
      </c>
      <c r="AR163" s="186">
        <v>112082620.14</v>
      </c>
      <c r="AS163" s="186">
        <v>112043480.14</v>
      </c>
      <c r="AT163" s="186">
        <v>112017500.14</v>
      </c>
      <c r="AU163" s="186">
        <v>112027580.14</v>
      </c>
      <c r="AV163" s="186">
        <v>112046830.14</v>
      </c>
      <c r="AW163" s="186">
        <v>112052030.14</v>
      </c>
      <c r="AX163" s="186">
        <v>112054680.14</v>
      </c>
      <c r="AY163" s="186">
        <v>112113300.14</v>
      </c>
      <c r="AZ163" s="186">
        <v>112113600.14</v>
      </c>
      <c r="BA163" s="186">
        <v>112191700.14</v>
      </c>
      <c r="BB163" s="186">
        <v>112113980.14</v>
      </c>
      <c r="BC163" s="186">
        <v>112172800.14</v>
      </c>
      <c r="BD163" s="186">
        <v>112185955.14</v>
      </c>
      <c r="BE163" s="186">
        <v>112183915.14</v>
      </c>
      <c r="BF163" s="186">
        <v>112183915.14</v>
      </c>
      <c r="BG163" s="186">
        <v>112177555.14</v>
      </c>
      <c r="BH163" s="186">
        <v>112179865.14</v>
      </c>
      <c r="BI163" s="186">
        <v>112178755.14</v>
      </c>
      <c r="BJ163" s="186">
        <v>112174515.14</v>
      </c>
      <c r="BK163" s="186">
        <v>112159865.14</v>
      </c>
      <c r="BL163" s="186">
        <v>112159865.14</v>
      </c>
      <c r="BM163" s="186">
        <v>112159865.14</v>
      </c>
      <c r="BN163" s="186">
        <v>112159865.14</v>
      </c>
      <c r="BO163" s="186">
        <v>112159865.14</v>
      </c>
      <c r="BP163" s="186">
        <v>112159865.14</v>
      </c>
      <c r="BQ163" s="186">
        <v>112159865.14</v>
      </c>
      <c r="BR163" s="186">
        <v>112159865.14</v>
      </c>
      <c r="BS163" s="186">
        <v>112159865.14</v>
      </c>
      <c r="BT163" s="186">
        <v>112159865.14</v>
      </c>
      <c r="BU163" s="186">
        <v>112159865.14</v>
      </c>
      <c r="BV163" s="186">
        <v>112159865.14</v>
      </c>
      <c r="BW163" s="186">
        <v>112159865.14</v>
      </c>
      <c r="BX163" s="186">
        <v>112159865.14</v>
      </c>
      <c r="BY163" s="186">
        <v>112159865.14</v>
      </c>
      <c r="BZ163" s="186">
        <v>112159865.14</v>
      </c>
      <c r="CA163" s="186">
        <v>112159865.14</v>
      </c>
      <c r="CB163" s="186">
        <v>112159865.14</v>
      </c>
      <c r="CC163" s="186">
        <v>112159865.14</v>
      </c>
      <c r="CD163" s="186">
        <v>112159865.14</v>
      </c>
      <c r="CE163" s="186">
        <v>112159865.14</v>
      </c>
      <c r="CF163" s="186">
        <v>112159865.14</v>
      </c>
      <c r="CG163" s="186">
        <v>112159865.14</v>
      </c>
      <c r="CH163" s="186">
        <v>112159865.14</v>
      </c>
      <c r="CI163" s="186">
        <v>112159865.14</v>
      </c>
      <c r="CJ163" s="186">
        <v>112159865.14</v>
      </c>
      <c r="CK163" s="186">
        <v>112159865.14</v>
      </c>
      <c r="CL163" s="186">
        <v>112159865.14</v>
      </c>
      <c r="CM163" s="186">
        <v>112159865.14</v>
      </c>
      <c r="CN163" s="186">
        <v>112159865.14</v>
      </c>
      <c r="CO163" s="186">
        <v>112159865.14</v>
      </c>
      <c r="CP163" s="186">
        <v>112159865.14</v>
      </c>
      <c r="CQ163" s="186">
        <v>112159865.14</v>
      </c>
      <c r="CR163" s="186">
        <v>112159865.14</v>
      </c>
      <c r="CS163" s="186">
        <v>112159865.14</v>
      </c>
      <c r="CT163" s="186">
        <v>112159865.14</v>
      </c>
      <c r="CU163" s="186">
        <v>112159865.14</v>
      </c>
      <c r="CV163" s="186">
        <v>112159865.14</v>
      </c>
    </row>
    <row r="164" spans="1:100">
      <c r="A164" s="541" t="str">
        <f t="shared" si="2"/>
        <v>1910160</v>
      </c>
      <c r="B164" s="541" t="s">
        <v>1611</v>
      </c>
      <c r="C164" s="463" t="s">
        <v>707</v>
      </c>
      <c r="D164" s="397">
        <v>0</v>
      </c>
      <c r="E164" s="397">
        <v>0</v>
      </c>
      <c r="F164" s="397">
        <v>2690380.3</v>
      </c>
      <c r="G164" s="397">
        <v>1871187.3</v>
      </c>
      <c r="H164" s="397">
        <v>3825481.06</v>
      </c>
      <c r="I164" s="397">
        <v>1871385.06</v>
      </c>
      <c r="J164" s="397">
        <v>3731579.99</v>
      </c>
      <c r="K164" s="397">
        <v>4495686.04</v>
      </c>
      <c r="L164" s="397">
        <v>4685303.04</v>
      </c>
      <c r="M164" s="397">
        <v>4415619.04</v>
      </c>
      <c r="N164" s="397">
        <v>2426539.04</v>
      </c>
      <c r="O164" s="397">
        <v>0</v>
      </c>
      <c r="P164" s="398">
        <v>0</v>
      </c>
      <c r="Q164" s="186">
        <v>0</v>
      </c>
      <c r="R164" s="186">
        <v>0</v>
      </c>
      <c r="S164" s="186">
        <v>1116132</v>
      </c>
      <c r="T164" s="186">
        <v>0</v>
      </c>
      <c r="U164" s="186">
        <v>0</v>
      </c>
      <c r="V164" s="186">
        <v>1241464</v>
      </c>
      <c r="W164" s="186">
        <v>106142</v>
      </c>
      <c r="X164" s="186">
        <v>587030</v>
      </c>
      <c r="Y164" s="186">
        <v>165112</v>
      </c>
      <c r="Z164" s="186">
        <v>0</v>
      </c>
      <c r="AA164" s="186">
        <v>0</v>
      </c>
      <c r="AB164" s="186">
        <v>0</v>
      </c>
      <c r="AC164" s="186">
        <v>0</v>
      </c>
      <c r="AD164" s="186">
        <v>1124468.1299999999</v>
      </c>
      <c r="AE164" s="186">
        <v>2680714.13</v>
      </c>
      <c r="AF164" s="186">
        <v>3391795.13</v>
      </c>
      <c r="AG164" s="186">
        <v>4918154.13</v>
      </c>
      <c r="AH164" s="186">
        <v>6825029.1299999999</v>
      </c>
      <c r="AI164" s="186">
        <v>8051702.46</v>
      </c>
      <c r="AJ164" s="186">
        <v>8821966.4600000009</v>
      </c>
      <c r="AK164" s="186">
        <v>8283926.46</v>
      </c>
      <c r="AL164" s="186">
        <v>5545722.46</v>
      </c>
      <c r="AM164" s="186">
        <v>2658041.46</v>
      </c>
      <c r="AN164" s="186">
        <v>2176669.4</v>
      </c>
      <c r="AO164" s="186">
        <v>2642346.4</v>
      </c>
      <c r="AP164" s="186">
        <v>5804990.4100000001</v>
      </c>
      <c r="AQ164" s="186">
        <v>2294854.41</v>
      </c>
      <c r="AR164" s="186">
        <v>3251333.41</v>
      </c>
      <c r="AS164" s="186">
        <v>3259418.41</v>
      </c>
      <c r="AT164" s="186">
        <v>2333782.41</v>
      </c>
      <c r="AU164" s="186">
        <v>1140359.77</v>
      </c>
      <c r="AV164" s="186">
        <v>0</v>
      </c>
      <c r="AW164" s="186">
        <v>1125284.77</v>
      </c>
      <c r="AX164" s="186">
        <v>0</v>
      </c>
      <c r="AY164" s="186">
        <v>0</v>
      </c>
      <c r="AZ164" s="186">
        <v>0</v>
      </c>
      <c r="BA164" s="186">
        <v>2384064.9300000002</v>
      </c>
      <c r="BB164" s="186">
        <v>8545555.9299999997</v>
      </c>
      <c r="BC164" s="186">
        <v>5868120.9299999997</v>
      </c>
      <c r="BD164" s="186">
        <v>9522977.9299999997</v>
      </c>
      <c r="BE164" s="186">
        <v>9400213.9299999997</v>
      </c>
      <c r="BF164" s="186">
        <v>9953193.9299999997</v>
      </c>
      <c r="BG164" s="186">
        <v>10094432.93</v>
      </c>
      <c r="BH164" s="186">
        <v>9688297.1999999993</v>
      </c>
      <c r="BI164" s="186">
        <v>10202183.199999999</v>
      </c>
      <c r="BJ164" s="186">
        <v>7149370.25</v>
      </c>
      <c r="BK164" s="186">
        <v>834981.25</v>
      </c>
      <c r="BL164" s="186">
        <v>0</v>
      </c>
      <c r="BM164" s="186">
        <v>0</v>
      </c>
      <c r="BN164" s="186">
        <v>2764299.81</v>
      </c>
      <c r="BO164" s="186">
        <v>3806517.81</v>
      </c>
      <c r="BP164" s="186">
        <v>6734309.8099999996</v>
      </c>
      <c r="BQ164" s="186">
        <v>9153064.8100000005</v>
      </c>
      <c r="BR164" s="186">
        <v>10301394.810000001</v>
      </c>
      <c r="BS164" s="186">
        <v>10461658.810000001</v>
      </c>
      <c r="BT164" s="186">
        <v>8902055.8100000005</v>
      </c>
      <c r="BU164" s="186">
        <v>9455812.4700000007</v>
      </c>
      <c r="BV164" s="186">
        <v>6835541.4699999997</v>
      </c>
      <c r="BW164" s="186">
        <v>4507606.47</v>
      </c>
      <c r="BX164" s="186">
        <v>5610499.4699999997</v>
      </c>
      <c r="BY164" s="186">
        <v>9000597.4700000007</v>
      </c>
      <c r="BZ164" s="186">
        <v>12085260.640000001</v>
      </c>
      <c r="CA164" s="186">
        <v>13315276.640000001</v>
      </c>
      <c r="CB164" s="186">
        <v>13955912.640000001</v>
      </c>
      <c r="CC164" s="186">
        <v>13419803.640000001</v>
      </c>
      <c r="CD164" s="186">
        <v>14069898.640000001</v>
      </c>
      <c r="CE164" s="186">
        <v>13486354.640000001</v>
      </c>
      <c r="CF164" s="186">
        <v>10977932.640000001</v>
      </c>
      <c r="CG164" s="186">
        <v>10183908.800000001</v>
      </c>
      <c r="CH164" s="186">
        <v>6168093.7999999998</v>
      </c>
      <c r="CI164" s="186">
        <v>2672343.9900000002</v>
      </c>
      <c r="CJ164" s="186">
        <v>1887381.02</v>
      </c>
      <c r="CK164" s="186">
        <v>5514359.0199999996</v>
      </c>
      <c r="CL164" s="186">
        <v>2984172.36</v>
      </c>
      <c r="CM164" s="186">
        <v>1677602.36</v>
      </c>
      <c r="CN164" s="186">
        <v>5499469.3600000003</v>
      </c>
      <c r="CO164" s="186">
        <v>5895484.3600000003</v>
      </c>
      <c r="CP164" s="186">
        <v>5154967.3600000003</v>
      </c>
      <c r="CQ164" s="186">
        <v>5465947.3600000003</v>
      </c>
      <c r="CR164" s="186">
        <v>4455322.3600000003</v>
      </c>
      <c r="CS164" s="186">
        <v>2979201.54</v>
      </c>
      <c r="CT164" s="186">
        <v>0</v>
      </c>
      <c r="CU164" s="186">
        <v>0</v>
      </c>
      <c r="CV164" s="186">
        <v>0</v>
      </c>
    </row>
    <row r="165" spans="1:100">
      <c r="A165" s="541" t="str">
        <f t="shared" si="2"/>
        <v>1910165</v>
      </c>
      <c r="B165" s="541" t="s">
        <v>1612</v>
      </c>
      <c r="C165" s="463" t="s">
        <v>708</v>
      </c>
      <c r="D165" s="397">
        <v>0</v>
      </c>
      <c r="E165" s="397">
        <v>0</v>
      </c>
      <c r="F165" s="397">
        <v>-2690380.3</v>
      </c>
      <c r="G165" s="397">
        <v>-1871187.3</v>
      </c>
      <c r="H165" s="397">
        <v>-3825481.06</v>
      </c>
      <c r="I165" s="397">
        <v>-1871385.06</v>
      </c>
      <c r="J165" s="397">
        <v>-3731579.99</v>
      </c>
      <c r="K165" s="397">
        <v>-4495686.04</v>
      </c>
      <c r="L165" s="397">
        <v>-4685303.04</v>
      </c>
      <c r="M165" s="397">
        <v>-4415619.04</v>
      </c>
      <c r="N165" s="397">
        <v>-2426539.04</v>
      </c>
      <c r="O165" s="397">
        <v>0</v>
      </c>
      <c r="P165" s="398">
        <v>0</v>
      </c>
      <c r="Q165" s="186">
        <v>0</v>
      </c>
      <c r="R165" s="186">
        <v>0</v>
      </c>
      <c r="S165" s="186">
        <v>-1116132</v>
      </c>
      <c r="T165" s="186">
        <v>0</v>
      </c>
      <c r="U165" s="186">
        <v>0</v>
      </c>
      <c r="V165" s="186">
        <v>-1241464</v>
      </c>
      <c r="W165" s="186">
        <v>-106142</v>
      </c>
      <c r="X165" s="186">
        <v>-587030</v>
      </c>
      <c r="Y165" s="186">
        <v>-165112</v>
      </c>
      <c r="Z165" s="186">
        <v>0</v>
      </c>
      <c r="AA165" s="186">
        <v>0</v>
      </c>
      <c r="AB165" s="186">
        <v>0</v>
      </c>
      <c r="AC165" s="186">
        <v>0</v>
      </c>
      <c r="AD165" s="186">
        <v>-1124468.1299999999</v>
      </c>
      <c r="AE165" s="186">
        <v>-2680714.13</v>
      </c>
      <c r="AF165" s="186">
        <v>-3391795.13</v>
      </c>
      <c r="AG165" s="186">
        <v>-4918154.13</v>
      </c>
      <c r="AH165" s="186">
        <v>-6825029.1299999999</v>
      </c>
      <c r="AI165" s="186">
        <v>-8051702.46</v>
      </c>
      <c r="AJ165" s="186">
        <v>-8821966.4600000009</v>
      </c>
      <c r="AK165" s="186">
        <v>-8283926.46</v>
      </c>
      <c r="AL165" s="186">
        <v>-5545722.46</v>
      </c>
      <c r="AM165" s="186">
        <v>-2658041.46</v>
      </c>
      <c r="AN165" s="186">
        <v>-2176669.4</v>
      </c>
      <c r="AO165" s="186">
        <v>-2642346.4</v>
      </c>
      <c r="AP165" s="186">
        <v>-5804990.4100000001</v>
      </c>
      <c r="AQ165" s="186">
        <v>-2294854.41</v>
      </c>
      <c r="AR165" s="186">
        <v>-3251333.41</v>
      </c>
      <c r="AS165" s="186">
        <v>-3259418.41</v>
      </c>
      <c r="AT165" s="186">
        <v>-2333782.41</v>
      </c>
      <c r="AU165" s="186">
        <v>-1140359.77</v>
      </c>
      <c r="AV165" s="186">
        <v>0</v>
      </c>
      <c r="AW165" s="186">
        <v>-1125284.77</v>
      </c>
      <c r="AX165" s="186">
        <v>0</v>
      </c>
      <c r="AY165" s="186">
        <v>0</v>
      </c>
      <c r="AZ165" s="186">
        <v>0</v>
      </c>
      <c r="BA165" s="186">
        <v>-2384064.9300000002</v>
      </c>
      <c r="BB165" s="186">
        <v>-8545555.9299999997</v>
      </c>
      <c r="BC165" s="186">
        <v>-5868120.9299999997</v>
      </c>
      <c r="BD165" s="186">
        <v>-9522977.9299999997</v>
      </c>
      <c r="BE165" s="186">
        <v>-9400213.9299999997</v>
      </c>
      <c r="BF165" s="186">
        <v>-9953193.9299999997</v>
      </c>
      <c r="BG165" s="186">
        <v>-10094432.93</v>
      </c>
      <c r="BH165" s="186">
        <v>-9688297.1999999993</v>
      </c>
      <c r="BI165" s="186">
        <v>-10202183.199999999</v>
      </c>
      <c r="BJ165" s="186">
        <v>-7149370.25</v>
      </c>
      <c r="BK165" s="186">
        <v>-834981.25</v>
      </c>
      <c r="BL165" s="186">
        <v>0</v>
      </c>
      <c r="BM165" s="186">
        <v>0</v>
      </c>
      <c r="BN165" s="186">
        <v>-2764299.81</v>
      </c>
      <c r="BO165" s="186">
        <v>-3806517.81</v>
      </c>
      <c r="BP165" s="186">
        <v>-6734309.8099999996</v>
      </c>
      <c r="BQ165" s="186">
        <v>-9153064.8100000005</v>
      </c>
      <c r="BR165" s="186">
        <v>-10301394.810000001</v>
      </c>
      <c r="BS165" s="186">
        <v>-10461658.810000001</v>
      </c>
      <c r="BT165" s="186">
        <v>-8902055.8100000005</v>
      </c>
      <c r="BU165" s="186">
        <v>-9455812.4700000007</v>
      </c>
      <c r="BV165" s="186">
        <v>-6835541.4699999997</v>
      </c>
      <c r="BW165" s="186">
        <v>-4507606.47</v>
      </c>
      <c r="BX165" s="186">
        <v>-5610499.4699999997</v>
      </c>
      <c r="BY165" s="186">
        <v>-9000597.4700000007</v>
      </c>
      <c r="BZ165" s="186">
        <v>-12085260.640000001</v>
      </c>
      <c r="CA165" s="186">
        <v>-13315276.640000001</v>
      </c>
      <c r="CB165" s="186">
        <v>-13955912.640000001</v>
      </c>
      <c r="CC165" s="186">
        <v>-13419803.640000001</v>
      </c>
      <c r="CD165" s="186">
        <v>-14069898.640000001</v>
      </c>
      <c r="CE165" s="186">
        <v>-13486354.640000001</v>
      </c>
      <c r="CF165" s="186">
        <v>-10977932.640000001</v>
      </c>
      <c r="CG165" s="186">
        <v>-10183908.800000001</v>
      </c>
      <c r="CH165" s="186">
        <v>-6168093.7999999998</v>
      </c>
      <c r="CI165" s="186">
        <v>-2672343.9900000002</v>
      </c>
      <c r="CJ165" s="186">
        <v>-1887381.02</v>
      </c>
      <c r="CK165" s="186">
        <v>-5514359.0199999996</v>
      </c>
      <c r="CL165" s="186">
        <v>-2984172.36</v>
      </c>
      <c r="CM165" s="186">
        <v>-1677602.36</v>
      </c>
      <c r="CN165" s="186">
        <v>-5499469.3600000003</v>
      </c>
      <c r="CO165" s="186">
        <v>-5895484.3600000003</v>
      </c>
      <c r="CP165" s="186">
        <v>-5154967.3600000003</v>
      </c>
      <c r="CQ165" s="186">
        <v>-5465947.3600000003</v>
      </c>
      <c r="CR165" s="186">
        <v>-4455322.3600000003</v>
      </c>
      <c r="CS165" s="186">
        <v>-2979201.54</v>
      </c>
      <c r="CT165" s="186">
        <v>0</v>
      </c>
      <c r="CU165" s="186">
        <v>0</v>
      </c>
      <c r="CV165" s="186">
        <v>0</v>
      </c>
    </row>
    <row r="166" spans="1:100">
      <c r="A166" s="541" t="str">
        <f t="shared" si="2"/>
        <v>1990900</v>
      </c>
      <c r="B166" s="541" t="s">
        <v>1540</v>
      </c>
      <c r="C166" s="463" t="s">
        <v>709</v>
      </c>
      <c r="D166" s="397">
        <v>0</v>
      </c>
      <c r="E166" s="397">
        <v>0</v>
      </c>
      <c r="F166" s="397">
        <v>0</v>
      </c>
      <c r="G166" s="397">
        <v>0</v>
      </c>
      <c r="H166" s="397">
        <v>0</v>
      </c>
      <c r="I166" s="397">
        <v>0</v>
      </c>
      <c r="J166" s="397">
        <v>0</v>
      </c>
      <c r="K166" s="397">
        <v>0</v>
      </c>
      <c r="L166" s="397">
        <v>0</v>
      </c>
      <c r="M166" s="397">
        <v>0</v>
      </c>
      <c r="N166" s="397">
        <v>0</v>
      </c>
      <c r="O166" s="397">
        <v>0</v>
      </c>
      <c r="P166" s="398">
        <v>0</v>
      </c>
      <c r="Q166" s="186">
        <v>0</v>
      </c>
      <c r="R166" s="186">
        <v>0</v>
      </c>
      <c r="S166" s="186">
        <v>0</v>
      </c>
      <c r="T166" s="186">
        <v>0</v>
      </c>
      <c r="U166" s="186">
        <v>0</v>
      </c>
      <c r="V166" s="186">
        <v>0</v>
      </c>
      <c r="W166" s="186">
        <v>0</v>
      </c>
      <c r="X166" s="186">
        <v>0</v>
      </c>
      <c r="Y166" s="186">
        <v>0</v>
      </c>
      <c r="Z166" s="186">
        <v>0</v>
      </c>
      <c r="AA166" s="186">
        <v>0</v>
      </c>
      <c r="AB166" s="186">
        <v>0</v>
      </c>
      <c r="AC166" s="186">
        <v>0</v>
      </c>
      <c r="AD166" s="186">
        <v>0</v>
      </c>
      <c r="AE166" s="186">
        <v>0</v>
      </c>
      <c r="AF166" s="186">
        <v>0</v>
      </c>
      <c r="AG166" s="186">
        <v>0</v>
      </c>
      <c r="AH166" s="186">
        <v>0</v>
      </c>
      <c r="AI166" s="186">
        <v>0</v>
      </c>
      <c r="AJ166" s="186">
        <v>0</v>
      </c>
      <c r="AK166" s="186">
        <v>0</v>
      </c>
      <c r="AL166" s="186">
        <v>0</v>
      </c>
      <c r="AM166" s="186">
        <v>0</v>
      </c>
      <c r="AN166" s="186">
        <v>0</v>
      </c>
      <c r="AO166" s="186">
        <v>0</v>
      </c>
      <c r="AP166" s="186">
        <v>0</v>
      </c>
      <c r="AQ166" s="186">
        <v>0</v>
      </c>
      <c r="AR166" s="186">
        <v>0</v>
      </c>
      <c r="AS166" s="186">
        <v>0</v>
      </c>
      <c r="AT166" s="186">
        <v>0</v>
      </c>
      <c r="AU166" s="186">
        <v>0</v>
      </c>
      <c r="AV166" s="186">
        <v>0</v>
      </c>
      <c r="AW166" s="186">
        <v>0</v>
      </c>
      <c r="AX166" s="186">
        <v>0</v>
      </c>
      <c r="AY166" s="186">
        <v>0</v>
      </c>
      <c r="AZ166" s="186">
        <v>0</v>
      </c>
      <c r="BA166" s="186">
        <v>0</v>
      </c>
      <c r="BB166" s="186">
        <v>0</v>
      </c>
      <c r="BC166" s="186">
        <v>0</v>
      </c>
      <c r="BD166" s="186">
        <v>0</v>
      </c>
      <c r="BE166" s="186">
        <v>0</v>
      </c>
      <c r="BF166" s="186">
        <v>0</v>
      </c>
      <c r="BG166" s="186">
        <v>0</v>
      </c>
      <c r="BH166" s="186">
        <v>0</v>
      </c>
      <c r="BI166" s="186">
        <v>0</v>
      </c>
      <c r="BJ166" s="186">
        <v>0</v>
      </c>
      <c r="BK166" s="186">
        <v>0</v>
      </c>
      <c r="BL166" s="186">
        <v>0</v>
      </c>
      <c r="BM166" s="186">
        <v>0</v>
      </c>
      <c r="BN166" s="186">
        <v>0</v>
      </c>
      <c r="BO166" s="186">
        <v>0</v>
      </c>
      <c r="BP166" s="186">
        <v>0</v>
      </c>
      <c r="BQ166" s="186">
        <v>0</v>
      </c>
      <c r="BR166" s="186">
        <v>0</v>
      </c>
      <c r="BS166" s="186">
        <v>0</v>
      </c>
      <c r="BT166" s="186">
        <v>0</v>
      </c>
      <c r="BU166" s="186">
        <v>0</v>
      </c>
      <c r="BV166" s="186">
        <v>0</v>
      </c>
      <c r="BW166" s="186">
        <v>0</v>
      </c>
      <c r="BX166" s="186">
        <v>0</v>
      </c>
      <c r="BY166" s="186">
        <v>0</v>
      </c>
      <c r="BZ166" s="186">
        <v>0</v>
      </c>
      <c r="CA166" s="186">
        <v>0</v>
      </c>
      <c r="CB166" s="186">
        <v>0</v>
      </c>
      <c r="CC166" s="186">
        <v>0</v>
      </c>
      <c r="CD166" s="186">
        <v>0</v>
      </c>
      <c r="CE166" s="186">
        <v>0</v>
      </c>
      <c r="CF166" s="186">
        <v>0</v>
      </c>
      <c r="CG166" s="186">
        <v>0</v>
      </c>
      <c r="CH166" s="186">
        <v>0</v>
      </c>
      <c r="CI166" s="186">
        <v>0</v>
      </c>
      <c r="CJ166" s="186">
        <v>0</v>
      </c>
      <c r="CK166" s="186">
        <v>0</v>
      </c>
      <c r="CL166" s="186">
        <v>0</v>
      </c>
      <c r="CM166" s="186">
        <v>0</v>
      </c>
      <c r="CN166" s="186">
        <v>0</v>
      </c>
      <c r="CO166" s="186">
        <v>0</v>
      </c>
      <c r="CP166" s="186">
        <v>0</v>
      </c>
      <c r="CQ166" s="186">
        <v>0</v>
      </c>
      <c r="CR166" s="186">
        <v>0</v>
      </c>
      <c r="CS166" s="186">
        <v>0</v>
      </c>
      <c r="CT166" s="186">
        <v>0</v>
      </c>
      <c r="CU166" s="186">
        <v>0</v>
      </c>
      <c r="CV166" s="186">
        <v>0</v>
      </c>
    </row>
    <row r="167" spans="1:100">
      <c r="A167" s="541" t="str">
        <f t="shared" si="2"/>
        <v>1990910</v>
      </c>
      <c r="B167" s="541" t="s">
        <v>1613</v>
      </c>
      <c r="C167" s="463" t="s">
        <v>710</v>
      </c>
      <c r="D167" s="397">
        <v>0</v>
      </c>
      <c r="E167" s="397">
        <v>0</v>
      </c>
      <c r="F167" s="397">
        <v>0</v>
      </c>
      <c r="G167" s="397">
        <v>0</v>
      </c>
      <c r="H167" s="397">
        <v>0</v>
      </c>
      <c r="I167" s="397">
        <v>0</v>
      </c>
      <c r="J167" s="397">
        <v>0</v>
      </c>
      <c r="K167" s="397">
        <v>0</v>
      </c>
      <c r="L167" s="397">
        <v>0</v>
      </c>
      <c r="M167" s="397">
        <v>0</v>
      </c>
      <c r="N167" s="397">
        <v>0</v>
      </c>
      <c r="O167" s="397">
        <v>0</v>
      </c>
      <c r="P167" s="398">
        <v>0</v>
      </c>
      <c r="Q167" s="186">
        <v>0</v>
      </c>
      <c r="R167" s="186">
        <v>0</v>
      </c>
      <c r="S167" s="186">
        <v>0</v>
      </c>
      <c r="T167" s="186">
        <v>0</v>
      </c>
      <c r="U167" s="186">
        <v>0</v>
      </c>
      <c r="V167" s="186">
        <v>0</v>
      </c>
      <c r="W167" s="186">
        <v>0</v>
      </c>
      <c r="X167" s="186">
        <v>0</v>
      </c>
      <c r="Y167" s="186">
        <v>0</v>
      </c>
      <c r="Z167" s="186">
        <v>0</v>
      </c>
      <c r="AA167" s="186">
        <v>0</v>
      </c>
      <c r="AB167" s="186">
        <v>0</v>
      </c>
      <c r="AC167" s="186">
        <v>0</v>
      </c>
      <c r="AD167" s="186">
        <v>0</v>
      </c>
      <c r="AE167" s="186">
        <v>0</v>
      </c>
      <c r="AF167" s="186">
        <v>0</v>
      </c>
      <c r="AG167" s="186">
        <v>0</v>
      </c>
      <c r="AH167" s="186">
        <v>0</v>
      </c>
      <c r="AI167" s="186">
        <v>0</v>
      </c>
      <c r="AJ167" s="186">
        <v>0</v>
      </c>
      <c r="AK167" s="186">
        <v>0</v>
      </c>
      <c r="AL167" s="186">
        <v>0</v>
      </c>
      <c r="AM167" s="186">
        <v>0</v>
      </c>
      <c r="AN167" s="186">
        <v>0</v>
      </c>
      <c r="AO167" s="186">
        <v>0</v>
      </c>
      <c r="AP167" s="186">
        <v>0</v>
      </c>
      <c r="AQ167" s="186">
        <v>0</v>
      </c>
      <c r="AR167" s="186">
        <v>0</v>
      </c>
      <c r="AS167" s="186">
        <v>0</v>
      </c>
      <c r="AT167" s="186">
        <v>0</v>
      </c>
      <c r="AU167" s="186">
        <v>0</v>
      </c>
      <c r="AV167" s="186">
        <v>0</v>
      </c>
      <c r="AW167" s="186">
        <v>0</v>
      </c>
      <c r="AX167" s="186">
        <v>0</v>
      </c>
      <c r="AY167" s="186">
        <v>0</v>
      </c>
      <c r="AZ167" s="186">
        <v>0</v>
      </c>
      <c r="BA167" s="186">
        <v>0</v>
      </c>
      <c r="BB167" s="186">
        <v>0</v>
      </c>
      <c r="BC167" s="186">
        <v>0</v>
      </c>
      <c r="BD167" s="186">
        <v>0</v>
      </c>
      <c r="BE167" s="186">
        <v>0</v>
      </c>
      <c r="BF167" s="186">
        <v>0</v>
      </c>
      <c r="BG167" s="186">
        <v>0</v>
      </c>
      <c r="BH167" s="186">
        <v>0</v>
      </c>
      <c r="BI167" s="186">
        <v>0</v>
      </c>
      <c r="BJ167" s="186">
        <v>0</v>
      </c>
      <c r="BK167" s="186">
        <v>0</v>
      </c>
      <c r="BL167" s="186">
        <v>0</v>
      </c>
      <c r="BM167" s="186">
        <v>0</v>
      </c>
      <c r="BN167" s="186">
        <v>0</v>
      </c>
      <c r="BO167" s="186">
        <v>0</v>
      </c>
      <c r="BP167" s="186">
        <v>0</v>
      </c>
      <c r="BQ167" s="186">
        <v>0</v>
      </c>
      <c r="BR167" s="186">
        <v>0</v>
      </c>
      <c r="BS167" s="186">
        <v>0</v>
      </c>
      <c r="BT167" s="186">
        <v>0</v>
      </c>
      <c r="BU167" s="186">
        <v>0</v>
      </c>
      <c r="BV167" s="186">
        <v>0</v>
      </c>
      <c r="BW167" s="186">
        <v>0</v>
      </c>
      <c r="BX167" s="186">
        <v>0</v>
      </c>
      <c r="BY167" s="186">
        <v>0</v>
      </c>
      <c r="BZ167" s="186">
        <v>0</v>
      </c>
      <c r="CA167" s="186">
        <v>0</v>
      </c>
      <c r="CB167" s="186">
        <v>0</v>
      </c>
      <c r="CC167" s="186">
        <v>0</v>
      </c>
      <c r="CD167" s="186">
        <v>0</v>
      </c>
      <c r="CE167" s="186">
        <v>0</v>
      </c>
      <c r="CF167" s="186">
        <v>0</v>
      </c>
      <c r="CG167" s="186">
        <v>0</v>
      </c>
      <c r="CH167" s="186">
        <v>0</v>
      </c>
      <c r="CI167" s="186">
        <v>0</v>
      </c>
      <c r="CJ167" s="186">
        <v>0</v>
      </c>
      <c r="CK167" s="186">
        <v>0</v>
      </c>
      <c r="CL167" s="186">
        <v>0</v>
      </c>
      <c r="CM167" s="186">
        <v>0</v>
      </c>
      <c r="CN167" s="186">
        <v>0</v>
      </c>
      <c r="CO167" s="186">
        <v>0</v>
      </c>
      <c r="CP167" s="186">
        <v>0</v>
      </c>
      <c r="CQ167" s="186">
        <v>0</v>
      </c>
      <c r="CR167" s="186">
        <v>0</v>
      </c>
      <c r="CS167" s="186">
        <v>0</v>
      </c>
      <c r="CT167" s="186">
        <v>0</v>
      </c>
      <c r="CU167" s="186">
        <v>0</v>
      </c>
      <c r="CV167" s="186">
        <v>0</v>
      </c>
    </row>
    <row r="168" spans="1:100">
      <c r="A168" s="541" t="str">
        <f t="shared" si="2"/>
        <v>1990920</v>
      </c>
      <c r="B168" s="541" t="s">
        <v>1797</v>
      </c>
      <c r="C168" s="463" t="s">
        <v>1796</v>
      </c>
      <c r="D168" s="397"/>
      <c r="E168" s="397"/>
      <c r="F168" s="397"/>
      <c r="G168" s="397"/>
      <c r="H168" s="397"/>
      <c r="I168" s="397"/>
      <c r="J168" s="397"/>
      <c r="K168" s="397"/>
      <c r="L168" s="397"/>
      <c r="M168" s="397"/>
      <c r="N168" s="397"/>
      <c r="O168" s="397"/>
      <c r="P168" s="398"/>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v>0</v>
      </c>
      <c r="AP168" s="186">
        <v>0</v>
      </c>
      <c r="AQ168" s="186">
        <v>0</v>
      </c>
      <c r="AR168" s="186">
        <v>0</v>
      </c>
      <c r="AS168" s="186">
        <v>0</v>
      </c>
      <c r="AT168" s="186">
        <v>0</v>
      </c>
      <c r="AU168" s="186">
        <v>0</v>
      </c>
      <c r="AV168" s="186">
        <v>0</v>
      </c>
      <c r="AW168" s="186">
        <v>0</v>
      </c>
      <c r="AX168" s="186">
        <v>0</v>
      </c>
      <c r="AY168" s="186">
        <v>0</v>
      </c>
      <c r="AZ168" s="186">
        <v>0</v>
      </c>
      <c r="BA168" s="186">
        <v>0</v>
      </c>
      <c r="BB168" s="186">
        <v>0</v>
      </c>
      <c r="BC168" s="186">
        <v>0</v>
      </c>
      <c r="BD168" s="186">
        <v>0</v>
      </c>
      <c r="BE168" s="186">
        <v>0</v>
      </c>
      <c r="BF168" s="186">
        <v>0</v>
      </c>
      <c r="BG168" s="186">
        <v>0</v>
      </c>
      <c r="BH168" s="186">
        <v>0</v>
      </c>
      <c r="BI168" s="186">
        <v>0</v>
      </c>
      <c r="BJ168" s="186">
        <v>0</v>
      </c>
      <c r="BK168" s="186">
        <v>0</v>
      </c>
      <c r="BL168" s="186">
        <v>0</v>
      </c>
      <c r="BM168" s="186">
        <v>0</v>
      </c>
      <c r="BN168" s="186">
        <v>0</v>
      </c>
      <c r="BO168" s="186">
        <v>0</v>
      </c>
      <c r="BP168" s="186">
        <v>0</v>
      </c>
      <c r="BQ168" s="186">
        <v>0</v>
      </c>
      <c r="BR168" s="186">
        <v>0</v>
      </c>
      <c r="BS168" s="186">
        <v>0</v>
      </c>
      <c r="BT168" s="186">
        <v>0</v>
      </c>
      <c r="BU168" s="186">
        <v>0</v>
      </c>
      <c r="BV168" s="186">
        <v>0</v>
      </c>
      <c r="BW168" s="186">
        <v>0</v>
      </c>
      <c r="BX168" s="186">
        <v>0</v>
      </c>
      <c r="BY168" s="186">
        <v>0</v>
      </c>
      <c r="BZ168" s="186">
        <v>0</v>
      </c>
      <c r="CA168" s="186">
        <v>0</v>
      </c>
      <c r="CB168" s="186">
        <v>0</v>
      </c>
      <c r="CC168" s="186">
        <v>0</v>
      </c>
      <c r="CD168" s="186">
        <v>0</v>
      </c>
      <c r="CE168" s="186">
        <v>0</v>
      </c>
      <c r="CF168" s="186">
        <v>0</v>
      </c>
      <c r="CG168" s="186">
        <v>0</v>
      </c>
      <c r="CH168" s="186">
        <v>0</v>
      </c>
      <c r="CI168" s="186">
        <v>0</v>
      </c>
      <c r="CJ168" s="186">
        <v>0</v>
      </c>
      <c r="CK168" s="186">
        <v>0</v>
      </c>
      <c r="CL168" s="186">
        <v>0</v>
      </c>
      <c r="CM168" s="186">
        <v>0</v>
      </c>
      <c r="CN168" s="186">
        <v>0</v>
      </c>
      <c r="CO168" s="186">
        <v>0</v>
      </c>
      <c r="CP168" s="186">
        <v>0</v>
      </c>
      <c r="CQ168" s="186">
        <v>0</v>
      </c>
      <c r="CR168" s="186">
        <v>0</v>
      </c>
      <c r="CS168" s="186">
        <v>0</v>
      </c>
      <c r="CT168" s="186">
        <v>0</v>
      </c>
      <c r="CU168" s="186">
        <v>0</v>
      </c>
      <c r="CV168" s="186">
        <v>0</v>
      </c>
    </row>
    <row r="169" spans="1:100">
      <c r="A169" s="541" t="str">
        <f t="shared" si="2"/>
        <v>2070000</v>
      </c>
      <c r="B169" s="541" t="s">
        <v>1614</v>
      </c>
      <c r="C169" s="463" t="s">
        <v>711</v>
      </c>
      <c r="D169" s="397">
        <v>-5575333.3300000001</v>
      </c>
      <c r="E169" s="397">
        <v>-5575333.3300000001</v>
      </c>
      <c r="F169" s="397">
        <v>-5575333.3300000001</v>
      </c>
      <c r="G169" s="397">
        <v>-5575333.3300000001</v>
      </c>
      <c r="H169" s="397">
        <v>-5575333.3300000001</v>
      </c>
      <c r="I169" s="397">
        <v>-5575333.3300000001</v>
      </c>
      <c r="J169" s="397">
        <v>-5575333.3300000001</v>
      </c>
      <c r="K169" s="397">
        <v>-5575333.3300000001</v>
      </c>
      <c r="L169" s="397">
        <v>-5575333.3300000001</v>
      </c>
      <c r="M169" s="397">
        <v>-5575333.3300000001</v>
      </c>
      <c r="N169" s="397">
        <v>-5575333.3300000001</v>
      </c>
      <c r="O169" s="397">
        <v>-5575333.3300000001</v>
      </c>
      <c r="P169" s="398">
        <v>-5575333.3300000001</v>
      </c>
      <c r="Q169" s="186">
        <v>-5575333.3300000001</v>
      </c>
      <c r="R169" s="186">
        <v>-5575333.3300000001</v>
      </c>
      <c r="S169" s="186">
        <v>-5575333.3300000001</v>
      </c>
      <c r="T169" s="186">
        <v>-5575333.3300000001</v>
      </c>
      <c r="U169" s="186">
        <v>-5575333.3300000001</v>
      </c>
      <c r="V169" s="186">
        <v>-5575333.3300000001</v>
      </c>
      <c r="W169" s="186">
        <v>-5575333.3300000001</v>
      </c>
      <c r="X169" s="186">
        <v>-5575333.3300000001</v>
      </c>
      <c r="Y169" s="186">
        <v>-5575333.3300000001</v>
      </c>
      <c r="Z169" s="186">
        <v>-5575333.3300000001</v>
      </c>
      <c r="AA169" s="186">
        <v>-5575333.3300000001</v>
      </c>
      <c r="AB169" s="186">
        <v>-5575333.3300000001</v>
      </c>
      <c r="AC169" s="186">
        <v>-5575333.3300000001</v>
      </c>
      <c r="AD169" s="186">
        <v>-5575333.3300000001</v>
      </c>
      <c r="AE169" s="186">
        <v>-5575333.3300000001</v>
      </c>
      <c r="AF169" s="186">
        <v>-5575333.3300000001</v>
      </c>
      <c r="AG169" s="186">
        <v>-5575333.3300000001</v>
      </c>
      <c r="AH169" s="186">
        <v>-5575333.3300000001</v>
      </c>
      <c r="AI169" s="186">
        <v>-5575333.3300000001</v>
      </c>
      <c r="AJ169" s="186">
        <v>-5575333.3300000001</v>
      </c>
      <c r="AK169" s="186">
        <v>-5575333.3300000001</v>
      </c>
      <c r="AL169" s="186">
        <v>-5575333.3300000001</v>
      </c>
      <c r="AM169" s="186">
        <v>-5575333.3300000001</v>
      </c>
      <c r="AN169" s="186">
        <v>-5575333.3300000001</v>
      </c>
      <c r="AO169" s="186">
        <v>-5575333.3300000001</v>
      </c>
      <c r="AP169" s="186">
        <v>-5575333.3300000001</v>
      </c>
      <c r="AQ169" s="186">
        <v>-5575333.3300000001</v>
      </c>
      <c r="AR169" s="186">
        <v>-5575333.3300000001</v>
      </c>
      <c r="AS169" s="186">
        <v>-5575333.3300000001</v>
      </c>
      <c r="AT169" s="186">
        <v>-5575333.3300000001</v>
      </c>
      <c r="AU169" s="186">
        <v>-5575333.3300000001</v>
      </c>
      <c r="AV169" s="186">
        <v>-5575333.3300000001</v>
      </c>
      <c r="AW169" s="186">
        <v>-5575333.3300000001</v>
      </c>
      <c r="AX169" s="186">
        <v>-5575333.3300000001</v>
      </c>
      <c r="AY169" s="186">
        <v>-5575333.3300000001</v>
      </c>
      <c r="AZ169" s="186">
        <v>-5575333.3300000001</v>
      </c>
      <c r="BA169" s="186">
        <v>-5575333.3300000001</v>
      </c>
      <c r="BB169" s="186">
        <v>-5575333.3300000001</v>
      </c>
      <c r="BC169" s="186">
        <v>-5575333.3300000001</v>
      </c>
      <c r="BD169" s="186">
        <v>-5575333.3300000001</v>
      </c>
      <c r="BE169" s="186">
        <v>-5575333.3300000001</v>
      </c>
      <c r="BF169" s="186">
        <v>-5575333.3300000001</v>
      </c>
      <c r="BG169" s="186">
        <v>-5575333.3300000001</v>
      </c>
      <c r="BH169" s="186">
        <v>-5575333.3300000001</v>
      </c>
      <c r="BI169" s="186">
        <v>-5575333.3300000001</v>
      </c>
      <c r="BJ169" s="186">
        <v>-5575333.3300000001</v>
      </c>
      <c r="BK169" s="186">
        <v>-5575333.3300000001</v>
      </c>
      <c r="BL169" s="186">
        <v>-5575333.3300000001</v>
      </c>
      <c r="BM169" s="186">
        <v>-5575333.3300000001</v>
      </c>
      <c r="BN169" s="186">
        <v>-5575333.3300000001</v>
      </c>
      <c r="BO169" s="186">
        <v>-5575333.3300000001</v>
      </c>
      <c r="BP169" s="186">
        <v>-5575333.3300000001</v>
      </c>
      <c r="BQ169" s="186">
        <v>-5575333.3300000001</v>
      </c>
      <c r="BR169" s="186">
        <v>-5575333.3300000001</v>
      </c>
      <c r="BS169" s="186">
        <v>-5575333.3300000001</v>
      </c>
      <c r="BT169" s="186">
        <v>-5575333.3300000001</v>
      </c>
      <c r="BU169" s="186">
        <v>-5575333.3300000001</v>
      </c>
      <c r="BV169" s="186">
        <v>-5575333.3300000001</v>
      </c>
      <c r="BW169" s="186">
        <v>-5575333.3300000001</v>
      </c>
      <c r="BX169" s="186">
        <v>-5575333.3300000001</v>
      </c>
      <c r="BY169" s="186">
        <v>-5575333.3300000001</v>
      </c>
      <c r="BZ169" s="186">
        <v>-5575333.3300000001</v>
      </c>
      <c r="CA169" s="186">
        <v>-5575333.3300000001</v>
      </c>
      <c r="CB169" s="186">
        <v>-5575333.3300000001</v>
      </c>
      <c r="CC169" s="186">
        <v>-5575333.3300000001</v>
      </c>
      <c r="CD169" s="186">
        <v>-5575333.3300000001</v>
      </c>
      <c r="CE169" s="186">
        <v>-5575333.3300000001</v>
      </c>
      <c r="CF169" s="186">
        <v>-5575333.3300000001</v>
      </c>
      <c r="CG169" s="186">
        <v>-5575333.3300000001</v>
      </c>
      <c r="CH169" s="186">
        <v>-5575333.3300000001</v>
      </c>
      <c r="CI169" s="186">
        <v>-5575333.3300000001</v>
      </c>
      <c r="CJ169" s="186">
        <v>-5575333.3300000001</v>
      </c>
      <c r="CK169" s="186">
        <v>-5575333.3300000001</v>
      </c>
      <c r="CL169" s="186">
        <v>-5575333.3300000001</v>
      </c>
      <c r="CM169" s="186">
        <v>-5575333.3300000001</v>
      </c>
      <c r="CN169" s="186">
        <v>-5575333.3300000001</v>
      </c>
      <c r="CO169" s="186">
        <v>-5575333.3300000001</v>
      </c>
      <c r="CP169" s="186">
        <v>-5575333.3300000001</v>
      </c>
      <c r="CQ169" s="186">
        <v>-5575333.3300000001</v>
      </c>
      <c r="CR169" s="186">
        <v>-5575333.3300000001</v>
      </c>
      <c r="CS169" s="186">
        <v>-5575333.3300000001</v>
      </c>
      <c r="CT169" s="186">
        <v>-5575333.3300000001</v>
      </c>
      <c r="CU169" s="186">
        <v>-5575333.3300000001</v>
      </c>
      <c r="CV169" s="186">
        <v>-5575333.3300000001</v>
      </c>
    </row>
    <row r="170" spans="1:100">
      <c r="A170" s="541" t="str">
        <f t="shared" si="2"/>
        <v>2110000</v>
      </c>
      <c r="B170" s="541" t="s">
        <v>1615</v>
      </c>
      <c r="C170" s="463" t="s">
        <v>712</v>
      </c>
      <c r="D170" s="397">
        <v>-179974835.86000001</v>
      </c>
      <c r="E170" s="397">
        <v>-179974835.86000001</v>
      </c>
      <c r="F170" s="397">
        <v>-186974835.86000001</v>
      </c>
      <c r="G170" s="397">
        <v>-186974835.86000001</v>
      </c>
      <c r="H170" s="397">
        <v>-186974835.86000001</v>
      </c>
      <c r="I170" s="397">
        <v>-196974835.86000001</v>
      </c>
      <c r="J170" s="397">
        <v>-196974835.86000001</v>
      </c>
      <c r="K170" s="397">
        <v>-196974835.86000001</v>
      </c>
      <c r="L170" s="397">
        <v>-199474835.86000001</v>
      </c>
      <c r="M170" s="397">
        <v>-199474835.86000001</v>
      </c>
      <c r="N170" s="397">
        <v>-199474835.86000001</v>
      </c>
      <c r="O170" s="397">
        <v>-204974835.86000001</v>
      </c>
      <c r="P170" s="398">
        <v>-204974835.86000001</v>
      </c>
      <c r="Q170" s="186">
        <v>-204974835.86000001</v>
      </c>
      <c r="R170" s="186">
        <v>-204974835.86000001</v>
      </c>
      <c r="S170" s="186">
        <v>-204974835.86000001</v>
      </c>
      <c r="T170" s="186">
        <v>-204974835.86000001</v>
      </c>
      <c r="U170" s="186">
        <v>-214974835.86000001</v>
      </c>
      <c r="V170" s="186">
        <v>-214974835.86000001</v>
      </c>
      <c r="W170" s="186">
        <v>-214974835.86000001</v>
      </c>
      <c r="X170" s="186">
        <v>-222974835.86000001</v>
      </c>
      <c r="Y170" s="186">
        <v>-222974835.86000001</v>
      </c>
      <c r="Z170" s="186">
        <v>-222974835.86000001</v>
      </c>
      <c r="AA170" s="186">
        <v>-229974835.86000001</v>
      </c>
      <c r="AB170" s="186">
        <v>-229974835.86000001</v>
      </c>
      <c r="AC170" s="186">
        <v>-229974835.86000001</v>
      </c>
      <c r="AD170" s="186">
        <v>-229974835.86000001</v>
      </c>
      <c r="AE170" s="186">
        <v>-229974835.86000001</v>
      </c>
      <c r="AF170" s="186">
        <v>-229974835.86000001</v>
      </c>
      <c r="AG170" s="186">
        <v>-229974835.86000001</v>
      </c>
      <c r="AH170" s="186">
        <v>-229974835.86000001</v>
      </c>
      <c r="AI170" s="186">
        <v>-229974835.86000001</v>
      </c>
      <c r="AJ170" s="186">
        <v>-229974835.86000001</v>
      </c>
      <c r="AK170" s="186">
        <v>-229974835.86000001</v>
      </c>
      <c r="AL170" s="186">
        <v>-229974835.86000001</v>
      </c>
      <c r="AM170" s="186">
        <v>-229974835.86000001</v>
      </c>
      <c r="AN170" s="186">
        <v>-229974835.86000001</v>
      </c>
      <c r="AO170" s="186">
        <v>-229974835.86000001</v>
      </c>
      <c r="AP170" s="186">
        <v>-236974835.86000001</v>
      </c>
      <c r="AQ170" s="186">
        <v>-236974835.86000001</v>
      </c>
      <c r="AR170" s="186">
        <v>-236974835.86000001</v>
      </c>
      <c r="AS170" s="186">
        <v>-252974835.86000001</v>
      </c>
      <c r="AT170" s="186">
        <v>-252974835.86000001</v>
      </c>
      <c r="AU170" s="186">
        <v>-252974835.86000001</v>
      </c>
      <c r="AV170" s="186">
        <v>-262974835.86000001</v>
      </c>
      <c r="AW170" s="186">
        <v>-262974835.86000001</v>
      </c>
      <c r="AX170" s="186">
        <v>-262974835.86000001</v>
      </c>
      <c r="AY170" s="186">
        <v>-269974835.86000001</v>
      </c>
      <c r="AZ170" s="186">
        <v>-269974835.86000001</v>
      </c>
      <c r="BA170" s="186">
        <v>-269974835.86000001</v>
      </c>
      <c r="BB170" s="186">
        <v>-279974835.86000001</v>
      </c>
      <c r="BC170" s="186">
        <v>-279974835.86000001</v>
      </c>
      <c r="BD170" s="186">
        <v>-279974835.86000001</v>
      </c>
      <c r="BE170" s="186">
        <v>-294974835.86000001</v>
      </c>
      <c r="BF170" s="186">
        <v>-294974835.86000001</v>
      </c>
      <c r="BG170" s="186">
        <v>-294974835.86000001</v>
      </c>
      <c r="BH170" s="186">
        <v>-304974835.86000001</v>
      </c>
      <c r="BI170" s="186">
        <v>-304974835.86000001</v>
      </c>
      <c r="BJ170" s="186">
        <v>-304974835.86000001</v>
      </c>
      <c r="BK170" s="186">
        <v>-314974835.86000001</v>
      </c>
      <c r="BL170" s="186">
        <v>-314974835.86000001</v>
      </c>
      <c r="BM170" s="186">
        <v>-314974835.86000001</v>
      </c>
      <c r="BN170" s="186">
        <v>-349974835.86000001</v>
      </c>
      <c r="BO170" s="186">
        <v>-349974835.86000001</v>
      </c>
      <c r="BP170" s="186">
        <v>-349974835.86000001</v>
      </c>
      <c r="BQ170" s="186">
        <v>-384974835.86000001</v>
      </c>
      <c r="BR170" s="186">
        <v>-384974835.86000001</v>
      </c>
      <c r="BS170" s="186">
        <v>-384974835.86000001</v>
      </c>
      <c r="BT170" s="186">
        <v>-384974835.86000001</v>
      </c>
      <c r="BU170" s="186">
        <v>-409974835.86000001</v>
      </c>
      <c r="BV170" s="186">
        <v>-409974835.86000001</v>
      </c>
      <c r="BW170" s="186">
        <v>-409974835.86000001</v>
      </c>
      <c r="BX170" s="186">
        <v>-409974835.86000001</v>
      </c>
      <c r="BY170" s="186">
        <v>-409974835.86000001</v>
      </c>
      <c r="BZ170" s="186">
        <v>-449974835.86000001</v>
      </c>
      <c r="CA170" s="186">
        <v>-449974835.86000001</v>
      </c>
      <c r="CB170" s="186">
        <v>-449974835.86000001</v>
      </c>
      <c r="CC170" s="186">
        <v>-479974835.86000001</v>
      </c>
      <c r="CD170" s="186">
        <v>-479974835.86000001</v>
      </c>
      <c r="CE170" s="186">
        <v>-479974835.86000001</v>
      </c>
      <c r="CF170" s="186">
        <v>-524974835.86000001</v>
      </c>
      <c r="CG170" s="186">
        <v>-524974835.86000001</v>
      </c>
      <c r="CH170" s="186">
        <v>-524974835.86000001</v>
      </c>
      <c r="CI170" s="186">
        <v>-539974835.86000001</v>
      </c>
      <c r="CJ170" s="186">
        <v>-539974835.86000001</v>
      </c>
      <c r="CK170" s="186">
        <v>-539974835.86000001</v>
      </c>
      <c r="CL170" s="186">
        <v>-579974835.86000001</v>
      </c>
      <c r="CM170" s="186">
        <v>-579974835.86000001</v>
      </c>
      <c r="CN170" s="186">
        <v>-579974835.86000001</v>
      </c>
      <c r="CO170" s="186">
        <v>-599974835.86000001</v>
      </c>
      <c r="CP170" s="186">
        <v>-599974835.86000001</v>
      </c>
      <c r="CQ170" s="186">
        <v>-599974835.86000001</v>
      </c>
      <c r="CR170" s="186">
        <v>-634974835.86000001</v>
      </c>
      <c r="CS170" s="186">
        <v>-634974835.86000001</v>
      </c>
      <c r="CT170" s="186">
        <v>-634974835.86000001</v>
      </c>
      <c r="CU170" s="186">
        <v>-659974835.86000001</v>
      </c>
      <c r="CV170" s="186">
        <v>-659974835.86000001</v>
      </c>
    </row>
    <row r="171" spans="1:100">
      <c r="A171" s="541" t="str">
        <f t="shared" si="2"/>
        <v>2160000</v>
      </c>
      <c r="B171" s="541" t="s">
        <v>1616</v>
      </c>
      <c r="C171" s="463" t="s">
        <v>713</v>
      </c>
      <c r="D171" s="397">
        <v>-112751746.77</v>
      </c>
      <c r="E171" s="397">
        <v>-110952205.43000001</v>
      </c>
      <c r="F171" s="397">
        <v>-115124241.33</v>
      </c>
      <c r="G171" s="397">
        <v>-119799633.63</v>
      </c>
      <c r="H171" s="397">
        <v>-111564858.44</v>
      </c>
      <c r="I171" s="397">
        <v>-113200545.61</v>
      </c>
      <c r="J171" s="397">
        <v>-115416639.97</v>
      </c>
      <c r="K171" s="397">
        <v>-107554579.37</v>
      </c>
      <c r="L171" s="397">
        <v>-109067808.43000001</v>
      </c>
      <c r="M171" s="397">
        <v>-110333721.84999999</v>
      </c>
      <c r="N171" s="397">
        <v>-107285782.06</v>
      </c>
      <c r="O171" s="397">
        <v>-110110889.66</v>
      </c>
      <c r="P171" s="398">
        <v>-113647895.56999999</v>
      </c>
      <c r="Q171" s="186">
        <v>-118802797.55</v>
      </c>
      <c r="R171" s="186">
        <v>-117504527.31999999</v>
      </c>
      <c r="S171" s="186">
        <v>-121475246.72</v>
      </c>
      <c r="T171" s="186">
        <v>-110287568.98999999</v>
      </c>
      <c r="U171" s="186">
        <v>-112407027.02</v>
      </c>
      <c r="V171" s="186">
        <v>-114986553.63</v>
      </c>
      <c r="W171" s="186">
        <v>-108323066.45999999</v>
      </c>
      <c r="X171" s="186">
        <v>-110663699.53</v>
      </c>
      <c r="Y171" s="186">
        <v>-112300808.7</v>
      </c>
      <c r="Z171" s="186">
        <v>-114335585.09999999</v>
      </c>
      <c r="AA171" s="186">
        <v>-109351454.22</v>
      </c>
      <c r="AB171" s="186">
        <v>-111596653.5</v>
      </c>
      <c r="AC171" s="186">
        <v>-116597753.33</v>
      </c>
      <c r="AD171" s="186">
        <v>-116398348.61</v>
      </c>
      <c r="AE171" s="186">
        <v>-118668858.11</v>
      </c>
      <c r="AF171" s="186">
        <v>-121492806.76000001</v>
      </c>
      <c r="AG171" s="186">
        <v>-111639873.68000001</v>
      </c>
      <c r="AH171" s="186">
        <v>-105236370.94</v>
      </c>
      <c r="AI171" s="186">
        <v>-107637597.34</v>
      </c>
      <c r="AJ171" s="186">
        <v>-109379707.72</v>
      </c>
      <c r="AK171" s="186">
        <v>-111158412.81</v>
      </c>
      <c r="AL171" s="186">
        <v>-113332997.3</v>
      </c>
      <c r="AM171" s="186">
        <v>-110917535.06</v>
      </c>
      <c r="AN171" s="186">
        <v>-112749467.06999999</v>
      </c>
      <c r="AO171" s="186">
        <v>-117760363.55</v>
      </c>
      <c r="AP171" s="186">
        <v>-114776913.91</v>
      </c>
      <c r="AQ171" s="186">
        <v>-119026536.19</v>
      </c>
      <c r="AR171" s="186">
        <v>-122710535.67</v>
      </c>
      <c r="AS171" s="186">
        <v>-115691041.48999999</v>
      </c>
      <c r="AT171" s="186">
        <v>-117926021.73</v>
      </c>
      <c r="AU171" s="186">
        <v>-120083512.84</v>
      </c>
      <c r="AV171" s="186">
        <v>-111138566.63</v>
      </c>
      <c r="AW171" s="186">
        <v>-113846485.06</v>
      </c>
      <c r="AX171" s="186">
        <v>-116231024.20999999</v>
      </c>
      <c r="AY171" s="186">
        <v>-112278072.45</v>
      </c>
      <c r="AZ171" s="186">
        <v>-117313122.59999999</v>
      </c>
      <c r="BA171" s="186">
        <v>-126187963.14</v>
      </c>
      <c r="BB171" s="186">
        <v>-117345565.77</v>
      </c>
      <c r="BC171" s="186">
        <v>-118883531.98999999</v>
      </c>
      <c r="BD171" s="186">
        <v>-123682154.91</v>
      </c>
      <c r="BE171" s="186">
        <v>-111606549.43000001</v>
      </c>
      <c r="BF171" s="186">
        <v>-114480264.23999999</v>
      </c>
      <c r="BG171" s="186">
        <v>-117295990.61</v>
      </c>
      <c r="BH171" s="186">
        <v>-109540020.92</v>
      </c>
      <c r="BI171" s="186">
        <v>-113063498.97</v>
      </c>
      <c r="BJ171" s="186">
        <v>-115613095.17</v>
      </c>
      <c r="BK171" s="186">
        <v>-110210539.77</v>
      </c>
      <c r="BL171" s="186">
        <v>-115286558.36</v>
      </c>
      <c r="BM171" s="186">
        <v>-121647855.66</v>
      </c>
      <c r="BN171" s="186">
        <v>-116324247.79000001</v>
      </c>
      <c r="BO171" s="186">
        <v>-121359169.36</v>
      </c>
      <c r="BP171" s="186">
        <v>-126168992.53</v>
      </c>
      <c r="BQ171" s="186">
        <v>-113450977.5</v>
      </c>
      <c r="BR171" s="186">
        <v>-116981616.55</v>
      </c>
      <c r="BS171" s="186">
        <v>-119701501.81</v>
      </c>
      <c r="BT171" s="186">
        <v>-110484117.76000001</v>
      </c>
      <c r="BU171" s="186">
        <v>-113948813.06</v>
      </c>
      <c r="BV171" s="186">
        <v>-117176831.29000001</v>
      </c>
      <c r="BW171" s="186">
        <v>-111817281.34999999</v>
      </c>
      <c r="BX171" s="186">
        <v>-115649892.59999999</v>
      </c>
      <c r="BY171" s="186">
        <v>-123199237.58</v>
      </c>
      <c r="BZ171" s="186">
        <v>-117446726.44</v>
      </c>
      <c r="CA171" s="186">
        <v>-122197610.2</v>
      </c>
      <c r="CB171" s="186">
        <v>-125573891.23999999</v>
      </c>
      <c r="CC171" s="186">
        <v>-110956104.92</v>
      </c>
      <c r="CD171" s="186">
        <v>-113941556.62</v>
      </c>
      <c r="CE171" s="186">
        <v>-116849250.12</v>
      </c>
      <c r="CF171" s="186">
        <v>-110735988.48</v>
      </c>
      <c r="CG171" s="186">
        <v>-113912115.83</v>
      </c>
      <c r="CH171" s="186">
        <v>-116508199.70999999</v>
      </c>
      <c r="CI171" s="186">
        <v>-111858761.63</v>
      </c>
      <c r="CJ171" s="186">
        <v>-116111278.3</v>
      </c>
      <c r="CK171" s="186">
        <v>-127172630.66</v>
      </c>
      <c r="CL171" s="186">
        <v>-123064941.83</v>
      </c>
      <c r="CM171" s="186">
        <v>-130480380.98</v>
      </c>
      <c r="CN171" s="186">
        <v>-111744075.12</v>
      </c>
      <c r="CO171" s="186">
        <v>-116876984.18000001</v>
      </c>
      <c r="CP171" s="186">
        <v>-122048111.78</v>
      </c>
      <c r="CQ171" s="186">
        <v>-126208593.48999999</v>
      </c>
      <c r="CR171" s="186">
        <v>-112972753.8</v>
      </c>
      <c r="CS171" s="186">
        <v>-118232854.02</v>
      </c>
      <c r="CT171" s="186">
        <v>-123024793.39</v>
      </c>
      <c r="CU171" s="186">
        <v>-114701526.48</v>
      </c>
      <c r="CV171" s="186">
        <v>-120404681.34999999</v>
      </c>
    </row>
    <row r="172" spans="1:100">
      <c r="A172" s="541" t="str">
        <f t="shared" si="2"/>
        <v>2161000</v>
      </c>
      <c r="B172" s="541" t="s">
        <v>1617</v>
      </c>
      <c r="C172" s="463" t="s">
        <v>714</v>
      </c>
      <c r="D172" s="397">
        <v>-1089914.58</v>
      </c>
      <c r="E172" s="397">
        <v>-708365.88</v>
      </c>
      <c r="F172" s="397">
        <v>-1038956.82</v>
      </c>
      <c r="G172" s="397">
        <v>-1245448.08</v>
      </c>
      <c r="H172" s="397">
        <v>-807415.1</v>
      </c>
      <c r="I172" s="397">
        <v>-985942.33</v>
      </c>
      <c r="J172" s="397">
        <v>-1248390.05</v>
      </c>
      <c r="K172" s="397">
        <v>-823090.47</v>
      </c>
      <c r="L172" s="397">
        <v>-1020922.51</v>
      </c>
      <c r="M172" s="397">
        <v>-1089675.83</v>
      </c>
      <c r="N172" s="397">
        <v>-683066.78</v>
      </c>
      <c r="O172" s="397">
        <v>-683066.78</v>
      </c>
      <c r="P172" s="398">
        <v>-875947.35</v>
      </c>
      <c r="Q172" s="186">
        <v>-1266722.42</v>
      </c>
      <c r="R172" s="186">
        <v>-946260.42</v>
      </c>
      <c r="S172" s="186">
        <v>-1097023.71</v>
      </c>
      <c r="T172" s="186">
        <v>-419556.3</v>
      </c>
      <c r="U172" s="186">
        <v>-643916</v>
      </c>
      <c r="V172" s="186">
        <v>-860210.17</v>
      </c>
      <c r="W172" s="186">
        <v>-520934.42</v>
      </c>
      <c r="X172" s="186">
        <v>-691978</v>
      </c>
      <c r="Y172" s="186">
        <v>-915316.24</v>
      </c>
      <c r="Z172" s="186">
        <v>-1045549.72</v>
      </c>
      <c r="AA172" s="186">
        <v>-695638.65</v>
      </c>
      <c r="AB172" s="186">
        <v>-1399472.66</v>
      </c>
      <c r="AC172" s="186">
        <v>-1695753.12</v>
      </c>
      <c r="AD172" s="186">
        <v>-1514763.27</v>
      </c>
      <c r="AE172" s="186">
        <v>-1617419.24</v>
      </c>
      <c r="AF172" s="186">
        <v>-1739485.05</v>
      </c>
      <c r="AG172" s="186">
        <v>-666978.23</v>
      </c>
      <c r="AH172" s="186">
        <v>-300552.07</v>
      </c>
      <c r="AI172" s="186">
        <v>-515423.32</v>
      </c>
      <c r="AJ172" s="186">
        <v>-793188.72</v>
      </c>
      <c r="AK172" s="186">
        <v>-973459.71</v>
      </c>
      <c r="AL172" s="186">
        <v>-1742856.08</v>
      </c>
      <c r="AM172" s="186">
        <v>-1304371.94</v>
      </c>
      <c r="AN172" s="186">
        <v>-1525688.98</v>
      </c>
      <c r="AO172" s="186">
        <v>-1879621.38</v>
      </c>
      <c r="AP172" s="186">
        <v>-726969.53</v>
      </c>
      <c r="AQ172" s="186">
        <v>-1014138.68</v>
      </c>
      <c r="AR172" s="186">
        <v>-1161107.23</v>
      </c>
      <c r="AS172" s="186">
        <v>-609685.12</v>
      </c>
      <c r="AT172" s="186">
        <v>-456323.95</v>
      </c>
      <c r="AU172" s="186">
        <v>-1057716.6000000001</v>
      </c>
      <c r="AV172" s="186">
        <v>-413438.25</v>
      </c>
      <c r="AW172" s="186">
        <v>-413438.25</v>
      </c>
      <c r="AX172" s="186">
        <v>-659049.01</v>
      </c>
      <c r="AY172" s="186">
        <v>-717920.59</v>
      </c>
      <c r="AZ172" s="186">
        <v>-1266989.51</v>
      </c>
      <c r="BA172" s="186">
        <v>-1694255.26</v>
      </c>
      <c r="BB172" s="186">
        <v>-674603.32</v>
      </c>
      <c r="BC172" s="186">
        <v>-787205.82</v>
      </c>
      <c r="BD172" s="186">
        <v>-1293484.54</v>
      </c>
      <c r="BE172" s="186">
        <v>-601110.72</v>
      </c>
      <c r="BF172" s="186">
        <v>-823770.91</v>
      </c>
      <c r="BG172" s="186">
        <v>-1113314.74</v>
      </c>
      <c r="BH172" s="186">
        <v>-311947.07</v>
      </c>
      <c r="BI172" s="186">
        <v>-486419.53</v>
      </c>
      <c r="BJ172" s="186">
        <v>-740096.56</v>
      </c>
      <c r="BK172" s="186">
        <v>-329191.28999999998</v>
      </c>
      <c r="BL172" s="186">
        <v>-746528.46</v>
      </c>
      <c r="BM172" s="186">
        <v>-1003177.05</v>
      </c>
      <c r="BN172" s="186">
        <v>-374954.42</v>
      </c>
      <c r="BO172" s="186">
        <v>-836083.16</v>
      </c>
      <c r="BP172" s="186">
        <v>-1253190.18</v>
      </c>
      <c r="BQ172" s="186">
        <v>-573708.28</v>
      </c>
      <c r="BR172" s="186">
        <v>-808242.6</v>
      </c>
      <c r="BS172" s="186">
        <v>-1147172.72</v>
      </c>
      <c r="BT172" s="186">
        <v>-631175.93000000005</v>
      </c>
      <c r="BU172" s="186">
        <v>-850340.26</v>
      </c>
      <c r="BV172" s="186">
        <v>-1047931.12</v>
      </c>
      <c r="BW172" s="186">
        <v>-224561.77</v>
      </c>
      <c r="BX172" s="186">
        <v>-453354.21</v>
      </c>
      <c r="BY172" s="186">
        <v>-579626.85</v>
      </c>
      <c r="BZ172" s="186">
        <v>-383953.91</v>
      </c>
      <c r="CA172" s="186">
        <v>-477853.33</v>
      </c>
      <c r="CB172" s="186">
        <v>-812300.57</v>
      </c>
      <c r="CC172" s="186">
        <v>-577565.73</v>
      </c>
      <c r="CD172" s="186">
        <v>-801907.17</v>
      </c>
      <c r="CE172" s="186">
        <v>-990347.09</v>
      </c>
      <c r="CF172" s="186">
        <v>-332563.58</v>
      </c>
      <c r="CG172" s="186">
        <v>-571793.88</v>
      </c>
      <c r="CH172" s="186">
        <v>-922587.3</v>
      </c>
      <c r="CI172" s="186">
        <v>-392608.46</v>
      </c>
      <c r="CJ172" s="186">
        <v>-759656.77</v>
      </c>
      <c r="CK172" s="186">
        <v>-1093791.74</v>
      </c>
      <c r="CL172" s="186">
        <v>-554779.67000000004</v>
      </c>
      <c r="CM172" s="186">
        <v>-830140.99</v>
      </c>
      <c r="CN172" s="186">
        <v>-164253.96</v>
      </c>
      <c r="CO172" s="186">
        <v>-554767.04</v>
      </c>
      <c r="CP172" s="186">
        <v>-826257.62</v>
      </c>
      <c r="CQ172" s="186">
        <v>-1100378.3700000001</v>
      </c>
      <c r="CR172" s="186">
        <v>-443971.49</v>
      </c>
      <c r="CS172" s="186">
        <v>-739799.14</v>
      </c>
      <c r="CT172" s="186">
        <v>-1053546.92</v>
      </c>
      <c r="CU172" s="186">
        <v>-419642.6</v>
      </c>
      <c r="CV172" s="186">
        <v>-579087.52</v>
      </c>
    </row>
    <row r="173" spans="1:100">
      <c r="A173" s="541" t="str">
        <f t="shared" si="2"/>
        <v>2190000</v>
      </c>
      <c r="B173" s="541" t="s">
        <v>1618</v>
      </c>
      <c r="C173" s="463" t="s">
        <v>715</v>
      </c>
      <c r="D173" s="397">
        <v>0</v>
      </c>
      <c r="E173" s="397">
        <v>0</v>
      </c>
      <c r="F173" s="397">
        <v>0</v>
      </c>
      <c r="G173" s="397">
        <v>0</v>
      </c>
      <c r="H173" s="397">
        <v>0</v>
      </c>
      <c r="I173" s="397">
        <v>0</v>
      </c>
      <c r="J173" s="397">
        <v>0</v>
      </c>
      <c r="K173" s="397">
        <v>0</v>
      </c>
      <c r="L173" s="397">
        <v>0</v>
      </c>
      <c r="M173" s="397">
        <v>0</v>
      </c>
      <c r="N173" s="397">
        <v>0</v>
      </c>
      <c r="O173" s="397">
        <v>0</v>
      </c>
      <c r="P173" s="398">
        <v>0</v>
      </c>
      <c r="Q173" s="186">
        <v>0</v>
      </c>
      <c r="R173" s="186">
        <v>0</v>
      </c>
      <c r="S173" s="186">
        <v>0</v>
      </c>
      <c r="T173" s="186">
        <v>0</v>
      </c>
      <c r="U173" s="186">
        <v>0</v>
      </c>
      <c r="V173" s="186">
        <v>0</v>
      </c>
      <c r="W173" s="186">
        <v>0</v>
      </c>
      <c r="X173" s="186">
        <v>0</v>
      </c>
      <c r="Y173" s="186">
        <v>0</v>
      </c>
      <c r="Z173" s="186">
        <v>0</v>
      </c>
      <c r="AA173" s="186">
        <v>0</v>
      </c>
      <c r="AB173" s="186">
        <v>0</v>
      </c>
      <c r="AC173" s="186">
        <v>0</v>
      </c>
      <c r="AD173" s="186">
        <v>0</v>
      </c>
      <c r="AE173" s="186">
        <v>0</v>
      </c>
      <c r="AF173" s="186">
        <v>0</v>
      </c>
      <c r="AG173" s="186">
        <v>0</v>
      </c>
      <c r="AH173" s="186">
        <v>0</v>
      </c>
      <c r="AI173" s="186">
        <v>0</v>
      </c>
      <c r="AJ173" s="186">
        <v>0</v>
      </c>
      <c r="AK173" s="186">
        <v>0</v>
      </c>
      <c r="AL173" s="186">
        <v>0</v>
      </c>
      <c r="AM173" s="186">
        <v>0</v>
      </c>
      <c r="AN173" s="186">
        <v>0</v>
      </c>
      <c r="AO173" s="186">
        <v>0</v>
      </c>
      <c r="AP173" s="186">
        <v>0</v>
      </c>
      <c r="AQ173" s="186">
        <v>0</v>
      </c>
      <c r="AR173" s="186">
        <v>0</v>
      </c>
      <c r="AS173" s="186">
        <v>0</v>
      </c>
      <c r="AT173" s="186">
        <v>0</v>
      </c>
      <c r="AU173" s="186">
        <v>0</v>
      </c>
      <c r="AV173" s="186">
        <v>0</v>
      </c>
      <c r="AW173" s="186">
        <v>0</v>
      </c>
      <c r="AX173" s="186">
        <v>0</v>
      </c>
      <c r="AY173" s="186">
        <v>0</v>
      </c>
      <c r="AZ173" s="186">
        <v>0</v>
      </c>
      <c r="BA173" s="186">
        <v>0</v>
      </c>
      <c r="BB173" s="186">
        <v>0</v>
      </c>
      <c r="BC173" s="186">
        <v>0</v>
      </c>
      <c r="BD173" s="186">
        <v>0</v>
      </c>
      <c r="BE173" s="186">
        <v>0</v>
      </c>
      <c r="BF173" s="186">
        <v>0</v>
      </c>
      <c r="BG173" s="186">
        <v>0</v>
      </c>
      <c r="BH173" s="186">
        <v>0</v>
      </c>
      <c r="BI173" s="186">
        <v>0</v>
      </c>
      <c r="BJ173" s="186">
        <v>0</v>
      </c>
      <c r="BK173" s="186">
        <v>0</v>
      </c>
      <c r="BL173" s="186">
        <v>0</v>
      </c>
      <c r="BM173" s="186">
        <v>0</v>
      </c>
      <c r="BN173" s="186">
        <v>0</v>
      </c>
      <c r="BO173" s="186">
        <v>0</v>
      </c>
      <c r="BP173" s="186">
        <v>0</v>
      </c>
      <c r="BQ173" s="186">
        <v>0</v>
      </c>
      <c r="BR173" s="186">
        <v>0</v>
      </c>
      <c r="BS173" s="186">
        <v>0</v>
      </c>
      <c r="BT173" s="186">
        <v>0</v>
      </c>
      <c r="BU173" s="186">
        <v>0</v>
      </c>
      <c r="BV173" s="186">
        <v>0</v>
      </c>
      <c r="BW173" s="186">
        <v>0</v>
      </c>
      <c r="BX173" s="186">
        <v>0</v>
      </c>
      <c r="BY173" s="186">
        <v>0</v>
      </c>
      <c r="BZ173" s="186">
        <v>0</v>
      </c>
      <c r="CA173" s="186">
        <v>0</v>
      </c>
      <c r="CB173" s="186">
        <v>0</v>
      </c>
      <c r="CC173" s="186">
        <v>0</v>
      </c>
      <c r="CD173" s="186">
        <v>0</v>
      </c>
      <c r="CE173" s="186">
        <v>0</v>
      </c>
      <c r="CF173" s="186">
        <v>0</v>
      </c>
      <c r="CG173" s="186">
        <v>0</v>
      </c>
      <c r="CH173" s="186">
        <v>0</v>
      </c>
      <c r="CI173" s="186">
        <v>0</v>
      </c>
      <c r="CJ173" s="186">
        <v>0</v>
      </c>
      <c r="CK173" s="186">
        <v>0</v>
      </c>
      <c r="CL173" s="186">
        <v>0</v>
      </c>
      <c r="CM173" s="186">
        <v>0</v>
      </c>
      <c r="CN173" s="186">
        <v>0</v>
      </c>
      <c r="CO173" s="186">
        <v>0</v>
      </c>
      <c r="CP173" s="186">
        <v>0</v>
      </c>
      <c r="CQ173" s="186">
        <v>0</v>
      </c>
      <c r="CR173" s="186">
        <v>0</v>
      </c>
      <c r="CS173" s="186">
        <v>0</v>
      </c>
      <c r="CT173" s="186">
        <v>0</v>
      </c>
      <c r="CU173" s="186">
        <v>0</v>
      </c>
      <c r="CV173" s="186">
        <v>0</v>
      </c>
    </row>
    <row r="174" spans="1:100">
      <c r="A174" s="541" t="str">
        <f t="shared" si="2"/>
        <v>2190001</v>
      </c>
      <c r="B174" s="541" t="s">
        <v>1619</v>
      </c>
      <c r="C174" s="463" t="s">
        <v>716</v>
      </c>
      <c r="D174" s="397"/>
      <c r="E174" s="397">
        <v>0</v>
      </c>
      <c r="F174" s="397">
        <v>0</v>
      </c>
      <c r="G174" s="397">
        <v>0</v>
      </c>
      <c r="H174" s="397">
        <v>919.51</v>
      </c>
      <c r="I174" s="397">
        <v>0</v>
      </c>
      <c r="J174" s="397">
        <v>0</v>
      </c>
      <c r="K174" s="397">
        <v>0</v>
      </c>
      <c r="L174" s="397">
        <v>0</v>
      </c>
      <c r="M174" s="397">
        <v>0</v>
      </c>
      <c r="N174" s="397">
        <v>0</v>
      </c>
      <c r="O174" s="397">
        <v>0</v>
      </c>
      <c r="P174" s="398">
        <v>0</v>
      </c>
      <c r="Q174" s="186">
        <v>0</v>
      </c>
      <c r="R174" s="186">
        <v>0</v>
      </c>
      <c r="S174" s="186">
        <v>10617.35</v>
      </c>
      <c r="T174" s="186">
        <v>0</v>
      </c>
      <c r="U174" s="186">
        <v>-72439.19</v>
      </c>
      <c r="V174" s="186">
        <v>0</v>
      </c>
      <c r="W174" s="186">
        <v>0</v>
      </c>
      <c r="X174" s="186">
        <v>0</v>
      </c>
      <c r="Y174" s="186">
        <v>0</v>
      </c>
      <c r="Z174" s="186">
        <v>0</v>
      </c>
      <c r="AA174" s="186">
        <v>0</v>
      </c>
      <c r="AB174" s="186">
        <v>0</v>
      </c>
      <c r="AC174" s="186">
        <v>0</v>
      </c>
      <c r="AD174" s="186">
        <v>0</v>
      </c>
      <c r="AE174" s="186">
        <v>0</v>
      </c>
      <c r="AF174" s="186">
        <v>0</v>
      </c>
      <c r="AG174" s="186">
        <v>0</v>
      </c>
      <c r="AH174" s="186">
        <v>0</v>
      </c>
      <c r="AI174" s="186">
        <v>0</v>
      </c>
      <c r="AJ174" s="186">
        <v>0</v>
      </c>
      <c r="AK174" s="186">
        <v>0</v>
      </c>
      <c r="AL174" s="186">
        <v>0</v>
      </c>
      <c r="AM174" s="186">
        <v>0</v>
      </c>
      <c r="AN174" s="186">
        <v>0</v>
      </c>
      <c r="AO174" s="186">
        <v>0</v>
      </c>
      <c r="AP174" s="186">
        <v>0</v>
      </c>
      <c r="AQ174" s="186">
        <v>0</v>
      </c>
      <c r="AR174" s="186">
        <v>0</v>
      </c>
      <c r="AS174" s="186">
        <v>0</v>
      </c>
      <c r="AT174" s="186">
        <v>0</v>
      </c>
      <c r="AU174" s="186">
        <v>0</v>
      </c>
      <c r="AV174" s="186">
        <v>0</v>
      </c>
      <c r="AW174" s="186">
        <v>0</v>
      </c>
      <c r="AX174" s="186">
        <v>0</v>
      </c>
      <c r="AY174" s="186">
        <v>0</v>
      </c>
      <c r="AZ174" s="186">
        <v>0</v>
      </c>
      <c r="BA174" s="186">
        <v>0</v>
      </c>
      <c r="BB174" s="186">
        <v>0</v>
      </c>
      <c r="BC174" s="186">
        <v>0</v>
      </c>
      <c r="BD174" s="186">
        <v>0</v>
      </c>
      <c r="BE174" s="186">
        <v>0</v>
      </c>
      <c r="BF174" s="186">
        <v>0</v>
      </c>
      <c r="BG174" s="186">
        <v>0</v>
      </c>
      <c r="BH174" s="186">
        <v>0</v>
      </c>
      <c r="BI174" s="186">
        <v>0</v>
      </c>
      <c r="BJ174" s="186">
        <v>0</v>
      </c>
      <c r="BK174" s="186">
        <v>0</v>
      </c>
      <c r="BL174" s="186">
        <v>0</v>
      </c>
      <c r="BM174" s="186">
        <v>0</v>
      </c>
      <c r="BN174" s="186">
        <v>0</v>
      </c>
      <c r="BO174" s="186">
        <v>0</v>
      </c>
      <c r="BP174" s="186">
        <v>0</v>
      </c>
      <c r="BQ174" s="186">
        <v>0</v>
      </c>
      <c r="BR174" s="186">
        <v>0</v>
      </c>
      <c r="BS174" s="186">
        <v>0</v>
      </c>
      <c r="BT174" s="186">
        <v>0</v>
      </c>
      <c r="BU174" s="186">
        <v>0</v>
      </c>
      <c r="BV174" s="186">
        <v>0</v>
      </c>
      <c r="BW174" s="186">
        <v>0</v>
      </c>
      <c r="BX174" s="186">
        <v>0</v>
      </c>
      <c r="BY174" s="186">
        <v>0</v>
      </c>
      <c r="BZ174" s="186">
        <v>0</v>
      </c>
      <c r="CA174" s="186">
        <v>0</v>
      </c>
      <c r="CB174" s="186">
        <v>0</v>
      </c>
      <c r="CC174" s="186">
        <v>0</v>
      </c>
      <c r="CD174" s="186">
        <v>0</v>
      </c>
      <c r="CE174" s="186">
        <v>0</v>
      </c>
      <c r="CF174" s="186">
        <v>0</v>
      </c>
      <c r="CG174" s="186">
        <v>0</v>
      </c>
      <c r="CH174" s="186">
        <v>0</v>
      </c>
      <c r="CI174" s="186">
        <v>0</v>
      </c>
      <c r="CJ174" s="186">
        <v>0</v>
      </c>
      <c r="CK174" s="186">
        <v>0</v>
      </c>
      <c r="CL174" s="186">
        <v>0</v>
      </c>
      <c r="CM174" s="186">
        <v>0</v>
      </c>
      <c r="CN174" s="186">
        <v>0</v>
      </c>
      <c r="CO174" s="186">
        <v>0</v>
      </c>
      <c r="CP174" s="186">
        <v>0</v>
      </c>
      <c r="CQ174" s="186">
        <v>0</v>
      </c>
      <c r="CR174" s="186">
        <v>0</v>
      </c>
      <c r="CS174" s="186">
        <v>0</v>
      </c>
      <c r="CT174" s="186">
        <v>0</v>
      </c>
      <c r="CU174" s="186">
        <v>0</v>
      </c>
      <c r="CV174" s="186">
        <v>0</v>
      </c>
    </row>
    <row r="175" spans="1:100">
      <c r="A175" s="541" t="str">
        <f t="shared" si="2"/>
        <v>2190010</v>
      </c>
      <c r="B175" s="541" t="s">
        <v>1620</v>
      </c>
      <c r="C175" s="463" t="s">
        <v>717</v>
      </c>
      <c r="D175" s="397">
        <v>0</v>
      </c>
      <c r="E175" s="397">
        <v>0</v>
      </c>
      <c r="F175" s="397">
        <v>0</v>
      </c>
      <c r="G175" s="397">
        <v>0</v>
      </c>
      <c r="H175" s="397">
        <v>0</v>
      </c>
      <c r="I175" s="397">
        <v>0</v>
      </c>
      <c r="J175" s="397">
        <v>0</v>
      </c>
      <c r="K175" s="397">
        <v>0</v>
      </c>
      <c r="L175" s="397">
        <v>0</v>
      </c>
      <c r="M175" s="397">
        <v>0</v>
      </c>
      <c r="N175" s="397">
        <v>0</v>
      </c>
      <c r="O175" s="397">
        <v>0</v>
      </c>
      <c r="P175" s="398">
        <v>0</v>
      </c>
      <c r="Q175" s="186">
        <v>0</v>
      </c>
      <c r="R175" s="186">
        <v>0</v>
      </c>
      <c r="S175" s="186">
        <v>0</v>
      </c>
      <c r="T175" s="186">
        <v>0</v>
      </c>
      <c r="U175" s="186">
        <v>0</v>
      </c>
      <c r="V175" s="186">
        <v>0</v>
      </c>
      <c r="W175" s="186">
        <v>0</v>
      </c>
      <c r="X175" s="186">
        <v>0</v>
      </c>
      <c r="Y175" s="186">
        <v>0</v>
      </c>
      <c r="Z175" s="186">
        <v>0</v>
      </c>
      <c r="AA175" s="186">
        <v>0</v>
      </c>
      <c r="AB175" s="186">
        <v>0</v>
      </c>
      <c r="AC175" s="186">
        <v>0</v>
      </c>
      <c r="AD175" s="186">
        <v>0</v>
      </c>
      <c r="AE175" s="186">
        <v>0</v>
      </c>
      <c r="AF175" s="186">
        <v>0</v>
      </c>
      <c r="AG175" s="186">
        <v>0</v>
      </c>
      <c r="AH175" s="186">
        <v>0</v>
      </c>
      <c r="AI175" s="186">
        <v>0</v>
      </c>
      <c r="AJ175" s="186">
        <v>0</v>
      </c>
      <c r="AK175" s="186">
        <v>0</v>
      </c>
      <c r="AL175" s="186">
        <v>0</v>
      </c>
      <c r="AM175" s="186">
        <v>0</v>
      </c>
      <c r="AN175" s="186">
        <v>0</v>
      </c>
      <c r="AO175" s="186">
        <v>0</v>
      </c>
      <c r="AP175" s="186">
        <v>0</v>
      </c>
      <c r="AQ175" s="186">
        <v>0</v>
      </c>
      <c r="AR175" s="186">
        <v>0</v>
      </c>
      <c r="AS175" s="186">
        <v>0</v>
      </c>
      <c r="AT175" s="186">
        <v>0</v>
      </c>
      <c r="AU175" s="186">
        <v>0</v>
      </c>
      <c r="AV175" s="186">
        <v>0</v>
      </c>
      <c r="AW175" s="186">
        <v>0</v>
      </c>
      <c r="AX175" s="186">
        <v>0</v>
      </c>
      <c r="AY175" s="186">
        <v>0</v>
      </c>
      <c r="AZ175" s="186">
        <v>0</v>
      </c>
      <c r="BA175" s="186">
        <v>0</v>
      </c>
      <c r="BB175" s="186">
        <v>0</v>
      </c>
      <c r="BC175" s="186">
        <v>0</v>
      </c>
      <c r="BD175" s="186">
        <v>0</v>
      </c>
      <c r="BE175" s="186">
        <v>0</v>
      </c>
      <c r="BF175" s="186">
        <v>0</v>
      </c>
      <c r="BG175" s="186">
        <v>0</v>
      </c>
      <c r="BH175" s="186">
        <v>0</v>
      </c>
      <c r="BI175" s="186">
        <v>0</v>
      </c>
      <c r="BJ175" s="186">
        <v>0</v>
      </c>
      <c r="BK175" s="186">
        <v>0</v>
      </c>
      <c r="BL175" s="186">
        <v>0</v>
      </c>
      <c r="BM175" s="186">
        <v>0</v>
      </c>
      <c r="BN175" s="186">
        <v>0</v>
      </c>
      <c r="BO175" s="186">
        <v>0</v>
      </c>
      <c r="BP175" s="186">
        <v>0</v>
      </c>
      <c r="BQ175" s="186">
        <v>0</v>
      </c>
      <c r="BR175" s="186">
        <v>0</v>
      </c>
      <c r="BS175" s="186">
        <v>0</v>
      </c>
      <c r="BT175" s="186">
        <v>0</v>
      </c>
      <c r="BU175" s="186">
        <v>0</v>
      </c>
      <c r="BV175" s="186">
        <v>0</v>
      </c>
      <c r="BW175" s="186">
        <v>0</v>
      </c>
      <c r="BX175" s="186">
        <v>0</v>
      </c>
      <c r="BY175" s="186">
        <v>0</v>
      </c>
      <c r="BZ175" s="186">
        <v>0</v>
      </c>
      <c r="CA175" s="186">
        <v>0</v>
      </c>
      <c r="CB175" s="186">
        <v>0</v>
      </c>
      <c r="CC175" s="186">
        <v>0</v>
      </c>
      <c r="CD175" s="186">
        <v>0</v>
      </c>
      <c r="CE175" s="186">
        <v>0</v>
      </c>
      <c r="CF175" s="186">
        <v>0</v>
      </c>
      <c r="CG175" s="186">
        <v>0</v>
      </c>
      <c r="CH175" s="186">
        <v>0</v>
      </c>
      <c r="CI175" s="186">
        <v>0</v>
      </c>
      <c r="CJ175" s="186">
        <v>0</v>
      </c>
      <c r="CK175" s="186">
        <v>0</v>
      </c>
      <c r="CL175" s="186">
        <v>0</v>
      </c>
      <c r="CM175" s="186">
        <v>0</v>
      </c>
      <c r="CN175" s="186">
        <v>0</v>
      </c>
      <c r="CO175" s="186">
        <v>0</v>
      </c>
      <c r="CP175" s="186">
        <v>0</v>
      </c>
      <c r="CQ175" s="186">
        <v>0</v>
      </c>
      <c r="CR175" s="186">
        <v>0</v>
      </c>
      <c r="CS175" s="186">
        <v>0</v>
      </c>
      <c r="CT175" s="186">
        <v>0</v>
      </c>
      <c r="CU175" s="186">
        <v>0</v>
      </c>
      <c r="CV175" s="186">
        <v>0</v>
      </c>
    </row>
    <row r="176" spans="1:100">
      <c r="A176" s="541" t="str">
        <f t="shared" si="2"/>
        <v>2190011</v>
      </c>
      <c r="B176" s="541" t="s">
        <v>1621</v>
      </c>
      <c r="C176" s="463" t="s">
        <v>718</v>
      </c>
      <c r="D176" s="397">
        <v>0</v>
      </c>
      <c r="E176" s="397">
        <v>0</v>
      </c>
      <c r="F176" s="397">
        <v>0</v>
      </c>
      <c r="G176" s="397">
        <v>0</v>
      </c>
      <c r="H176" s="397">
        <v>0</v>
      </c>
      <c r="I176" s="397">
        <v>0</v>
      </c>
      <c r="J176" s="397">
        <v>0</v>
      </c>
      <c r="K176" s="397">
        <v>0</v>
      </c>
      <c r="L176" s="397">
        <v>0</v>
      </c>
      <c r="M176" s="397">
        <v>0</v>
      </c>
      <c r="N176" s="397">
        <v>0</v>
      </c>
      <c r="O176" s="397">
        <v>0</v>
      </c>
      <c r="P176" s="398">
        <v>0</v>
      </c>
      <c r="Q176" s="186">
        <v>0</v>
      </c>
      <c r="R176" s="186">
        <v>0</v>
      </c>
      <c r="S176" s="186">
        <v>0</v>
      </c>
      <c r="T176" s="186">
        <v>0</v>
      </c>
      <c r="U176" s="186">
        <v>0</v>
      </c>
      <c r="V176" s="186">
        <v>0</v>
      </c>
      <c r="W176" s="186">
        <v>0</v>
      </c>
      <c r="X176" s="186">
        <v>0</v>
      </c>
      <c r="Y176" s="186">
        <v>0</v>
      </c>
      <c r="Z176" s="186">
        <v>0</v>
      </c>
      <c r="AA176" s="186">
        <v>0</v>
      </c>
      <c r="AB176" s="186">
        <v>0</v>
      </c>
      <c r="AC176" s="186">
        <v>0</v>
      </c>
      <c r="AD176" s="186">
        <v>0</v>
      </c>
      <c r="AE176" s="186">
        <v>0</v>
      </c>
      <c r="AF176" s="186">
        <v>0</v>
      </c>
      <c r="AG176" s="186">
        <v>0</v>
      </c>
      <c r="AH176" s="186">
        <v>0</v>
      </c>
      <c r="AI176" s="186">
        <v>0</v>
      </c>
      <c r="AJ176" s="186">
        <v>0</v>
      </c>
      <c r="AK176" s="186">
        <v>0</v>
      </c>
      <c r="AL176" s="186">
        <v>0</v>
      </c>
      <c r="AM176" s="186">
        <v>0</v>
      </c>
      <c r="AN176" s="186">
        <v>0</v>
      </c>
      <c r="AO176" s="186">
        <v>0</v>
      </c>
      <c r="AP176" s="186">
        <v>0</v>
      </c>
      <c r="AQ176" s="186">
        <v>0</v>
      </c>
      <c r="AR176" s="186">
        <v>0</v>
      </c>
      <c r="AS176" s="186">
        <v>0</v>
      </c>
      <c r="AT176" s="186">
        <v>0</v>
      </c>
      <c r="AU176" s="186">
        <v>0</v>
      </c>
      <c r="AV176" s="186">
        <v>0</v>
      </c>
      <c r="AW176" s="186">
        <v>0</v>
      </c>
      <c r="AX176" s="186">
        <v>0</v>
      </c>
      <c r="AY176" s="186">
        <v>0</v>
      </c>
      <c r="AZ176" s="186">
        <v>0</v>
      </c>
      <c r="BA176" s="186">
        <v>0</v>
      </c>
      <c r="BB176" s="186">
        <v>0</v>
      </c>
      <c r="BC176" s="186">
        <v>0</v>
      </c>
      <c r="BD176" s="186">
        <v>0</v>
      </c>
      <c r="BE176" s="186">
        <v>0</v>
      </c>
      <c r="BF176" s="186">
        <v>0</v>
      </c>
      <c r="BG176" s="186">
        <v>0</v>
      </c>
      <c r="BH176" s="186">
        <v>0</v>
      </c>
      <c r="BI176" s="186">
        <v>0</v>
      </c>
      <c r="BJ176" s="186">
        <v>0</v>
      </c>
      <c r="BK176" s="186">
        <v>0</v>
      </c>
      <c r="BL176" s="186">
        <v>0</v>
      </c>
      <c r="BM176" s="186">
        <v>0</v>
      </c>
      <c r="BN176" s="186">
        <v>0</v>
      </c>
      <c r="BO176" s="186">
        <v>0</v>
      </c>
      <c r="BP176" s="186">
        <v>0</v>
      </c>
      <c r="BQ176" s="186">
        <v>0</v>
      </c>
      <c r="BR176" s="186">
        <v>0</v>
      </c>
      <c r="BS176" s="186">
        <v>0</v>
      </c>
      <c r="BT176" s="186">
        <v>0</v>
      </c>
      <c r="BU176" s="186">
        <v>0</v>
      </c>
      <c r="BV176" s="186">
        <v>0</v>
      </c>
      <c r="BW176" s="186">
        <v>0</v>
      </c>
      <c r="BX176" s="186">
        <v>0</v>
      </c>
      <c r="BY176" s="186">
        <v>0</v>
      </c>
      <c r="BZ176" s="186">
        <v>0</v>
      </c>
      <c r="CA176" s="186">
        <v>0</v>
      </c>
      <c r="CB176" s="186">
        <v>0</v>
      </c>
      <c r="CC176" s="186">
        <v>0</v>
      </c>
      <c r="CD176" s="186">
        <v>0</v>
      </c>
      <c r="CE176" s="186">
        <v>0</v>
      </c>
      <c r="CF176" s="186">
        <v>0</v>
      </c>
      <c r="CG176" s="186">
        <v>0</v>
      </c>
      <c r="CH176" s="186">
        <v>0</v>
      </c>
      <c r="CI176" s="186">
        <v>0</v>
      </c>
      <c r="CJ176" s="186">
        <v>0</v>
      </c>
      <c r="CK176" s="186">
        <v>0</v>
      </c>
      <c r="CL176" s="186">
        <v>0</v>
      </c>
      <c r="CM176" s="186">
        <v>0</v>
      </c>
      <c r="CN176" s="186">
        <v>0</v>
      </c>
      <c r="CO176" s="186">
        <v>0</v>
      </c>
      <c r="CP176" s="186">
        <v>0</v>
      </c>
      <c r="CQ176" s="186">
        <v>0</v>
      </c>
      <c r="CR176" s="186">
        <v>0</v>
      </c>
      <c r="CS176" s="186">
        <v>0</v>
      </c>
      <c r="CT176" s="186">
        <v>0</v>
      </c>
      <c r="CU176" s="186">
        <v>0</v>
      </c>
      <c r="CV176" s="186">
        <v>0</v>
      </c>
    </row>
    <row r="177" spans="1:100">
      <c r="A177" s="541" t="str">
        <f t="shared" si="2"/>
        <v>2190020</v>
      </c>
      <c r="B177" s="541" t="s">
        <v>1622</v>
      </c>
      <c r="C177" s="463" t="s">
        <v>719</v>
      </c>
      <c r="D177" s="397">
        <v>0</v>
      </c>
      <c r="E177" s="397">
        <v>0</v>
      </c>
      <c r="F177" s="397">
        <v>0</v>
      </c>
      <c r="G177" s="397">
        <v>0</v>
      </c>
      <c r="H177" s="397">
        <v>0</v>
      </c>
      <c r="I177" s="397">
        <v>0</v>
      </c>
      <c r="J177" s="397">
        <v>0</v>
      </c>
      <c r="K177" s="397">
        <v>0</v>
      </c>
      <c r="L177" s="397">
        <v>0</v>
      </c>
      <c r="M177" s="397">
        <v>0</v>
      </c>
      <c r="N177" s="397">
        <v>0</v>
      </c>
      <c r="O177" s="397">
        <v>0</v>
      </c>
      <c r="P177" s="398">
        <v>0</v>
      </c>
      <c r="Q177" s="186">
        <v>0</v>
      </c>
      <c r="R177" s="186">
        <v>0</v>
      </c>
      <c r="S177" s="186">
        <v>0</v>
      </c>
      <c r="T177" s="186">
        <v>0</v>
      </c>
      <c r="U177" s="186">
        <v>0</v>
      </c>
      <c r="V177" s="186">
        <v>0</v>
      </c>
      <c r="W177" s="186">
        <v>0</v>
      </c>
      <c r="X177" s="186">
        <v>0</v>
      </c>
      <c r="Y177" s="186">
        <v>0</v>
      </c>
      <c r="Z177" s="186">
        <v>0</v>
      </c>
      <c r="AA177" s="186">
        <v>0</v>
      </c>
      <c r="AB177" s="186">
        <v>0</v>
      </c>
      <c r="AC177" s="186">
        <v>0</v>
      </c>
      <c r="AD177" s="186">
        <v>0</v>
      </c>
      <c r="AE177" s="186">
        <v>0</v>
      </c>
      <c r="AF177" s="186">
        <v>0</v>
      </c>
      <c r="AG177" s="186">
        <v>0</v>
      </c>
      <c r="AH177" s="186">
        <v>0</v>
      </c>
      <c r="AI177" s="186">
        <v>0</v>
      </c>
      <c r="AJ177" s="186">
        <v>0</v>
      </c>
      <c r="AK177" s="186">
        <v>0</v>
      </c>
      <c r="AL177" s="186">
        <v>0</v>
      </c>
      <c r="AM177" s="186">
        <v>0</v>
      </c>
      <c r="AN177" s="186">
        <v>0</v>
      </c>
      <c r="AO177" s="186">
        <v>0</v>
      </c>
      <c r="AP177" s="186">
        <v>0</v>
      </c>
      <c r="AQ177" s="186">
        <v>0</v>
      </c>
      <c r="AR177" s="186">
        <v>0</v>
      </c>
      <c r="AS177" s="186">
        <v>0</v>
      </c>
      <c r="AT177" s="186">
        <v>0</v>
      </c>
      <c r="AU177" s="186">
        <v>0</v>
      </c>
      <c r="AV177" s="186">
        <v>0</v>
      </c>
      <c r="AW177" s="186">
        <v>0</v>
      </c>
      <c r="AX177" s="186">
        <v>0</v>
      </c>
      <c r="AY177" s="186">
        <v>0</v>
      </c>
      <c r="AZ177" s="186">
        <v>0</v>
      </c>
      <c r="BA177" s="186">
        <v>0</v>
      </c>
      <c r="BB177" s="186">
        <v>0</v>
      </c>
      <c r="BC177" s="186">
        <v>0</v>
      </c>
      <c r="BD177" s="186">
        <v>0</v>
      </c>
      <c r="BE177" s="186">
        <v>0</v>
      </c>
      <c r="BF177" s="186">
        <v>0</v>
      </c>
      <c r="BG177" s="186">
        <v>0</v>
      </c>
      <c r="BH177" s="186">
        <v>0</v>
      </c>
      <c r="BI177" s="186">
        <v>0</v>
      </c>
      <c r="BJ177" s="186">
        <v>0</v>
      </c>
      <c r="BK177" s="186">
        <v>0</v>
      </c>
      <c r="BL177" s="186">
        <v>0</v>
      </c>
      <c r="BM177" s="186">
        <v>0</v>
      </c>
      <c r="BN177" s="186">
        <v>0</v>
      </c>
      <c r="BO177" s="186">
        <v>0</v>
      </c>
      <c r="BP177" s="186">
        <v>0</v>
      </c>
      <c r="BQ177" s="186">
        <v>0</v>
      </c>
      <c r="BR177" s="186">
        <v>0</v>
      </c>
      <c r="BS177" s="186">
        <v>0</v>
      </c>
      <c r="BT177" s="186">
        <v>0</v>
      </c>
      <c r="BU177" s="186">
        <v>0</v>
      </c>
      <c r="BV177" s="186">
        <v>0</v>
      </c>
      <c r="BW177" s="186">
        <v>0</v>
      </c>
      <c r="BX177" s="186">
        <v>0</v>
      </c>
      <c r="BY177" s="186">
        <v>0</v>
      </c>
      <c r="BZ177" s="186">
        <v>0</v>
      </c>
      <c r="CA177" s="186">
        <v>0</v>
      </c>
      <c r="CB177" s="186">
        <v>0</v>
      </c>
      <c r="CC177" s="186">
        <v>0</v>
      </c>
      <c r="CD177" s="186">
        <v>0</v>
      </c>
      <c r="CE177" s="186">
        <v>0</v>
      </c>
      <c r="CF177" s="186">
        <v>0</v>
      </c>
      <c r="CG177" s="186">
        <v>0</v>
      </c>
      <c r="CH177" s="186">
        <v>0</v>
      </c>
      <c r="CI177" s="186">
        <v>0</v>
      </c>
      <c r="CJ177" s="186">
        <v>0</v>
      </c>
      <c r="CK177" s="186">
        <v>0</v>
      </c>
      <c r="CL177" s="186">
        <v>0</v>
      </c>
      <c r="CM177" s="186">
        <v>0</v>
      </c>
      <c r="CN177" s="186">
        <v>0</v>
      </c>
      <c r="CO177" s="186">
        <v>0</v>
      </c>
      <c r="CP177" s="186">
        <v>0</v>
      </c>
      <c r="CQ177" s="186">
        <v>0</v>
      </c>
      <c r="CR177" s="186">
        <v>0</v>
      </c>
      <c r="CS177" s="186">
        <v>0</v>
      </c>
      <c r="CT177" s="186">
        <v>0</v>
      </c>
      <c r="CU177" s="186">
        <v>0</v>
      </c>
      <c r="CV177" s="186">
        <v>0</v>
      </c>
    </row>
    <row r="178" spans="1:100">
      <c r="A178" s="541" t="str">
        <f t="shared" si="2"/>
        <v>2190030</v>
      </c>
      <c r="B178" s="541" t="s">
        <v>1623</v>
      </c>
      <c r="C178" s="463" t="s">
        <v>720</v>
      </c>
      <c r="D178" s="397">
        <v>0</v>
      </c>
      <c r="E178" s="397">
        <v>0</v>
      </c>
      <c r="F178" s="397">
        <v>0</v>
      </c>
      <c r="G178" s="397">
        <v>0</v>
      </c>
      <c r="H178" s="397">
        <v>0</v>
      </c>
      <c r="I178" s="397">
        <v>0</v>
      </c>
      <c r="J178" s="397">
        <v>0</v>
      </c>
      <c r="K178" s="397">
        <v>0</v>
      </c>
      <c r="L178" s="397">
        <v>0</v>
      </c>
      <c r="M178" s="397">
        <v>0</v>
      </c>
      <c r="N178" s="397">
        <v>0</v>
      </c>
      <c r="O178" s="397">
        <v>0</v>
      </c>
      <c r="P178" s="398">
        <v>0</v>
      </c>
      <c r="Q178" s="186">
        <v>0</v>
      </c>
      <c r="R178" s="186">
        <v>0</v>
      </c>
      <c r="S178" s="186">
        <v>0</v>
      </c>
      <c r="T178" s="186">
        <v>0</v>
      </c>
      <c r="U178" s="186">
        <v>0</v>
      </c>
      <c r="V178" s="186">
        <v>0</v>
      </c>
      <c r="W178" s="186">
        <v>0</v>
      </c>
      <c r="X178" s="186">
        <v>0</v>
      </c>
      <c r="Y178" s="186">
        <v>0</v>
      </c>
      <c r="Z178" s="186">
        <v>0</v>
      </c>
      <c r="AA178" s="186">
        <v>0</v>
      </c>
      <c r="AB178" s="186">
        <v>0</v>
      </c>
      <c r="AC178" s="186">
        <v>0</v>
      </c>
      <c r="AD178" s="186">
        <v>0</v>
      </c>
      <c r="AE178" s="186">
        <v>0</v>
      </c>
      <c r="AF178" s="186">
        <v>0</v>
      </c>
      <c r="AG178" s="186">
        <v>0</v>
      </c>
      <c r="AH178" s="186">
        <v>0</v>
      </c>
      <c r="AI178" s="186">
        <v>0</v>
      </c>
      <c r="AJ178" s="186">
        <v>0</v>
      </c>
      <c r="AK178" s="186">
        <v>0</v>
      </c>
      <c r="AL178" s="186">
        <v>0</v>
      </c>
      <c r="AM178" s="186">
        <v>0</v>
      </c>
      <c r="AN178" s="186">
        <v>0</v>
      </c>
      <c r="AO178" s="186">
        <v>0</v>
      </c>
      <c r="AP178" s="186">
        <v>0</v>
      </c>
      <c r="AQ178" s="186">
        <v>0</v>
      </c>
      <c r="AR178" s="186">
        <v>0</v>
      </c>
      <c r="AS178" s="186">
        <v>0</v>
      </c>
      <c r="AT178" s="186">
        <v>0</v>
      </c>
      <c r="AU178" s="186">
        <v>0</v>
      </c>
      <c r="AV178" s="186">
        <v>0</v>
      </c>
      <c r="AW178" s="186">
        <v>0</v>
      </c>
      <c r="AX178" s="186">
        <v>0</v>
      </c>
      <c r="AY178" s="186">
        <v>0</v>
      </c>
      <c r="AZ178" s="186">
        <v>0</v>
      </c>
      <c r="BA178" s="186">
        <v>0</v>
      </c>
      <c r="BB178" s="186">
        <v>0</v>
      </c>
      <c r="BC178" s="186">
        <v>0</v>
      </c>
      <c r="BD178" s="186">
        <v>0</v>
      </c>
      <c r="BE178" s="186">
        <v>0</v>
      </c>
      <c r="BF178" s="186">
        <v>0</v>
      </c>
      <c r="BG178" s="186">
        <v>0</v>
      </c>
      <c r="BH178" s="186">
        <v>0</v>
      </c>
      <c r="BI178" s="186">
        <v>0</v>
      </c>
      <c r="BJ178" s="186">
        <v>0</v>
      </c>
      <c r="BK178" s="186">
        <v>0</v>
      </c>
      <c r="BL178" s="186">
        <v>0</v>
      </c>
      <c r="BM178" s="186">
        <v>0</v>
      </c>
      <c r="BN178" s="186">
        <v>0</v>
      </c>
      <c r="BO178" s="186">
        <v>0</v>
      </c>
      <c r="BP178" s="186">
        <v>0</v>
      </c>
      <c r="BQ178" s="186">
        <v>0</v>
      </c>
      <c r="BR178" s="186">
        <v>0</v>
      </c>
      <c r="BS178" s="186">
        <v>0</v>
      </c>
      <c r="BT178" s="186">
        <v>0</v>
      </c>
      <c r="BU178" s="186">
        <v>0</v>
      </c>
      <c r="BV178" s="186">
        <v>0</v>
      </c>
      <c r="BW178" s="186">
        <v>0</v>
      </c>
      <c r="BX178" s="186">
        <v>0</v>
      </c>
      <c r="BY178" s="186">
        <v>0</v>
      </c>
      <c r="BZ178" s="186">
        <v>0</v>
      </c>
      <c r="CA178" s="186">
        <v>0</v>
      </c>
      <c r="CB178" s="186">
        <v>0</v>
      </c>
      <c r="CC178" s="186">
        <v>0</v>
      </c>
      <c r="CD178" s="186">
        <v>0</v>
      </c>
      <c r="CE178" s="186">
        <v>0</v>
      </c>
      <c r="CF178" s="186">
        <v>0</v>
      </c>
      <c r="CG178" s="186">
        <v>0</v>
      </c>
      <c r="CH178" s="186">
        <v>0</v>
      </c>
      <c r="CI178" s="186">
        <v>0</v>
      </c>
      <c r="CJ178" s="186">
        <v>0</v>
      </c>
      <c r="CK178" s="186">
        <v>0</v>
      </c>
      <c r="CL178" s="186">
        <v>0</v>
      </c>
      <c r="CM178" s="186">
        <v>0</v>
      </c>
      <c r="CN178" s="186">
        <v>0</v>
      </c>
      <c r="CO178" s="186">
        <v>0</v>
      </c>
      <c r="CP178" s="186">
        <v>0</v>
      </c>
      <c r="CQ178" s="186">
        <v>0</v>
      </c>
      <c r="CR178" s="186">
        <v>0</v>
      </c>
      <c r="CS178" s="186">
        <v>0</v>
      </c>
      <c r="CT178" s="186">
        <v>0</v>
      </c>
      <c r="CU178" s="186">
        <v>0</v>
      </c>
      <c r="CV178" s="186">
        <v>0</v>
      </c>
    </row>
    <row r="179" spans="1:100">
      <c r="A179" s="541" t="str">
        <f t="shared" si="2"/>
        <v>2190031</v>
      </c>
      <c r="B179" s="541" t="s">
        <v>1624</v>
      </c>
      <c r="C179" s="463" t="s">
        <v>721</v>
      </c>
      <c r="D179" s="397">
        <v>0</v>
      </c>
      <c r="E179" s="397">
        <v>0</v>
      </c>
      <c r="F179" s="397">
        <v>0</v>
      </c>
      <c r="G179" s="397">
        <v>0</v>
      </c>
      <c r="H179" s="397">
        <v>0</v>
      </c>
      <c r="I179" s="397">
        <v>0</v>
      </c>
      <c r="J179" s="397">
        <v>0</v>
      </c>
      <c r="K179" s="397">
        <v>0</v>
      </c>
      <c r="L179" s="397">
        <v>0</v>
      </c>
      <c r="M179" s="397">
        <v>0</v>
      </c>
      <c r="N179" s="397">
        <v>0</v>
      </c>
      <c r="O179" s="397">
        <v>0</v>
      </c>
      <c r="P179" s="398">
        <v>0</v>
      </c>
      <c r="Q179" s="186">
        <v>0</v>
      </c>
      <c r="R179" s="186">
        <v>0</v>
      </c>
      <c r="S179" s="186">
        <v>0</v>
      </c>
      <c r="T179" s="186">
        <v>0</v>
      </c>
      <c r="U179" s="186">
        <v>0</v>
      </c>
      <c r="V179" s="186">
        <v>0</v>
      </c>
      <c r="W179" s="186">
        <v>0</v>
      </c>
      <c r="X179" s="186">
        <v>0</v>
      </c>
      <c r="Y179" s="186">
        <v>0</v>
      </c>
      <c r="Z179" s="186">
        <v>0</v>
      </c>
      <c r="AA179" s="186">
        <v>0</v>
      </c>
      <c r="AB179" s="186">
        <v>0</v>
      </c>
      <c r="AC179" s="186">
        <v>0</v>
      </c>
      <c r="AD179" s="186">
        <v>0</v>
      </c>
      <c r="AE179" s="186">
        <v>0</v>
      </c>
      <c r="AF179" s="186">
        <v>0</v>
      </c>
      <c r="AG179" s="186">
        <v>0</v>
      </c>
      <c r="AH179" s="186">
        <v>0</v>
      </c>
      <c r="AI179" s="186">
        <v>0</v>
      </c>
      <c r="AJ179" s="186">
        <v>0</v>
      </c>
      <c r="AK179" s="186">
        <v>0</v>
      </c>
      <c r="AL179" s="186">
        <v>0</v>
      </c>
      <c r="AM179" s="186">
        <v>0</v>
      </c>
      <c r="AN179" s="186">
        <v>0</v>
      </c>
      <c r="AO179" s="186">
        <v>0</v>
      </c>
      <c r="AP179" s="186">
        <v>0</v>
      </c>
      <c r="AQ179" s="186">
        <v>0</v>
      </c>
      <c r="AR179" s="186">
        <v>0</v>
      </c>
      <c r="AS179" s="186">
        <v>0</v>
      </c>
      <c r="AT179" s="186">
        <v>0</v>
      </c>
      <c r="AU179" s="186">
        <v>0</v>
      </c>
      <c r="AV179" s="186">
        <v>0</v>
      </c>
      <c r="AW179" s="186">
        <v>0</v>
      </c>
      <c r="AX179" s="186">
        <v>0</v>
      </c>
      <c r="AY179" s="186">
        <v>0</v>
      </c>
      <c r="AZ179" s="186">
        <v>0</v>
      </c>
      <c r="BA179" s="186">
        <v>0</v>
      </c>
      <c r="BB179" s="186">
        <v>0</v>
      </c>
      <c r="BC179" s="186">
        <v>0</v>
      </c>
      <c r="BD179" s="186">
        <v>0</v>
      </c>
      <c r="BE179" s="186">
        <v>0</v>
      </c>
      <c r="BF179" s="186">
        <v>0</v>
      </c>
      <c r="BG179" s="186">
        <v>0</v>
      </c>
      <c r="BH179" s="186">
        <v>0</v>
      </c>
      <c r="BI179" s="186">
        <v>0</v>
      </c>
      <c r="BJ179" s="186">
        <v>0</v>
      </c>
      <c r="BK179" s="186">
        <v>0</v>
      </c>
      <c r="BL179" s="186">
        <v>0</v>
      </c>
      <c r="BM179" s="186">
        <v>0</v>
      </c>
      <c r="BN179" s="186">
        <v>0</v>
      </c>
      <c r="BO179" s="186">
        <v>0</v>
      </c>
      <c r="BP179" s="186">
        <v>0</v>
      </c>
      <c r="BQ179" s="186">
        <v>0</v>
      </c>
      <c r="BR179" s="186">
        <v>0</v>
      </c>
      <c r="BS179" s="186">
        <v>0</v>
      </c>
      <c r="BT179" s="186">
        <v>0</v>
      </c>
      <c r="BU179" s="186">
        <v>0</v>
      </c>
      <c r="BV179" s="186">
        <v>0</v>
      </c>
      <c r="BW179" s="186">
        <v>0</v>
      </c>
      <c r="BX179" s="186">
        <v>0</v>
      </c>
      <c r="BY179" s="186">
        <v>0</v>
      </c>
      <c r="BZ179" s="186">
        <v>0</v>
      </c>
      <c r="CA179" s="186">
        <v>0</v>
      </c>
      <c r="CB179" s="186">
        <v>0</v>
      </c>
      <c r="CC179" s="186">
        <v>0</v>
      </c>
      <c r="CD179" s="186">
        <v>0</v>
      </c>
      <c r="CE179" s="186">
        <v>0</v>
      </c>
      <c r="CF179" s="186">
        <v>0</v>
      </c>
      <c r="CG179" s="186">
        <v>0</v>
      </c>
      <c r="CH179" s="186">
        <v>0</v>
      </c>
      <c r="CI179" s="186">
        <v>0</v>
      </c>
      <c r="CJ179" s="186">
        <v>0</v>
      </c>
      <c r="CK179" s="186">
        <v>0</v>
      </c>
      <c r="CL179" s="186">
        <v>0</v>
      </c>
      <c r="CM179" s="186">
        <v>0</v>
      </c>
      <c r="CN179" s="186">
        <v>0</v>
      </c>
      <c r="CO179" s="186">
        <v>0</v>
      </c>
      <c r="CP179" s="186">
        <v>0</v>
      </c>
      <c r="CQ179" s="186">
        <v>0</v>
      </c>
      <c r="CR179" s="186">
        <v>0</v>
      </c>
      <c r="CS179" s="186">
        <v>0</v>
      </c>
      <c r="CT179" s="186">
        <v>0</v>
      </c>
      <c r="CU179" s="186">
        <v>0</v>
      </c>
      <c r="CV179" s="186">
        <v>0</v>
      </c>
    </row>
    <row r="180" spans="1:100">
      <c r="A180" s="541" t="str">
        <f t="shared" si="2"/>
        <v>2190040</v>
      </c>
      <c r="B180" s="541" t="s">
        <v>1370</v>
      </c>
      <c r="C180" s="463" t="s">
        <v>722</v>
      </c>
      <c r="D180" s="397">
        <v>2978184.09</v>
      </c>
      <c r="E180" s="397">
        <v>2941702.14</v>
      </c>
      <c r="F180" s="397">
        <v>2905220.19</v>
      </c>
      <c r="G180" s="397">
        <v>2868738.24</v>
      </c>
      <c r="H180" s="397">
        <v>2829872.61</v>
      </c>
      <c r="I180" s="397">
        <v>2806115.56</v>
      </c>
      <c r="J180" s="397">
        <v>2769604.84</v>
      </c>
      <c r="K180" s="397">
        <v>2733094.12</v>
      </c>
      <c r="L180" s="397">
        <v>2696583.4</v>
      </c>
      <c r="M180" s="397">
        <v>2660072.6800000002</v>
      </c>
      <c r="N180" s="397">
        <v>2623561.96</v>
      </c>
      <c r="O180" s="397">
        <v>2587051.2400000002</v>
      </c>
      <c r="P180" s="398">
        <v>2550540.52</v>
      </c>
      <c r="Q180" s="186">
        <v>2514029.7999999998</v>
      </c>
      <c r="R180" s="186">
        <v>2477519.08</v>
      </c>
      <c r="S180" s="186">
        <v>2413484.44</v>
      </c>
      <c r="T180" s="186">
        <v>2216709.7200000002</v>
      </c>
      <c r="U180" s="186">
        <v>2020946.92</v>
      </c>
      <c r="V180" s="186">
        <v>1985400.2</v>
      </c>
      <c r="W180" s="186">
        <v>1949853.48</v>
      </c>
      <c r="X180" s="186">
        <v>1914306.76</v>
      </c>
      <c r="Y180" s="186">
        <v>1878760.04</v>
      </c>
      <c r="Z180" s="186">
        <v>1843213.32</v>
      </c>
      <c r="AA180" s="186">
        <v>1807666.6</v>
      </c>
      <c r="AB180" s="186">
        <v>1772119.88</v>
      </c>
      <c r="AC180" s="186">
        <v>1736573.16</v>
      </c>
      <c r="AD180" s="186">
        <v>1701026.44</v>
      </c>
      <c r="AE180" s="186">
        <v>1665479.72</v>
      </c>
      <c r="AF180" s="186">
        <v>1629933</v>
      </c>
      <c r="AG180" s="186">
        <v>1594386.28</v>
      </c>
      <c r="AH180" s="186">
        <v>1558839.56</v>
      </c>
      <c r="AI180" s="186">
        <v>1523292.84</v>
      </c>
      <c r="AJ180" s="186">
        <v>1487746.12</v>
      </c>
      <c r="AK180" s="186">
        <v>1452199.4</v>
      </c>
      <c r="AL180" s="186">
        <v>1416652.68</v>
      </c>
      <c r="AM180" s="186">
        <v>1381105.96</v>
      </c>
      <c r="AN180" s="186">
        <v>1345559.24</v>
      </c>
      <c r="AO180" s="186">
        <v>1310012.52</v>
      </c>
      <c r="AP180" s="186">
        <v>1274465.8</v>
      </c>
      <c r="AQ180" s="186">
        <v>1238919.08</v>
      </c>
      <c r="AR180" s="186">
        <v>1203372.3600000001</v>
      </c>
      <c r="AS180" s="186">
        <v>1167825.6399999999</v>
      </c>
      <c r="AT180" s="186">
        <v>1132278.92</v>
      </c>
      <c r="AU180" s="186">
        <v>1096732.2</v>
      </c>
      <c r="AV180" s="186">
        <v>1061185.48</v>
      </c>
      <c r="AW180" s="186">
        <v>1025638.76</v>
      </c>
      <c r="AX180" s="186">
        <v>990092.04</v>
      </c>
      <c r="AY180" s="186">
        <v>954545.32</v>
      </c>
      <c r="AZ180" s="186">
        <v>918998.6</v>
      </c>
      <c r="BA180" s="186">
        <v>883451.88</v>
      </c>
      <c r="BB180" s="186">
        <v>847905.16</v>
      </c>
      <c r="BC180" s="186">
        <v>812358.44</v>
      </c>
      <c r="BD180" s="186">
        <v>776811.72</v>
      </c>
      <c r="BE180" s="186">
        <v>757664.02</v>
      </c>
      <c r="BF180" s="186">
        <v>754915.08</v>
      </c>
      <c r="BG180" s="186">
        <v>752166.14</v>
      </c>
      <c r="BH180" s="186">
        <v>749417.2</v>
      </c>
      <c r="BI180" s="186">
        <v>746668.26</v>
      </c>
      <c r="BJ180" s="186">
        <v>743919.32</v>
      </c>
      <c r="BK180" s="186">
        <v>741170.38</v>
      </c>
      <c r="BL180" s="186">
        <v>738421.44</v>
      </c>
      <c r="BM180" s="186">
        <v>735672.5</v>
      </c>
      <c r="BN180" s="186">
        <v>732923.56</v>
      </c>
      <c r="BO180" s="186">
        <v>730174.62</v>
      </c>
      <c r="BP180" s="186">
        <v>727425.68</v>
      </c>
      <c r="BQ180" s="186">
        <v>724676.74</v>
      </c>
      <c r="BR180" s="186">
        <v>721927.8</v>
      </c>
      <c r="BS180" s="186">
        <v>719178.86</v>
      </c>
      <c r="BT180" s="186">
        <v>716429.92</v>
      </c>
      <c r="BU180" s="186">
        <v>713680.98</v>
      </c>
      <c r="BV180" s="186">
        <v>710932.04</v>
      </c>
      <c r="BW180" s="186">
        <v>708183.1</v>
      </c>
      <c r="BX180" s="186">
        <v>705434.16</v>
      </c>
      <c r="BY180" s="186">
        <v>702685.22</v>
      </c>
      <c r="BZ180" s="186">
        <v>699936.28</v>
      </c>
      <c r="CA180" s="186">
        <v>697187.34</v>
      </c>
      <c r="CB180" s="186">
        <v>694438.40000000002</v>
      </c>
      <c r="CC180" s="186">
        <v>691689.46</v>
      </c>
      <c r="CD180" s="186">
        <v>688940.52</v>
      </c>
      <c r="CE180" s="186">
        <v>686191.58</v>
      </c>
      <c r="CF180" s="186">
        <v>683442.64</v>
      </c>
      <c r="CG180" s="186">
        <v>680693.7</v>
      </c>
      <c r="CH180" s="186">
        <v>677944.76</v>
      </c>
      <c r="CI180" s="186">
        <v>675195.82</v>
      </c>
      <c r="CJ180" s="186">
        <v>672446.88</v>
      </c>
      <c r="CK180" s="186">
        <v>669697.93999999994</v>
      </c>
      <c r="CL180" s="186">
        <v>666949</v>
      </c>
      <c r="CM180" s="186">
        <v>664200.06000000006</v>
      </c>
      <c r="CN180" s="186">
        <v>661438.32999999996</v>
      </c>
      <c r="CO180" s="186">
        <v>658689.39</v>
      </c>
      <c r="CP180" s="186">
        <v>655940.44999999995</v>
      </c>
      <c r="CQ180" s="186">
        <v>653191.51</v>
      </c>
      <c r="CR180" s="186">
        <v>650442.56999999995</v>
      </c>
      <c r="CS180" s="186">
        <v>647693.63</v>
      </c>
      <c r="CT180" s="186">
        <v>644944.68999999994</v>
      </c>
      <c r="CU180" s="186">
        <v>642195.75</v>
      </c>
      <c r="CV180" s="186">
        <v>639446.81000000006</v>
      </c>
    </row>
    <row r="181" spans="1:100">
      <c r="A181" s="541" t="str">
        <f t="shared" si="2"/>
        <v>2190041</v>
      </c>
      <c r="B181" s="541" t="s">
        <v>1371</v>
      </c>
      <c r="C181" s="463" t="s">
        <v>723</v>
      </c>
      <c r="D181" s="397">
        <v>-1148834.5900000001</v>
      </c>
      <c r="E181" s="397">
        <v>-1134761.68</v>
      </c>
      <c r="F181" s="397">
        <v>-1120688.77</v>
      </c>
      <c r="G181" s="397">
        <v>-1106615.8500000001</v>
      </c>
      <c r="H181" s="397">
        <v>-1091623.43</v>
      </c>
      <c r="I181" s="397">
        <v>-1082459.17</v>
      </c>
      <c r="J181" s="397">
        <v>-1068375.1499999999</v>
      </c>
      <c r="K181" s="397">
        <v>-1054291.1399999999</v>
      </c>
      <c r="L181" s="397">
        <v>-1040207.13</v>
      </c>
      <c r="M181" s="397">
        <v>-1026123.12</v>
      </c>
      <c r="N181" s="397">
        <v>-1012039.11</v>
      </c>
      <c r="O181" s="397">
        <v>-997955.09</v>
      </c>
      <c r="P181" s="398">
        <v>-983871.08</v>
      </c>
      <c r="Q181" s="186">
        <v>-969787.08</v>
      </c>
      <c r="R181" s="186">
        <v>-955703.07</v>
      </c>
      <c r="S181" s="186">
        <v>-931001.69</v>
      </c>
      <c r="T181" s="186">
        <v>-855095.85</v>
      </c>
      <c r="U181" s="186">
        <v>-779580.35</v>
      </c>
      <c r="V181" s="186">
        <v>-765868.21</v>
      </c>
      <c r="W181" s="186">
        <v>-752156.06</v>
      </c>
      <c r="X181" s="186">
        <v>-738443.91</v>
      </c>
      <c r="Y181" s="186">
        <v>-724731.76</v>
      </c>
      <c r="Z181" s="186">
        <v>-711019.61</v>
      </c>
      <c r="AA181" s="186">
        <v>-697307.47</v>
      </c>
      <c r="AB181" s="186">
        <v>-683595.32</v>
      </c>
      <c r="AC181" s="186">
        <v>-669883.18000000005</v>
      </c>
      <c r="AD181" s="186">
        <v>-656171.02</v>
      </c>
      <c r="AE181" s="186">
        <v>-642458.88</v>
      </c>
      <c r="AF181" s="186">
        <v>-628746.74</v>
      </c>
      <c r="AG181" s="186">
        <v>-615034.59</v>
      </c>
      <c r="AH181" s="186">
        <v>-601322.44999999995</v>
      </c>
      <c r="AI181" s="186">
        <v>-587610.29</v>
      </c>
      <c r="AJ181" s="186">
        <v>-573898.15</v>
      </c>
      <c r="AK181" s="186">
        <v>-560186</v>
      </c>
      <c r="AL181" s="186">
        <v>-546473.86</v>
      </c>
      <c r="AM181" s="186">
        <v>-532761.71</v>
      </c>
      <c r="AN181" s="186">
        <v>-519049.55</v>
      </c>
      <c r="AO181" s="186">
        <v>-505337.41</v>
      </c>
      <c r="AP181" s="186">
        <v>-491625.26</v>
      </c>
      <c r="AQ181" s="186">
        <v>-477913.12</v>
      </c>
      <c r="AR181" s="186">
        <v>-464200.97</v>
      </c>
      <c r="AS181" s="186">
        <v>-450488.82</v>
      </c>
      <c r="AT181" s="186">
        <v>-436776.67</v>
      </c>
      <c r="AU181" s="186">
        <v>-423064.53</v>
      </c>
      <c r="AV181" s="186">
        <v>-409352.38</v>
      </c>
      <c r="AW181" s="186">
        <v>-395640.23</v>
      </c>
      <c r="AX181" s="186">
        <v>-381928.08</v>
      </c>
      <c r="AY181" s="186">
        <v>-368215.93</v>
      </c>
      <c r="AZ181" s="186">
        <v>-410937.76</v>
      </c>
      <c r="BA181" s="186">
        <v>-401928.44</v>
      </c>
      <c r="BB181" s="186">
        <v>-392919.13</v>
      </c>
      <c r="BC181" s="186">
        <v>-383909.81</v>
      </c>
      <c r="BD181" s="186">
        <v>-374900.5</v>
      </c>
      <c r="BE181" s="186">
        <v>-370047.51</v>
      </c>
      <c r="BF181" s="186">
        <v>-369350.79</v>
      </c>
      <c r="BG181" s="186">
        <v>-368654.06</v>
      </c>
      <c r="BH181" s="186">
        <v>-367957.36</v>
      </c>
      <c r="BI181" s="186">
        <v>-367260.64</v>
      </c>
      <c r="BJ181" s="186">
        <v>-366563.92</v>
      </c>
      <c r="BK181" s="186">
        <v>-365867.2</v>
      </c>
      <c r="BL181" s="186">
        <v>-365170.49</v>
      </c>
      <c r="BM181" s="186">
        <v>-364473.77</v>
      </c>
      <c r="BN181" s="186">
        <v>-363777.06</v>
      </c>
      <c r="BO181" s="186">
        <v>-363080.33</v>
      </c>
      <c r="BP181" s="186">
        <v>-362383.61</v>
      </c>
      <c r="BQ181" s="186">
        <v>-361686.89</v>
      </c>
      <c r="BR181" s="186">
        <v>-360990.18</v>
      </c>
      <c r="BS181" s="186">
        <v>-360293.46</v>
      </c>
      <c r="BT181" s="186">
        <v>-359596.74</v>
      </c>
      <c r="BU181" s="186">
        <v>-358900.01</v>
      </c>
      <c r="BV181" s="186">
        <v>-358203.3</v>
      </c>
      <c r="BW181" s="186">
        <v>-357506.58</v>
      </c>
      <c r="BX181" s="186">
        <v>-356809.86</v>
      </c>
      <c r="BY181" s="186">
        <v>-356113.14</v>
      </c>
      <c r="BZ181" s="186">
        <v>-355416.43</v>
      </c>
      <c r="CA181" s="186">
        <v>-354719.7</v>
      </c>
      <c r="CB181" s="186">
        <v>-354022.98</v>
      </c>
      <c r="CC181" s="186">
        <v>-353326.26</v>
      </c>
      <c r="CD181" s="186">
        <v>-352629.55</v>
      </c>
      <c r="CE181" s="186">
        <v>-351932.83</v>
      </c>
      <c r="CF181" s="186">
        <v>-351236.11</v>
      </c>
      <c r="CG181" s="186">
        <v>-350539.38</v>
      </c>
      <c r="CH181" s="186">
        <v>-349842.67</v>
      </c>
      <c r="CI181" s="186">
        <v>-349145.95</v>
      </c>
      <c r="CJ181" s="186">
        <v>-348449.23</v>
      </c>
      <c r="CK181" s="186">
        <v>-347752.51</v>
      </c>
      <c r="CL181" s="186">
        <v>-347055.8</v>
      </c>
      <c r="CM181" s="186">
        <v>-346359.07</v>
      </c>
      <c r="CN181" s="186">
        <v>-345662.35</v>
      </c>
      <c r="CO181" s="186">
        <v>-344965.63</v>
      </c>
      <c r="CP181" s="186">
        <v>-344268.92</v>
      </c>
      <c r="CQ181" s="186">
        <v>-343572.2</v>
      </c>
      <c r="CR181" s="186">
        <v>-342875.48</v>
      </c>
      <c r="CS181" s="186">
        <v>-342178.75</v>
      </c>
      <c r="CT181" s="186">
        <v>-341482.04</v>
      </c>
      <c r="CU181" s="186">
        <v>-340785.32</v>
      </c>
      <c r="CV181" s="186">
        <v>-340088.6</v>
      </c>
    </row>
    <row r="182" spans="1:100">
      <c r="A182" s="541" t="str">
        <f t="shared" si="2"/>
        <v>2190050</v>
      </c>
      <c r="B182" s="541" t="s">
        <v>1625</v>
      </c>
      <c r="C182" s="463" t="s">
        <v>1471</v>
      </c>
      <c r="D182" s="397"/>
      <c r="E182" s="397"/>
      <c r="F182" s="397"/>
      <c r="G182" s="397"/>
      <c r="H182" s="397"/>
      <c r="I182" s="397"/>
      <c r="J182" s="397"/>
      <c r="K182" s="397"/>
      <c r="L182" s="397"/>
      <c r="M182" s="397"/>
      <c r="N182" s="397"/>
      <c r="O182" s="397"/>
      <c r="P182" s="398"/>
      <c r="Q182" s="186"/>
      <c r="R182" s="186"/>
      <c r="S182" s="186"/>
      <c r="T182" s="186"/>
      <c r="U182" s="186"/>
      <c r="V182" s="186"/>
      <c r="W182" s="186"/>
      <c r="X182" s="186"/>
      <c r="Y182" s="186"/>
      <c r="Z182" s="186"/>
      <c r="AA182" s="186"/>
      <c r="AB182" s="186"/>
      <c r="AC182" s="186"/>
      <c r="AD182" s="186"/>
      <c r="AE182" s="186"/>
      <c r="AF182" s="186">
        <v>0</v>
      </c>
      <c r="AG182" s="186">
        <v>0</v>
      </c>
      <c r="AH182" s="186">
        <v>0</v>
      </c>
      <c r="AI182" s="186">
        <v>0</v>
      </c>
      <c r="AJ182" s="186">
        <v>0</v>
      </c>
      <c r="AK182" s="186">
        <v>0</v>
      </c>
      <c r="AL182" s="186">
        <v>0</v>
      </c>
      <c r="AM182" s="186">
        <v>0</v>
      </c>
      <c r="AN182" s="186">
        <v>0</v>
      </c>
      <c r="AO182" s="186">
        <v>0</v>
      </c>
      <c r="AP182" s="186">
        <v>0</v>
      </c>
      <c r="AQ182" s="186">
        <v>0</v>
      </c>
      <c r="AR182" s="186">
        <v>0</v>
      </c>
      <c r="AS182" s="186">
        <v>0</v>
      </c>
      <c r="AT182" s="186">
        <v>0</v>
      </c>
      <c r="AU182" s="186">
        <v>0</v>
      </c>
      <c r="AV182" s="186">
        <v>0</v>
      </c>
      <c r="AW182" s="186">
        <v>0</v>
      </c>
      <c r="AX182" s="186">
        <v>0</v>
      </c>
      <c r="AY182" s="186">
        <v>0</v>
      </c>
      <c r="AZ182" s="186">
        <v>0</v>
      </c>
      <c r="BA182" s="186">
        <v>0</v>
      </c>
      <c r="BB182" s="186">
        <v>0</v>
      </c>
      <c r="BC182" s="186">
        <v>0</v>
      </c>
      <c r="BD182" s="186">
        <v>0</v>
      </c>
      <c r="BE182" s="186">
        <v>0</v>
      </c>
      <c r="BF182" s="186">
        <v>0</v>
      </c>
      <c r="BG182" s="186">
        <v>0</v>
      </c>
      <c r="BH182" s="186">
        <v>0</v>
      </c>
      <c r="BI182" s="186">
        <v>0</v>
      </c>
      <c r="BJ182" s="186">
        <v>0</v>
      </c>
      <c r="BK182" s="186">
        <v>0</v>
      </c>
      <c r="BL182" s="186">
        <v>0</v>
      </c>
      <c r="BM182" s="186">
        <v>0</v>
      </c>
      <c r="BN182" s="186">
        <v>0</v>
      </c>
      <c r="BO182" s="186">
        <v>0</v>
      </c>
      <c r="BP182" s="186">
        <v>0</v>
      </c>
      <c r="BQ182" s="186">
        <v>0</v>
      </c>
      <c r="BR182" s="186">
        <v>0</v>
      </c>
      <c r="BS182" s="186">
        <v>0</v>
      </c>
      <c r="BT182" s="186">
        <v>0</v>
      </c>
      <c r="BU182" s="186">
        <v>0</v>
      </c>
      <c r="BV182" s="186">
        <v>0</v>
      </c>
      <c r="BW182" s="186">
        <v>0</v>
      </c>
      <c r="BX182" s="186">
        <v>0</v>
      </c>
      <c r="BY182" s="186">
        <v>0</v>
      </c>
      <c r="BZ182" s="186">
        <v>0</v>
      </c>
      <c r="CA182" s="186">
        <v>0</v>
      </c>
      <c r="CB182" s="186">
        <v>0</v>
      </c>
      <c r="CC182" s="186">
        <v>0</v>
      </c>
      <c r="CD182" s="186">
        <v>0</v>
      </c>
      <c r="CE182" s="186">
        <v>0</v>
      </c>
      <c r="CF182" s="186">
        <v>0</v>
      </c>
      <c r="CG182" s="186">
        <v>0</v>
      </c>
      <c r="CH182" s="186">
        <v>0</v>
      </c>
      <c r="CI182" s="186">
        <v>0</v>
      </c>
      <c r="CJ182" s="186">
        <v>0</v>
      </c>
      <c r="CK182" s="186">
        <v>0</v>
      </c>
      <c r="CL182" s="186">
        <v>0</v>
      </c>
      <c r="CM182" s="186">
        <v>0</v>
      </c>
      <c r="CN182" s="186">
        <v>0</v>
      </c>
      <c r="CO182" s="186">
        <v>0</v>
      </c>
      <c r="CP182" s="186">
        <v>0</v>
      </c>
      <c r="CQ182" s="186">
        <v>0</v>
      </c>
      <c r="CR182" s="186">
        <v>0</v>
      </c>
      <c r="CS182" s="186">
        <v>0</v>
      </c>
      <c r="CT182" s="186">
        <v>0</v>
      </c>
      <c r="CU182" s="186">
        <v>0</v>
      </c>
      <c r="CV182" s="186">
        <v>0</v>
      </c>
    </row>
    <row r="183" spans="1:100">
      <c r="A183" s="541" t="str">
        <f t="shared" si="2"/>
        <v>2240100</v>
      </c>
      <c r="B183" s="541" t="s">
        <v>1820</v>
      </c>
      <c r="C183" s="463" t="s">
        <v>1821</v>
      </c>
      <c r="D183" s="397"/>
      <c r="E183" s="397"/>
      <c r="F183" s="397"/>
      <c r="G183" s="397"/>
      <c r="H183" s="397"/>
      <c r="I183" s="397"/>
      <c r="J183" s="397"/>
      <c r="K183" s="397"/>
      <c r="L183" s="397"/>
      <c r="M183" s="397"/>
      <c r="N183" s="397"/>
      <c r="O183" s="397"/>
      <c r="P183" s="398"/>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v>0</v>
      </c>
      <c r="AS183" s="186">
        <v>-50000000</v>
      </c>
      <c r="AT183" s="186">
        <v>-50000000</v>
      </c>
      <c r="AU183" s="186">
        <v>-50000000</v>
      </c>
      <c r="AV183" s="186">
        <v>-50000000</v>
      </c>
      <c r="AW183" s="186">
        <v>-50000000</v>
      </c>
      <c r="AX183" s="186">
        <v>-50000000</v>
      </c>
      <c r="AY183" s="186">
        <v>-50000000</v>
      </c>
      <c r="AZ183" s="186">
        <v>-50000000</v>
      </c>
      <c r="BA183" s="186">
        <v>-50000000</v>
      </c>
      <c r="BB183" s="186">
        <v>-50000000</v>
      </c>
      <c r="BC183" s="186">
        <v>-50000000</v>
      </c>
      <c r="BD183" s="186">
        <v>-50000000</v>
      </c>
      <c r="BE183" s="186">
        <v>0</v>
      </c>
      <c r="BF183" s="186">
        <v>0</v>
      </c>
      <c r="BG183" s="186">
        <v>0</v>
      </c>
      <c r="BH183" s="186">
        <v>0</v>
      </c>
      <c r="BI183" s="186">
        <v>0</v>
      </c>
      <c r="BJ183" s="186">
        <v>0</v>
      </c>
      <c r="BK183" s="186">
        <v>0</v>
      </c>
      <c r="BL183" s="186">
        <v>0</v>
      </c>
      <c r="BM183" s="186">
        <v>0</v>
      </c>
      <c r="BN183" s="186">
        <v>0</v>
      </c>
      <c r="BO183" s="186">
        <v>0</v>
      </c>
      <c r="BP183" s="186">
        <v>0</v>
      </c>
      <c r="BQ183" s="186">
        <v>0</v>
      </c>
      <c r="BR183" s="186">
        <v>0</v>
      </c>
      <c r="BS183" s="186">
        <v>0</v>
      </c>
      <c r="BT183" s="186">
        <v>0</v>
      </c>
      <c r="BU183" s="186">
        <v>0</v>
      </c>
      <c r="BV183" s="186">
        <v>0</v>
      </c>
      <c r="BW183" s="186">
        <v>0</v>
      </c>
      <c r="BX183" s="186">
        <v>0</v>
      </c>
      <c r="BY183" s="186">
        <v>0</v>
      </c>
      <c r="BZ183" s="186">
        <v>0</v>
      </c>
      <c r="CA183" s="186">
        <v>0</v>
      </c>
      <c r="CB183" s="186">
        <v>0</v>
      </c>
      <c r="CC183" s="186">
        <v>-46764680</v>
      </c>
      <c r="CD183" s="186">
        <v>-46764680</v>
      </c>
      <c r="CE183" s="186">
        <v>-46764680</v>
      </c>
      <c r="CF183" s="186">
        <v>-46764680</v>
      </c>
      <c r="CG183" s="186">
        <v>-46764680</v>
      </c>
      <c r="CH183" s="186">
        <v>-46764680</v>
      </c>
      <c r="CI183" s="186">
        <v>-46764680</v>
      </c>
      <c r="CJ183" s="186">
        <v>-46764680</v>
      </c>
      <c r="CK183" s="186">
        <v>-46764680</v>
      </c>
      <c r="CL183" s="186">
        <v>-46764680</v>
      </c>
      <c r="CM183" s="186">
        <v>-46764680</v>
      </c>
      <c r="CN183" s="186">
        <v>-46764680</v>
      </c>
      <c r="CO183" s="186">
        <v>0</v>
      </c>
      <c r="CP183" s="186">
        <v>0</v>
      </c>
      <c r="CQ183" s="186">
        <v>0</v>
      </c>
      <c r="CR183" s="186">
        <v>0</v>
      </c>
      <c r="CS183" s="186">
        <v>-25000000</v>
      </c>
      <c r="CT183" s="186">
        <v>-25000000</v>
      </c>
      <c r="CU183" s="186">
        <v>-25000000</v>
      </c>
      <c r="CV183" s="186">
        <v>-25000000</v>
      </c>
    </row>
    <row r="184" spans="1:100">
      <c r="A184" s="541" t="str">
        <f t="shared" si="2"/>
        <v>2240200</v>
      </c>
      <c r="B184" s="541" t="s">
        <v>1626</v>
      </c>
      <c r="C184" s="463" t="s">
        <v>724</v>
      </c>
      <c r="D184" s="397">
        <v>-231764680</v>
      </c>
      <c r="E184" s="397">
        <v>-231764680</v>
      </c>
      <c r="F184" s="397">
        <v>-231764680</v>
      </c>
      <c r="G184" s="397">
        <v>-231764680</v>
      </c>
      <c r="H184" s="397">
        <v>-231764680</v>
      </c>
      <c r="I184" s="397">
        <v>-241764680</v>
      </c>
      <c r="J184" s="397">
        <v>-241764680</v>
      </c>
      <c r="K184" s="397">
        <v>-241764680</v>
      </c>
      <c r="L184" s="397">
        <v>-241764680</v>
      </c>
      <c r="M184" s="397">
        <v>-241764680</v>
      </c>
      <c r="N184" s="397">
        <v>-241764680</v>
      </c>
      <c r="O184" s="397">
        <v>-241764680</v>
      </c>
      <c r="P184" s="398">
        <v>-241764680</v>
      </c>
      <c r="Q184" s="186">
        <v>-241764680</v>
      </c>
      <c r="R184" s="186">
        <v>-241764680</v>
      </c>
      <c r="S184" s="186">
        <v>-241764680</v>
      </c>
      <c r="T184" s="186">
        <v>-241764680</v>
      </c>
      <c r="U184" s="186">
        <v>-261764680</v>
      </c>
      <c r="V184" s="186">
        <v>-261764680</v>
      </c>
      <c r="W184" s="186">
        <v>-261764680</v>
      </c>
      <c r="X184" s="186">
        <v>-261764680</v>
      </c>
      <c r="Y184" s="186">
        <v>-261764680</v>
      </c>
      <c r="Z184" s="186">
        <v>-261764680</v>
      </c>
      <c r="AA184" s="186">
        <v>-261764680</v>
      </c>
      <c r="AB184" s="186">
        <v>-261764680</v>
      </c>
      <c r="AC184" s="186">
        <v>-261764680</v>
      </c>
      <c r="AD184" s="186">
        <v>-261764680</v>
      </c>
      <c r="AE184" s="186">
        <v>-261764680</v>
      </c>
      <c r="AF184" s="186">
        <v>-261764680</v>
      </c>
      <c r="AG184" s="186">
        <v>-261764680</v>
      </c>
      <c r="AH184" s="186">
        <v>-261764680</v>
      </c>
      <c r="AI184" s="186">
        <v>-261764680</v>
      </c>
      <c r="AJ184" s="186">
        <v>-261764680</v>
      </c>
      <c r="AK184" s="186">
        <v>-261764680</v>
      </c>
      <c r="AL184" s="186">
        <v>-261764680</v>
      </c>
      <c r="AM184" s="186">
        <v>-261764680</v>
      </c>
      <c r="AN184" s="186">
        <v>-261764680</v>
      </c>
      <c r="AO184" s="186">
        <v>-261764680</v>
      </c>
      <c r="AP184" s="186">
        <v>-261764680</v>
      </c>
      <c r="AQ184" s="186">
        <v>-261764680</v>
      </c>
      <c r="AR184" s="186">
        <v>-261764680</v>
      </c>
      <c r="AS184" s="186">
        <v>-211764680</v>
      </c>
      <c r="AT184" s="186">
        <v>-211764680</v>
      </c>
      <c r="AU184" s="186">
        <v>-211764680</v>
      </c>
      <c r="AV184" s="186">
        <v>-211764680</v>
      </c>
      <c r="AW184" s="186">
        <v>-211764680</v>
      </c>
      <c r="AX184" s="186">
        <v>-211764680</v>
      </c>
      <c r="AY184" s="186">
        <v>-211764680</v>
      </c>
      <c r="AZ184" s="186">
        <v>-211764680</v>
      </c>
      <c r="BA184" s="186">
        <v>-211764680</v>
      </c>
      <c r="BB184" s="186">
        <v>-211764680</v>
      </c>
      <c r="BC184" s="186">
        <v>-211764680</v>
      </c>
      <c r="BD184" s="186">
        <v>-211764680</v>
      </c>
      <c r="BE184" s="186">
        <v>-211764680</v>
      </c>
      <c r="BF184" s="186">
        <v>-286764680</v>
      </c>
      <c r="BG184" s="186">
        <v>-286764680</v>
      </c>
      <c r="BH184" s="186">
        <v>-286764680</v>
      </c>
      <c r="BI184" s="186">
        <v>-286764680</v>
      </c>
      <c r="BJ184" s="186">
        <v>-311764680</v>
      </c>
      <c r="BK184" s="186">
        <v>-311764680</v>
      </c>
      <c r="BL184" s="186">
        <v>-311764680</v>
      </c>
      <c r="BM184" s="186">
        <v>-311764680</v>
      </c>
      <c r="BN184" s="186">
        <v>-311764680</v>
      </c>
      <c r="BO184" s="186">
        <v>-311764680</v>
      </c>
      <c r="BP184" s="186">
        <v>-311764680</v>
      </c>
      <c r="BQ184" s="186">
        <v>-311764680</v>
      </c>
      <c r="BR184" s="186">
        <v>-311764680</v>
      </c>
      <c r="BS184" s="186">
        <v>-336764680</v>
      </c>
      <c r="BT184" s="186">
        <v>-336764680</v>
      </c>
      <c r="BU184" s="186">
        <v>-336764680</v>
      </c>
      <c r="BV184" s="186">
        <v>-336764680</v>
      </c>
      <c r="BW184" s="186">
        <v>-336764680</v>
      </c>
      <c r="BX184" s="186">
        <v>-336764680</v>
      </c>
      <c r="BY184" s="186">
        <v>-336764680</v>
      </c>
      <c r="BZ184" s="186">
        <v>-336764680</v>
      </c>
      <c r="CA184" s="186">
        <v>-336764680</v>
      </c>
      <c r="CB184" s="186">
        <v>-336764680</v>
      </c>
      <c r="CC184" s="186">
        <v>-290000000</v>
      </c>
      <c r="CD184" s="186">
        <v>-290000000</v>
      </c>
      <c r="CE184" s="186">
        <v>-290000000</v>
      </c>
      <c r="CF184" s="186">
        <v>-290000000</v>
      </c>
      <c r="CG184" s="186">
        <v>-290000000</v>
      </c>
      <c r="CH184" s="186">
        <v>-290000000</v>
      </c>
      <c r="CI184" s="186">
        <v>-290000000</v>
      </c>
      <c r="CJ184" s="186">
        <v>-290000000</v>
      </c>
      <c r="CK184" s="186">
        <v>-290000000</v>
      </c>
      <c r="CL184" s="186">
        <v>-290000000</v>
      </c>
      <c r="CM184" s="186">
        <v>-520000000</v>
      </c>
      <c r="CN184" s="186">
        <v>-520000000</v>
      </c>
      <c r="CO184" s="186">
        <v>-520000000</v>
      </c>
      <c r="CP184" s="186">
        <v>-520000000</v>
      </c>
      <c r="CQ184" s="186">
        <v>-520000000</v>
      </c>
      <c r="CR184" s="186">
        <v>-520000000</v>
      </c>
      <c r="CS184" s="186">
        <v>-495000000</v>
      </c>
      <c r="CT184" s="186">
        <v>-495000000</v>
      </c>
      <c r="CU184" s="186">
        <v>-495000000</v>
      </c>
      <c r="CV184" s="186">
        <v>-495000000</v>
      </c>
    </row>
    <row r="185" spans="1:100">
      <c r="A185" s="541" t="str">
        <f t="shared" si="2"/>
        <v>2260200</v>
      </c>
      <c r="B185" s="541" t="s">
        <v>1627</v>
      </c>
      <c r="C185" s="463" t="s">
        <v>725</v>
      </c>
      <c r="D185" s="397">
        <v>422760.18</v>
      </c>
      <c r="E185" s="397">
        <v>421177.68</v>
      </c>
      <c r="F185" s="397">
        <v>419595.18</v>
      </c>
      <c r="G185" s="397">
        <v>418012.68</v>
      </c>
      <c r="H185" s="397">
        <v>416430.18</v>
      </c>
      <c r="I185" s="397">
        <v>421547.68</v>
      </c>
      <c r="J185" s="397">
        <v>419937.26</v>
      </c>
      <c r="K185" s="397">
        <v>418336.15</v>
      </c>
      <c r="L185" s="397">
        <v>416735.04</v>
      </c>
      <c r="M185" s="397">
        <v>415133.93</v>
      </c>
      <c r="N185" s="397">
        <v>413532.82</v>
      </c>
      <c r="O185" s="397">
        <v>411931.71</v>
      </c>
      <c r="P185" s="398">
        <v>410330.6</v>
      </c>
      <c r="Q185" s="186">
        <v>408729.49</v>
      </c>
      <c r="R185" s="186">
        <v>407128.38</v>
      </c>
      <c r="S185" s="186">
        <v>405527.27</v>
      </c>
      <c r="T185" s="186">
        <v>403926.16</v>
      </c>
      <c r="U185" s="186">
        <v>439525.05</v>
      </c>
      <c r="V185" s="186">
        <v>437819.41</v>
      </c>
      <c r="W185" s="186">
        <v>436114.97</v>
      </c>
      <c r="X185" s="186">
        <v>434410.53</v>
      </c>
      <c r="Y185" s="186">
        <v>432706.09</v>
      </c>
      <c r="Z185" s="186">
        <v>431001.65</v>
      </c>
      <c r="AA185" s="186">
        <v>429297.21</v>
      </c>
      <c r="AB185" s="186">
        <v>427592.77</v>
      </c>
      <c r="AC185" s="186">
        <v>425888.33</v>
      </c>
      <c r="AD185" s="186">
        <v>424183.89</v>
      </c>
      <c r="AE185" s="186">
        <v>422479.45</v>
      </c>
      <c r="AF185" s="186">
        <v>420775.01</v>
      </c>
      <c r="AG185" s="186">
        <v>419070.57</v>
      </c>
      <c r="AH185" s="186">
        <v>417366.13</v>
      </c>
      <c r="AI185" s="186">
        <v>415661.69</v>
      </c>
      <c r="AJ185" s="186">
        <v>413957.25</v>
      </c>
      <c r="AK185" s="186">
        <v>412252.81</v>
      </c>
      <c r="AL185" s="186">
        <v>410548.37</v>
      </c>
      <c r="AM185" s="186">
        <v>408843.93</v>
      </c>
      <c r="AN185" s="186">
        <v>407139.49</v>
      </c>
      <c r="AO185" s="186">
        <v>405435.05</v>
      </c>
      <c r="AP185" s="186">
        <v>403730.61</v>
      </c>
      <c r="AQ185" s="186">
        <v>402026.17</v>
      </c>
      <c r="AR185" s="186">
        <v>400321.73</v>
      </c>
      <c r="AS185" s="186">
        <v>398617.29</v>
      </c>
      <c r="AT185" s="186">
        <v>396912.85</v>
      </c>
      <c r="AU185" s="186">
        <v>395208.41</v>
      </c>
      <c r="AV185" s="186">
        <v>393503.97</v>
      </c>
      <c r="AW185" s="186">
        <v>391799.53</v>
      </c>
      <c r="AX185" s="186">
        <v>390095.09</v>
      </c>
      <c r="AY185" s="186">
        <v>388390.65</v>
      </c>
      <c r="AZ185" s="186">
        <v>386686.21</v>
      </c>
      <c r="BA185" s="186">
        <v>384981.77</v>
      </c>
      <c r="BB185" s="186">
        <v>383277.33</v>
      </c>
      <c r="BC185" s="186">
        <v>381572.89</v>
      </c>
      <c r="BD185" s="186">
        <v>379868.45</v>
      </c>
      <c r="BE185" s="186">
        <v>378164.01</v>
      </c>
      <c r="BF185" s="186">
        <v>571302.51</v>
      </c>
      <c r="BG185" s="186">
        <v>774522.99</v>
      </c>
      <c r="BH185" s="186">
        <v>771701.88</v>
      </c>
      <c r="BI185" s="186">
        <v>768880.77</v>
      </c>
      <c r="BJ185" s="186">
        <v>893463.71</v>
      </c>
      <c r="BK185" s="186">
        <v>890295.45</v>
      </c>
      <c r="BL185" s="186">
        <v>887127.19</v>
      </c>
      <c r="BM185" s="186">
        <v>883958.93</v>
      </c>
      <c r="BN185" s="186">
        <v>880790.67</v>
      </c>
      <c r="BO185" s="186">
        <v>877622.41</v>
      </c>
      <c r="BP185" s="186">
        <v>874454.15</v>
      </c>
      <c r="BQ185" s="186">
        <v>871285.89</v>
      </c>
      <c r="BR185" s="186">
        <v>868117.63</v>
      </c>
      <c r="BS185" s="186">
        <v>1171449.3700000001</v>
      </c>
      <c r="BT185" s="186">
        <v>1167456.6100000001</v>
      </c>
      <c r="BU185" s="186">
        <v>1163462.2</v>
      </c>
      <c r="BV185" s="186">
        <v>1159467.79</v>
      </c>
      <c r="BW185" s="186">
        <v>1155473.3799999999</v>
      </c>
      <c r="BX185" s="186">
        <v>1151478.97</v>
      </c>
      <c r="BY185" s="186">
        <v>1147484.56</v>
      </c>
      <c r="BZ185" s="186">
        <v>1143490.1499999999</v>
      </c>
      <c r="CA185" s="186">
        <v>1139495.74</v>
      </c>
      <c r="CB185" s="186">
        <v>1135501.33</v>
      </c>
      <c r="CC185" s="186">
        <v>1131506.92</v>
      </c>
      <c r="CD185" s="186">
        <v>1127512.51</v>
      </c>
      <c r="CE185" s="186">
        <v>1123518.1000000001</v>
      </c>
      <c r="CF185" s="186">
        <v>1119523.69</v>
      </c>
      <c r="CG185" s="186">
        <v>1115529.28</v>
      </c>
      <c r="CH185" s="186">
        <v>1111534.8700000001</v>
      </c>
      <c r="CI185" s="186">
        <v>1107540.46</v>
      </c>
      <c r="CJ185" s="186">
        <v>1103546.05</v>
      </c>
      <c r="CK185" s="186">
        <v>1099551.6399999999</v>
      </c>
      <c r="CL185" s="186">
        <v>1095557.23</v>
      </c>
      <c r="CM185" s="186">
        <v>1719076.29</v>
      </c>
      <c r="CN185" s="186">
        <v>1711423.85</v>
      </c>
      <c r="CO185" s="186">
        <v>1703592.91</v>
      </c>
      <c r="CP185" s="186">
        <v>1695761.97</v>
      </c>
      <c r="CQ185" s="186">
        <v>1687931.03</v>
      </c>
      <c r="CR185" s="186">
        <v>1680100.09</v>
      </c>
      <c r="CS185" s="186">
        <v>1672269.15</v>
      </c>
      <c r="CT185" s="186">
        <v>1664438.21</v>
      </c>
      <c r="CU185" s="186">
        <v>1656607.27</v>
      </c>
      <c r="CV185" s="186">
        <v>1648776.33</v>
      </c>
    </row>
    <row r="186" spans="1:100">
      <c r="A186" s="541" t="str">
        <f t="shared" si="2"/>
        <v>2281081</v>
      </c>
      <c r="B186" s="541" t="s">
        <v>907</v>
      </c>
      <c r="C186" s="463" t="s">
        <v>726</v>
      </c>
      <c r="D186" s="397">
        <v>-263541.84999999998</v>
      </c>
      <c r="E186" s="397">
        <v>-268333.52</v>
      </c>
      <c r="F186" s="397">
        <v>-273125.19</v>
      </c>
      <c r="G186" s="397">
        <v>-277916.86</v>
      </c>
      <c r="H186" s="397">
        <v>-282708.53000000003</v>
      </c>
      <c r="I186" s="397">
        <v>-287500.2</v>
      </c>
      <c r="J186" s="397">
        <v>-292291.87</v>
      </c>
      <c r="K186" s="397">
        <v>-297083.53999999998</v>
      </c>
      <c r="L186" s="397">
        <v>-301875.21000000002</v>
      </c>
      <c r="M186" s="397">
        <v>-306666.88</v>
      </c>
      <c r="N186" s="397">
        <v>-311458.55</v>
      </c>
      <c r="O186" s="397">
        <v>-316250.21999999997</v>
      </c>
      <c r="P186" s="398">
        <v>-321041.89</v>
      </c>
      <c r="Q186" s="186">
        <v>-325833.56</v>
      </c>
      <c r="R186" s="186">
        <v>-330625.23</v>
      </c>
      <c r="S186" s="186">
        <v>-335416.90000000002</v>
      </c>
      <c r="T186" s="186">
        <v>-340208.57</v>
      </c>
      <c r="U186" s="186">
        <v>-345000.24</v>
      </c>
      <c r="V186" s="186">
        <v>-349791.91</v>
      </c>
      <c r="W186" s="186">
        <v>-354583.58</v>
      </c>
      <c r="X186" s="186">
        <v>-359375.25</v>
      </c>
      <c r="Y186" s="186">
        <v>-364166.92</v>
      </c>
      <c r="Z186" s="186">
        <v>-368958.59</v>
      </c>
      <c r="AA186" s="186">
        <v>-373750.26</v>
      </c>
      <c r="AB186" s="186">
        <v>-378541.93</v>
      </c>
      <c r="AC186" s="186">
        <v>-383333.6</v>
      </c>
      <c r="AD186" s="186">
        <v>-388125.27</v>
      </c>
      <c r="AE186" s="186">
        <v>-392916.94</v>
      </c>
      <c r="AF186" s="186">
        <v>-397708.61</v>
      </c>
      <c r="AG186" s="186">
        <v>-402500.28</v>
      </c>
      <c r="AH186" s="186">
        <v>-407291.95</v>
      </c>
      <c r="AI186" s="186">
        <v>-412083.62</v>
      </c>
      <c r="AJ186" s="186">
        <v>-416875.29</v>
      </c>
      <c r="AK186" s="186">
        <v>-421666.96</v>
      </c>
      <c r="AL186" s="186">
        <v>-426458.63</v>
      </c>
      <c r="AM186" s="186">
        <v>-431250.3</v>
      </c>
      <c r="AN186" s="186">
        <v>-333019</v>
      </c>
      <c r="AO186" s="186">
        <v>-337810.67</v>
      </c>
      <c r="AP186" s="186">
        <v>-342602.34</v>
      </c>
      <c r="AQ186" s="186">
        <v>-347394.01</v>
      </c>
      <c r="AR186" s="186">
        <v>-352185.68</v>
      </c>
      <c r="AS186" s="186">
        <v>-356977.35</v>
      </c>
      <c r="AT186" s="186">
        <v>-361769.02</v>
      </c>
      <c r="AU186" s="186">
        <v>-366560.69</v>
      </c>
      <c r="AV186" s="186">
        <v>-371352.36</v>
      </c>
      <c r="AW186" s="186">
        <v>-79066.149999999994</v>
      </c>
      <c r="AX186" s="186">
        <v>-22974.18</v>
      </c>
      <c r="AY186" s="186">
        <v>24467.759999999998</v>
      </c>
      <c r="AZ186" s="186">
        <v>-35999.49</v>
      </c>
      <c r="BA186" s="186">
        <v>-40791.160000000003</v>
      </c>
      <c r="BB186" s="186">
        <v>-45582.83</v>
      </c>
      <c r="BC186" s="186">
        <v>-50374.5</v>
      </c>
      <c r="BD186" s="186">
        <v>-55166.17</v>
      </c>
      <c r="BE186" s="186">
        <v>-59957.84</v>
      </c>
      <c r="BF186" s="186">
        <v>-64749.51</v>
      </c>
      <c r="BG186" s="186">
        <v>-69541.179999999993</v>
      </c>
      <c r="BH186" s="186">
        <v>-74332.850000000006</v>
      </c>
      <c r="BI186" s="186">
        <v>-79124.52</v>
      </c>
      <c r="BJ186" s="186">
        <v>-83916.19</v>
      </c>
      <c r="BK186" s="186">
        <v>-88707.86</v>
      </c>
      <c r="BL186" s="186">
        <v>0</v>
      </c>
      <c r="BM186" s="186">
        <v>0</v>
      </c>
      <c r="BN186" s="186">
        <v>-0.49</v>
      </c>
      <c r="BO186" s="186">
        <v>-4792.16</v>
      </c>
      <c r="BP186" s="186">
        <v>-9583.83</v>
      </c>
      <c r="BQ186" s="186">
        <v>-14375.5</v>
      </c>
      <c r="BR186" s="186">
        <v>-19167.169999999998</v>
      </c>
      <c r="BS186" s="186">
        <v>-23958.84</v>
      </c>
      <c r="BT186" s="186">
        <v>-28750.51</v>
      </c>
      <c r="BU186" s="186">
        <v>-33542.18</v>
      </c>
      <c r="BV186" s="186">
        <v>-38333.85</v>
      </c>
      <c r="BW186" s="186">
        <v>-43125.52</v>
      </c>
      <c r="BX186" s="186">
        <v>-84356.22</v>
      </c>
      <c r="BY186" s="186">
        <v>-89147.89</v>
      </c>
      <c r="BZ186" s="186">
        <v>-93939.56</v>
      </c>
      <c r="CA186" s="186">
        <v>-214598.23</v>
      </c>
      <c r="CB186" s="186">
        <v>-103522.9</v>
      </c>
      <c r="CC186" s="186">
        <v>-108314.57</v>
      </c>
      <c r="CD186" s="186">
        <v>-113106.24000000001</v>
      </c>
      <c r="CE186" s="186">
        <v>-117897.91</v>
      </c>
      <c r="CF186" s="186">
        <v>-122689.58</v>
      </c>
      <c r="CG186" s="186">
        <v>-127481.25</v>
      </c>
      <c r="CH186" s="186">
        <v>-132272.92000000001</v>
      </c>
      <c r="CI186" s="186">
        <v>-137064.59</v>
      </c>
      <c r="CJ186" s="186">
        <v>-141856.26</v>
      </c>
      <c r="CK186" s="186">
        <v>-173522.93</v>
      </c>
      <c r="CL186" s="186">
        <v>-205189.6</v>
      </c>
      <c r="CM186" s="186">
        <v>-236856.27</v>
      </c>
      <c r="CN186" s="186">
        <v>-268522.94</v>
      </c>
      <c r="CO186" s="186">
        <v>-300189.61</v>
      </c>
      <c r="CP186" s="186">
        <v>-331856.28000000003</v>
      </c>
      <c r="CQ186" s="186">
        <v>-363522.95</v>
      </c>
      <c r="CR186" s="186">
        <v>-395189.62</v>
      </c>
      <c r="CS186" s="186">
        <v>-426856.29</v>
      </c>
      <c r="CT186" s="186">
        <v>-458522.96</v>
      </c>
      <c r="CU186" s="186">
        <v>-490189.63</v>
      </c>
      <c r="CV186" s="186">
        <v>-521856.3</v>
      </c>
    </row>
    <row r="187" spans="1:100">
      <c r="A187" s="541" t="str">
        <f>+B187</f>
        <v>2281100</v>
      </c>
      <c r="B187" s="541" t="s">
        <v>2255</v>
      </c>
      <c r="C187" s="463" t="s">
        <v>2256</v>
      </c>
      <c r="D187" s="397"/>
      <c r="E187" s="397"/>
      <c r="F187" s="397"/>
      <c r="G187" s="397"/>
      <c r="H187" s="397"/>
      <c r="I187" s="397"/>
      <c r="J187" s="397"/>
      <c r="K187" s="397"/>
      <c r="L187" s="397"/>
      <c r="M187" s="397"/>
      <c r="N187" s="397"/>
      <c r="O187" s="397"/>
      <c r="P187" s="398"/>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v>0</v>
      </c>
      <c r="BK187" s="186">
        <v>0</v>
      </c>
      <c r="BL187" s="186">
        <v>3038523.24</v>
      </c>
      <c r="BM187" s="186">
        <v>3059430.59</v>
      </c>
      <c r="BN187" s="186">
        <v>3181714.13</v>
      </c>
      <c r="BO187" s="186">
        <v>3181714.13</v>
      </c>
      <c r="BP187" s="186">
        <v>3181714.13</v>
      </c>
      <c r="BQ187" s="186">
        <v>3181714.13</v>
      </c>
      <c r="BR187" s="186">
        <v>3181714.13</v>
      </c>
      <c r="BS187" s="186">
        <v>3181714.13</v>
      </c>
      <c r="BT187" s="186">
        <v>2606793.09</v>
      </c>
      <c r="BU187" s="186">
        <v>2000824.87</v>
      </c>
      <c r="BV187" s="186">
        <v>1396771.82</v>
      </c>
      <c r="BW187" s="186">
        <v>712832.44</v>
      </c>
      <c r="BX187" s="186">
        <v>0</v>
      </c>
      <c r="BY187" s="186">
        <v>0</v>
      </c>
      <c r="BZ187" s="186">
        <v>0</v>
      </c>
      <c r="CA187" s="186">
        <v>53720</v>
      </c>
      <c r="CB187" s="186">
        <v>0</v>
      </c>
      <c r="CC187" s="186">
        <v>0</v>
      </c>
      <c r="CD187" s="186">
        <v>0</v>
      </c>
      <c r="CE187" s="186">
        <v>0</v>
      </c>
      <c r="CF187" s="186">
        <v>0</v>
      </c>
      <c r="CG187" s="186">
        <v>0</v>
      </c>
      <c r="CH187" s="186">
        <v>0</v>
      </c>
      <c r="CI187" s="186">
        <v>0</v>
      </c>
      <c r="CJ187" s="186">
        <v>0</v>
      </c>
      <c r="CK187" s="186">
        <v>0</v>
      </c>
      <c r="CL187" s="186">
        <v>0</v>
      </c>
      <c r="CM187" s="186">
        <v>0</v>
      </c>
      <c r="CN187" s="186">
        <v>0</v>
      </c>
      <c r="CO187" s="186">
        <v>0</v>
      </c>
      <c r="CP187" s="186">
        <v>0</v>
      </c>
      <c r="CQ187" s="186">
        <v>0</v>
      </c>
      <c r="CR187" s="186">
        <v>0</v>
      </c>
      <c r="CS187" s="186">
        <v>0</v>
      </c>
      <c r="CT187" s="186">
        <v>0</v>
      </c>
      <c r="CU187" s="186">
        <v>0</v>
      </c>
      <c r="CV187" s="186">
        <v>0</v>
      </c>
    </row>
    <row r="188" spans="1:100">
      <c r="A188" s="541" t="str">
        <f>+B188</f>
        <v>2282001</v>
      </c>
      <c r="B188" s="541" t="s">
        <v>2304</v>
      </c>
      <c r="C188" s="463" t="s">
        <v>2293</v>
      </c>
      <c r="D188" s="397">
        <v>0</v>
      </c>
      <c r="E188" s="397">
        <v>0</v>
      </c>
      <c r="F188" s="397">
        <v>0</v>
      </c>
      <c r="G188" s="397">
        <v>0</v>
      </c>
      <c r="H188" s="397">
        <v>0</v>
      </c>
      <c r="I188" s="397">
        <v>0</v>
      </c>
      <c r="J188" s="397">
        <v>0</v>
      </c>
      <c r="K188" s="397">
        <v>0</v>
      </c>
      <c r="L188" s="397">
        <v>0</v>
      </c>
      <c r="M188" s="397">
        <v>0</v>
      </c>
      <c r="N188" s="397">
        <v>0</v>
      </c>
      <c r="O188" s="397">
        <v>0</v>
      </c>
      <c r="P188" s="398">
        <v>0</v>
      </c>
      <c r="Q188" s="186">
        <v>0</v>
      </c>
      <c r="R188" s="186">
        <v>0</v>
      </c>
      <c r="S188" s="186">
        <v>0</v>
      </c>
      <c r="T188" s="186">
        <v>0</v>
      </c>
      <c r="U188" s="186">
        <v>0</v>
      </c>
      <c r="V188" s="186">
        <v>0</v>
      </c>
      <c r="W188" s="186">
        <v>0</v>
      </c>
      <c r="X188" s="186">
        <v>0</v>
      </c>
      <c r="Y188" s="186">
        <v>0</v>
      </c>
      <c r="Z188" s="186">
        <v>0</v>
      </c>
      <c r="AA188" s="186">
        <v>0</v>
      </c>
      <c r="AB188" s="186">
        <v>0</v>
      </c>
      <c r="AC188" s="186">
        <v>0</v>
      </c>
      <c r="AD188" s="186">
        <v>0</v>
      </c>
      <c r="AE188" s="186">
        <v>0</v>
      </c>
      <c r="AF188" s="186">
        <v>0</v>
      </c>
      <c r="AG188" s="186">
        <v>0</v>
      </c>
      <c r="AH188" s="186">
        <v>0</v>
      </c>
      <c r="AI188" s="186">
        <v>0</v>
      </c>
      <c r="AJ188" s="186">
        <v>0</v>
      </c>
      <c r="AK188" s="186">
        <v>0</v>
      </c>
      <c r="AL188" s="186">
        <v>0</v>
      </c>
      <c r="AM188" s="186">
        <v>0</v>
      </c>
      <c r="AN188" s="186">
        <v>0</v>
      </c>
      <c r="AO188" s="186">
        <v>0</v>
      </c>
      <c r="AP188" s="186">
        <v>0</v>
      </c>
      <c r="AQ188" s="186">
        <v>0</v>
      </c>
      <c r="AR188" s="186">
        <v>0</v>
      </c>
      <c r="AS188" s="186">
        <v>0</v>
      </c>
      <c r="AT188" s="186">
        <v>0</v>
      </c>
      <c r="AU188" s="186">
        <v>0</v>
      </c>
      <c r="AV188" s="186">
        <v>0</v>
      </c>
      <c r="AW188" s="186">
        <v>0</v>
      </c>
      <c r="AX188" s="186">
        <v>0</v>
      </c>
      <c r="AY188" s="186">
        <v>0</v>
      </c>
      <c r="AZ188" s="186">
        <v>0</v>
      </c>
      <c r="BA188" s="186">
        <v>0</v>
      </c>
      <c r="BB188" s="186">
        <v>0</v>
      </c>
      <c r="BC188" s="186">
        <v>0</v>
      </c>
      <c r="BD188" s="186">
        <v>0</v>
      </c>
      <c r="BE188" s="186">
        <v>0</v>
      </c>
      <c r="BF188" s="186">
        <v>0</v>
      </c>
      <c r="BG188" s="186">
        <v>0</v>
      </c>
      <c r="BH188" s="186">
        <v>0</v>
      </c>
      <c r="BI188" s="186">
        <v>0</v>
      </c>
      <c r="BJ188" s="186">
        <v>0</v>
      </c>
      <c r="BK188" s="186">
        <v>0</v>
      </c>
      <c r="BL188" s="186">
        <v>0</v>
      </c>
      <c r="BM188" s="186">
        <v>0</v>
      </c>
      <c r="BN188" s="186">
        <v>0</v>
      </c>
      <c r="BO188" s="186">
        <v>0</v>
      </c>
      <c r="BP188" s="186">
        <v>0</v>
      </c>
      <c r="BQ188" s="186">
        <v>0</v>
      </c>
      <c r="BR188" s="186">
        <v>0</v>
      </c>
      <c r="BS188" s="186">
        <v>0</v>
      </c>
      <c r="BT188" s="186">
        <v>0</v>
      </c>
      <c r="BU188" s="186">
        <v>-607500</v>
      </c>
      <c r="BV188" s="186">
        <v>-607500</v>
      </c>
      <c r="BW188" s="186">
        <v>-742500</v>
      </c>
      <c r="BX188" s="186">
        <v>0</v>
      </c>
      <c r="BY188" s="186">
        <v>0</v>
      </c>
      <c r="BZ188" s="186">
        <v>0</v>
      </c>
      <c r="CA188" s="186">
        <v>0</v>
      </c>
      <c r="CB188" s="186">
        <v>0</v>
      </c>
      <c r="CC188" s="186">
        <v>0</v>
      </c>
      <c r="CD188" s="186">
        <v>0</v>
      </c>
      <c r="CE188" s="186">
        <v>0</v>
      </c>
      <c r="CF188" s="186">
        <v>0</v>
      </c>
      <c r="CG188" s="186">
        <v>0</v>
      </c>
      <c r="CH188" s="186">
        <v>0</v>
      </c>
      <c r="CI188" s="186">
        <v>0</v>
      </c>
      <c r="CJ188" s="186">
        <v>0</v>
      </c>
      <c r="CK188" s="186">
        <v>0</v>
      </c>
      <c r="CL188" s="186">
        <v>0</v>
      </c>
      <c r="CM188" s="186">
        <v>0</v>
      </c>
      <c r="CN188" s="186">
        <v>0</v>
      </c>
      <c r="CO188" s="186">
        <v>0</v>
      </c>
      <c r="CP188" s="186">
        <v>0</v>
      </c>
      <c r="CQ188" s="186">
        <v>0</v>
      </c>
      <c r="CR188" s="186">
        <v>0</v>
      </c>
      <c r="CS188" s="186">
        <v>0</v>
      </c>
      <c r="CT188" s="186">
        <v>0</v>
      </c>
      <c r="CU188" s="186">
        <v>0</v>
      </c>
      <c r="CV188" s="186">
        <v>-1800000</v>
      </c>
    </row>
    <row r="189" spans="1:100">
      <c r="A189" s="541" t="str">
        <f t="shared" si="2"/>
        <v>2282010</v>
      </c>
      <c r="B189" s="541" t="s">
        <v>937</v>
      </c>
      <c r="C189" s="463" t="s">
        <v>727</v>
      </c>
      <c r="D189" s="397">
        <v>-2977012</v>
      </c>
      <c r="E189" s="397">
        <v>-3127012</v>
      </c>
      <c r="F189" s="397">
        <v>-3277012</v>
      </c>
      <c r="G189" s="397">
        <v>-3284830</v>
      </c>
      <c r="H189" s="397">
        <v>-3434830</v>
      </c>
      <c r="I189" s="397">
        <v>-3584830</v>
      </c>
      <c r="J189" s="397">
        <v>-4252841</v>
      </c>
      <c r="K189" s="397">
        <v>-4402841</v>
      </c>
      <c r="L189" s="397">
        <v>-4552841</v>
      </c>
      <c r="M189" s="397">
        <v>-4374096</v>
      </c>
      <c r="N189" s="397">
        <v>-4524096</v>
      </c>
      <c r="O189" s="397">
        <v>-4674096</v>
      </c>
      <c r="P189" s="398">
        <v>-4913010</v>
      </c>
      <c r="Q189" s="186">
        <v>-4913010</v>
      </c>
      <c r="R189" s="186">
        <v>-4913010</v>
      </c>
      <c r="S189" s="186">
        <v>-4428902</v>
      </c>
      <c r="T189" s="186">
        <v>-4426359</v>
      </c>
      <c r="U189" s="186">
        <v>-4426359</v>
      </c>
      <c r="V189" s="186">
        <v>-4045175</v>
      </c>
      <c r="W189" s="186">
        <v>-4045175</v>
      </c>
      <c r="X189" s="186">
        <v>-4045175</v>
      </c>
      <c r="Y189" s="186">
        <v>-3557213</v>
      </c>
      <c r="Z189" s="186">
        <v>-3557213</v>
      </c>
      <c r="AA189" s="186">
        <v>-3557213</v>
      </c>
      <c r="AB189" s="186">
        <v>-3936382</v>
      </c>
      <c r="AC189" s="186">
        <v>-3936382</v>
      </c>
      <c r="AD189" s="186">
        <v>-3936382</v>
      </c>
      <c r="AE189" s="186">
        <v>-3338502</v>
      </c>
      <c r="AF189" s="186">
        <v>-3338502</v>
      </c>
      <c r="AG189" s="186">
        <v>-3338502</v>
      </c>
      <c r="AH189" s="186">
        <v>-3583536</v>
      </c>
      <c r="AI189" s="186">
        <v>-3583536</v>
      </c>
      <c r="AJ189" s="186">
        <v>-3583536</v>
      </c>
      <c r="AK189" s="186">
        <v>-3284669</v>
      </c>
      <c r="AL189" s="186">
        <v>-3284669</v>
      </c>
      <c r="AM189" s="186">
        <v>-3284669</v>
      </c>
      <c r="AN189" s="186">
        <v>-3317709</v>
      </c>
      <c r="AO189" s="186">
        <v>-3317709</v>
      </c>
      <c r="AP189" s="186">
        <v>-3317709</v>
      </c>
      <c r="AQ189" s="186">
        <v>-2645511</v>
      </c>
      <c r="AR189" s="186">
        <v>-2645511</v>
      </c>
      <c r="AS189" s="186">
        <v>-2645511</v>
      </c>
      <c r="AT189" s="186">
        <v>-5916760</v>
      </c>
      <c r="AU189" s="186">
        <v>-5916760</v>
      </c>
      <c r="AV189" s="186">
        <v>-5894260</v>
      </c>
      <c r="AW189" s="186">
        <v>-2661674</v>
      </c>
      <c r="AX189" s="186">
        <v>-2661674</v>
      </c>
      <c r="AY189" s="186">
        <v>-2661674</v>
      </c>
      <c r="AZ189" s="186">
        <v>-2777927</v>
      </c>
      <c r="BA189" s="186">
        <v>-2777927</v>
      </c>
      <c r="BB189" s="186">
        <v>-2777927</v>
      </c>
      <c r="BC189" s="186">
        <v>-2753888</v>
      </c>
      <c r="BD189" s="186">
        <v>-2753888</v>
      </c>
      <c r="BE189" s="186">
        <v>-2753888</v>
      </c>
      <c r="BF189" s="186">
        <v>-2741302</v>
      </c>
      <c r="BG189" s="186">
        <v>-2741302</v>
      </c>
      <c r="BH189" s="186">
        <v>-2741302</v>
      </c>
      <c r="BI189" s="186">
        <v>-2700808</v>
      </c>
      <c r="BJ189" s="186">
        <v>-2700808</v>
      </c>
      <c r="BK189" s="186">
        <v>-2700808</v>
      </c>
      <c r="BL189" s="186">
        <v>-2833204</v>
      </c>
      <c r="BM189" s="186">
        <v>-2833204</v>
      </c>
      <c r="BN189" s="186">
        <v>-2833204</v>
      </c>
      <c r="BO189" s="186">
        <v>-2833204</v>
      </c>
      <c r="BP189" s="186">
        <v>-3627465</v>
      </c>
      <c r="BQ189" s="186">
        <v>-3627465</v>
      </c>
      <c r="BR189" s="186">
        <v>-3840485</v>
      </c>
      <c r="BS189" s="186">
        <v>-4840485</v>
      </c>
      <c r="BT189" s="186">
        <v>-4840485</v>
      </c>
      <c r="BU189" s="186">
        <v>-3453036</v>
      </c>
      <c r="BV189" s="186">
        <v>-3453036</v>
      </c>
      <c r="BW189" s="186">
        <v>-3453036</v>
      </c>
      <c r="BX189" s="186">
        <v>-4267723</v>
      </c>
      <c r="BY189" s="186">
        <v>-4267723</v>
      </c>
      <c r="BZ189" s="186">
        <v>-4267723</v>
      </c>
      <c r="CA189" s="186">
        <v>-3911280</v>
      </c>
      <c r="CB189" s="186">
        <v>-3910890</v>
      </c>
      <c r="CC189" s="186">
        <v>-3910890</v>
      </c>
      <c r="CD189" s="186">
        <v>-4199570</v>
      </c>
      <c r="CE189" s="186">
        <v>-4199570</v>
      </c>
      <c r="CF189" s="186">
        <v>-4199570</v>
      </c>
      <c r="CG189" s="186">
        <v>-7812307</v>
      </c>
      <c r="CH189" s="186">
        <v>-7812307</v>
      </c>
      <c r="CI189" s="186">
        <v>-7812307</v>
      </c>
      <c r="CJ189" s="186">
        <v>-8586727</v>
      </c>
      <c r="CK189" s="186">
        <v>-8586727</v>
      </c>
      <c r="CL189" s="186">
        <v>-8586727</v>
      </c>
      <c r="CM189" s="186">
        <v>-8517781</v>
      </c>
      <c r="CN189" s="186">
        <v>-8517302.0099999998</v>
      </c>
      <c r="CO189" s="186">
        <v>-8517302.0099999998</v>
      </c>
      <c r="CP189" s="186">
        <v>-10573742</v>
      </c>
      <c r="CQ189" s="186">
        <v>-10573742</v>
      </c>
      <c r="CR189" s="186">
        <v>-10573742</v>
      </c>
      <c r="CS189" s="186">
        <v>-17542979</v>
      </c>
      <c r="CT189" s="186">
        <v>-13048511</v>
      </c>
      <c r="CU189" s="186">
        <v>-15625446.68</v>
      </c>
      <c r="CV189" s="186">
        <v>-25972093</v>
      </c>
    </row>
    <row r="190" spans="1:100">
      <c r="A190" s="541" t="str">
        <f t="shared" si="2"/>
        <v>2282020</v>
      </c>
      <c r="B190" s="541" t="s">
        <v>1426</v>
      </c>
      <c r="C190" s="463" t="s">
        <v>1425</v>
      </c>
      <c r="D190" s="397"/>
      <c r="E190" s="397"/>
      <c r="F190" s="397"/>
      <c r="G190" s="397"/>
      <c r="H190" s="397"/>
      <c r="I190" s="397"/>
      <c r="J190" s="397"/>
      <c r="K190" s="397"/>
      <c r="L190" s="397"/>
      <c r="M190" s="397"/>
      <c r="N190" s="397"/>
      <c r="O190" s="397"/>
      <c r="P190" s="398"/>
      <c r="Q190" s="186"/>
      <c r="R190" s="186"/>
      <c r="S190" s="186"/>
      <c r="T190" s="186"/>
      <c r="U190" s="186"/>
      <c r="V190" s="186"/>
      <c r="W190" s="186"/>
      <c r="X190" s="186"/>
      <c r="Y190" s="186"/>
      <c r="Z190" s="186"/>
      <c r="AA190" s="186"/>
      <c r="AB190" s="186"/>
      <c r="AC190" s="186">
        <v>35</v>
      </c>
      <c r="AD190" s="186">
        <v>35</v>
      </c>
      <c r="AE190" s="186">
        <v>35</v>
      </c>
      <c r="AF190" s="186">
        <v>35</v>
      </c>
      <c r="AG190" s="186">
        <v>35</v>
      </c>
      <c r="AH190" s="186">
        <v>35</v>
      </c>
      <c r="AI190" s="186">
        <v>35</v>
      </c>
      <c r="AJ190" s="186">
        <v>35</v>
      </c>
      <c r="AK190" s="186">
        <v>120</v>
      </c>
      <c r="AL190" s="186">
        <v>154</v>
      </c>
      <c r="AM190" s="186">
        <v>1140.5</v>
      </c>
      <c r="AN190" s="186">
        <v>4888.6000000000004</v>
      </c>
      <c r="AO190" s="186">
        <v>6979.4</v>
      </c>
      <c r="AP190" s="186">
        <v>8118.5</v>
      </c>
      <c r="AQ190" s="186">
        <v>-442495</v>
      </c>
      <c r="AR190" s="186">
        <v>-442495</v>
      </c>
      <c r="AS190" s="186">
        <v>-440950.3</v>
      </c>
      <c r="AT190" s="186">
        <v>-475505</v>
      </c>
      <c r="AU190" s="186">
        <v>-475505</v>
      </c>
      <c r="AV190" s="186">
        <v>-471295.58</v>
      </c>
      <c r="AW190" s="186">
        <v>-448380</v>
      </c>
      <c r="AX190" s="186">
        <v>-442501.12</v>
      </c>
      <c r="AY190" s="186">
        <v>-442501.12</v>
      </c>
      <c r="AZ190" s="186">
        <v>-528120</v>
      </c>
      <c r="BA190" s="186">
        <v>-528120</v>
      </c>
      <c r="BB190" s="186">
        <v>-527071.31999999995</v>
      </c>
      <c r="BC190" s="186">
        <v>-415922</v>
      </c>
      <c r="BD190" s="186">
        <v>-415675.3</v>
      </c>
      <c r="BE190" s="186">
        <v>-415675.3</v>
      </c>
      <c r="BF190" s="186">
        <v>-470941.7</v>
      </c>
      <c r="BG190" s="186">
        <v>-470767.5</v>
      </c>
      <c r="BH190" s="186">
        <v>-470695</v>
      </c>
      <c r="BI190" s="186">
        <v>-530687</v>
      </c>
      <c r="BJ190" s="186">
        <v>-530599</v>
      </c>
      <c r="BK190" s="186">
        <v>-530599</v>
      </c>
      <c r="BL190" s="186">
        <v>-287151</v>
      </c>
      <c r="BM190" s="186">
        <v>-287151</v>
      </c>
      <c r="BN190" s="186">
        <v>-287151</v>
      </c>
      <c r="BO190" s="186">
        <v>-303615</v>
      </c>
      <c r="BP190" s="186">
        <v>-303615</v>
      </c>
      <c r="BQ190" s="186">
        <v>-303615</v>
      </c>
      <c r="BR190" s="186">
        <v>-303447</v>
      </c>
      <c r="BS190" s="186">
        <v>-303447</v>
      </c>
      <c r="BT190" s="186">
        <v>-303447</v>
      </c>
      <c r="BU190" s="186">
        <v>-189856</v>
      </c>
      <c r="BV190" s="186">
        <v>-189856</v>
      </c>
      <c r="BW190" s="186">
        <v>-189856</v>
      </c>
      <c r="BX190" s="186">
        <v>-222241</v>
      </c>
      <c r="BY190" s="186">
        <v>-221961</v>
      </c>
      <c r="BZ190" s="186">
        <v>-221961</v>
      </c>
      <c r="CA190" s="186">
        <v>-242751</v>
      </c>
      <c r="CB190" s="186">
        <v>-242751</v>
      </c>
      <c r="CC190" s="186">
        <v>-242751</v>
      </c>
      <c r="CD190" s="186">
        <v>-260472</v>
      </c>
      <c r="CE190" s="186">
        <v>-260472</v>
      </c>
      <c r="CF190" s="186">
        <v>-260472</v>
      </c>
      <c r="CG190" s="186">
        <v>-259282</v>
      </c>
      <c r="CH190" s="186">
        <v>-259282</v>
      </c>
      <c r="CI190" s="186">
        <v>-259282</v>
      </c>
      <c r="CJ190" s="186">
        <v>-173606</v>
      </c>
      <c r="CK190" s="186">
        <v>-173606</v>
      </c>
      <c r="CL190" s="186">
        <v>-173606</v>
      </c>
      <c r="CM190" s="186">
        <v>-184879</v>
      </c>
      <c r="CN190" s="186">
        <v>-184879</v>
      </c>
      <c r="CO190" s="186">
        <v>-184879</v>
      </c>
      <c r="CP190" s="186">
        <v>-245056</v>
      </c>
      <c r="CQ190" s="186">
        <v>-243602.4</v>
      </c>
      <c r="CR190" s="186">
        <v>-243602.4</v>
      </c>
      <c r="CS190" s="186">
        <v>-211795</v>
      </c>
      <c r="CT190" s="186">
        <v>-211795</v>
      </c>
      <c r="CU190" s="186">
        <v>-211795</v>
      </c>
      <c r="CV190" s="186">
        <v>-202973</v>
      </c>
    </row>
    <row r="191" spans="1:100">
      <c r="A191" s="541" t="str">
        <f t="shared" si="2"/>
        <v>2282110</v>
      </c>
      <c r="B191" s="541" t="s">
        <v>940</v>
      </c>
      <c r="C191" s="463" t="s">
        <v>728</v>
      </c>
      <c r="D191" s="397"/>
      <c r="E191" s="397">
        <v>0</v>
      </c>
      <c r="F191" s="397">
        <v>0</v>
      </c>
      <c r="G191" s="397">
        <v>0</v>
      </c>
      <c r="H191" s="397">
        <v>0</v>
      </c>
      <c r="I191" s="397">
        <v>0</v>
      </c>
      <c r="J191" s="397">
        <v>965548</v>
      </c>
      <c r="K191" s="397">
        <v>965548</v>
      </c>
      <c r="L191" s="397">
        <v>965548</v>
      </c>
      <c r="M191" s="397">
        <v>884065</v>
      </c>
      <c r="N191" s="397">
        <v>884065</v>
      </c>
      <c r="O191" s="397">
        <v>884065</v>
      </c>
      <c r="P191" s="398">
        <v>1561309</v>
      </c>
      <c r="Q191" s="186">
        <v>1561309</v>
      </c>
      <c r="R191" s="186">
        <v>1561309</v>
      </c>
      <c r="S191" s="186">
        <v>1505526</v>
      </c>
      <c r="T191" s="186">
        <v>1505526</v>
      </c>
      <c r="U191" s="186">
        <v>1505526</v>
      </c>
      <c r="V191" s="186">
        <v>1400612</v>
      </c>
      <c r="W191" s="186">
        <v>1400612</v>
      </c>
      <c r="X191" s="186">
        <v>1400612</v>
      </c>
      <c r="Y191" s="186">
        <v>1146619</v>
      </c>
      <c r="Z191" s="186">
        <v>1146619</v>
      </c>
      <c r="AA191" s="186">
        <v>1146619</v>
      </c>
      <c r="AB191" s="186">
        <v>1139255</v>
      </c>
      <c r="AC191" s="186">
        <v>1139255</v>
      </c>
      <c r="AD191" s="186">
        <v>1139255</v>
      </c>
      <c r="AE191" s="186">
        <v>965765</v>
      </c>
      <c r="AF191" s="186">
        <v>965765</v>
      </c>
      <c r="AG191" s="186">
        <v>965765</v>
      </c>
      <c r="AH191" s="186">
        <v>816969</v>
      </c>
      <c r="AI191" s="186">
        <v>816969</v>
      </c>
      <c r="AJ191" s="186">
        <v>816969</v>
      </c>
      <c r="AK191" s="186">
        <v>619034</v>
      </c>
      <c r="AL191" s="186">
        <v>619034</v>
      </c>
      <c r="AM191" s="186">
        <v>619034</v>
      </c>
      <c r="AN191" s="186">
        <v>395451</v>
      </c>
      <c r="AO191" s="186">
        <v>395451</v>
      </c>
      <c r="AP191" s="186">
        <v>395451</v>
      </c>
      <c r="AQ191" s="186">
        <v>170265</v>
      </c>
      <c r="AR191" s="186">
        <v>170265</v>
      </c>
      <c r="AS191" s="186">
        <v>170265</v>
      </c>
      <c r="AT191" s="186">
        <v>3635693</v>
      </c>
      <c r="AU191" s="186">
        <v>3635693</v>
      </c>
      <c r="AV191" s="186">
        <v>3635693</v>
      </c>
      <c r="AW191" s="186">
        <v>0</v>
      </c>
      <c r="AX191" s="186">
        <v>0</v>
      </c>
      <c r="AY191" s="186">
        <v>0</v>
      </c>
      <c r="AZ191" s="186">
        <v>621882</v>
      </c>
      <c r="BA191" s="186">
        <v>621882</v>
      </c>
      <c r="BB191" s="186">
        <v>621882</v>
      </c>
      <c r="BC191" s="186">
        <v>608697</v>
      </c>
      <c r="BD191" s="186">
        <v>608697</v>
      </c>
      <c r="BE191" s="186">
        <v>608697</v>
      </c>
      <c r="BF191" s="186">
        <v>562064</v>
      </c>
      <c r="BG191" s="186">
        <v>562064</v>
      </c>
      <c r="BH191" s="186">
        <v>562064</v>
      </c>
      <c r="BI191" s="186">
        <v>547823</v>
      </c>
      <c r="BJ191" s="186">
        <v>547823</v>
      </c>
      <c r="BK191" s="186">
        <v>547823</v>
      </c>
      <c r="BL191" s="186">
        <v>498949</v>
      </c>
      <c r="BM191" s="186">
        <v>498949</v>
      </c>
      <c r="BN191" s="186">
        <v>498949</v>
      </c>
      <c r="BO191" s="186">
        <v>-295312</v>
      </c>
      <c r="BP191" s="186">
        <v>498949</v>
      </c>
      <c r="BQ191" s="186">
        <v>498949</v>
      </c>
      <c r="BR191" s="186">
        <v>498949</v>
      </c>
      <c r="BS191" s="186">
        <v>498949</v>
      </c>
      <c r="BT191" s="186">
        <v>498949</v>
      </c>
      <c r="BU191" s="186">
        <v>160000</v>
      </c>
      <c r="BV191" s="186">
        <v>160000</v>
      </c>
      <c r="BW191" s="186">
        <v>160000</v>
      </c>
      <c r="BX191" s="186">
        <v>160000</v>
      </c>
      <c r="BY191" s="186">
        <v>160000</v>
      </c>
      <c r="BZ191" s="186">
        <v>160000</v>
      </c>
      <c r="CA191" s="186">
        <v>160000</v>
      </c>
      <c r="CB191" s="186">
        <v>160000</v>
      </c>
      <c r="CC191" s="186">
        <v>160000</v>
      </c>
      <c r="CD191" s="186">
        <v>160000</v>
      </c>
      <c r="CE191" s="186">
        <v>160000</v>
      </c>
      <c r="CF191" s="186">
        <v>160000</v>
      </c>
      <c r="CG191" s="186">
        <v>3862000</v>
      </c>
      <c r="CH191" s="186">
        <v>3862000</v>
      </c>
      <c r="CI191" s="186">
        <v>3862000</v>
      </c>
      <c r="CJ191" s="186">
        <v>3904599</v>
      </c>
      <c r="CK191" s="186">
        <v>3904599</v>
      </c>
      <c r="CL191" s="186">
        <v>3904599</v>
      </c>
      <c r="CM191" s="186">
        <v>3703243</v>
      </c>
      <c r="CN191" s="186">
        <v>3703243</v>
      </c>
      <c r="CO191" s="186">
        <v>3703243</v>
      </c>
      <c r="CP191" s="186">
        <v>5917066</v>
      </c>
      <c r="CQ191" s="186">
        <v>5917066</v>
      </c>
      <c r="CR191" s="186">
        <v>5917066</v>
      </c>
      <c r="CS191" s="186">
        <v>12542012</v>
      </c>
      <c r="CT191" s="186">
        <v>12542012</v>
      </c>
      <c r="CU191" s="186">
        <v>12542012</v>
      </c>
      <c r="CV191" s="186">
        <v>1000000</v>
      </c>
    </row>
    <row r="192" spans="1:100">
      <c r="A192" s="541" t="str">
        <f t="shared" si="2"/>
        <v>2282210</v>
      </c>
      <c r="B192" s="541" t="s">
        <v>2774</v>
      </c>
      <c r="C192" s="463" t="s">
        <v>2773</v>
      </c>
      <c r="D192" s="397"/>
      <c r="E192" s="397"/>
      <c r="F192" s="397"/>
      <c r="G192" s="397"/>
      <c r="H192" s="397"/>
      <c r="I192" s="397"/>
      <c r="J192" s="397"/>
      <c r="K192" s="397"/>
      <c r="L192" s="397"/>
      <c r="M192" s="397"/>
      <c r="N192" s="397"/>
      <c r="O192" s="397"/>
      <c r="P192" s="398"/>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c r="CH192" s="186"/>
      <c r="CI192" s="186"/>
      <c r="CJ192" s="186">
        <v>0</v>
      </c>
      <c r="CK192" s="186">
        <v>0</v>
      </c>
      <c r="CL192" s="186">
        <v>0</v>
      </c>
      <c r="CM192" s="186">
        <v>0</v>
      </c>
      <c r="CN192" s="186">
        <v>0</v>
      </c>
      <c r="CO192" s="186">
        <v>0</v>
      </c>
      <c r="CP192" s="186">
        <v>0</v>
      </c>
      <c r="CQ192" s="186">
        <v>0</v>
      </c>
      <c r="CR192" s="186">
        <v>0</v>
      </c>
      <c r="CS192" s="186">
        <v>0</v>
      </c>
      <c r="CT192" s="186">
        <v>0</v>
      </c>
      <c r="CU192" s="186">
        <v>0</v>
      </c>
      <c r="CV192" s="186">
        <v>20670478</v>
      </c>
    </row>
    <row r="193" spans="1:100">
      <c r="A193" s="541" t="str">
        <f t="shared" si="2"/>
        <v>2283200</v>
      </c>
      <c r="B193" s="541" t="s">
        <v>931</v>
      </c>
      <c r="C193" s="463" t="s">
        <v>729</v>
      </c>
      <c r="D193" s="397">
        <v>10238592.390000001</v>
      </c>
      <c r="E193" s="397">
        <v>11113342.390000001</v>
      </c>
      <c r="F193" s="397">
        <v>10965092.390000001</v>
      </c>
      <c r="G193" s="397">
        <v>11595162.390000001</v>
      </c>
      <c r="H193" s="397">
        <v>12636298.390000001</v>
      </c>
      <c r="I193" s="397">
        <v>12489295.390000001</v>
      </c>
      <c r="J193" s="397">
        <v>12342292.390000001</v>
      </c>
      <c r="K193" s="397">
        <v>13319289.390000001</v>
      </c>
      <c r="L193" s="397">
        <v>13172286.390000001</v>
      </c>
      <c r="M193" s="397">
        <v>14161868.390000001</v>
      </c>
      <c r="N193" s="397">
        <v>14027450.390000001</v>
      </c>
      <c r="O193" s="397">
        <v>13893032.390000001</v>
      </c>
      <c r="P193" s="398">
        <v>13758614.390000001</v>
      </c>
      <c r="Q193" s="186">
        <v>14821655.390000001</v>
      </c>
      <c r="R193" s="186">
        <v>14678803.390000001</v>
      </c>
      <c r="S193" s="186">
        <v>14855837.390000001</v>
      </c>
      <c r="T193" s="186">
        <v>15381871.390000001</v>
      </c>
      <c r="U193" s="186">
        <v>15125175.390000001</v>
      </c>
      <c r="V193" s="186">
        <v>14978663.390000001</v>
      </c>
      <c r="W193" s="186">
        <v>15588151.390000001</v>
      </c>
      <c r="X193" s="186">
        <v>15197481.390000001</v>
      </c>
      <c r="Y193" s="186">
        <v>16696969.390000001</v>
      </c>
      <c r="Z193" s="186">
        <v>16550457.390000001</v>
      </c>
      <c r="AA193" s="186">
        <v>16403945.390000001</v>
      </c>
      <c r="AB193" s="186">
        <v>16257433.390000001</v>
      </c>
      <c r="AC193" s="186">
        <v>16126312.390000001</v>
      </c>
      <c r="AD193" s="186">
        <v>15995191.390000001</v>
      </c>
      <c r="AE193" s="186">
        <v>16288070.390000001</v>
      </c>
      <c r="AF193" s="186">
        <v>17112497.390000001</v>
      </c>
      <c r="AG193" s="186">
        <v>16975263.390000001</v>
      </c>
      <c r="AH193" s="186">
        <v>16838029.390000001</v>
      </c>
      <c r="AI193" s="186">
        <v>17680795.390000001</v>
      </c>
      <c r="AJ193" s="186">
        <v>17543561.390000001</v>
      </c>
      <c r="AK193" s="186">
        <v>18356205.390000001</v>
      </c>
      <c r="AL193" s="186">
        <v>18215624.390000001</v>
      </c>
      <c r="AM193" s="186">
        <v>18075043.390000001</v>
      </c>
      <c r="AN193" s="186">
        <v>17934462.390000001</v>
      </c>
      <c r="AO193" s="186">
        <v>18777571.390000001</v>
      </c>
      <c r="AP193" s="186">
        <v>18650259.390000001</v>
      </c>
      <c r="AQ193" s="186">
        <v>18977832.390000001</v>
      </c>
      <c r="AR193" s="186">
        <v>19918520.390000001</v>
      </c>
      <c r="AS193" s="186">
        <v>19791208.390000001</v>
      </c>
      <c r="AT193" s="186">
        <v>19590161.390000001</v>
      </c>
      <c r="AU193" s="186">
        <v>20518125.390000001</v>
      </c>
      <c r="AV193" s="186">
        <v>20378524.390000001</v>
      </c>
      <c r="AW193" s="186">
        <v>21306487.390000001</v>
      </c>
      <c r="AX193" s="186">
        <v>21166886.390000001</v>
      </c>
      <c r="AY193" s="186">
        <v>21027285.390000001</v>
      </c>
      <c r="AZ193" s="186">
        <v>20887684.390000001</v>
      </c>
      <c r="BA193" s="186">
        <v>21678143.390000001</v>
      </c>
      <c r="BB193" s="186">
        <v>21548754.390000001</v>
      </c>
      <c r="BC193" s="186">
        <v>21419365.390000001</v>
      </c>
      <c r="BD193" s="186">
        <v>21289976.390000001</v>
      </c>
      <c r="BE193" s="186">
        <v>21030394.390000001</v>
      </c>
      <c r="BF193" s="186">
        <v>20874966.390000001</v>
      </c>
      <c r="BG193" s="186">
        <v>20719538.390000001</v>
      </c>
      <c r="BH193" s="186">
        <v>20564110.390000001</v>
      </c>
      <c r="BI193" s="186">
        <v>20408682.390000001</v>
      </c>
      <c r="BJ193" s="186">
        <v>20253254.390000001</v>
      </c>
      <c r="BK193" s="186">
        <v>20097826.390000001</v>
      </c>
      <c r="BL193" s="186">
        <v>19942398.390000001</v>
      </c>
      <c r="BM193" s="186">
        <v>19808286.390000001</v>
      </c>
      <c r="BN193" s="186">
        <v>19674174.390000001</v>
      </c>
      <c r="BO193" s="186">
        <v>19540062.390000001</v>
      </c>
      <c r="BP193" s="186">
        <v>20244950.390000001</v>
      </c>
      <c r="BQ193" s="186">
        <v>20110838.390000001</v>
      </c>
      <c r="BR193" s="186">
        <v>20051012.390000001</v>
      </c>
      <c r="BS193" s="186">
        <v>20768280.390000001</v>
      </c>
      <c r="BT193" s="186">
        <v>20646548.390000001</v>
      </c>
      <c r="BU193" s="186">
        <v>21363816.390000001</v>
      </c>
      <c r="BV193" s="186">
        <v>21242084.390000001</v>
      </c>
      <c r="BW193" s="186">
        <v>21096376.390000001</v>
      </c>
      <c r="BX193" s="186">
        <v>20912147.390000001</v>
      </c>
      <c r="BY193" s="186">
        <v>21424731.390000001</v>
      </c>
      <c r="BZ193" s="186">
        <v>21277315.390000001</v>
      </c>
      <c r="CA193" s="186">
        <v>21129899.390000001</v>
      </c>
      <c r="CB193" s="186">
        <v>21642483.390000001</v>
      </c>
      <c r="CC193" s="186">
        <v>21495067.390000001</v>
      </c>
      <c r="CD193" s="186">
        <v>21276473.390000001</v>
      </c>
      <c r="CE193" s="186">
        <v>21777193.390000001</v>
      </c>
      <c r="CF193" s="186">
        <v>21617913.390000001</v>
      </c>
      <c r="CG193" s="186">
        <v>22118633.390000001</v>
      </c>
      <c r="CH193" s="186">
        <v>21959353.390000001</v>
      </c>
      <c r="CI193" s="186">
        <v>21800073.390000001</v>
      </c>
      <c r="CJ193" s="186">
        <v>21640793.390000001</v>
      </c>
      <c r="CK193" s="186">
        <v>22289760.390000001</v>
      </c>
      <c r="CL193" s="186">
        <v>22137727.390000001</v>
      </c>
      <c r="CM193" s="186">
        <v>21985550.390000001</v>
      </c>
      <c r="CN193" s="186">
        <v>22634517.390000001</v>
      </c>
      <c r="CO193" s="186">
        <v>22482484.390000001</v>
      </c>
      <c r="CP193" s="186">
        <v>22330451.390000001</v>
      </c>
      <c r="CQ193" s="186">
        <v>22795460.390000001</v>
      </c>
      <c r="CR193" s="186">
        <v>22617148.390000001</v>
      </c>
      <c r="CS193" s="186">
        <v>23239836.390000001</v>
      </c>
      <c r="CT193" s="186">
        <v>23061524.390000001</v>
      </c>
      <c r="CU193" s="186">
        <v>22883212.390000001</v>
      </c>
      <c r="CV193" s="186">
        <v>22704900.390000001</v>
      </c>
    </row>
    <row r="194" spans="1:100">
      <c r="A194" s="541" t="str">
        <f t="shared" si="2"/>
        <v>2283201</v>
      </c>
      <c r="B194" s="541" t="s">
        <v>908</v>
      </c>
      <c r="C194" s="463" t="s">
        <v>730</v>
      </c>
      <c r="D194" s="397">
        <v>-15209123</v>
      </c>
      <c r="E194" s="397">
        <v>-15209123</v>
      </c>
      <c r="F194" s="397">
        <v>-15209123</v>
      </c>
      <c r="G194" s="397">
        <v>-14877501</v>
      </c>
      <c r="H194" s="397">
        <v>-14877501</v>
      </c>
      <c r="I194" s="397">
        <v>-14877501</v>
      </c>
      <c r="J194" s="397">
        <v>-14551549</v>
      </c>
      <c r="K194" s="397">
        <v>-14551549</v>
      </c>
      <c r="L194" s="397">
        <v>-14551549</v>
      </c>
      <c r="M194" s="397">
        <v>-14402706</v>
      </c>
      <c r="N194" s="397">
        <v>-14402706</v>
      </c>
      <c r="O194" s="397">
        <v>-14402706</v>
      </c>
      <c r="P194" s="398">
        <v>-17295637</v>
      </c>
      <c r="Q194" s="186">
        <v>-17295637</v>
      </c>
      <c r="R194" s="186">
        <v>-17295637</v>
      </c>
      <c r="S194" s="186">
        <v>-17631988</v>
      </c>
      <c r="T194" s="186">
        <v>-17631988</v>
      </c>
      <c r="U194" s="186">
        <v>-17631988</v>
      </c>
      <c r="V194" s="186">
        <v>-16532273</v>
      </c>
      <c r="W194" s="186">
        <v>-16532273</v>
      </c>
      <c r="X194" s="186">
        <v>-16231131</v>
      </c>
      <c r="Y194" s="186">
        <v>-15849449</v>
      </c>
      <c r="Z194" s="186">
        <v>-15849449</v>
      </c>
      <c r="AA194" s="186">
        <v>-15849449</v>
      </c>
      <c r="AB194" s="186">
        <v>-24128551</v>
      </c>
      <c r="AC194" s="186">
        <v>-24128551</v>
      </c>
      <c r="AD194" s="186">
        <v>-24128551</v>
      </c>
      <c r="AE194" s="186">
        <v>-23800263</v>
      </c>
      <c r="AF194" s="186">
        <v>-23800263</v>
      </c>
      <c r="AG194" s="186">
        <v>-23800263</v>
      </c>
      <c r="AH194" s="186">
        <v>-23362148</v>
      </c>
      <c r="AI194" s="186">
        <v>-23362148</v>
      </c>
      <c r="AJ194" s="186">
        <v>-23362148</v>
      </c>
      <c r="AK194" s="186">
        <v>-30003693</v>
      </c>
      <c r="AL194" s="186">
        <v>-30003693</v>
      </c>
      <c r="AM194" s="186">
        <v>-30003693</v>
      </c>
      <c r="AN194" s="186">
        <v>-27730283</v>
      </c>
      <c r="AO194" s="186">
        <v>-27730283</v>
      </c>
      <c r="AP194" s="186">
        <v>-27730283</v>
      </c>
      <c r="AQ194" s="186">
        <v>-27367286</v>
      </c>
      <c r="AR194" s="186">
        <v>-27367286</v>
      </c>
      <c r="AS194" s="186">
        <v>-27367286</v>
      </c>
      <c r="AT194" s="186">
        <v>-27134155</v>
      </c>
      <c r="AU194" s="186">
        <v>-27134155</v>
      </c>
      <c r="AV194" s="186">
        <v>-27134155</v>
      </c>
      <c r="AW194" s="186">
        <v>-26763244</v>
      </c>
      <c r="AX194" s="186">
        <v>-26763244</v>
      </c>
      <c r="AY194" s="186">
        <v>-26763244</v>
      </c>
      <c r="AZ194" s="186">
        <v>-24001040</v>
      </c>
      <c r="BA194" s="186">
        <v>-24001040</v>
      </c>
      <c r="BB194" s="186">
        <v>-24001040</v>
      </c>
      <c r="BC194" s="186">
        <v>-23590858</v>
      </c>
      <c r="BD194" s="186">
        <v>-23590858</v>
      </c>
      <c r="BE194" s="186">
        <v>-23590858</v>
      </c>
      <c r="BF194" s="186">
        <v>-23181591</v>
      </c>
      <c r="BG194" s="186">
        <v>-23181591</v>
      </c>
      <c r="BH194" s="186">
        <v>-23181591</v>
      </c>
      <c r="BI194" s="186">
        <v>-22771866</v>
      </c>
      <c r="BJ194" s="186">
        <v>-22771866</v>
      </c>
      <c r="BK194" s="186">
        <v>-22771866</v>
      </c>
      <c r="BL194" s="186">
        <v>-29661162</v>
      </c>
      <c r="BM194" s="186">
        <v>-29661162</v>
      </c>
      <c r="BN194" s="186">
        <v>-29661162</v>
      </c>
      <c r="BO194" s="186">
        <v>-29317732</v>
      </c>
      <c r="BP194" s="186">
        <v>-29317732</v>
      </c>
      <c r="BQ194" s="186">
        <v>-29317732</v>
      </c>
      <c r="BR194" s="186">
        <v>-28959087</v>
      </c>
      <c r="BS194" s="186">
        <v>-28959087</v>
      </c>
      <c r="BT194" s="186">
        <v>-28959087</v>
      </c>
      <c r="BU194" s="186">
        <v>-28608049</v>
      </c>
      <c r="BV194" s="186">
        <v>-28608049</v>
      </c>
      <c r="BW194" s="186">
        <v>-28608049</v>
      </c>
      <c r="BX194" s="186">
        <v>-26318985</v>
      </c>
      <c r="BY194" s="186">
        <v>-26318985</v>
      </c>
      <c r="BZ194" s="186">
        <v>-26318985</v>
      </c>
      <c r="CA194" s="186">
        <v>-25845254</v>
      </c>
      <c r="CB194" s="186">
        <v>-25845254</v>
      </c>
      <c r="CC194" s="186">
        <v>-25845254</v>
      </c>
      <c r="CD194" s="186">
        <v>-25377809</v>
      </c>
      <c r="CE194" s="186">
        <v>-25377809</v>
      </c>
      <c r="CF194" s="186">
        <v>-25377809</v>
      </c>
      <c r="CG194" s="186">
        <v>-24907221</v>
      </c>
      <c r="CH194" s="186">
        <v>-24907221</v>
      </c>
      <c r="CI194" s="186">
        <v>-24907221</v>
      </c>
      <c r="CJ194" s="186">
        <v>-23895817</v>
      </c>
      <c r="CK194" s="186">
        <v>-23895817</v>
      </c>
      <c r="CL194" s="186">
        <v>-23895817</v>
      </c>
      <c r="CM194" s="186">
        <v>-23351930</v>
      </c>
      <c r="CN194" s="186">
        <v>-23351930</v>
      </c>
      <c r="CO194" s="186">
        <v>-23351930</v>
      </c>
      <c r="CP194" s="186">
        <v>-22808043</v>
      </c>
      <c r="CQ194" s="186">
        <v>-22808043</v>
      </c>
      <c r="CR194" s="186">
        <v>-22808043</v>
      </c>
      <c r="CS194" s="186">
        <v>-21990611</v>
      </c>
      <c r="CT194" s="186">
        <v>-21990611</v>
      </c>
      <c r="CU194" s="186">
        <v>-21990611</v>
      </c>
      <c r="CV194" s="186">
        <v>-16179024</v>
      </c>
    </row>
    <row r="195" spans="1:100">
      <c r="A195" s="541" t="str">
        <f t="shared" si="2"/>
        <v>2283210</v>
      </c>
      <c r="B195" s="541" t="s">
        <v>912</v>
      </c>
      <c r="C195" s="463" t="s">
        <v>731</v>
      </c>
      <c r="D195" s="397">
        <v>-1160296.98</v>
      </c>
      <c r="E195" s="397">
        <v>-1133441.3400000001</v>
      </c>
      <c r="F195" s="397">
        <v>-652840.81999999995</v>
      </c>
      <c r="G195" s="397">
        <v>-450838</v>
      </c>
      <c r="H195" s="397">
        <v>-478347.18</v>
      </c>
      <c r="I195" s="397">
        <v>-500297.36</v>
      </c>
      <c r="J195" s="397">
        <v>-522247.54</v>
      </c>
      <c r="K195" s="397">
        <v>-544197.72</v>
      </c>
      <c r="L195" s="397">
        <v>-206354.2</v>
      </c>
      <c r="M195" s="397">
        <v>-234652.48</v>
      </c>
      <c r="N195" s="397">
        <v>-262950.76</v>
      </c>
      <c r="O195" s="397">
        <v>-291249.03999999998</v>
      </c>
      <c r="P195" s="398">
        <v>-319547.32</v>
      </c>
      <c r="Q195" s="186">
        <v>-350097.84</v>
      </c>
      <c r="R195" s="186">
        <v>-359835.36</v>
      </c>
      <c r="S195" s="186">
        <v>-336310.88</v>
      </c>
      <c r="T195" s="186">
        <v>-356457.4</v>
      </c>
      <c r="U195" s="186">
        <v>-388456.92</v>
      </c>
      <c r="V195" s="186">
        <v>-410974.44</v>
      </c>
      <c r="W195" s="186">
        <v>-433491.96</v>
      </c>
      <c r="X195" s="186">
        <v>-456009.48</v>
      </c>
      <c r="Y195" s="186">
        <v>-478527</v>
      </c>
      <c r="Z195" s="186">
        <v>-501044.52</v>
      </c>
      <c r="AA195" s="186">
        <v>-523562.04</v>
      </c>
      <c r="AB195" s="186">
        <v>-546079.56000000006</v>
      </c>
      <c r="AC195" s="186">
        <v>-566461.07999999996</v>
      </c>
      <c r="AD195" s="186">
        <v>-586842.6</v>
      </c>
      <c r="AE195" s="186">
        <v>-607224.12</v>
      </c>
      <c r="AF195" s="186">
        <v>-631075.64</v>
      </c>
      <c r="AG195" s="186">
        <v>-652324.16</v>
      </c>
      <c r="AH195" s="186">
        <v>-673572.68</v>
      </c>
      <c r="AI195" s="186">
        <v>-694821.2</v>
      </c>
      <c r="AJ195" s="186">
        <v>-716069.72</v>
      </c>
      <c r="AK195" s="186">
        <v>-667829.24</v>
      </c>
      <c r="AL195" s="186">
        <v>-698518.76</v>
      </c>
      <c r="AM195" s="186">
        <v>-729208.28</v>
      </c>
      <c r="AN195" s="186">
        <v>-759897.8</v>
      </c>
      <c r="AO195" s="186">
        <v>-1371147.32</v>
      </c>
      <c r="AP195" s="186">
        <v>-813824.84</v>
      </c>
      <c r="AQ195" s="186">
        <v>-840788.36</v>
      </c>
      <c r="AR195" s="186">
        <v>-867751.88</v>
      </c>
      <c r="AS195" s="186">
        <v>-894715.4</v>
      </c>
      <c r="AT195" s="186">
        <v>-961897.92</v>
      </c>
      <c r="AU195" s="186">
        <v>-995564.44</v>
      </c>
      <c r="AV195" s="186">
        <v>-1032263.44</v>
      </c>
      <c r="AW195" s="186">
        <v>-1062897.48</v>
      </c>
      <c r="AX195" s="186">
        <v>-1096564</v>
      </c>
      <c r="AY195" s="186">
        <v>-1130230.52</v>
      </c>
      <c r="AZ195" s="186">
        <v>-1163897.04</v>
      </c>
      <c r="BA195" s="186">
        <v>-1470566.56</v>
      </c>
      <c r="BB195" s="186">
        <v>-1210632.08</v>
      </c>
      <c r="BC195" s="186">
        <v>-1233999.6000000001</v>
      </c>
      <c r="BD195" s="186">
        <v>-1257367.1200000001</v>
      </c>
      <c r="BE195" s="186">
        <v>-1214115.6399999999</v>
      </c>
      <c r="BF195" s="186">
        <v>-1261059.1599999999</v>
      </c>
      <c r="BG195" s="186">
        <v>-1285507.68</v>
      </c>
      <c r="BH195" s="186">
        <v>-1309613.8400000001</v>
      </c>
      <c r="BI195" s="186">
        <v>-1334062.3600000001</v>
      </c>
      <c r="BJ195" s="186">
        <v>-1358510.88</v>
      </c>
      <c r="BK195" s="186">
        <v>-1383301.76</v>
      </c>
      <c r="BL195" s="186">
        <v>-1407750.28</v>
      </c>
      <c r="BM195" s="186">
        <v>-1430350.28</v>
      </c>
      <c r="BN195" s="186">
        <v>-1452950.28</v>
      </c>
      <c r="BO195" s="186">
        <v>-1475550.28</v>
      </c>
      <c r="BP195" s="186">
        <v>-1498150.28</v>
      </c>
      <c r="BQ195" s="186">
        <v>-1520750.28</v>
      </c>
      <c r="BR195" s="186">
        <v>-1564731.28</v>
      </c>
      <c r="BS195" s="186">
        <v>-1590894.28</v>
      </c>
      <c r="BT195" s="186">
        <v>-1617057.28</v>
      </c>
      <c r="BU195" s="186">
        <v>-1643220.28</v>
      </c>
      <c r="BV195" s="186">
        <v>-1669383.28</v>
      </c>
      <c r="BW195" s="186">
        <v>-1695546.28</v>
      </c>
      <c r="BX195" s="186">
        <v>-1721709.28</v>
      </c>
      <c r="BY195" s="186">
        <v>-1732455.28</v>
      </c>
      <c r="BZ195" s="186">
        <v>-1743201.28</v>
      </c>
      <c r="CA195" s="186">
        <v>-1753947.28</v>
      </c>
      <c r="CB195" s="186">
        <v>-1764693.28</v>
      </c>
      <c r="CC195" s="186">
        <v>-1775439.28</v>
      </c>
      <c r="CD195" s="186">
        <v>-1791996.28</v>
      </c>
      <c r="CE195" s="186">
        <v>-1803711.28</v>
      </c>
      <c r="CF195" s="186">
        <v>-1815426.28</v>
      </c>
      <c r="CG195" s="186">
        <v>-1827141.28</v>
      </c>
      <c r="CH195" s="186">
        <v>-1838856.28</v>
      </c>
      <c r="CI195" s="186">
        <v>-1850571.28</v>
      </c>
      <c r="CJ195" s="186">
        <v>-1862286.28</v>
      </c>
      <c r="CK195" s="186">
        <v>-1873443.28</v>
      </c>
      <c r="CL195" s="186">
        <v>-1884600.28</v>
      </c>
      <c r="CM195" s="186">
        <v>-760796.28</v>
      </c>
      <c r="CN195" s="186">
        <v>-771953.28</v>
      </c>
      <c r="CO195" s="186">
        <v>-783110.28</v>
      </c>
      <c r="CP195" s="186">
        <v>-794267.28</v>
      </c>
      <c r="CQ195" s="186">
        <v>-814077.28</v>
      </c>
      <c r="CR195" s="186">
        <v>-826471.28</v>
      </c>
      <c r="CS195" s="186">
        <v>-838865.28</v>
      </c>
      <c r="CT195" s="186">
        <v>-851259.28</v>
      </c>
      <c r="CU195" s="186">
        <v>-863653.28</v>
      </c>
      <c r="CV195" s="186">
        <v>-876047.28</v>
      </c>
    </row>
    <row r="196" spans="1:100">
      <c r="A196" s="541" t="str">
        <f t="shared" si="2"/>
        <v>2283211</v>
      </c>
      <c r="B196" s="541" t="s">
        <v>909</v>
      </c>
      <c r="C196" s="463" t="s">
        <v>732</v>
      </c>
      <c r="D196" s="397">
        <v>-2750624</v>
      </c>
      <c r="E196" s="397">
        <v>-2750624</v>
      </c>
      <c r="F196" s="397">
        <v>-2750624</v>
      </c>
      <c r="G196" s="397">
        <v>-2701597</v>
      </c>
      <c r="H196" s="397">
        <v>-2701597</v>
      </c>
      <c r="I196" s="397">
        <v>-2701597</v>
      </c>
      <c r="J196" s="397">
        <v>-2640592</v>
      </c>
      <c r="K196" s="397">
        <v>-2640592</v>
      </c>
      <c r="L196" s="397">
        <v>-2640592</v>
      </c>
      <c r="M196" s="397">
        <v>-2585576</v>
      </c>
      <c r="N196" s="397">
        <v>-2585576</v>
      </c>
      <c r="O196" s="397">
        <v>-2585576</v>
      </c>
      <c r="P196" s="398">
        <v>-2779984</v>
      </c>
      <c r="Q196" s="186">
        <v>-2779984</v>
      </c>
      <c r="R196" s="186">
        <v>-2779984</v>
      </c>
      <c r="S196" s="186">
        <v>-2813932</v>
      </c>
      <c r="T196" s="186">
        <v>-2813932</v>
      </c>
      <c r="U196" s="186">
        <v>-2813932</v>
      </c>
      <c r="V196" s="186">
        <v>-2699889</v>
      </c>
      <c r="W196" s="186">
        <v>-2699889</v>
      </c>
      <c r="X196" s="186">
        <v>-2699889</v>
      </c>
      <c r="Y196" s="186">
        <v>-2659841</v>
      </c>
      <c r="Z196" s="186">
        <v>-2659841</v>
      </c>
      <c r="AA196" s="186">
        <v>-2659841</v>
      </c>
      <c r="AB196" s="186">
        <v>-2360028</v>
      </c>
      <c r="AC196" s="186">
        <v>-2360028</v>
      </c>
      <c r="AD196" s="186">
        <v>-2360028</v>
      </c>
      <c r="AE196" s="186">
        <v>-2326845</v>
      </c>
      <c r="AF196" s="186">
        <v>-2326845</v>
      </c>
      <c r="AG196" s="186">
        <v>-2326845</v>
      </c>
      <c r="AH196" s="186">
        <v>-2285965</v>
      </c>
      <c r="AI196" s="186">
        <v>-2285965</v>
      </c>
      <c r="AJ196" s="186">
        <v>-2285965</v>
      </c>
      <c r="AK196" s="186">
        <v>-2491380</v>
      </c>
      <c r="AL196" s="186">
        <v>-2491380</v>
      </c>
      <c r="AM196" s="186">
        <v>-2491380</v>
      </c>
      <c r="AN196" s="186">
        <v>-1703277</v>
      </c>
      <c r="AO196" s="186">
        <v>-1703277</v>
      </c>
      <c r="AP196" s="186">
        <v>-1703277</v>
      </c>
      <c r="AQ196" s="186">
        <v>-1635333</v>
      </c>
      <c r="AR196" s="186">
        <v>-1635333</v>
      </c>
      <c r="AS196" s="186">
        <v>-1635333</v>
      </c>
      <c r="AT196" s="186">
        <v>-1681611</v>
      </c>
      <c r="AU196" s="186">
        <v>-1681611</v>
      </c>
      <c r="AV196" s="186">
        <v>-1681611</v>
      </c>
      <c r="AW196" s="186">
        <v>-1590499</v>
      </c>
      <c r="AX196" s="186">
        <v>-1590499</v>
      </c>
      <c r="AY196" s="186">
        <v>-1590499</v>
      </c>
      <c r="AZ196" s="186">
        <v>-912301</v>
      </c>
      <c r="BA196" s="186">
        <v>-912301</v>
      </c>
      <c r="BB196" s="186">
        <v>-912301</v>
      </c>
      <c r="BC196" s="186">
        <v>-845129</v>
      </c>
      <c r="BD196" s="186">
        <v>-845129</v>
      </c>
      <c r="BE196" s="186">
        <v>-845129</v>
      </c>
      <c r="BF196" s="186">
        <v>-760943</v>
      </c>
      <c r="BG196" s="186">
        <v>-760943</v>
      </c>
      <c r="BH196" s="186">
        <v>-760943</v>
      </c>
      <c r="BI196" s="186">
        <v>-698906</v>
      </c>
      <c r="BJ196" s="186">
        <v>-698906</v>
      </c>
      <c r="BK196" s="186">
        <v>-698906</v>
      </c>
      <c r="BL196" s="186">
        <v>-458297</v>
      </c>
      <c r="BM196" s="186">
        <v>-458297</v>
      </c>
      <c r="BN196" s="186">
        <v>-458297</v>
      </c>
      <c r="BO196" s="186">
        <v>-410557</v>
      </c>
      <c r="BP196" s="186">
        <v>-410557</v>
      </c>
      <c r="BQ196" s="186">
        <v>-410557</v>
      </c>
      <c r="BR196" s="186">
        <v>-340694</v>
      </c>
      <c r="BS196" s="186">
        <v>-340694</v>
      </c>
      <c r="BT196" s="186">
        <v>-340694</v>
      </c>
      <c r="BU196" s="186">
        <v>-281893</v>
      </c>
      <c r="BV196" s="186">
        <v>-281893</v>
      </c>
      <c r="BW196" s="186">
        <v>-281893</v>
      </c>
      <c r="BX196" s="186">
        <v>-27318</v>
      </c>
      <c r="BY196" s="186">
        <v>-27318</v>
      </c>
      <c r="BZ196" s="186">
        <v>-27318</v>
      </c>
      <c r="CA196" s="186">
        <v>-8104</v>
      </c>
      <c r="CB196" s="186">
        <v>-8104</v>
      </c>
      <c r="CC196" s="186">
        <v>-8104</v>
      </c>
      <c r="CD196" s="186">
        <v>16204</v>
      </c>
      <c r="CE196" s="186">
        <v>16204</v>
      </c>
      <c r="CF196" s="186">
        <v>16204</v>
      </c>
      <c r="CG196" s="186">
        <v>37965</v>
      </c>
      <c r="CH196" s="186">
        <v>37965</v>
      </c>
      <c r="CI196" s="186">
        <v>37965</v>
      </c>
      <c r="CJ196" s="186">
        <v>-969808</v>
      </c>
      <c r="CK196" s="186">
        <v>-969808</v>
      </c>
      <c r="CL196" s="186">
        <v>-969808</v>
      </c>
      <c r="CM196" s="186">
        <v>-944717</v>
      </c>
      <c r="CN196" s="186">
        <v>-944717</v>
      </c>
      <c r="CO196" s="186">
        <v>-944717</v>
      </c>
      <c r="CP196" s="186">
        <v>-919626</v>
      </c>
      <c r="CQ196" s="186">
        <v>-919626</v>
      </c>
      <c r="CR196" s="186">
        <v>-919626</v>
      </c>
      <c r="CS196" s="186">
        <v>-885061</v>
      </c>
      <c r="CT196" s="186">
        <v>-885061</v>
      </c>
      <c r="CU196" s="186">
        <v>-885061</v>
      </c>
      <c r="CV196" s="186">
        <v>-966416</v>
      </c>
    </row>
    <row r="197" spans="1:100">
      <c r="A197" s="541" t="str">
        <f t="shared" si="2"/>
        <v>2283220</v>
      </c>
      <c r="B197" s="541" t="s">
        <v>1479</v>
      </c>
      <c r="C197" s="463" t="s">
        <v>1472</v>
      </c>
      <c r="D197" s="397"/>
      <c r="E197" s="397"/>
      <c r="F197" s="397"/>
      <c r="G197" s="397"/>
      <c r="H197" s="397"/>
      <c r="I197" s="397"/>
      <c r="J197" s="397"/>
      <c r="K197" s="397"/>
      <c r="L197" s="397"/>
      <c r="M197" s="397"/>
      <c r="N197" s="397"/>
      <c r="O197" s="397"/>
      <c r="P197" s="398"/>
      <c r="Q197" s="186"/>
      <c r="R197" s="186"/>
      <c r="S197" s="186"/>
      <c r="T197" s="186"/>
      <c r="U197" s="186"/>
      <c r="V197" s="186"/>
      <c r="W197" s="186"/>
      <c r="X197" s="186"/>
      <c r="Y197" s="186"/>
      <c r="Z197" s="186"/>
      <c r="AA197" s="186"/>
      <c r="AB197" s="186"/>
      <c r="AC197" s="186"/>
      <c r="AD197" s="186"/>
      <c r="AE197" s="186"/>
      <c r="AF197" s="186">
        <v>0</v>
      </c>
      <c r="AG197" s="186">
        <v>-828.75</v>
      </c>
      <c r="AH197" s="186">
        <v>-994.5</v>
      </c>
      <c r="AI197" s="186">
        <v>-1160.25</v>
      </c>
      <c r="AJ197" s="186">
        <v>-1326</v>
      </c>
      <c r="AK197" s="186">
        <v>-1498</v>
      </c>
      <c r="AL197" s="186">
        <v>-1666</v>
      </c>
      <c r="AM197" s="186">
        <v>-1834</v>
      </c>
      <c r="AN197" s="186">
        <v>-2002</v>
      </c>
      <c r="AO197" s="186">
        <v>-2176</v>
      </c>
      <c r="AP197" s="186">
        <v>-2350</v>
      </c>
      <c r="AQ197" s="186">
        <v>-2524</v>
      </c>
      <c r="AR197" s="186">
        <v>-2698</v>
      </c>
      <c r="AS197" s="186">
        <v>-2872</v>
      </c>
      <c r="AT197" s="186">
        <v>-21798</v>
      </c>
      <c r="AU197" s="186">
        <v>-25097</v>
      </c>
      <c r="AV197" s="186">
        <v>-28396</v>
      </c>
      <c r="AW197" s="186">
        <v>-31695</v>
      </c>
      <c r="AX197" s="186">
        <v>-34994</v>
      </c>
      <c r="AY197" s="186">
        <v>-38293</v>
      </c>
      <c r="AZ197" s="186">
        <v>-41592</v>
      </c>
      <c r="BA197" s="186">
        <v>-45174</v>
      </c>
      <c r="BB197" s="186">
        <v>-48856</v>
      </c>
      <c r="BC197" s="186">
        <v>-52488</v>
      </c>
      <c r="BD197" s="186">
        <v>-56120</v>
      </c>
      <c r="BE197" s="186">
        <v>-73826.75</v>
      </c>
      <c r="BF197" s="186">
        <v>-84457.75</v>
      </c>
      <c r="BG197" s="186">
        <v>-95088.75</v>
      </c>
      <c r="BH197" s="186">
        <v>-105428.75</v>
      </c>
      <c r="BI197" s="186">
        <v>-115768.75</v>
      </c>
      <c r="BJ197" s="186">
        <v>-126108.75</v>
      </c>
      <c r="BK197" s="186">
        <v>-136448.75</v>
      </c>
      <c r="BL197" s="186">
        <v>-146788.75</v>
      </c>
      <c r="BM197" s="186">
        <v>-156101.75</v>
      </c>
      <c r="BN197" s="186">
        <v>-165414.75</v>
      </c>
      <c r="BO197" s="186">
        <v>-174727.75</v>
      </c>
      <c r="BP197" s="186">
        <v>-184040.75</v>
      </c>
      <c r="BQ197" s="186">
        <v>-193353.75</v>
      </c>
      <c r="BR197" s="186">
        <v>-199557.75</v>
      </c>
      <c r="BS197" s="186">
        <v>-208351.75</v>
      </c>
      <c r="BT197" s="186">
        <v>-217145.75</v>
      </c>
      <c r="BU197" s="186">
        <v>-225939.75</v>
      </c>
      <c r="BV197" s="186">
        <v>-234733.75</v>
      </c>
      <c r="BW197" s="186">
        <v>-243527.75</v>
      </c>
      <c r="BX197" s="186">
        <v>-252321.75</v>
      </c>
      <c r="BY197" s="186">
        <v>-263762.75</v>
      </c>
      <c r="BZ197" s="186">
        <v>-275203.75</v>
      </c>
      <c r="CA197" s="186">
        <v>-286644.75</v>
      </c>
      <c r="CB197" s="186">
        <v>-298085.75</v>
      </c>
      <c r="CC197" s="186">
        <v>-309526.75</v>
      </c>
      <c r="CD197" s="186">
        <v>-362811.75</v>
      </c>
      <c r="CE197" s="186">
        <v>-381226.75</v>
      </c>
      <c r="CF197" s="186">
        <v>-399641.75</v>
      </c>
      <c r="CG197" s="186">
        <v>-418056.75</v>
      </c>
      <c r="CH197" s="186">
        <v>-436471.75</v>
      </c>
      <c r="CI197" s="186">
        <v>-454886.75</v>
      </c>
      <c r="CJ197" s="186">
        <v>-473301.75</v>
      </c>
      <c r="CK197" s="186">
        <v>-493208.75</v>
      </c>
      <c r="CL197" s="186">
        <v>-513115.75</v>
      </c>
      <c r="CM197" s="186">
        <v>-532732.75</v>
      </c>
      <c r="CN197" s="186">
        <v>-552639.75</v>
      </c>
      <c r="CO197" s="186">
        <v>-572546.75</v>
      </c>
      <c r="CP197" s="186">
        <v>-592453.75</v>
      </c>
      <c r="CQ197" s="186">
        <v>-635709.75</v>
      </c>
      <c r="CR197" s="186">
        <v>-658951.75</v>
      </c>
      <c r="CS197" s="186">
        <v>-682193.75</v>
      </c>
      <c r="CT197" s="186">
        <v>-705435.75</v>
      </c>
      <c r="CU197" s="186">
        <v>-728677.75</v>
      </c>
      <c r="CV197" s="186">
        <v>-751919.75</v>
      </c>
    </row>
    <row r="198" spans="1:100">
      <c r="A198" s="541" t="str">
        <f t="shared" si="2"/>
        <v>2283221</v>
      </c>
      <c r="B198" s="541" t="s">
        <v>1480</v>
      </c>
      <c r="C198" s="463" t="s">
        <v>1476</v>
      </c>
      <c r="D198" s="397"/>
      <c r="E198" s="397"/>
      <c r="F198" s="397"/>
      <c r="G198" s="397"/>
      <c r="H198" s="397"/>
      <c r="I198" s="397"/>
      <c r="J198" s="397"/>
      <c r="K198" s="397"/>
      <c r="L198" s="397"/>
      <c r="M198" s="397"/>
      <c r="N198" s="397"/>
      <c r="O198" s="397"/>
      <c r="P198" s="398"/>
      <c r="Q198" s="186"/>
      <c r="R198" s="186"/>
      <c r="S198" s="186"/>
      <c r="T198" s="186"/>
      <c r="U198" s="186"/>
      <c r="V198" s="186"/>
      <c r="W198" s="186"/>
      <c r="X198" s="186"/>
      <c r="Y198" s="186"/>
      <c r="Z198" s="186"/>
      <c r="AA198" s="186"/>
      <c r="AB198" s="186"/>
      <c r="AC198" s="186"/>
      <c r="AD198" s="186"/>
      <c r="AE198" s="186"/>
      <c r="AF198" s="186">
        <v>0</v>
      </c>
      <c r="AG198" s="186">
        <v>-9275</v>
      </c>
      <c r="AH198" s="186">
        <v>-8775</v>
      </c>
      <c r="AI198" s="186">
        <v>-8775</v>
      </c>
      <c r="AJ198" s="186">
        <v>-8775</v>
      </c>
      <c r="AK198" s="186">
        <v>-9440</v>
      </c>
      <c r="AL198" s="186">
        <v>-9440</v>
      </c>
      <c r="AM198" s="186">
        <v>-9440</v>
      </c>
      <c r="AN198" s="186">
        <v>-9102</v>
      </c>
      <c r="AO198" s="186">
        <v>-9102</v>
      </c>
      <c r="AP198" s="186">
        <v>-9102</v>
      </c>
      <c r="AQ198" s="186">
        <v>-8843</v>
      </c>
      <c r="AR198" s="186">
        <v>-8843</v>
      </c>
      <c r="AS198" s="186">
        <v>-8843</v>
      </c>
      <c r="AT198" s="186">
        <v>-255836</v>
      </c>
      <c r="AU198" s="186">
        <v>-255836</v>
      </c>
      <c r="AV198" s="186">
        <v>-255836</v>
      </c>
      <c r="AW198" s="186">
        <v>-250396</v>
      </c>
      <c r="AX198" s="186">
        <v>-250396</v>
      </c>
      <c r="AY198" s="186">
        <v>-250396</v>
      </c>
      <c r="AZ198" s="186">
        <v>-277585</v>
      </c>
      <c r="BA198" s="186">
        <v>-277585</v>
      </c>
      <c r="BB198" s="186">
        <v>-277585</v>
      </c>
      <c r="BC198" s="186">
        <v>-271647</v>
      </c>
      <c r="BD198" s="186">
        <v>-271647</v>
      </c>
      <c r="BE198" s="186">
        <v>-271647</v>
      </c>
      <c r="BF198" s="186">
        <v>-253149</v>
      </c>
      <c r="BG198" s="186">
        <v>-253149</v>
      </c>
      <c r="BH198" s="186">
        <v>-253149</v>
      </c>
      <c r="BI198" s="186">
        <v>-235997</v>
      </c>
      <c r="BJ198" s="186">
        <v>-235997</v>
      </c>
      <c r="BK198" s="186">
        <v>-235997</v>
      </c>
      <c r="BL198" s="186">
        <v>-679574</v>
      </c>
      <c r="BM198" s="186">
        <v>-679574</v>
      </c>
      <c r="BN198" s="186">
        <v>-679574</v>
      </c>
      <c r="BO198" s="186">
        <v>-666028</v>
      </c>
      <c r="BP198" s="186">
        <v>-666028</v>
      </c>
      <c r="BQ198" s="186">
        <v>-666028</v>
      </c>
      <c r="BR198" s="186">
        <v>-653080</v>
      </c>
      <c r="BS198" s="186">
        <v>-653080</v>
      </c>
      <c r="BT198" s="186">
        <v>-653080</v>
      </c>
      <c r="BU198" s="186">
        <v>-639833</v>
      </c>
      <c r="BV198" s="186">
        <v>-639833</v>
      </c>
      <c r="BW198" s="186">
        <v>-639833</v>
      </c>
      <c r="BX198" s="186">
        <v>-889665</v>
      </c>
      <c r="BY198" s="186">
        <v>-889665</v>
      </c>
      <c r="BZ198" s="186">
        <v>-889665</v>
      </c>
      <c r="CA198" s="186">
        <v>-870905</v>
      </c>
      <c r="CB198" s="186">
        <v>-870905</v>
      </c>
      <c r="CC198" s="186">
        <v>-870905</v>
      </c>
      <c r="CD198" s="186">
        <v>-826136</v>
      </c>
      <c r="CE198" s="186">
        <v>-826136</v>
      </c>
      <c r="CF198" s="186">
        <v>-826136</v>
      </c>
      <c r="CG198" s="186">
        <v>-794371</v>
      </c>
      <c r="CH198" s="186">
        <v>-794371</v>
      </c>
      <c r="CI198" s="186">
        <v>-794371</v>
      </c>
      <c r="CJ198" s="186">
        <v>-1540996</v>
      </c>
      <c r="CK198" s="186">
        <v>-1540996</v>
      </c>
      <c r="CL198" s="186">
        <v>-1540996</v>
      </c>
      <c r="CM198" s="186">
        <v>-1503634</v>
      </c>
      <c r="CN198" s="186">
        <v>-1503634</v>
      </c>
      <c r="CO198" s="186">
        <v>-1503634</v>
      </c>
      <c r="CP198" s="186">
        <v>-1466272</v>
      </c>
      <c r="CQ198" s="186">
        <v>-1466272</v>
      </c>
      <c r="CR198" s="186">
        <v>-1466272</v>
      </c>
      <c r="CS198" s="186">
        <v>-1400188</v>
      </c>
      <c r="CT198" s="186">
        <v>-1400188</v>
      </c>
      <c r="CU198" s="186">
        <v>-1400188</v>
      </c>
      <c r="CV198" s="186">
        <v>549582</v>
      </c>
    </row>
    <row r="199" spans="1:100">
      <c r="A199" s="541" t="str">
        <f t="shared" si="2"/>
        <v>2283230</v>
      </c>
      <c r="B199" s="541" t="s">
        <v>932</v>
      </c>
      <c r="C199" s="463" t="s">
        <v>933</v>
      </c>
      <c r="D199" s="397"/>
      <c r="E199" s="397"/>
      <c r="F199" s="397"/>
      <c r="G199" s="397"/>
      <c r="H199" s="397"/>
      <c r="I199" s="397"/>
      <c r="J199" s="397"/>
      <c r="K199" s="397"/>
      <c r="L199" s="397"/>
      <c r="M199" s="397"/>
      <c r="N199" s="397"/>
      <c r="O199" s="397"/>
      <c r="P199" s="398"/>
      <c r="Q199" s="186">
        <v>0</v>
      </c>
      <c r="R199" s="186">
        <v>0</v>
      </c>
      <c r="S199" s="186">
        <v>0</v>
      </c>
      <c r="T199" s="186">
        <v>0</v>
      </c>
      <c r="U199" s="186">
        <v>0</v>
      </c>
      <c r="V199" s="186">
        <v>0</v>
      </c>
      <c r="W199" s="186">
        <v>0</v>
      </c>
      <c r="X199" s="186">
        <v>0</v>
      </c>
      <c r="Y199" s="186">
        <v>0</v>
      </c>
      <c r="Z199" s="186">
        <v>0</v>
      </c>
      <c r="AA199" s="186">
        <v>0</v>
      </c>
      <c r="AB199" s="186">
        <v>0</v>
      </c>
      <c r="AC199" s="186">
        <v>0</v>
      </c>
      <c r="AD199" s="186">
        <v>0</v>
      </c>
      <c r="AE199" s="186">
        <v>0</v>
      </c>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c r="CH199" s="186"/>
      <c r="CI199" s="186"/>
      <c r="CJ199" s="186"/>
      <c r="CK199" s="186"/>
      <c r="CL199" s="186"/>
      <c r="CM199" s="186"/>
      <c r="CN199" s="186"/>
      <c r="CO199" s="186"/>
      <c r="CP199" s="186"/>
      <c r="CQ199" s="186"/>
      <c r="CR199" s="186"/>
      <c r="CS199" s="186"/>
      <c r="CT199" s="186"/>
      <c r="CU199" s="186"/>
      <c r="CV199" s="186"/>
    </row>
    <row r="200" spans="1:100">
      <c r="A200" s="541" t="str">
        <f t="shared" si="2"/>
        <v>2283231</v>
      </c>
      <c r="B200" s="541" t="s">
        <v>910</v>
      </c>
      <c r="C200" s="463" t="s">
        <v>733</v>
      </c>
      <c r="D200" s="397">
        <v>2064535</v>
      </c>
      <c r="E200" s="397">
        <v>2064535</v>
      </c>
      <c r="F200" s="397">
        <v>2064535</v>
      </c>
      <c r="G200" s="397">
        <v>2063978</v>
      </c>
      <c r="H200" s="397">
        <v>2063978</v>
      </c>
      <c r="I200" s="397">
        <v>2063978</v>
      </c>
      <c r="J200" s="397">
        <v>2068231</v>
      </c>
      <c r="K200" s="397">
        <v>2068231</v>
      </c>
      <c r="L200" s="397">
        <v>2068231</v>
      </c>
      <c r="M200" s="397">
        <v>2070561</v>
      </c>
      <c r="N200" s="397">
        <v>2070561</v>
      </c>
      <c r="O200" s="397">
        <v>2070561</v>
      </c>
      <c r="P200" s="398">
        <v>1854438</v>
      </c>
      <c r="Q200" s="186">
        <v>1854438</v>
      </c>
      <c r="R200" s="186">
        <v>1854438</v>
      </c>
      <c r="S200" s="186">
        <v>1862091</v>
      </c>
      <c r="T200" s="186">
        <v>1862091</v>
      </c>
      <c r="U200" s="186">
        <v>1862091</v>
      </c>
      <c r="V200" s="186">
        <v>1839131</v>
      </c>
      <c r="W200" s="186">
        <v>1839131</v>
      </c>
      <c r="X200" s="186">
        <v>1844512</v>
      </c>
      <c r="Y200" s="186">
        <v>1836859</v>
      </c>
      <c r="Z200" s="186">
        <v>1836859</v>
      </c>
      <c r="AA200" s="186">
        <v>1836859</v>
      </c>
      <c r="AB200" s="186">
        <v>2513106</v>
      </c>
      <c r="AC200" s="186">
        <v>2513106</v>
      </c>
      <c r="AD200" s="186">
        <v>2513106</v>
      </c>
      <c r="AE200" s="186">
        <v>2505453</v>
      </c>
      <c r="AF200" s="186">
        <v>2505453</v>
      </c>
      <c r="AG200" s="186">
        <v>2505453</v>
      </c>
      <c r="AH200" s="186">
        <v>2497800</v>
      </c>
      <c r="AI200" s="186">
        <v>2497800</v>
      </c>
      <c r="AJ200" s="186">
        <v>2497800</v>
      </c>
      <c r="AK200" s="186">
        <v>924977</v>
      </c>
      <c r="AL200" s="186">
        <v>924977</v>
      </c>
      <c r="AM200" s="186">
        <v>924977</v>
      </c>
      <c r="AN200" s="186">
        <v>2236870</v>
      </c>
      <c r="AO200" s="186">
        <v>2236870</v>
      </c>
      <c r="AP200" s="186">
        <v>2236870</v>
      </c>
      <c r="AQ200" s="186">
        <v>2229217</v>
      </c>
      <c r="AR200" s="186">
        <v>2229217</v>
      </c>
      <c r="AS200" s="186">
        <v>2229217</v>
      </c>
      <c r="AT200" s="186">
        <v>1524045</v>
      </c>
      <c r="AU200" s="186">
        <v>1524045</v>
      </c>
      <c r="AV200" s="186">
        <v>1524045</v>
      </c>
      <c r="AW200" s="186">
        <v>1516109</v>
      </c>
      <c r="AX200" s="186">
        <v>1516109</v>
      </c>
      <c r="AY200" s="186">
        <v>1516109</v>
      </c>
      <c r="AZ200" s="186">
        <v>123630</v>
      </c>
      <c r="BA200" s="186">
        <v>123630</v>
      </c>
      <c r="BB200" s="186">
        <v>123630</v>
      </c>
      <c r="BC200" s="186">
        <v>123497</v>
      </c>
      <c r="BD200" s="186">
        <v>123497</v>
      </c>
      <c r="BE200" s="186">
        <v>123497</v>
      </c>
      <c r="BF200" s="186">
        <v>126969</v>
      </c>
      <c r="BG200" s="186">
        <v>126969</v>
      </c>
      <c r="BH200" s="186">
        <v>126969</v>
      </c>
      <c r="BI200" s="186">
        <v>125299</v>
      </c>
      <c r="BJ200" s="186">
        <v>125299</v>
      </c>
      <c r="BK200" s="186">
        <v>125299</v>
      </c>
      <c r="BL200" s="186">
        <v>1193888</v>
      </c>
      <c r="BM200" s="186">
        <v>1193888</v>
      </c>
      <c r="BN200" s="186">
        <v>1193888</v>
      </c>
      <c r="BO200" s="186">
        <v>1185763</v>
      </c>
      <c r="BP200" s="186">
        <v>1185763</v>
      </c>
      <c r="BQ200" s="186">
        <v>1185763</v>
      </c>
      <c r="BR200" s="186">
        <v>1179237</v>
      </c>
      <c r="BS200" s="186">
        <v>1179237</v>
      </c>
      <c r="BT200" s="186">
        <v>1179237</v>
      </c>
      <c r="BU200" s="186">
        <v>1171912</v>
      </c>
      <c r="BV200" s="186">
        <v>1171912</v>
      </c>
      <c r="BW200" s="186">
        <v>1171912</v>
      </c>
      <c r="BX200" s="186">
        <v>-1302058</v>
      </c>
      <c r="BY200" s="186">
        <v>-1302058</v>
      </c>
      <c r="BZ200" s="186">
        <v>-1302058</v>
      </c>
      <c r="CA200" s="186">
        <v>-1293831</v>
      </c>
      <c r="CB200" s="186">
        <v>-1293831</v>
      </c>
      <c r="CC200" s="186">
        <v>-1293831</v>
      </c>
      <c r="CD200" s="186">
        <v>-1281538</v>
      </c>
      <c r="CE200" s="186">
        <v>-1281538</v>
      </c>
      <c r="CF200" s="186">
        <v>-1281538</v>
      </c>
      <c r="CG200" s="186">
        <v>-1271278</v>
      </c>
      <c r="CH200" s="186">
        <v>-1271278</v>
      </c>
      <c r="CI200" s="186">
        <v>-1271278</v>
      </c>
      <c r="CJ200" s="186">
        <v>-6585426</v>
      </c>
      <c r="CK200" s="186">
        <v>-6585426</v>
      </c>
      <c r="CL200" s="186">
        <v>-6585426</v>
      </c>
      <c r="CM200" s="186">
        <v>-6495855</v>
      </c>
      <c r="CN200" s="186">
        <v>-6495855</v>
      </c>
      <c r="CO200" s="186">
        <v>-6495855</v>
      </c>
      <c r="CP200" s="186">
        <v>-6406284</v>
      </c>
      <c r="CQ200" s="186">
        <v>-6406284</v>
      </c>
      <c r="CR200" s="186">
        <v>-6406284</v>
      </c>
      <c r="CS200" s="186">
        <v>-6244641</v>
      </c>
      <c r="CT200" s="186">
        <v>-6244641</v>
      </c>
      <c r="CU200" s="186">
        <v>-6244641</v>
      </c>
      <c r="CV200" s="186">
        <v>-5453261</v>
      </c>
    </row>
    <row r="201" spans="1:100">
      <c r="A201" s="541" t="str">
        <f t="shared" si="2"/>
        <v>2283232</v>
      </c>
      <c r="B201" s="541" t="s">
        <v>934</v>
      </c>
      <c r="C201" s="463" t="s">
        <v>734</v>
      </c>
      <c r="D201" s="397">
        <v>-15170213.300000001</v>
      </c>
      <c r="E201" s="397">
        <v>-15183137.619999999</v>
      </c>
      <c r="F201" s="397">
        <v>-15194410.949999999</v>
      </c>
      <c r="G201" s="397">
        <v>-15241500.85</v>
      </c>
      <c r="H201" s="397">
        <v>-15323744.880000001</v>
      </c>
      <c r="I201" s="397">
        <v>-15355021.68</v>
      </c>
      <c r="J201" s="397">
        <v>-15391404.35</v>
      </c>
      <c r="K201" s="397">
        <v>-15464298.24</v>
      </c>
      <c r="L201" s="397">
        <v>-15500379.84</v>
      </c>
      <c r="M201" s="397">
        <v>-15526075.48</v>
      </c>
      <c r="N201" s="397">
        <v>-15528609.84</v>
      </c>
      <c r="O201" s="397">
        <v>-15558116.15</v>
      </c>
      <c r="P201" s="398">
        <v>-15497365.67</v>
      </c>
      <c r="Q201" s="186">
        <v>-15563018.060000001</v>
      </c>
      <c r="R201" s="186">
        <v>-15628782.699999999</v>
      </c>
      <c r="S201" s="186">
        <v>-15636661.18</v>
      </c>
      <c r="T201" s="186">
        <v>-15706868.1</v>
      </c>
      <c r="U201" s="186">
        <v>-15640297.67</v>
      </c>
      <c r="V201" s="186">
        <v>-15642145.800000001</v>
      </c>
      <c r="W201" s="186">
        <v>-15717409.75</v>
      </c>
      <c r="X201" s="186">
        <v>-15499508.380000001</v>
      </c>
      <c r="Y201" s="186">
        <v>-15489476.01</v>
      </c>
      <c r="Z201" s="186">
        <v>-15478728.460000001</v>
      </c>
      <c r="AA201" s="186">
        <v>-15479003.9</v>
      </c>
      <c r="AB201" s="186">
        <v>-15447557.300000001</v>
      </c>
      <c r="AC201" s="186">
        <v>-15498743.369999999</v>
      </c>
      <c r="AD201" s="186">
        <v>-15530307.41</v>
      </c>
      <c r="AE201" s="186">
        <v>-15517497.34</v>
      </c>
      <c r="AF201" s="186">
        <v>-15559797.23</v>
      </c>
      <c r="AG201" s="186">
        <v>-15559596.76</v>
      </c>
      <c r="AH201" s="186">
        <v>-15621272.140000001</v>
      </c>
      <c r="AI201" s="186">
        <v>-15567372.9</v>
      </c>
      <c r="AJ201" s="186">
        <v>-15543289.23</v>
      </c>
      <c r="AK201" s="186">
        <v>-15588779.77</v>
      </c>
      <c r="AL201" s="186">
        <v>-15546389.720000001</v>
      </c>
      <c r="AM201" s="186">
        <v>-15591349.189999999</v>
      </c>
      <c r="AN201" s="186">
        <v>-15627612.24</v>
      </c>
      <c r="AO201" s="186">
        <v>-15626889.26</v>
      </c>
      <c r="AP201" s="186">
        <v>-15637765.630000001</v>
      </c>
      <c r="AQ201" s="186">
        <v>-15567386.630000001</v>
      </c>
      <c r="AR201" s="186">
        <v>-15677793.029999999</v>
      </c>
      <c r="AS201" s="186">
        <v>-15728806.73</v>
      </c>
      <c r="AT201" s="186">
        <v>-15738643.09</v>
      </c>
      <c r="AU201" s="186">
        <v>-15704282.92</v>
      </c>
      <c r="AV201" s="186">
        <v>-15732410.92</v>
      </c>
      <c r="AW201" s="186">
        <v>-15743292.369999999</v>
      </c>
      <c r="AX201" s="186">
        <v>-15762731.439999999</v>
      </c>
      <c r="AY201" s="186">
        <v>-15733742.84</v>
      </c>
      <c r="AZ201" s="186">
        <v>-15742627.17</v>
      </c>
      <c r="BA201" s="186">
        <v>-15693895.439999999</v>
      </c>
      <c r="BB201" s="186">
        <v>-15655559.220000001</v>
      </c>
      <c r="BC201" s="186">
        <v>-15779550.91</v>
      </c>
      <c r="BD201" s="186">
        <v>-15723964.25</v>
      </c>
      <c r="BE201" s="186">
        <v>-15695077.34</v>
      </c>
      <c r="BF201" s="186">
        <v>-15643596.52</v>
      </c>
      <c r="BG201" s="186">
        <v>-15692099.58</v>
      </c>
      <c r="BH201" s="186">
        <v>-15602195.42</v>
      </c>
      <c r="BI201" s="186">
        <v>-15612731.550000001</v>
      </c>
      <c r="BJ201" s="186">
        <v>-15552058.17</v>
      </c>
      <c r="BK201" s="186">
        <v>-15516335.85</v>
      </c>
      <c r="BL201" s="186">
        <v>-15538048.33</v>
      </c>
      <c r="BM201" s="186">
        <v>-15543057.970000001</v>
      </c>
      <c r="BN201" s="186">
        <v>-15534551.91</v>
      </c>
      <c r="BO201" s="186">
        <v>-15545771.24</v>
      </c>
      <c r="BP201" s="186">
        <v>-15595514.189999999</v>
      </c>
      <c r="BQ201" s="186">
        <v>-15676214.17</v>
      </c>
      <c r="BR201" s="186">
        <v>-15703605.369999999</v>
      </c>
      <c r="BS201" s="186">
        <v>-15723629.92</v>
      </c>
      <c r="BT201" s="186">
        <v>-15696295.560000001</v>
      </c>
      <c r="BU201" s="186">
        <v>-15728448.380000001</v>
      </c>
      <c r="BV201" s="186">
        <v>-15741201.74</v>
      </c>
      <c r="BW201" s="186">
        <v>-15759136.34</v>
      </c>
      <c r="BX201" s="186">
        <v>-15705884.439999999</v>
      </c>
      <c r="BY201" s="186">
        <v>-15732190.939999999</v>
      </c>
      <c r="BZ201" s="186">
        <v>-15732391.199999999</v>
      </c>
      <c r="CA201" s="186">
        <v>-15634568.77</v>
      </c>
      <c r="CB201" s="186">
        <v>-15541239.460000001</v>
      </c>
      <c r="CC201" s="186">
        <v>-15549537.529999999</v>
      </c>
      <c r="CD201" s="186">
        <v>-15543316.01</v>
      </c>
      <c r="CE201" s="186">
        <v>-15536461.9</v>
      </c>
      <c r="CF201" s="186">
        <v>-15501143.4</v>
      </c>
      <c r="CG201" s="186">
        <v>-15554230.92</v>
      </c>
      <c r="CH201" s="186">
        <v>-15529433.17</v>
      </c>
      <c r="CI201" s="186">
        <v>-15452402.029999999</v>
      </c>
      <c r="CJ201" s="186">
        <v>-15429582.390000001</v>
      </c>
      <c r="CK201" s="186">
        <v>-15505354.699999999</v>
      </c>
      <c r="CL201" s="186">
        <v>-15541129.02</v>
      </c>
      <c r="CM201" s="186">
        <v>-15571237.41</v>
      </c>
      <c r="CN201" s="186">
        <v>-15644315</v>
      </c>
      <c r="CO201" s="186">
        <v>-15652513.550000001</v>
      </c>
      <c r="CP201" s="186">
        <v>-15658947.109999999</v>
      </c>
      <c r="CQ201" s="186">
        <v>-15696750.15</v>
      </c>
      <c r="CR201" s="186">
        <v>-15478682.779999999</v>
      </c>
      <c r="CS201" s="186">
        <v>-15519952.51</v>
      </c>
      <c r="CT201" s="186">
        <v>-15612010.1</v>
      </c>
      <c r="CU201" s="186">
        <v>-15554453.92</v>
      </c>
      <c r="CV201" s="186">
        <v>-15636487.9</v>
      </c>
    </row>
    <row r="202" spans="1:100">
      <c r="A202" s="541" t="str">
        <f t="shared" si="2"/>
        <v>2283240</v>
      </c>
      <c r="B202" s="541" t="s">
        <v>911</v>
      </c>
      <c r="C202" s="463" t="s">
        <v>735</v>
      </c>
      <c r="D202" s="397">
        <v>-1338121</v>
      </c>
      <c r="E202" s="397">
        <v>-1342047.96</v>
      </c>
      <c r="F202" s="397">
        <v>-1353779.74</v>
      </c>
      <c r="G202" s="397">
        <v>-1343537.84</v>
      </c>
      <c r="H202" s="397">
        <v>-1318969.94</v>
      </c>
      <c r="I202" s="397">
        <v>-1334934.1499999999</v>
      </c>
      <c r="J202" s="397">
        <v>-1339111.1399999999</v>
      </c>
      <c r="K202" s="397">
        <v>-1343816.81</v>
      </c>
      <c r="L202" s="397">
        <v>-1604647.16</v>
      </c>
      <c r="M202" s="397">
        <v>-1574592.06</v>
      </c>
      <c r="N202" s="397">
        <v>-1575247.96</v>
      </c>
      <c r="O202" s="397">
        <v>-1571355.25</v>
      </c>
      <c r="P202" s="398">
        <v>-1911757</v>
      </c>
      <c r="Q202" s="186">
        <v>-1912262.67</v>
      </c>
      <c r="R202" s="186">
        <v>-1752357.55</v>
      </c>
      <c r="S202" s="186">
        <v>-1761196.77</v>
      </c>
      <c r="T202" s="186">
        <v>-1784892.37</v>
      </c>
      <c r="U202" s="186">
        <v>-1775223.39</v>
      </c>
      <c r="V202" s="186">
        <v>-1795685.76</v>
      </c>
      <c r="W202" s="186">
        <v>-1887459.46</v>
      </c>
      <c r="X202" s="186">
        <v>-1900807.76</v>
      </c>
      <c r="Y202" s="186">
        <v>-2235756.48</v>
      </c>
      <c r="Z202" s="186">
        <v>-2236968.9500000002</v>
      </c>
      <c r="AA202" s="186">
        <v>-2249140.7999999998</v>
      </c>
      <c r="AB202" s="186">
        <v>-1967200</v>
      </c>
      <c r="AC202" s="186">
        <v>-2019059.19</v>
      </c>
      <c r="AD202" s="186">
        <v>-2021944.97</v>
      </c>
      <c r="AE202" s="186">
        <v>-2031316.75</v>
      </c>
      <c r="AF202" s="186">
        <v>-2047242.39</v>
      </c>
      <c r="AG202" s="186">
        <v>-2035948.63</v>
      </c>
      <c r="AH202" s="186">
        <v>-2027731.35</v>
      </c>
      <c r="AI202" s="186">
        <v>-2020046.32</v>
      </c>
      <c r="AJ202" s="186">
        <v>-1984507.35</v>
      </c>
      <c r="AK202" s="186">
        <v>-2483978.2000000002</v>
      </c>
      <c r="AL202" s="186">
        <v>-2521539.06</v>
      </c>
      <c r="AM202" s="186">
        <v>-2564991.33</v>
      </c>
      <c r="AN202" s="186">
        <v>-2443017</v>
      </c>
      <c r="AO202" s="186">
        <v>-2491644.75</v>
      </c>
      <c r="AP202" s="186">
        <v>-2526428.9300000002</v>
      </c>
      <c r="AQ202" s="186">
        <v>-2559312.2400000002</v>
      </c>
      <c r="AR202" s="186">
        <v>-2608376.88</v>
      </c>
      <c r="AS202" s="186">
        <v>-2651148.9900000002</v>
      </c>
      <c r="AT202" s="186">
        <v>-2611342.3199999998</v>
      </c>
      <c r="AU202" s="186">
        <v>-2648060.27</v>
      </c>
      <c r="AV202" s="186">
        <v>-2660358.5299999998</v>
      </c>
      <c r="AW202" s="186">
        <v>-3231275.47</v>
      </c>
      <c r="AX202" s="186">
        <v>-3323599.17</v>
      </c>
      <c r="AY202" s="186">
        <v>-3382118.23</v>
      </c>
      <c r="AZ202" s="186">
        <v>-3049962</v>
      </c>
      <c r="BA202" s="186">
        <v>-3034124.41</v>
      </c>
      <c r="BB202" s="186">
        <v>-3072298.79</v>
      </c>
      <c r="BC202" s="186">
        <v>-3115771.87</v>
      </c>
      <c r="BD202" s="186">
        <v>-3135950.88</v>
      </c>
      <c r="BE202" s="186">
        <v>-3124484.7</v>
      </c>
      <c r="BF202" s="186">
        <v>-3133368.11</v>
      </c>
      <c r="BG202" s="186">
        <v>-3178562.16</v>
      </c>
      <c r="BH202" s="186">
        <v>-3189388.08</v>
      </c>
      <c r="BI202" s="186">
        <v>-2832231.31</v>
      </c>
      <c r="BJ202" s="186">
        <v>-2840557.24</v>
      </c>
      <c r="BK202" s="186">
        <v>-2839091.82</v>
      </c>
      <c r="BL202" s="186">
        <v>-2098347.48</v>
      </c>
      <c r="BM202" s="186">
        <v>-2156196.23</v>
      </c>
      <c r="BN202" s="186">
        <v>-2295418.42</v>
      </c>
      <c r="BO202" s="186">
        <v>-2304061.61</v>
      </c>
      <c r="BP202" s="186">
        <v>-2366828.69</v>
      </c>
      <c r="BQ202" s="186">
        <v>-2388681.67</v>
      </c>
      <c r="BR202" s="186">
        <v>-2413436.4700000002</v>
      </c>
      <c r="BS202" s="186">
        <v>-2477931.9</v>
      </c>
      <c r="BT202" s="186">
        <v>-2526636.39</v>
      </c>
      <c r="BU202" s="186">
        <v>-2504244.7000000002</v>
      </c>
      <c r="BV202" s="186">
        <v>-2558136.44</v>
      </c>
      <c r="BW202" s="186">
        <v>-2612221.9500000002</v>
      </c>
      <c r="BX202" s="186">
        <v>-2679850</v>
      </c>
      <c r="BY202" s="186">
        <v>-2766667.74</v>
      </c>
      <c r="BZ202" s="186">
        <v>-2834115.54</v>
      </c>
      <c r="CA202" s="186">
        <v>-2882191.85</v>
      </c>
      <c r="CB202" s="186">
        <v>-2922972.75</v>
      </c>
      <c r="CC202" s="186">
        <v>-3017035.97</v>
      </c>
      <c r="CD202" s="186">
        <v>-2998797.04</v>
      </c>
      <c r="CE202" s="186">
        <v>-3074388.5</v>
      </c>
      <c r="CF202" s="186">
        <v>-3054840.8</v>
      </c>
      <c r="CG202" s="186">
        <v>-3102481.75</v>
      </c>
      <c r="CH202" s="186">
        <v>-3163325.57</v>
      </c>
      <c r="CI202" s="186">
        <v>-3277403.02</v>
      </c>
      <c r="CJ202" s="186">
        <v>-3694346</v>
      </c>
      <c r="CK202" s="186">
        <v>-3849097.19</v>
      </c>
      <c r="CL202" s="186">
        <v>-3911248.43</v>
      </c>
      <c r="CM202" s="186">
        <v>-4066973.23</v>
      </c>
      <c r="CN202" s="186">
        <v>-4113457.24</v>
      </c>
      <c r="CO202" s="186">
        <v>-4159027.64</v>
      </c>
      <c r="CP202" s="186">
        <v>-4222723.63</v>
      </c>
      <c r="CQ202" s="186">
        <v>-4456788</v>
      </c>
      <c r="CR202" s="186">
        <v>-4470146.67</v>
      </c>
      <c r="CS202" s="186">
        <v>-5155989.0999999996</v>
      </c>
      <c r="CT202" s="186">
        <v>-5327284.99</v>
      </c>
      <c r="CU202" s="186">
        <v>-5415986.3300000001</v>
      </c>
      <c r="CV202" s="186">
        <v>-3047263.04</v>
      </c>
    </row>
    <row r="203" spans="1:100">
      <c r="A203" s="541" t="str">
        <f t="shared" si="2"/>
        <v>2284020</v>
      </c>
      <c r="B203" s="541" t="s">
        <v>935</v>
      </c>
      <c r="C203" s="463" t="s">
        <v>736</v>
      </c>
      <c r="D203" s="397">
        <v>0</v>
      </c>
      <c r="E203" s="397">
        <v>0</v>
      </c>
      <c r="F203" s="397">
        <v>0</v>
      </c>
      <c r="G203" s="397">
        <v>0</v>
      </c>
      <c r="H203" s="397">
        <v>0</v>
      </c>
      <c r="I203" s="397">
        <v>0</v>
      </c>
      <c r="J203" s="397">
        <v>0</v>
      </c>
      <c r="K203" s="397">
        <v>0</v>
      </c>
      <c r="L203" s="397">
        <v>0</v>
      </c>
      <c r="M203" s="397">
        <v>0</v>
      </c>
      <c r="N203" s="397">
        <v>0</v>
      </c>
      <c r="O203" s="397">
        <v>0</v>
      </c>
      <c r="P203" s="398">
        <v>0</v>
      </c>
      <c r="Q203" s="186">
        <v>0</v>
      </c>
      <c r="R203" s="186">
        <v>0</v>
      </c>
      <c r="S203" s="186">
        <v>0</v>
      </c>
      <c r="T203" s="186">
        <v>0</v>
      </c>
      <c r="U203" s="186">
        <v>0</v>
      </c>
      <c r="V203" s="186">
        <v>0</v>
      </c>
      <c r="W203" s="186">
        <v>0</v>
      </c>
      <c r="X203" s="186">
        <v>0</v>
      </c>
      <c r="Y203" s="186">
        <v>0</v>
      </c>
      <c r="Z203" s="186">
        <v>0</v>
      </c>
      <c r="AA203" s="186">
        <v>0</v>
      </c>
      <c r="AB203" s="186">
        <v>-43288.91</v>
      </c>
      <c r="AC203" s="186">
        <v>-43288.91</v>
      </c>
      <c r="AD203" s="186">
        <v>-43288.91</v>
      </c>
      <c r="AE203" s="186">
        <v>-27900.82</v>
      </c>
      <c r="AF203" s="186">
        <v>-27900.82</v>
      </c>
      <c r="AG203" s="186">
        <v>-27900.82</v>
      </c>
      <c r="AH203" s="186">
        <v>-69825.119999999995</v>
      </c>
      <c r="AI203" s="186">
        <v>-69825.119999999995</v>
      </c>
      <c r="AJ203" s="186">
        <v>-69825.119999999995</v>
      </c>
      <c r="AK203" s="186">
        <v>-56043.47</v>
      </c>
      <c r="AL203" s="186">
        <v>-56043.47</v>
      </c>
      <c r="AM203" s="186">
        <v>-56043.47</v>
      </c>
      <c r="AN203" s="186">
        <v>0</v>
      </c>
      <c r="AO203" s="186">
        <v>0</v>
      </c>
      <c r="AP203" s="186">
        <v>0</v>
      </c>
      <c r="AQ203" s="186">
        <v>0</v>
      </c>
      <c r="AR203" s="186">
        <v>0</v>
      </c>
      <c r="AS203" s="186">
        <v>0</v>
      </c>
      <c r="AT203" s="186">
        <v>0</v>
      </c>
      <c r="AU203" s="186">
        <v>0</v>
      </c>
      <c r="AV203" s="186">
        <v>0</v>
      </c>
      <c r="AW203" s="186">
        <v>0</v>
      </c>
      <c r="AX203" s="186">
        <v>0</v>
      </c>
      <c r="AY203" s="186">
        <v>0</v>
      </c>
      <c r="AZ203" s="186">
        <v>0</v>
      </c>
      <c r="BA203" s="186">
        <v>0</v>
      </c>
      <c r="BB203" s="186">
        <v>0</v>
      </c>
      <c r="BC203" s="186">
        <v>0</v>
      </c>
      <c r="BD203" s="186">
        <v>0</v>
      </c>
      <c r="BE203" s="186">
        <v>0</v>
      </c>
      <c r="BF203" s="186">
        <v>0</v>
      </c>
      <c r="BG203" s="186">
        <v>0</v>
      </c>
      <c r="BH203" s="186">
        <v>0</v>
      </c>
      <c r="BI203" s="186">
        <v>0</v>
      </c>
      <c r="BJ203" s="186">
        <v>0</v>
      </c>
      <c r="BK203" s="186">
        <v>0</v>
      </c>
      <c r="BL203" s="186">
        <v>0</v>
      </c>
      <c r="BM203" s="186">
        <v>0</v>
      </c>
      <c r="BN203" s="186">
        <v>0</v>
      </c>
      <c r="BO203" s="186">
        <v>0</v>
      </c>
      <c r="BP203" s="186">
        <v>0</v>
      </c>
      <c r="BQ203" s="186">
        <v>0</v>
      </c>
      <c r="BR203" s="186">
        <v>0</v>
      </c>
      <c r="BS203" s="186">
        <v>0</v>
      </c>
      <c r="BT203" s="186">
        <v>0</v>
      </c>
      <c r="BU203" s="186">
        <v>0</v>
      </c>
      <c r="BV203" s="186">
        <v>0</v>
      </c>
      <c r="BW203" s="186">
        <v>0</v>
      </c>
      <c r="BX203" s="186">
        <v>0</v>
      </c>
      <c r="BY203" s="186">
        <v>0</v>
      </c>
      <c r="BZ203" s="186">
        <v>0</v>
      </c>
      <c r="CA203" s="186">
        <v>0</v>
      </c>
      <c r="CB203" s="186">
        <v>0</v>
      </c>
      <c r="CC203" s="186">
        <v>0</v>
      </c>
      <c r="CD203" s="186">
        <v>0</v>
      </c>
      <c r="CE203" s="186">
        <v>0</v>
      </c>
      <c r="CF203" s="186">
        <v>0</v>
      </c>
      <c r="CG203" s="186">
        <v>0</v>
      </c>
      <c r="CH203" s="186">
        <v>0</v>
      </c>
      <c r="CI203" s="186">
        <v>0</v>
      </c>
      <c r="CJ203" s="186">
        <v>0</v>
      </c>
      <c r="CK203" s="186">
        <v>0</v>
      </c>
      <c r="CL203" s="186">
        <v>0</v>
      </c>
      <c r="CM203" s="186">
        <v>0</v>
      </c>
      <c r="CN203" s="186">
        <v>0</v>
      </c>
      <c r="CO203" s="186">
        <v>0</v>
      </c>
      <c r="CP203" s="186">
        <v>0</v>
      </c>
      <c r="CQ203" s="186">
        <v>0</v>
      </c>
      <c r="CR203" s="186">
        <v>0</v>
      </c>
      <c r="CS203" s="186">
        <v>0</v>
      </c>
      <c r="CT203" s="186">
        <v>0</v>
      </c>
      <c r="CU203" s="186">
        <v>0</v>
      </c>
      <c r="CV203" s="186">
        <v>0</v>
      </c>
    </row>
    <row r="204" spans="1:100">
      <c r="A204" s="541" t="str">
        <f t="shared" si="2"/>
        <v>2284030</v>
      </c>
      <c r="B204" s="541" t="s">
        <v>936</v>
      </c>
      <c r="C204" s="463" t="s">
        <v>737</v>
      </c>
      <c r="D204" s="397">
        <v>-115338.93</v>
      </c>
      <c r="E204" s="397">
        <v>-115338.93</v>
      </c>
      <c r="F204" s="397">
        <v>-106141.35</v>
      </c>
      <c r="G204" s="397">
        <v>-89064.28</v>
      </c>
      <c r="H204" s="397">
        <v>-100380.07</v>
      </c>
      <c r="I204" s="397">
        <v>-123276.81</v>
      </c>
      <c r="J204" s="397">
        <v>-104594.18</v>
      </c>
      <c r="K204" s="397">
        <v>-130704.09</v>
      </c>
      <c r="L204" s="397">
        <v>-129411.8</v>
      </c>
      <c r="M204" s="397">
        <v>-129411.8</v>
      </c>
      <c r="N204" s="397">
        <v>-129411.8</v>
      </c>
      <c r="O204" s="397">
        <v>-129411.8</v>
      </c>
      <c r="P204" s="398">
        <v>-155253.72</v>
      </c>
      <c r="Q204" s="186">
        <v>-155253.72</v>
      </c>
      <c r="R204" s="186">
        <v>-193312.6</v>
      </c>
      <c r="S204" s="186">
        <v>-161338.35</v>
      </c>
      <c r="T204" s="186">
        <v>-161338.35</v>
      </c>
      <c r="U204" s="186">
        <v>-161338.35</v>
      </c>
      <c r="V204" s="186">
        <v>-152857.57999999999</v>
      </c>
      <c r="W204" s="186">
        <v>-152857.57999999999</v>
      </c>
      <c r="X204" s="186">
        <v>-152857.57999999999</v>
      </c>
      <c r="Y204" s="186">
        <v>-140258.88</v>
      </c>
      <c r="Z204" s="186">
        <v>-140258.88</v>
      </c>
      <c r="AA204" s="186">
        <v>-140258.88</v>
      </c>
      <c r="AB204" s="186">
        <v>-73349.679999999993</v>
      </c>
      <c r="AC204" s="186">
        <v>-73349.679999999993</v>
      </c>
      <c r="AD204" s="186">
        <v>-73349.679999999993</v>
      </c>
      <c r="AE204" s="186">
        <v>-81893.59</v>
      </c>
      <c r="AF204" s="186">
        <v>-81893.59</v>
      </c>
      <c r="AG204" s="186">
        <v>-81893.59</v>
      </c>
      <c r="AH204" s="186">
        <v>-81893.59</v>
      </c>
      <c r="AI204" s="186">
        <v>-81893.59</v>
      </c>
      <c r="AJ204" s="186">
        <v>-81893.59</v>
      </c>
      <c r="AK204" s="186">
        <v>-81893.59</v>
      </c>
      <c r="AL204" s="186">
        <v>-47680.06</v>
      </c>
      <c r="AM204" s="186">
        <v>-47680.06</v>
      </c>
      <c r="AN204" s="186">
        <v>-47680.06</v>
      </c>
      <c r="AO204" s="186">
        <v>-47680.06</v>
      </c>
      <c r="AP204" s="186">
        <v>-47680.06</v>
      </c>
      <c r="AQ204" s="186">
        <v>-47680.06</v>
      </c>
      <c r="AR204" s="186">
        <v>-47680.06</v>
      </c>
      <c r="AS204" s="186">
        <v>-47680.06</v>
      </c>
      <c r="AT204" s="186">
        <v>-47680.06</v>
      </c>
      <c r="AU204" s="186">
        <v>-47680.06</v>
      </c>
      <c r="AV204" s="186">
        <v>-47680.06</v>
      </c>
      <c r="AW204" s="186">
        <v>-47680.06</v>
      </c>
      <c r="AX204" s="186">
        <v>-47680.06</v>
      </c>
      <c r="AY204" s="186">
        <v>-47680.06</v>
      </c>
      <c r="AZ204" s="186">
        <v>-47680.06</v>
      </c>
      <c r="BA204" s="186">
        <v>-47680.06</v>
      </c>
      <c r="BB204" s="186">
        <v>-47680.06</v>
      </c>
      <c r="BC204" s="186">
        <v>-47680.06</v>
      </c>
      <c r="BD204" s="186">
        <v>-103220.62</v>
      </c>
      <c r="BE204" s="186">
        <v>-91699.86</v>
      </c>
      <c r="BF204" s="186">
        <v>-107404.3</v>
      </c>
      <c r="BG204" s="186">
        <v>-107404.3</v>
      </c>
      <c r="BH204" s="186">
        <v>-216452.99</v>
      </c>
      <c r="BI204" s="186">
        <v>-207913.4</v>
      </c>
      <c r="BJ204" s="186">
        <v>-205400.7</v>
      </c>
      <c r="BK204" s="186">
        <v>-131114.10999999999</v>
      </c>
      <c r="BL204" s="186">
        <v>-64341.54</v>
      </c>
      <c r="BM204" s="186">
        <v>-86007.99</v>
      </c>
      <c r="BN204" s="186">
        <v>-73442.399999999994</v>
      </c>
      <c r="BO204" s="186">
        <v>-98801.95</v>
      </c>
      <c r="BP204" s="186">
        <v>-76479.8</v>
      </c>
      <c r="BQ204" s="186">
        <v>-86168.3</v>
      </c>
      <c r="BR204" s="186">
        <v>-99853.82</v>
      </c>
      <c r="BS204" s="186">
        <v>-99853.82</v>
      </c>
      <c r="BT204" s="186">
        <v>-111834.4</v>
      </c>
      <c r="BU204" s="186">
        <v>-109235.92</v>
      </c>
      <c r="BV204" s="186">
        <v>-94434.37</v>
      </c>
      <c r="BW204" s="186">
        <v>-124983.74</v>
      </c>
      <c r="BX204" s="186">
        <v>-88500.800000000003</v>
      </c>
      <c r="BY204" s="186">
        <v>-111748.17</v>
      </c>
      <c r="BZ204" s="186">
        <v>-141017.21</v>
      </c>
      <c r="CA204" s="186">
        <v>-166204.94</v>
      </c>
      <c r="CB204" s="186">
        <v>-266476.05</v>
      </c>
      <c r="CC204" s="186">
        <v>-378020.19</v>
      </c>
      <c r="CD204" s="186">
        <v>-446300.59</v>
      </c>
      <c r="CE204" s="186">
        <v>-514943.01</v>
      </c>
      <c r="CF204" s="186">
        <v>-412036.57</v>
      </c>
      <c r="CG204" s="186">
        <v>-379469.83</v>
      </c>
      <c r="CH204" s="186">
        <v>-184210.75</v>
      </c>
      <c r="CI204" s="186">
        <v>-221360.07</v>
      </c>
      <c r="CJ204" s="186">
        <v>-152994.60999999999</v>
      </c>
      <c r="CK204" s="186">
        <v>-93391.51</v>
      </c>
      <c r="CL204" s="186">
        <v>-146412.39000000001</v>
      </c>
      <c r="CM204" s="186">
        <v>-114930.05</v>
      </c>
      <c r="CN204" s="186">
        <v>-173807.9</v>
      </c>
      <c r="CO204" s="186">
        <v>-136640.75</v>
      </c>
      <c r="CP204" s="186">
        <v>-165841.16</v>
      </c>
      <c r="CQ204" s="186">
        <v>-207208.9</v>
      </c>
      <c r="CR204" s="186">
        <v>-252220.57</v>
      </c>
      <c r="CS204" s="186">
        <v>-284539.48</v>
      </c>
      <c r="CT204" s="186">
        <v>-209201.05</v>
      </c>
      <c r="CU204" s="186">
        <v>-163198.39999999999</v>
      </c>
      <c r="CV204" s="186">
        <v>-124971.54</v>
      </c>
    </row>
    <row r="205" spans="1:100">
      <c r="A205" s="541" t="str">
        <f t="shared" si="2"/>
        <v>2310000</v>
      </c>
      <c r="B205" s="541" t="s">
        <v>1628</v>
      </c>
      <c r="C205" s="463" t="s">
        <v>738</v>
      </c>
      <c r="D205" s="397">
        <v>-15600000</v>
      </c>
      <c r="E205" s="397">
        <v>-16500000</v>
      </c>
      <c r="F205" s="397">
        <v>-12200000</v>
      </c>
      <c r="G205" s="397">
        <v>0</v>
      </c>
      <c r="H205" s="397">
        <v>0</v>
      </c>
      <c r="I205" s="397">
        <v>0</v>
      </c>
      <c r="J205" s="397">
        <v>0</v>
      </c>
      <c r="K205" s="397">
        <v>0</v>
      </c>
      <c r="L205" s="397">
        <v>0</v>
      </c>
      <c r="M205" s="397">
        <v>0</v>
      </c>
      <c r="N205" s="397">
        <v>0</v>
      </c>
      <c r="O205" s="397">
        <v>0</v>
      </c>
      <c r="P205" s="398">
        <v>-12900000</v>
      </c>
      <c r="Q205" s="186">
        <v>-8350000</v>
      </c>
      <c r="R205" s="186">
        <v>-5800000</v>
      </c>
      <c r="S205" s="186">
        <v>0</v>
      </c>
      <c r="T205" s="186">
        <v>0</v>
      </c>
      <c r="U205" s="186">
        <v>0</v>
      </c>
      <c r="V205" s="186">
        <v>0</v>
      </c>
      <c r="W205" s="186">
        <v>0</v>
      </c>
      <c r="X205" s="186">
        <v>0</v>
      </c>
      <c r="Y205" s="186">
        <v>0</v>
      </c>
      <c r="Z205" s="186">
        <v>0</v>
      </c>
      <c r="AA205" s="186">
        <v>0</v>
      </c>
      <c r="AB205" s="186">
        <v>0</v>
      </c>
      <c r="AC205" s="186">
        <v>0</v>
      </c>
      <c r="AD205" s="186">
        <v>-2300000</v>
      </c>
      <c r="AE205" s="186">
        <v>0</v>
      </c>
      <c r="AF205" s="186">
        <v>0</v>
      </c>
      <c r="AG205" s="186">
        <v>0</v>
      </c>
      <c r="AH205" s="186">
        <v>0</v>
      </c>
      <c r="AI205" s="186">
        <v>-1800000</v>
      </c>
      <c r="AJ205" s="186">
        <v>-3150000</v>
      </c>
      <c r="AK205" s="186">
        <v>-700000</v>
      </c>
      <c r="AL205" s="186">
        <v>0</v>
      </c>
      <c r="AM205" s="186">
        <v>-9750000</v>
      </c>
      <c r="AN205" s="186">
        <v>-30050000</v>
      </c>
      <c r="AO205" s="186">
        <v>-41225800</v>
      </c>
      <c r="AP205" s="186">
        <v>-40506800</v>
      </c>
      <c r="AQ205" s="186">
        <v>-41810800</v>
      </c>
      <c r="AR205" s="186">
        <v>-37148300</v>
      </c>
      <c r="AS205" s="186">
        <v>-30142100</v>
      </c>
      <c r="AT205" s="186">
        <v>-36126700</v>
      </c>
      <c r="AU205" s="186">
        <v>-33325400</v>
      </c>
      <c r="AV205" s="186">
        <v>-46233900</v>
      </c>
      <c r="AW205" s="186">
        <v>-48013800</v>
      </c>
      <c r="AX205" s="186">
        <v>-43884100</v>
      </c>
      <c r="AY205" s="186">
        <v>0</v>
      </c>
      <c r="AZ205" s="186">
        <v>-5000000</v>
      </c>
      <c r="BA205" s="186">
        <v>-5000000</v>
      </c>
      <c r="BB205" s="186">
        <v>-58203643.530000001</v>
      </c>
      <c r="BC205" s="186">
        <v>-53438296.759999998</v>
      </c>
      <c r="BD205" s="186">
        <v>-53973759.039999999</v>
      </c>
      <c r="BE205" s="186">
        <v>-86871593.75</v>
      </c>
      <c r="BF205" s="186">
        <v>-32647326.449999999</v>
      </c>
      <c r="BG205" s="186">
        <v>-32403666.739999998</v>
      </c>
      <c r="BH205" s="186">
        <v>-36635669.780000001</v>
      </c>
      <c r="BI205" s="186">
        <v>-44924345.579999998</v>
      </c>
      <c r="BJ205" s="186">
        <v>0</v>
      </c>
      <c r="BK205" s="186">
        <v>-35033765.530000001</v>
      </c>
      <c r="BL205" s="186">
        <v>-53651642.840000004</v>
      </c>
      <c r="BM205" s="186">
        <v>-70274100.799999997</v>
      </c>
      <c r="BN205" s="186">
        <v>-51017831.979999997</v>
      </c>
      <c r="BO205" s="186">
        <v>-43526147.640000001</v>
      </c>
      <c r="BP205" s="186">
        <v>-47854030.259999998</v>
      </c>
      <c r="BQ205" s="186">
        <v>-32302624.949999999</v>
      </c>
      <c r="BR205" s="186">
        <v>-43946027.359999999</v>
      </c>
      <c r="BS205" s="186">
        <v>-30168533.420000002</v>
      </c>
      <c r="BT205" s="186">
        <v>-48717414.859999999</v>
      </c>
      <c r="BU205" s="186">
        <v>-44435200.189999998</v>
      </c>
      <c r="BV205" s="186">
        <v>-47028283.420000002</v>
      </c>
      <c r="BW205" s="186">
        <v>-77517735.260000005</v>
      </c>
      <c r="BX205" s="186">
        <v>-91138979.060000002</v>
      </c>
      <c r="BY205" s="186">
        <v>-104160102.78</v>
      </c>
      <c r="BZ205" s="186">
        <v>-90190820</v>
      </c>
      <c r="CA205" s="186">
        <v>-91778966.859999999</v>
      </c>
      <c r="CB205" s="186">
        <v>-99145211.670000002</v>
      </c>
      <c r="CC205" s="186">
        <v>-104893603</v>
      </c>
      <c r="CD205" s="186">
        <v>-127591365</v>
      </c>
      <c r="CE205" s="186">
        <v>-145194423.19</v>
      </c>
      <c r="CF205" s="186">
        <v>-133998437.38</v>
      </c>
      <c r="CG205" s="186">
        <v>-144415739.19999999</v>
      </c>
      <c r="CH205" s="186">
        <v>-162258206.69999999</v>
      </c>
      <c r="CI205" s="186">
        <v>-179528111.31999999</v>
      </c>
      <c r="CJ205" s="186">
        <v>-214352134.94</v>
      </c>
      <c r="CK205" s="186">
        <v>-236511398.25999999</v>
      </c>
      <c r="CL205" s="186">
        <v>-221147725.66</v>
      </c>
      <c r="CM205" s="186">
        <v>-10000000</v>
      </c>
      <c r="CN205" s="186">
        <v>-17122357</v>
      </c>
      <c r="CO205" s="186">
        <v>-87741525.890000001</v>
      </c>
      <c r="CP205" s="186">
        <v>-99244299.810000002</v>
      </c>
      <c r="CQ205" s="186">
        <v>-111939289</v>
      </c>
      <c r="CR205" s="186">
        <v>-101333505</v>
      </c>
      <c r="CS205" s="186">
        <v>-115219002</v>
      </c>
      <c r="CT205" s="186">
        <v>-136200897</v>
      </c>
      <c r="CU205" s="186">
        <v>-144763516</v>
      </c>
      <c r="CV205" s="186">
        <v>-189522084</v>
      </c>
    </row>
    <row r="206" spans="1:100">
      <c r="A206" s="541" t="str">
        <f t="shared" si="2"/>
        <v>2320000</v>
      </c>
      <c r="B206" s="541" t="s">
        <v>1629</v>
      </c>
      <c r="C206" s="463" t="s">
        <v>739</v>
      </c>
      <c r="D206" s="397">
        <v>-3184397.72</v>
      </c>
      <c r="E206" s="397">
        <v>-740849.1</v>
      </c>
      <c r="F206" s="397">
        <v>-1497949.02</v>
      </c>
      <c r="G206" s="397">
        <v>-1000926.22</v>
      </c>
      <c r="H206" s="397">
        <v>-1308814.8</v>
      </c>
      <c r="I206" s="397">
        <v>-836891.07</v>
      </c>
      <c r="J206" s="397">
        <v>-1911021.26</v>
      </c>
      <c r="K206" s="397">
        <v>-2044211.58</v>
      </c>
      <c r="L206" s="397">
        <v>-1220048.04</v>
      </c>
      <c r="M206" s="397">
        <v>-1432517</v>
      </c>
      <c r="N206" s="397">
        <v>-977075.08</v>
      </c>
      <c r="O206" s="397">
        <v>-409756.51</v>
      </c>
      <c r="P206" s="398">
        <v>-1722820.56</v>
      </c>
      <c r="Q206" s="186">
        <v>-1060830.73</v>
      </c>
      <c r="R206" s="186">
        <v>-574520.71</v>
      </c>
      <c r="S206" s="186">
        <v>-1276694.08</v>
      </c>
      <c r="T206" s="186">
        <v>-1229136.94</v>
      </c>
      <c r="U206" s="186">
        <v>-1416357.64</v>
      </c>
      <c r="V206" s="186">
        <v>-2849186.9</v>
      </c>
      <c r="W206" s="186">
        <v>-1486442.65</v>
      </c>
      <c r="X206" s="186">
        <v>-2084990.99</v>
      </c>
      <c r="Y206" s="186">
        <v>-1406290.84</v>
      </c>
      <c r="Z206" s="186">
        <v>-1179775.95</v>
      </c>
      <c r="AA206" s="186">
        <v>-1501843.93</v>
      </c>
      <c r="AB206" s="186">
        <v>-1310185.71</v>
      </c>
      <c r="AC206" s="186">
        <v>-892053.01</v>
      </c>
      <c r="AD206" s="186">
        <v>-2428530.02</v>
      </c>
      <c r="AE206" s="186">
        <v>-2441225.33</v>
      </c>
      <c r="AF206" s="186">
        <v>-1518030.5</v>
      </c>
      <c r="AG206" s="186">
        <v>-1390650.19</v>
      </c>
      <c r="AH206" s="186">
        <v>-2371173.4</v>
      </c>
      <c r="AI206" s="186">
        <v>-1175030.1399999999</v>
      </c>
      <c r="AJ206" s="186">
        <v>-1655078.38</v>
      </c>
      <c r="AK206" s="186">
        <v>-1798185.64</v>
      </c>
      <c r="AL206" s="186">
        <v>-2831476.58</v>
      </c>
      <c r="AM206" s="186">
        <v>-1426032.02</v>
      </c>
      <c r="AN206" s="186">
        <v>-2700314.35</v>
      </c>
      <c r="AO206" s="186">
        <v>-852478.8</v>
      </c>
      <c r="AP206" s="186">
        <v>-2009418.18</v>
      </c>
      <c r="AQ206" s="186">
        <v>-1533682.42</v>
      </c>
      <c r="AR206" s="186">
        <v>-1124234.94</v>
      </c>
      <c r="AS206" s="186">
        <v>-2487243.08</v>
      </c>
      <c r="AT206" s="186">
        <v>-1307447.8500000001</v>
      </c>
      <c r="AU206" s="186">
        <v>-1770144.56</v>
      </c>
      <c r="AV206" s="186">
        <v>-3092338</v>
      </c>
      <c r="AW206" s="186">
        <v>-1601378.58</v>
      </c>
      <c r="AX206" s="186">
        <v>-2118362.2999999998</v>
      </c>
      <c r="AY206" s="186">
        <v>-1562049.97</v>
      </c>
      <c r="AZ206" s="186">
        <v>-4842419.4000000004</v>
      </c>
      <c r="BA206" s="186">
        <v>-1598781.54</v>
      </c>
      <c r="BB206" s="186">
        <v>-1379947.66</v>
      </c>
      <c r="BC206" s="186">
        <v>-2407141.14</v>
      </c>
      <c r="BD206" s="186">
        <v>-2451014.39</v>
      </c>
      <c r="BE206" s="186">
        <v>-2938867.7</v>
      </c>
      <c r="BF206" s="186">
        <v>-2642953.38</v>
      </c>
      <c r="BG206" s="186">
        <v>-2871589.07</v>
      </c>
      <c r="BH206" s="186">
        <v>-3896340.93</v>
      </c>
      <c r="BI206" s="186">
        <v>-2962818.52</v>
      </c>
      <c r="BJ206" s="186">
        <v>-4566334.28</v>
      </c>
      <c r="BK206" s="186">
        <v>-2059321.92</v>
      </c>
      <c r="BL206" s="186">
        <v>-8451893.4199999999</v>
      </c>
      <c r="BM206" s="186">
        <v>-2527412.5299999998</v>
      </c>
      <c r="BN206" s="186">
        <v>-4887135.2300000004</v>
      </c>
      <c r="BO206" s="186">
        <v>-3633207.11</v>
      </c>
      <c r="BP206" s="186">
        <v>-4305534.9400000004</v>
      </c>
      <c r="BQ206" s="186">
        <v>-2697708.21</v>
      </c>
      <c r="BR206" s="186">
        <v>-2193080.15</v>
      </c>
      <c r="BS206" s="186">
        <v>-2392763.04</v>
      </c>
      <c r="BT206" s="186">
        <v>-3192070.45</v>
      </c>
      <c r="BU206" s="186">
        <v>-3924777.21</v>
      </c>
      <c r="BV206" s="186">
        <v>-5316389.84</v>
      </c>
      <c r="BW206" s="186">
        <v>-4128527.38</v>
      </c>
      <c r="BX206" s="186">
        <v>-9614501.4100000001</v>
      </c>
      <c r="BY206" s="186">
        <v>-2698142.37</v>
      </c>
      <c r="BZ206" s="186">
        <v>-5636327.5999999996</v>
      </c>
      <c r="CA206" s="186">
        <v>-5562861.2800000003</v>
      </c>
      <c r="CB206" s="186">
        <v>-8209555.5499999998</v>
      </c>
      <c r="CC206" s="186">
        <v>-4981080.79</v>
      </c>
      <c r="CD206" s="186">
        <v>-4009397.01</v>
      </c>
      <c r="CE206" s="186">
        <v>-3496423.66</v>
      </c>
      <c r="CF206" s="186">
        <v>-3408221.18</v>
      </c>
      <c r="CG206" s="186">
        <v>-4916209.79</v>
      </c>
      <c r="CH206" s="186">
        <v>-3570287.07</v>
      </c>
      <c r="CI206" s="186">
        <v>-3612930.79</v>
      </c>
      <c r="CJ206" s="186">
        <v>-3202415.83</v>
      </c>
      <c r="CK206" s="186">
        <v>-8159079.9500000002</v>
      </c>
      <c r="CL206" s="186">
        <v>-6720217.7800000003</v>
      </c>
      <c r="CM206" s="186">
        <v>-3944590.89</v>
      </c>
      <c r="CN206" s="186">
        <v>-7815532.8899999997</v>
      </c>
      <c r="CO206" s="186">
        <v>-6982893.3899999997</v>
      </c>
      <c r="CP206" s="186">
        <v>-6290207.3200000003</v>
      </c>
      <c r="CQ206" s="186">
        <v>-8313331.1299999999</v>
      </c>
      <c r="CR206" s="186">
        <v>-5473028.3099999996</v>
      </c>
      <c r="CS206" s="186">
        <v>-4163505.2</v>
      </c>
      <c r="CT206" s="186">
        <v>-6640519.7699999996</v>
      </c>
      <c r="CU206" s="186">
        <v>-5221517.03</v>
      </c>
      <c r="CV206" s="186">
        <v>-15323568.119999999</v>
      </c>
    </row>
    <row r="207" spans="1:100">
      <c r="A207" s="541" t="str">
        <f t="shared" si="2"/>
        <v>2320001</v>
      </c>
      <c r="B207" s="541" t="s">
        <v>1630</v>
      </c>
      <c r="C207" s="463" t="s">
        <v>740</v>
      </c>
      <c r="D207" s="397">
        <v>-3453451.31</v>
      </c>
      <c r="E207" s="397">
        <v>-2819439.69</v>
      </c>
      <c r="F207" s="397">
        <v>-3930007.09</v>
      </c>
      <c r="G207" s="397">
        <v>-3814215.33</v>
      </c>
      <c r="H207" s="397">
        <v>-1528903.06</v>
      </c>
      <c r="I207" s="397">
        <v>-701052.49</v>
      </c>
      <c r="J207" s="397">
        <v>-1260754.52</v>
      </c>
      <c r="K207" s="397">
        <v>-741509.76</v>
      </c>
      <c r="L207" s="397">
        <v>-5054576.4800000004</v>
      </c>
      <c r="M207" s="397">
        <v>-2462144.14</v>
      </c>
      <c r="N207" s="397">
        <v>-116162.61</v>
      </c>
      <c r="O207" s="397">
        <v>-5356339.6900000004</v>
      </c>
      <c r="P207" s="398">
        <v>-4942991.16</v>
      </c>
      <c r="Q207" s="186">
        <v>-3987683.77</v>
      </c>
      <c r="R207" s="186">
        <v>-3632853.47</v>
      </c>
      <c r="S207" s="186">
        <v>-3814560.02</v>
      </c>
      <c r="T207" s="186">
        <v>-3180504.78</v>
      </c>
      <c r="U207" s="186">
        <v>-623474.99</v>
      </c>
      <c r="V207" s="186">
        <v>-694808.48</v>
      </c>
      <c r="W207" s="186">
        <v>-1861614.33</v>
      </c>
      <c r="X207" s="186">
        <v>-904402.84</v>
      </c>
      <c r="Y207" s="186">
        <v>-731212.58</v>
      </c>
      <c r="Z207" s="186">
        <v>-822378.33</v>
      </c>
      <c r="AA207" s="186">
        <v>-4558947.1500000004</v>
      </c>
      <c r="AB207" s="186">
        <v>-5208767.45</v>
      </c>
      <c r="AC207" s="186">
        <v>-4225830.3099999996</v>
      </c>
      <c r="AD207" s="186">
        <v>-3539957.93</v>
      </c>
      <c r="AE207" s="186">
        <v>-731090.65</v>
      </c>
      <c r="AF207" s="186">
        <v>-4455622.01</v>
      </c>
      <c r="AG207" s="186">
        <v>-3939960.35</v>
      </c>
      <c r="AH207" s="186">
        <v>-6884671.4500000002</v>
      </c>
      <c r="AI207" s="186">
        <v>-6692520.3099999996</v>
      </c>
      <c r="AJ207" s="186">
        <v>-3346956.1</v>
      </c>
      <c r="AK207" s="186">
        <v>-4555547.12</v>
      </c>
      <c r="AL207" s="186">
        <v>-3659633.33</v>
      </c>
      <c r="AM207" s="186">
        <v>-12688578.65</v>
      </c>
      <c r="AN207" s="186">
        <v>-6900685.4500000002</v>
      </c>
      <c r="AO207" s="186">
        <v>-4373303.43</v>
      </c>
      <c r="AP207" s="186">
        <v>-4702395.62</v>
      </c>
      <c r="AQ207" s="186">
        <v>-2943224.93</v>
      </c>
      <c r="AR207" s="186">
        <v>-3980366.25</v>
      </c>
      <c r="AS207" s="186">
        <v>-3848053.51</v>
      </c>
      <c r="AT207" s="186">
        <v>-3268809.6</v>
      </c>
      <c r="AU207" s="186">
        <v>-4378193.01</v>
      </c>
      <c r="AV207" s="186">
        <v>-5036232.18</v>
      </c>
      <c r="AW207" s="186">
        <v>-2881148.28</v>
      </c>
      <c r="AX207" s="186">
        <v>-3676158.34</v>
      </c>
      <c r="AY207" s="186">
        <v>-12570547.470000001</v>
      </c>
      <c r="AZ207" s="186">
        <v>-6951546.7199999997</v>
      </c>
      <c r="BA207" s="186">
        <v>-5762580.0300000003</v>
      </c>
      <c r="BB207" s="186">
        <v>-8678822.25</v>
      </c>
      <c r="BC207" s="186">
        <v>-4437380.91</v>
      </c>
      <c r="BD207" s="186">
        <v>-6430479.7400000002</v>
      </c>
      <c r="BE207" s="186">
        <v>-6113605.3300000001</v>
      </c>
      <c r="BF207" s="186">
        <v>-7736263.2999999998</v>
      </c>
      <c r="BG207" s="186">
        <v>-8365029.8300000001</v>
      </c>
      <c r="BH207" s="186">
        <v>-9268914.8200000003</v>
      </c>
      <c r="BI207" s="186">
        <v>-9460726.5</v>
      </c>
      <c r="BJ207" s="186">
        <v>-9455322.1500000004</v>
      </c>
      <c r="BK207" s="186">
        <v>-24748264.780000001</v>
      </c>
      <c r="BL207" s="186">
        <v>-8820386.4900000002</v>
      </c>
      <c r="BM207" s="186">
        <v>-13036248.85</v>
      </c>
      <c r="BN207" s="186">
        <v>-10020984.43</v>
      </c>
      <c r="BO207" s="186">
        <v>-15229265.93</v>
      </c>
      <c r="BP207" s="186">
        <v>-11202396.869999999</v>
      </c>
      <c r="BQ207" s="186">
        <v>-11554410.75</v>
      </c>
      <c r="BR207" s="186">
        <v>-13234833.880000001</v>
      </c>
      <c r="BS207" s="186">
        <v>-11519252.289999999</v>
      </c>
      <c r="BT207" s="186">
        <v>-14608673.09</v>
      </c>
      <c r="BU207" s="186">
        <v>-11099185.119999999</v>
      </c>
      <c r="BV207" s="186">
        <v>-10661296.039999999</v>
      </c>
      <c r="BW207" s="186">
        <v>-16929852.219999999</v>
      </c>
      <c r="BX207" s="186">
        <v>-18218410.109999999</v>
      </c>
      <c r="BY207" s="186">
        <v>-23950973.390000001</v>
      </c>
      <c r="BZ207" s="186">
        <v>-23025163.100000001</v>
      </c>
      <c r="CA207" s="186">
        <v>-17891765.07</v>
      </c>
      <c r="CB207" s="186">
        <v>-24084554.809999999</v>
      </c>
      <c r="CC207" s="186">
        <v>-22047623.010000002</v>
      </c>
      <c r="CD207" s="186">
        <v>-13307261.869999999</v>
      </c>
      <c r="CE207" s="186">
        <v>-15536345.49</v>
      </c>
      <c r="CF207" s="186">
        <v>-20910382.91</v>
      </c>
      <c r="CG207" s="186">
        <v>-20130593.370000001</v>
      </c>
      <c r="CH207" s="186">
        <v>-26406269.690000001</v>
      </c>
      <c r="CI207" s="186">
        <v>-31320550.359999999</v>
      </c>
      <c r="CJ207" s="186">
        <v>-22360196.82</v>
      </c>
      <c r="CK207" s="186">
        <v>-22856131.789999999</v>
      </c>
      <c r="CL207" s="186">
        <v>-25626003.949999999</v>
      </c>
      <c r="CM207" s="186">
        <v>-24058776.890000001</v>
      </c>
      <c r="CN207" s="186">
        <v>-18948183.300000001</v>
      </c>
      <c r="CO207" s="186">
        <v>-13855295.08</v>
      </c>
      <c r="CP207" s="186">
        <v>-14799978.59</v>
      </c>
      <c r="CQ207" s="186">
        <v>-18260978.640000001</v>
      </c>
      <c r="CR207" s="186">
        <v>-17736604.18</v>
      </c>
      <c r="CS207" s="186">
        <v>-17900411.149999999</v>
      </c>
      <c r="CT207" s="186">
        <v>-22772647.559999999</v>
      </c>
      <c r="CU207" s="186">
        <v>-35115082.060000002</v>
      </c>
      <c r="CV207" s="186">
        <v>-13929648.75</v>
      </c>
    </row>
    <row r="208" spans="1:100">
      <c r="A208" s="541" t="str">
        <f t="shared" si="2"/>
        <v>2320002</v>
      </c>
      <c r="B208" s="541" t="s">
        <v>1631</v>
      </c>
      <c r="C208" s="463" t="s">
        <v>741</v>
      </c>
      <c r="D208" s="397">
        <v>-3301131.96</v>
      </c>
      <c r="E208" s="397">
        <v>-1917989.26</v>
      </c>
      <c r="F208" s="397">
        <v>-2141320.5699999998</v>
      </c>
      <c r="G208" s="397">
        <v>-2791632.59</v>
      </c>
      <c r="H208" s="397">
        <v>-3452582</v>
      </c>
      <c r="I208" s="397">
        <v>-1657415.22</v>
      </c>
      <c r="J208" s="397">
        <v>-2436107.31</v>
      </c>
      <c r="K208" s="397">
        <v>-2215640.83</v>
      </c>
      <c r="L208" s="397">
        <v>-2187923.41</v>
      </c>
      <c r="M208" s="397">
        <v>-2632156.04</v>
      </c>
      <c r="N208" s="397">
        <v>-2527220.7400000002</v>
      </c>
      <c r="O208" s="397">
        <v>-3177372.86</v>
      </c>
      <c r="P208" s="398">
        <v>-1693450.82</v>
      </c>
      <c r="Q208" s="186">
        <v>-1917790.1</v>
      </c>
      <c r="R208" s="186">
        <v>-1555172.27</v>
      </c>
      <c r="S208" s="186">
        <v>-1719355.23</v>
      </c>
      <c r="T208" s="186">
        <v>-2092143.57</v>
      </c>
      <c r="U208" s="186">
        <v>-2354632.25</v>
      </c>
      <c r="V208" s="186">
        <v>-1293879.01</v>
      </c>
      <c r="W208" s="186">
        <v>-2550152.09</v>
      </c>
      <c r="X208" s="186">
        <v>-2356300.39</v>
      </c>
      <c r="Y208" s="186">
        <v>-2266581.38</v>
      </c>
      <c r="Z208" s="186">
        <v>-3132244.53</v>
      </c>
      <c r="AA208" s="186">
        <v>-2554939.9900000002</v>
      </c>
      <c r="AB208" s="186">
        <v>-3165327.1</v>
      </c>
      <c r="AC208" s="186">
        <v>-2362960</v>
      </c>
      <c r="AD208" s="186">
        <v>-2043161.22</v>
      </c>
      <c r="AE208" s="186">
        <v>-2099831.06</v>
      </c>
      <c r="AF208" s="186">
        <v>-3371604.43</v>
      </c>
      <c r="AG208" s="186">
        <v>-2299297.27</v>
      </c>
      <c r="AH208" s="186">
        <v>-4200123.4400000004</v>
      </c>
      <c r="AI208" s="186">
        <v>-3575150.1</v>
      </c>
      <c r="AJ208" s="186">
        <v>-3629903.98</v>
      </c>
      <c r="AK208" s="186">
        <v>-2633979.02</v>
      </c>
      <c r="AL208" s="186">
        <v>-4148161.56</v>
      </c>
      <c r="AM208" s="186">
        <v>-4344244.95</v>
      </c>
      <c r="AN208" s="186">
        <v>-3930108.29</v>
      </c>
      <c r="AO208" s="186">
        <v>-2377833.86</v>
      </c>
      <c r="AP208" s="186">
        <v>-2340302.2999999998</v>
      </c>
      <c r="AQ208" s="186">
        <v>-2691321.37</v>
      </c>
      <c r="AR208" s="186">
        <v>-2386332.52</v>
      </c>
      <c r="AS208" s="186">
        <v>-2175827.21</v>
      </c>
      <c r="AT208" s="186">
        <v>-3129363.6</v>
      </c>
      <c r="AU208" s="186">
        <v>-3378353.67</v>
      </c>
      <c r="AV208" s="186">
        <v>-3580233.82</v>
      </c>
      <c r="AW208" s="186">
        <v>-3128538.41</v>
      </c>
      <c r="AX208" s="186">
        <v>-3213928.87</v>
      </c>
      <c r="AY208" s="186">
        <v>-3527473.85</v>
      </c>
      <c r="AZ208" s="186">
        <v>-3633050.89</v>
      </c>
      <c r="BA208" s="186">
        <v>-5387990.9900000002</v>
      </c>
      <c r="BB208" s="186">
        <v>-3793515.92</v>
      </c>
      <c r="BC208" s="186">
        <v>-5276612.16</v>
      </c>
      <c r="BD208" s="186">
        <v>-3844373.01</v>
      </c>
      <c r="BE208" s="186">
        <v>-6678611.5</v>
      </c>
      <c r="BF208" s="186">
        <v>-3849373.86</v>
      </c>
      <c r="BG208" s="186">
        <v>-4802570.75</v>
      </c>
      <c r="BH208" s="186">
        <v>-4058366.83</v>
      </c>
      <c r="BI208" s="186">
        <v>-6513091.0199999996</v>
      </c>
      <c r="BJ208" s="186">
        <v>-4906871.1100000003</v>
      </c>
      <c r="BK208" s="186">
        <v>-5104624.6900000004</v>
      </c>
      <c r="BL208" s="186">
        <v>-4417950.99</v>
      </c>
      <c r="BM208" s="186">
        <v>-4871466.04</v>
      </c>
      <c r="BN208" s="186">
        <v>-4513984.25</v>
      </c>
      <c r="BO208" s="186">
        <v>-4393445.84</v>
      </c>
      <c r="BP208" s="186">
        <v>-4761087.9800000004</v>
      </c>
      <c r="BQ208" s="186">
        <v>-8518311.2200000007</v>
      </c>
      <c r="BR208" s="186">
        <v>-7280614.3799999999</v>
      </c>
      <c r="BS208" s="186">
        <v>-6055981.21</v>
      </c>
      <c r="BT208" s="186">
        <v>-5639959.3099999996</v>
      </c>
      <c r="BU208" s="186">
        <v>-4079611.67</v>
      </c>
      <c r="BV208" s="186">
        <v>-6914829.0999999996</v>
      </c>
      <c r="BW208" s="186">
        <v>-7139324.3099999996</v>
      </c>
      <c r="BX208" s="186">
        <v>-9643715.8499999996</v>
      </c>
      <c r="BY208" s="186">
        <v>-11945900.07</v>
      </c>
      <c r="BZ208" s="186">
        <v>-8902251.6600000001</v>
      </c>
      <c r="CA208" s="186">
        <v>-12733679.6</v>
      </c>
      <c r="CB208" s="186">
        <v>-11008884.43</v>
      </c>
      <c r="CC208" s="186">
        <v>-12806753.779999999</v>
      </c>
      <c r="CD208" s="186">
        <v>-14488846.130000001</v>
      </c>
      <c r="CE208" s="186">
        <v>-14620200.23</v>
      </c>
      <c r="CF208" s="186">
        <v>-15897090.24</v>
      </c>
      <c r="CG208" s="186">
        <v>-19564867.399999999</v>
      </c>
      <c r="CH208" s="186">
        <v>-20799338.16</v>
      </c>
      <c r="CI208" s="186">
        <v>-24740284.739999998</v>
      </c>
      <c r="CJ208" s="186">
        <v>-31219966.530000001</v>
      </c>
      <c r="CK208" s="186">
        <v>-18815989.390000001</v>
      </c>
      <c r="CL208" s="186">
        <v>-16215563.1</v>
      </c>
      <c r="CM208" s="186">
        <v>-21933750.079999998</v>
      </c>
      <c r="CN208" s="186">
        <v>-18048300.399999999</v>
      </c>
      <c r="CO208" s="186">
        <v>-14153545.09</v>
      </c>
      <c r="CP208" s="186">
        <v>-13290470.810000001</v>
      </c>
      <c r="CQ208" s="186">
        <v>-14121136.98</v>
      </c>
      <c r="CR208" s="186">
        <v>-21672715.5</v>
      </c>
      <c r="CS208" s="186">
        <v>-25240111.579999998</v>
      </c>
      <c r="CT208" s="186">
        <v>-20606567.23</v>
      </c>
      <c r="CU208" s="186">
        <v>-17109285.359999999</v>
      </c>
      <c r="CV208" s="186">
        <v>-17682048.309999999</v>
      </c>
    </row>
    <row r="209" spans="1:100">
      <c r="A209" s="541" t="str">
        <f t="shared" si="2"/>
        <v>2320003</v>
      </c>
      <c r="B209" s="541" t="s">
        <v>1632</v>
      </c>
      <c r="C209" s="463" t="s">
        <v>742</v>
      </c>
      <c r="D209" s="397">
        <v>-116243.16</v>
      </c>
      <c r="E209" s="397">
        <v>0</v>
      </c>
      <c r="F209" s="397">
        <v>0</v>
      </c>
      <c r="G209" s="397">
        <v>0</v>
      </c>
      <c r="H209" s="397">
        <v>0</v>
      </c>
      <c r="I209" s="397">
        <v>0</v>
      </c>
      <c r="J209" s="397">
        <v>0</v>
      </c>
      <c r="K209" s="397">
        <v>15</v>
      </c>
      <c r="L209" s="397">
        <v>15</v>
      </c>
      <c r="M209" s="397">
        <v>15</v>
      </c>
      <c r="N209" s="397">
        <v>-411.93</v>
      </c>
      <c r="O209" s="397">
        <v>15</v>
      </c>
      <c r="P209" s="398">
        <v>-74229.91</v>
      </c>
      <c r="Q209" s="186">
        <v>220.38</v>
      </c>
      <c r="R209" s="186">
        <v>0</v>
      </c>
      <c r="S209" s="186">
        <v>0</v>
      </c>
      <c r="T209" s="186">
        <v>1.02</v>
      </c>
      <c r="U209" s="186">
        <v>1.02</v>
      </c>
      <c r="V209" s="186">
        <v>1.02</v>
      </c>
      <c r="W209" s="186">
        <v>1.02</v>
      </c>
      <c r="X209" s="186">
        <v>1.02</v>
      </c>
      <c r="Y209" s="186">
        <v>1.02</v>
      </c>
      <c r="Z209" s="186">
        <v>898.99</v>
      </c>
      <c r="AA209" s="186">
        <v>898.99</v>
      </c>
      <c r="AB209" s="186">
        <v>-108254.28</v>
      </c>
      <c r="AC209" s="186">
        <v>898.99</v>
      </c>
      <c r="AD209" s="186">
        <v>898.99</v>
      </c>
      <c r="AE209" s="186">
        <v>898.99</v>
      </c>
      <c r="AF209" s="186">
        <v>898.99</v>
      </c>
      <c r="AG209" s="186">
        <v>898.99</v>
      </c>
      <c r="AH209" s="186">
        <v>898.99</v>
      </c>
      <c r="AI209" s="186">
        <v>898.99</v>
      </c>
      <c r="AJ209" s="186">
        <v>898.99</v>
      </c>
      <c r="AK209" s="186">
        <v>886.89</v>
      </c>
      <c r="AL209" s="186">
        <v>874.63</v>
      </c>
      <c r="AM209" s="186">
        <v>874.63</v>
      </c>
      <c r="AN209" s="186">
        <v>-147343.85999999999</v>
      </c>
      <c r="AO209" s="186">
        <v>874.63</v>
      </c>
      <c r="AP209" s="186">
        <v>874.63</v>
      </c>
      <c r="AQ209" s="186">
        <v>874.63</v>
      </c>
      <c r="AR209" s="186">
        <v>2250.3000000000002</v>
      </c>
      <c r="AS209" s="186">
        <v>2250.3000000000002</v>
      </c>
      <c r="AT209" s="186">
        <v>2250.3000000000002</v>
      </c>
      <c r="AU209" s="186">
        <v>2250.3000000000002</v>
      </c>
      <c r="AV209" s="186">
        <v>2250.3000000000002</v>
      </c>
      <c r="AW209" s="186">
        <v>2250.3000000000002</v>
      </c>
      <c r="AX209" s="186">
        <v>2250.3000000000002</v>
      </c>
      <c r="AY209" s="186">
        <v>2250.3000000000002</v>
      </c>
      <c r="AZ209" s="186">
        <v>-142692.73000000001</v>
      </c>
      <c r="BA209" s="186">
        <v>2250.3000000000002</v>
      </c>
      <c r="BB209" s="186">
        <v>2250.3000000000002</v>
      </c>
      <c r="BC209" s="186">
        <v>2250.3000000000002</v>
      </c>
      <c r="BD209" s="186">
        <v>2250.3000000000002</v>
      </c>
      <c r="BE209" s="186">
        <v>2250.3000000000002</v>
      </c>
      <c r="BF209" s="186">
        <v>2250.3000000000002</v>
      </c>
      <c r="BG209" s="186">
        <v>2250.3000000000002</v>
      </c>
      <c r="BH209" s="186">
        <v>2250.3000000000002</v>
      </c>
      <c r="BI209" s="186">
        <v>2204.84</v>
      </c>
      <c r="BJ209" s="186">
        <v>2253.44</v>
      </c>
      <c r="BK209" s="186">
        <v>2256.58</v>
      </c>
      <c r="BL209" s="186">
        <v>-155958.54999999999</v>
      </c>
      <c r="BM209" s="186">
        <v>6.28</v>
      </c>
      <c r="BN209" s="186">
        <v>-4.6399999999999997</v>
      </c>
      <c r="BO209" s="186">
        <v>0</v>
      </c>
      <c r="BP209" s="186">
        <v>0</v>
      </c>
      <c r="BQ209" s="186">
        <v>-10.7</v>
      </c>
      <c r="BR209" s="186">
        <v>-10.7</v>
      </c>
      <c r="BS209" s="186">
        <v>0</v>
      </c>
      <c r="BT209" s="186">
        <v>-48.05</v>
      </c>
      <c r="BU209" s="186">
        <v>0</v>
      </c>
      <c r="BV209" s="186">
        <v>0</v>
      </c>
      <c r="BW209" s="186">
        <v>0</v>
      </c>
      <c r="BX209" s="186">
        <v>-176744.79</v>
      </c>
      <c r="BY209" s="186">
        <v>0</v>
      </c>
      <c r="BZ209" s="186">
        <v>0</v>
      </c>
      <c r="CA209" s="186">
        <v>0</v>
      </c>
      <c r="CB209" s="186">
        <v>-37.31</v>
      </c>
      <c r="CC209" s="186">
        <v>-36.78</v>
      </c>
      <c r="CD209" s="186">
        <v>-36.78</v>
      </c>
      <c r="CE209" s="186">
        <v>-8968.7199999999993</v>
      </c>
      <c r="CF209" s="186">
        <v>-80875.839999999997</v>
      </c>
      <c r="CG209" s="186">
        <v>-53706.16</v>
      </c>
      <c r="CH209" s="186">
        <v>-41311.769999999997</v>
      </c>
      <c r="CI209" s="186">
        <v>-48944.639999999999</v>
      </c>
      <c r="CJ209" s="186">
        <v>-101934.11</v>
      </c>
      <c r="CK209" s="186">
        <v>-31816.77</v>
      </c>
      <c r="CL209" s="186">
        <v>-19959.759999999998</v>
      </c>
      <c r="CM209" s="186">
        <v>-29094.91</v>
      </c>
      <c r="CN209" s="186">
        <v>-38452.58</v>
      </c>
      <c r="CO209" s="186">
        <v>-42801.95</v>
      </c>
      <c r="CP209" s="186">
        <v>-38260.32</v>
      </c>
      <c r="CQ209" s="186">
        <v>-29891.48</v>
      </c>
      <c r="CR209" s="186">
        <v>-57539.71</v>
      </c>
      <c r="CS209" s="186">
        <v>-8747.2999999999993</v>
      </c>
      <c r="CT209" s="186">
        <v>-5525.62</v>
      </c>
      <c r="CU209" s="186">
        <v>37628.29</v>
      </c>
      <c r="CV209" s="186">
        <v>-105578.99</v>
      </c>
    </row>
    <row r="210" spans="1:100">
      <c r="A210" s="541" t="str">
        <f t="shared" si="2"/>
        <v>2320005</v>
      </c>
      <c r="B210" s="541" t="s">
        <v>1633</v>
      </c>
      <c r="C210" s="463" t="s">
        <v>743</v>
      </c>
      <c r="D210" s="397">
        <v>-822.41</v>
      </c>
      <c r="E210" s="397">
        <v>0</v>
      </c>
      <c r="F210" s="397">
        <v>-6169.87</v>
      </c>
      <c r="G210" s="397">
        <v>-116.48</v>
      </c>
      <c r="H210" s="397">
        <v>-1187.2</v>
      </c>
      <c r="I210" s="397">
        <v>-106.71</v>
      </c>
      <c r="J210" s="397">
        <v>-380.64</v>
      </c>
      <c r="K210" s="397">
        <v>-117.4</v>
      </c>
      <c r="L210" s="397">
        <v>0</v>
      </c>
      <c r="M210" s="397">
        <v>-3364.25</v>
      </c>
      <c r="N210" s="397">
        <v>-30</v>
      </c>
      <c r="O210" s="397">
        <v>-30</v>
      </c>
      <c r="P210" s="398">
        <v>-167.24</v>
      </c>
      <c r="Q210" s="186">
        <v>0</v>
      </c>
      <c r="R210" s="186">
        <v>-157.75</v>
      </c>
      <c r="S210" s="186">
        <v>-30.1</v>
      </c>
      <c r="T210" s="186">
        <v>-1102.93</v>
      </c>
      <c r="U210" s="186">
        <v>-3146.69</v>
      </c>
      <c r="V210" s="186">
        <v>-4736.12</v>
      </c>
      <c r="W210" s="186">
        <v>0</v>
      </c>
      <c r="X210" s="186">
        <v>0</v>
      </c>
      <c r="Y210" s="186">
        <v>-5776.65</v>
      </c>
      <c r="Z210" s="186">
        <v>-3430.93</v>
      </c>
      <c r="AA210" s="186">
        <v>-718.29</v>
      </c>
      <c r="AB210" s="186">
        <v>0</v>
      </c>
      <c r="AC210" s="186">
        <v>-1209.8</v>
      </c>
      <c r="AD210" s="186">
        <v>0</v>
      </c>
      <c r="AE210" s="186">
        <v>0</v>
      </c>
      <c r="AF210" s="186">
        <v>-58.18</v>
      </c>
      <c r="AG210" s="186">
        <v>0</v>
      </c>
      <c r="AH210" s="186">
        <v>-23565.85</v>
      </c>
      <c r="AI210" s="186">
        <v>-7706.12</v>
      </c>
      <c r="AJ210" s="186">
        <v>-17287.689999999999</v>
      </c>
      <c r="AK210" s="186">
        <v>-6755.63</v>
      </c>
      <c r="AL210" s="186">
        <v>-9920.91</v>
      </c>
      <c r="AM210" s="186">
        <v>-3918.07</v>
      </c>
      <c r="AN210" s="186">
        <v>-7251.83</v>
      </c>
      <c r="AO210" s="186">
        <v>-9342.25</v>
      </c>
      <c r="AP210" s="186">
        <v>-6333.74</v>
      </c>
      <c r="AQ210" s="186">
        <v>-7678.57</v>
      </c>
      <c r="AR210" s="186">
        <v>-9836.8700000000008</v>
      </c>
      <c r="AS210" s="186">
        <v>-7325.15</v>
      </c>
      <c r="AT210" s="186">
        <v>-3307.45</v>
      </c>
      <c r="AU210" s="186">
        <v>-12706.1</v>
      </c>
      <c r="AV210" s="186">
        <v>-8866.59</v>
      </c>
      <c r="AW210" s="186">
        <v>-1529.55</v>
      </c>
      <c r="AX210" s="186">
        <v>-3263.44</v>
      </c>
      <c r="AY210" s="186">
        <v>-3636.75</v>
      </c>
      <c r="AZ210" s="186">
        <v>-1200.51</v>
      </c>
      <c r="BA210" s="186">
        <v>-14266.91</v>
      </c>
      <c r="BB210" s="186">
        <v>-12260.46</v>
      </c>
      <c r="BC210" s="186">
        <v>-5727.5</v>
      </c>
      <c r="BD210" s="186">
        <v>-3476.55</v>
      </c>
      <c r="BE210" s="186">
        <v>-5870.9</v>
      </c>
      <c r="BF210" s="186">
        <v>-15603.25</v>
      </c>
      <c r="BG210" s="186">
        <v>-6749.29</v>
      </c>
      <c r="BH210" s="186">
        <v>-8857.2000000000007</v>
      </c>
      <c r="BI210" s="186">
        <v>-10741.27</v>
      </c>
      <c r="BJ210" s="186">
        <v>-6020.77</v>
      </c>
      <c r="BK210" s="186">
        <v>-12019.45</v>
      </c>
      <c r="BL210" s="186">
        <v>-5773.25</v>
      </c>
      <c r="BM210" s="186">
        <v>-11040.5</v>
      </c>
      <c r="BN210" s="186">
        <v>-4721.29</v>
      </c>
      <c r="BO210" s="186">
        <v>-6686.13</v>
      </c>
      <c r="BP210" s="186">
        <v>-3886.5</v>
      </c>
      <c r="BQ210" s="186">
        <v>-7282.56</v>
      </c>
      <c r="BR210" s="186">
        <v>-9613.7000000000007</v>
      </c>
      <c r="BS210" s="186">
        <v>-11178.19</v>
      </c>
      <c r="BT210" s="186">
        <v>-35713.449999999997</v>
      </c>
      <c r="BU210" s="186">
        <v>-8447.23</v>
      </c>
      <c r="BV210" s="186">
        <v>-5548.91</v>
      </c>
      <c r="BW210" s="186">
        <v>-9750.2999999999993</v>
      </c>
      <c r="BX210" s="186">
        <v>-10323.98</v>
      </c>
      <c r="BY210" s="186">
        <v>-11898.88</v>
      </c>
      <c r="BZ210" s="186">
        <v>-9570.7000000000007</v>
      </c>
      <c r="CA210" s="186">
        <v>-3862</v>
      </c>
      <c r="CB210" s="186">
        <v>-2260.36</v>
      </c>
      <c r="CC210" s="186">
        <v>-1104.58</v>
      </c>
      <c r="CD210" s="186">
        <v>-372.31</v>
      </c>
      <c r="CE210" s="186">
        <v>-2998.79</v>
      </c>
      <c r="CF210" s="186">
        <v>-7510.58</v>
      </c>
      <c r="CG210" s="186">
        <v>-1915.67</v>
      </c>
      <c r="CH210" s="186">
        <v>-7588.2</v>
      </c>
      <c r="CI210" s="186">
        <v>-2998.44</v>
      </c>
      <c r="CJ210" s="186">
        <v>-2114.4499999999998</v>
      </c>
      <c r="CK210" s="186">
        <v>-3229.03</v>
      </c>
      <c r="CL210" s="186">
        <v>-10962.34</v>
      </c>
      <c r="CM210" s="186">
        <v>-3667.46</v>
      </c>
      <c r="CN210" s="186">
        <v>-3543.1</v>
      </c>
      <c r="CO210" s="186">
        <v>-2834.41</v>
      </c>
      <c r="CP210" s="186">
        <v>-6302.87</v>
      </c>
      <c r="CQ210" s="186">
        <v>-4107.09</v>
      </c>
      <c r="CR210" s="186">
        <v>-3449.78</v>
      </c>
      <c r="CS210" s="186">
        <v>-5092.8599999999997</v>
      </c>
      <c r="CT210" s="186">
        <v>-5942.71</v>
      </c>
      <c r="CU210" s="186">
        <v>-14437.79</v>
      </c>
      <c r="CV210" s="186">
        <v>-17696.18</v>
      </c>
    </row>
    <row r="211" spans="1:100">
      <c r="A211" s="541" t="str">
        <f t="shared" si="2"/>
        <v>2320006</v>
      </c>
      <c r="B211" s="541" t="s">
        <v>1634</v>
      </c>
      <c r="C211" s="463" t="s">
        <v>744</v>
      </c>
      <c r="D211" s="397">
        <v>-350</v>
      </c>
      <c r="E211" s="397">
        <v>-9700</v>
      </c>
      <c r="F211" s="397">
        <v>-33670.720000000001</v>
      </c>
      <c r="G211" s="397">
        <v>-47530</v>
      </c>
      <c r="H211" s="397">
        <v>-106422.94</v>
      </c>
      <c r="I211" s="397">
        <v>-5243.58</v>
      </c>
      <c r="J211" s="397">
        <v>-24683.78</v>
      </c>
      <c r="K211" s="397">
        <v>-121910</v>
      </c>
      <c r="L211" s="397">
        <v>-16600</v>
      </c>
      <c r="M211" s="397">
        <v>-106825</v>
      </c>
      <c r="N211" s="397">
        <v>0</v>
      </c>
      <c r="O211" s="397">
        <v>-157875</v>
      </c>
      <c r="P211" s="398">
        <v>0</v>
      </c>
      <c r="Q211" s="186">
        <v>-55725</v>
      </c>
      <c r="R211" s="186">
        <v>-47775</v>
      </c>
      <c r="S211" s="186">
        <v>-91093.8</v>
      </c>
      <c r="T211" s="186">
        <v>-8625</v>
      </c>
      <c r="U211" s="186">
        <v>-133387.34</v>
      </c>
      <c r="V211" s="186">
        <v>-86390.32</v>
      </c>
      <c r="W211" s="186">
        <v>-30790.26</v>
      </c>
      <c r="X211" s="186">
        <v>-30774.5</v>
      </c>
      <c r="Y211" s="186">
        <v>-39825</v>
      </c>
      <c r="Z211" s="186">
        <v>-55250</v>
      </c>
      <c r="AA211" s="186">
        <v>-140250</v>
      </c>
      <c r="AB211" s="186">
        <v>-30250</v>
      </c>
      <c r="AC211" s="186">
        <v>-79560.240000000005</v>
      </c>
      <c r="AD211" s="186">
        <v>-34690</v>
      </c>
      <c r="AE211" s="186">
        <v>-51192</v>
      </c>
      <c r="AF211" s="186">
        <v>-450</v>
      </c>
      <c r="AG211" s="186">
        <v>-177125</v>
      </c>
      <c r="AH211" s="186">
        <v>-137715</v>
      </c>
      <c r="AI211" s="186">
        <v>-32025</v>
      </c>
      <c r="AJ211" s="186">
        <v>-133481.76</v>
      </c>
      <c r="AK211" s="186">
        <v>-14050</v>
      </c>
      <c r="AL211" s="186">
        <v>-95503</v>
      </c>
      <c r="AM211" s="186">
        <v>-19750</v>
      </c>
      <c r="AN211" s="186">
        <v>0</v>
      </c>
      <c r="AO211" s="186">
        <v>-608.67999999999995</v>
      </c>
      <c r="AP211" s="186">
        <v>-1049.75</v>
      </c>
      <c r="AQ211" s="186">
        <v>-1235.3599999999999</v>
      </c>
      <c r="AR211" s="186">
        <v>-516.42999999999995</v>
      </c>
      <c r="AS211" s="186">
        <v>-844.6</v>
      </c>
      <c r="AT211" s="186">
        <v>-307.47000000000003</v>
      </c>
      <c r="AU211" s="186">
        <v>-94.96</v>
      </c>
      <c r="AV211" s="186">
        <v>0</v>
      </c>
      <c r="AW211" s="186">
        <v>0</v>
      </c>
      <c r="AX211" s="186">
        <v>0</v>
      </c>
      <c r="AY211" s="186">
        <v>0</v>
      </c>
      <c r="AZ211" s="186">
        <v>0</v>
      </c>
      <c r="BA211" s="186">
        <v>0</v>
      </c>
      <c r="BB211" s="186">
        <v>0</v>
      </c>
      <c r="BC211" s="186">
        <v>0</v>
      </c>
      <c r="BD211" s="186">
        <v>0</v>
      </c>
      <c r="BE211" s="186">
        <v>0</v>
      </c>
      <c r="BF211" s="186">
        <v>0</v>
      </c>
      <c r="BG211" s="186">
        <v>0</v>
      </c>
      <c r="BH211" s="186">
        <v>0</v>
      </c>
      <c r="BI211" s="186">
        <v>0</v>
      </c>
      <c r="BJ211" s="186">
        <v>0</v>
      </c>
      <c r="BK211" s="186">
        <v>0</v>
      </c>
      <c r="BL211" s="186">
        <v>0</v>
      </c>
      <c r="BM211" s="186">
        <v>0</v>
      </c>
      <c r="BN211" s="186">
        <v>0</v>
      </c>
      <c r="BO211" s="186">
        <v>0</v>
      </c>
      <c r="BP211" s="186">
        <v>0</v>
      </c>
      <c r="BQ211" s="186">
        <v>0</v>
      </c>
      <c r="BR211" s="186">
        <v>0</v>
      </c>
      <c r="BS211" s="186">
        <v>0</v>
      </c>
      <c r="BT211" s="186">
        <v>0</v>
      </c>
      <c r="BU211" s="186">
        <v>0</v>
      </c>
      <c r="BV211" s="186">
        <v>0</v>
      </c>
      <c r="BW211" s="186">
        <v>0</v>
      </c>
      <c r="BX211" s="186">
        <v>0</v>
      </c>
      <c r="BY211" s="186">
        <v>0</v>
      </c>
      <c r="BZ211" s="186">
        <v>0</v>
      </c>
      <c r="CA211" s="186">
        <v>0</v>
      </c>
      <c r="CB211" s="186">
        <v>0</v>
      </c>
      <c r="CC211" s="186">
        <v>0</v>
      </c>
      <c r="CD211" s="186">
        <v>-50</v>
      </c>
      <c r="CE211" s="186">
        <v>0</v>
      </c>
      <c r="CF211" s="186">
        <v>0</v>
      </c>
      <c r="CG211" s="186">
        <v>0</v>
      </c>
      <c r="CH211" s="186">
        <v>0</v>
      </c>
      <c r="CI211" s="186">
        <v>0</v>
      </c>
      <c r="CJ211" s="186">
        <v>0</v>
      </c>
      <c r="CK211" s="186">
        <v>0</v>
      </c>
      <c r="CL211" s="186">
        <v>0</v>
      </c>
      <c r="CM211" s="186">
        <v>0</v>
      </c>
      <c r="CN211" s="186">
        <v>0</v>
      </c>
      <c r="CO211" s="186">
        <v>0</v>
      </c>
      <c r="CP211" s="186">
        <v>0</v>
      </c>
      <c r="CQ211" s="186">
        <v>0</v>
      </c>
      <c r="CR211" s="186">
        <v>0</v>
      </c>
      <c r="CS211" s="186">
        <v>0</v>
      </c>
      <c r="CT211" s="186">
        <v>0</v>
      </c>
      <c r="CU211" s="186">
        <v>0</v>
      </c>
      <c r="CV211" s="186">
        <v>0</v>
      </c>
    </row>
    <row r="212" spans="1:100">
      <c r="A212" s="541" t="str">
        <f t="shared" ref="A212:A279" si="3">+B212</f>
        <v>2320007</v>
      </c>
      <c r="B212" s="541" t="s">
        <v>1635</v>
      </c>
      <c r="C212" s="463" t="s">
        <v>745</v>
      </c>
      <c r="D212" s="397">
        <v>-832646.19</v>
      </c>
      <c r="E212" s="397">
        <v>-1173355.49</v>
      </c>
      <c r="F212" s="397">
        <v>-1153015.58</v>
      </c>
      <c r="G212" s="397">
        <v>-1377601.36</v>
      </c>
      <c r="H212" s="397">
        <v>-1602049.68</v>
      </c>
      <c r="I212" s="397">
        <v>-598362.04</v>
      </c>
      <c r="J212" s="397">
        <v>-751011.74</v>
      </c>
      <c r="K212" s="397">
        <v>-1064662.26</v>
      </c>
      <c r="L212" s="397">
        <v>-1293795.01</v>
      </c>
      <c r="M212" s="397">
        <v>-1510796.8</v>
      </c>
      <c r="N212" s="397">
        <v>-539250.44999999995</v>
      </c>
      <c r="O212" s="397">
        <v>-658720.46</v>
      </c>
      <c r="P212" s="398">
        <v>-964594.12</v>
      </c>
      <c r="Q212" s="186">
        <v>-1252522.69</v>
      </c>
      <c r="R212" s="186">
        <v>-1244701.52</v>
      </c>
      <c r="S212" s="186">
        <v>-1507232.15</v>
      </c>
      <c r="T212" s="186">
        <v>-465162.49</v>
      </c>
      <c r="U212" s="186">
        <v>-675496.58</v>
      </c>
      <c r="V212" s="186">
        <v>-882340.63</v>
      </c>
      <c r="W212" s="186">
        <v>-1189384.58</v>
      </c>
      <c r="X212" s="186">
        <v>-1404243.46</v>
      </c>
      <c r="Y212" s="186">
        <v>-1635624.92</v>
      </c>
      <c r="Z212" s="186">
        <v>-644096.93000000005</v>
      </c>
      <c r="AA212" s="186">
        <v>-813448.55</v>
      </c>
      <c r="AB212" s="186">
        <v>-1165462.3999999999</v>
      </c>
      <c r="AC212" s="186">
        <v>-1503734.33</v>
      </c>
      <c r="AD212" s="186">
        <v>-1522508.18</v>
      </c>
      <c r="AE212" s="186">
        <v>-487938.44</v>
      </c>
      <c r="AF212" s="186">
        <v>-660089.55000000005</v>
      </c>
      <c r="AG212" s="186">
        <v>-945591.92</v>
      </c>
      <c r="AH212" s="186">
        <v>-1182544.1399999999</v>
      </c>
      <c r="AI212" s="186">
        <v>-1415122.22</v>
      </c>
      <c r="AJ212" s="186">
        <v>-1775525.9</v>
      </c>
      <c r="AK212" s="186">
        <v>-642832.84</v>
      </c>
      <c r="AL212" s="186">
        <v>-845521.8</v>
      </c>
      <c r="AM212" s="186">
        <v>-1102025.22</v>
      </c>
      <c r="AN212" s="186">
        <v>-1400138.51</v>
      </c>
      <c r="AO212" s="186">
        <v>-1770255.26</v>
      </c>
      <c r="AP212" s="186">
        <v>-1720422.24</v>
      </c>
      <c r="AQ212" s="186">
        <v>-632974.62</v>
      </c>
      <c r="AR212" s="186">
        <v>-712914.87</v>
      </c>
      <c r="AS212" s="186">
        <v>-1073200.2</v>
      </c>
      <c r="AT212" s="186">
        <v>-1316773.3600000001</v>
      </c>
      <c r="AU212" s="186">
        <v>-1531483.6</v>
      </c>
      <c r="AV212" s="186">
        <v>-508859.11</v>
      </c>
      <c r="AW212" s="186">
        <v>-731823.52</v>
      </c>
      <c r="AX212" s="186">
        <v>-985282.79</v>
      </c>
      <c r="AY212" s="186">
        <v>-1273409.31</v>
      </c>
      <c r="AZ212" s="186">
        <v>-1494217.91</v>
      </c>
      <c r="BA212" s="186">
        <v>-1957714.55</v>
      </c>
      <c r="BB212" s="186">
        <v>-1907503.82</v>
      </c>
      <c r="BC212" s="186">
        <v>-705381.16</v>
      </c>
      <c r="BD212" s="186">
        <v>-886587.34</v>
      </c>
      <c r="BE212" s="186">
        <v>-1293518.97</v>
      </c>
      <c r="BF212" s="186">
        <v>-1489445.54</v>
      </c>
      <c r="BG212" s="186">
        <v>-1778435.59</v>
      </c>
      <c r="BH212" s="186">
        <v>-694065.89</v>
      </c>
      <c r="BI212" s="186">
        <v>-788273.59</v>
      </c>
      <c r="BJ212" s="186">
        <v>-1477882.9</v>
      </c>
      <c r="BK212" s="186">
        <v>-1542808.49</v>
      </c>
      <c r="BL212" s="186">
        <v>-1776482.85</v>
      </c>
      <c r="BM212" s="186">
        <v>-587056.71</v>
      </c>
      <c r="BN212" s="186">
        <v>-588142.55000000005</v>
      </c>
      <c r="BO212" s="186">
        <v>-817319.55</v>
      </c>
      <c r="BP212" s="186">
        <v>-1106067.49</v>
      </c>
      <c r="BQ212" s="186">
        <v>-1564116.43</v>
      </c>
      <c r="BR212" s="186">
        <v>-1638946.29</v>
      </c>
      <c r="BS212" s="186">
        <v>-2115300.5699999998</v>
      </c>
      <c r="BT212" s="186">
        <v>-818799.74</v>
      </c>
      <c r="BU212" s="186">
        <v>-1011142.63</v>
      </c>
      <c r="BV212" s="186">
        <v>-1497233.57</v>
      </c>
      <c r="BW212" s="186">
        <v>-1703812.2</v>
      </c>
      <c r="BX212" s="186">
        <v>-2084839.57</v>
      </c>
      <c r="BY212" s="186">
        <v>-825320.39</v>
      </c>
      <c r="BZ212" s="186">
        <v>-842725.08</v>
      </c>
      <c r="CA212" s="186">
        <v>-1232648.2</v>
      </c>
      <c r="CB212" s="186">
        <v>-1513381.11</v>
      </c>
      <c r="CC212" s="186">
        <v>-1752525.59</v>
      </c>
      <c r="CD212" s="186">
        <v>-2091433.96</v>
      </c>
      <c r="CE212" s="186">
        <v>-851866.6</v>
      </c>
      <c r="CF212" s="186">
        <v>-1082781.69</v>
      </c>
      <c r="CG212" s="186">
        <v>-1439562.16</v>
      </c>
      <c r="CH212" s="186">
        <v>-1822236.99</v>
      </c>
      <c r="CI212" s="186">
        <v>-2019610.95</v>
      </c>
      <c r="CJ212" s="186">
        <v>-711453.5</v>
      </c>
      <c r="CK212" s="186">
        <v>-952988.75</v>
      </c>
      <c r="CL212" s="186">
        <v>-940885.43</v>
      </c>
      <c r="CM212" s="186">
        <v>-1708962.39</v>
      </c>
      <c r="CN212" s="186">
        <v>-1862467.4</v>
      </c>
      <c r="CO212" s="186">
        <v>-2051243.7</v>
      </c>
      <c r="CP212" s="186">
        <v>-2409935.7200000002</v>
      </c>
      <c r="CQ212" s="186">
        <v>-952731.76</v>
      </c>
      <c r="CR212" s="186">
        <v>-1315623.19</v>
      </c>
      <c r="CS212" s="186">
        <v>-1726164.74</v>
      </c>
      <c r="CT212" s="186">
        <v>-1923555.81</v>
      </c>
      <c r="CU212" s="186">
        <v>-2351602.5</v>
      </c>
      <c r="CV212" s="186">
        <v>-953795.11</v>
      </c>
    </row>
    <row r="213" spans="1:100">
      <c r="A213" s="541" t="str">
        <f t="shared" si="3"/>
        <v>2320008</v>
      </c>
      <c r="B213" s="541" t="s">
        <v>917</v>
      </c>
      <c r="C213" s="463" t="s">
        <v>746</v>
      </c>
      <c r="D213" s="397">
        <v>720.56</v>
      </c>
      <c r="E213" s="397">
        <v>720.56</v>
      </c>
      <c r="F213" s="397">
        <v>705.15</v>
      </c>
      <c r="G213" s="397">
        <v>720.56</v>
      </c>
      <c r="H213" s="397">
        <v>720.56</v>
      </c>
      <c r="I213" s="397">
        <v>720.56</v>
      </c>
      <c r="J213" s="397">
        <v>720.56</v>
      </c>
      <c r="K213" s="397">
        <v>720.56</v>
      </c>
      <c r="L213" s="397">
        <v>623.05999999999995</v>
      </c>
      <c r="M213" s="397">
        <v>720.56</v>
      </c>
      <c r="N213" s="397">
        <v>720.56</v>
      </c>
      <c r="O213" s="397">
        <v>720.56</v>
      </c>
      <c r="P213" s="398">
        <v>-30656.02</v>
      </c>
      <c r="Q213" s="186">
        <v>-30656.02</v>
      </c>
      <c r="R213" s="186">
        <v>123.61</v>
      </c>
      <c r="S213" s="186">
        <v>720.56</v>
      </c>
      <c r="T213" s="186">
        <v>720.56</v>
      </c>
      <c r="U213" s="186">
        <v>720.56</v>
      </c>
      <c r="V213" s="186">
        <v>720.56</v>
      </c>
      <c r="W213" s="186">
        <v>707.29</v>
      </c>
      <c r="X213" s="186">
        <v>614.01</v>
      </c>
      <c r="Y213" s="186">
        <v>-1232.9000000000001</v>
      </c>
      <c r="Z213" s="186">
        <v>659.56</v>
      </c>
      <c r="AA213" s="186">
        <v>720.56</v>
      </c>
      <c r="AB213" s="186">
        <v>710.4</v>
      </c>
      <c r="AC213" s="186">
        <v>644.03</v>
      </c>
      <c r="AD213" s="186">
        <v>628.16</v>
      </c>
      <c r="AE213" s="186">
        <v>720.56</v>
      </c>
      <c r="AF213" s="186">
        <v>720.56</v>
      </c>
      <c r="AG213" s="186">
        <v>720.56</v>
      </c>
      <c r="AH213" s="186">
        <v>720.56</v>
      </c>
      <c r="AI213" s="186">
        <v>720.56</v>
      </c>
      <c r="AJ213" s="186">
        <v>720.56</v>
      </c>
      <c r="AK213" s="186">
        <v>720.56</v>
      </c>
      <c r="AL213" s="186">
        <v>720.56</v>
      </c>
      <c r="AM213" s="186">
        <v>720.56</v>
      </c>
      <c r="AN213" s="186">
        <v>720.56</v>
      </c>
      <c r="AO213" s="186">
        <v>-124.78</v>
      </c>
      <c r="AP213" s="186">
        <v>720.56</v>
      </c>
      <c r="AQ213" s="186">
        <v>720.56</v>
      </c>
      <c r="AR213" s="186">
        <v>720.56</v>
      </c>
      <c r="AS213" s="186">
        <v>720.56</v>
      </c>
      <c r="AT213" s="186">
        <v>720.56</v>
      </c>
      <c r="AU213" s="186">
        <v>720.56</v>
      </c>
      <c r="AV213" s="186">
        <v>720.56</v>
      </c>
      <c r="AW213" s="186">
        <v>720.56</v>
      </c>
      <c r="AX213" s="186">
        <v>720.56</v>
      </c>
      <c r="AY213" s="186">
        <v>0</v>
      </c>
      <c r="AZ213" s="186">
        <v>0</v>
      </c>
      <c r="BA213" s="186">
        <v>0</v>
      </c>
      <c r="BB213" s="186">
        <v>0</v>
      </c>
      <c r="BC213" s="186">
        <v>256.41000000000003</v>
      </c>
      <c r="BD213" s="186">
        <v>-584.85</v>
      </c>
      <c r="BE213" s="186">
        <v>0</v>
      </c>
      <c r="BF213" s="186">
        <v>0</v>
      </c>
      <c r="BG213" s="186">
        <v>0</v>
      </c>
      <c r="BH213" s="186">
        <v>0</v>
      </c>
      <c r="BI213" s="186">
        <v>0</v>
      </c>
      <c r="BJ213" s="186">
        <v>0</v>
      </c>
      <c r="BK213" s="186">
        <v>0</v>
      </c>
      <c r="BL213" s="186">
        <v>0</v>
      </c>
      <c r="BM213" s="186">
        <v>0</v>
      </c>
      <c r="BN213" s="186">
        <v>-14.4</v>
      </c>
      <c r="BO213" s="186">
        <v>-14.4</v>
      </c>
      <c r="BP213" s="186">
        <v>-14.4</v>
      </c>
      <c r="BQ213" s="186">
        <v>-14.4</v>
      </c>
      <c r="BR213" s="186">
        <v>-14.4</v>
      </c>
      <c r="BS213" s="186">
        <v>-14.4</v>
      </c>
      <c r="BT213" s="186">
        <v>-14.4</v>
      </c>
      <c r="BU213" s="186">
        <v>0</v>
      </c>
      <c r="BV213" s="186">
        <v>0</v>
      </c>
      <c r="BW213" s="186">
        <v>0</v>
      </c>
      <c r="BX213" s="186">
        <v>-147166</v>
      </c>
      <c r="BY213" s="186">
        <v>-147208.85</v>
      </c>
      <c r="BZ213" s="186">
        <v>0</v>
      </c>
      <c r="CA213" s="186">
        <v>0</v>
      </c>
      <c r="CB213" s="186">
        <v>0</v>
      </c>
      <c r="CC213" s="186">
        <v>-125.81</v>
      </c>
      <c r="CD213" s="186">
        <v>-83.72</v>
      </c>
      <c r="CE213" s="186">
        <v>0</v>
      </c>
      <c r="CF213" s="186">
        <v>0</v>
      </c>
      <c r="CG213" s="186">
        <v>0</v>
      </c>
      <c r="CH213" s="186">
        <v>0</v>
      </c>
      <c r="CI213" s="186">
        <v>0</v>
      </c>
      <c r="CJ213" s="186">
        <v>0</v>
      </c>
      <c r="CK213" s="186">
        <v>-78.08</v>
      </c>
      <c r="CL213" s="186">
        <v>-78.08</v>
      </c>
      <c r="CM213" s="186">
        <v>-9278.35</v>
      </c>
      <c r="CN213" s="186">
        <v>-9278.35</v>
      </c>
      <c r="CO213" s="186">
        <v>-9319.44</v>
      </c>
      <c r="CP213" s="186">
        <v>-9278.35</v>
      </c>
      <c r="CQ213" s="186">
        <v>-9278.35</v>
      </c>
      <c r="CR213" s="186">
        <v>-9513.91</v>
      </c>
      <c r="CS213" s="186">
        <v>-147.1</v>
      </c>
      <c r="CT213" s="186">
        <v>-124382.92</v>
      </c>
      <c r="CU213" s="186">
        <v>-136794.53</v>
      </c>
      <c r="CV213" s="186">
        <v>-195415.35</v>
      </c>
    </row>
    <row r="214" spans="1:100">
      <c r="A214" s="541" t="str">
        <f t="shared" si="3"/>
        <v>2320009</v>
      </c>
      <c r="B214" s="541" t="s">
        <v>1636</v>
      </c>
      <c r="C214" s="463" t="s">
        <v>747</v>
      </c>
      <c r="D214" s="397">
        <v>-280000</v>
      </c>
      <c r="E214" s="397">
        <v>-280000</v>
      </c>
      <c r="F214" s="397">
        <v>0</v>
      </c>
      <c r="G214" s="397">
        <v>0</v>
      </c>
      <c r="H214" s="397">
        <v>0</v>
      </c>
      <c r="I214" s="397">
        <v>0</v>
      </c>
      <c r="J214" s="397">
        <v>0</v>
      </c>
      <c r="K214" s="397">
        <v>0</v>
      </c>
      <c r="L214" s="397">
        <v>0</v>
      </c>
      <c r="M214" s="397">
        <v>-152000</v>
      </c>
      <c r="N214" s="397">
        <v>-152000</v>
      </c>
      <c r="O214" s="397">
        <v>-152000</v>
      </c>
      <c r="P214" s="398">
        <v>-322000</v>
      </c>
      <c r="Q214" s="186">
        <v>-322000</v>
      </c>
      <c r="R214" s="186">
        <v>0</v>
      </c>
      <c r="S214" s="186">
        <v>-170996.87</v>
      </c>
      <c r="T214" s="186">
        <v>-213000</v>
      </c>
      <c r="U214" s="186">
        <v>-184000</v>
      </c>
      <c r="V214" s="186">
        <v>-214000</v>
      </c>
      <c r="W214" s="186">
        <v>-190000</v>
      </c>
      <c r="X214" s="186">
        <v>-194000</v>
      </c>
      <c r="Y214" s="186">
        <v>-142000</v>
      </c>
      <c r="Z214" s="186">
        <v>-135000</v>
      </c>
      <c r="AA214" s="186">
        <v>-219000</v>
      </c>
      <c r="AB214" s="186">
        <v>-58125</v>
      </c>
      <c r="AC214" s="186">
        <v>-58125</v>
      </c>
      <c r="AD214" s="186">
        <v>0</v>
      </c>
      <c r="AE214" s="186">
        <v>0</v>
      </c>
      <c r="AF214" s="186">
        <v>0</v>
      </c>
      <c r="AG214" s="186">
        <v>0</v>
      </c>
      <c r="AH214" s="186">
        <v>0</v>
      </c>
      <c r="AI214" s="186">
        <v>0</v>
      </c>
      <c r="AJ214" s="186">
        <v>0</v>
      </c>
      <c r="AK214" s="186">
        <v>-252000</v>
      </c>
      <c r="AL214" s="186">
        <v>-248000</v>
      </c>
      <c r="AM214" s="186">
        <v>-108000</v>
      </c>
      <c r="AN214" s="186">
        <v>-52000</v>
      </c>
      <c r="AO214" s="186">
        <v>-52000</v>
      </c>
      <c r="AP214" s="186">
        <v>19432.189999999999</v>
      </c>
      <c r="AQ214" s="186">
        <v>1904.09</v>
      </c>
      <c r="AR214" s="186">
        <v>0</v>
      </c>
      <c r="AS214" s="186">
        <v>0</v>
      </c>
      <c r="AT214" s="186">
        <v>0</v>
      </c>
      <c r="AU214" s="186">
        <v>0</v>
      </c>
      <c r="AV214" s="186">
        <v>0</v>
      </c>
      <c r="AW214" s="186">
        <v>0</v>
      </c>
      <c r="AX214" s="186">
        <v>0</v>
      </c>
      <c r="AY214" s="186">
        <v>0</v>
      </c>
      <c r="AZ214" s="186">
        <v>0</v>
      </c>
      <c r="BA214" s="186">
        <v>0</v>
      </c>
      <c r="BB214" s="186">
        <v>0</v>
      </c>
      <c r="BC214" s="186">
        <v>0</v>
      </c>
      <c r="BD214" s="186">
        <v>0</v>
      </c>
      <c r="BE214" s="186">
        <v>-783.24</v>
      </c>
      <c r="BF214" s="186">
        <v>-45</v>
      </c>
      <c r="BG214" s="186">
        <v>0</v>
      </c>
      <c r="BH214" s="186">
        <v>0</v>
      </c>
      <c r="BI214" s="186">
        <v>0</v>
      </c>
      <c r="BJ214" s="186">
        <v>0</v>
      </c>
      <c r="BK214" s="186">
        <v>0</v>
      </c>
      <c r="BL214" s="186">
        <v>0</v>
      </c>
      <c r="BM214" s="186">
        <v>0</v>
      </c>
      <c r="BN214" s="186">
        <v>0</v>
      </c>
      <c r="BO214" s="186">
        <v>0</v>
      </c>
      <c r="BP214" s="186">
        <v>0</v>
      </c>
      <c r="BQ214" s="186">
        <v>0</v>
      </c>
      <c r="BR214" s="186">
        <v>0</v>
      </c>
      <c r="BS214" s="186">
        <v>0</v>
      </c>
      <c r="BT214" s="186">
        <v>0</v>
      </c>
      <c r="BU214" s="186">
        <v>0</v>
      </c>
      <c r="BV214" s="186">
        <v>0</v>
      </c>
      <c r="BW214" s="186">
        <v>0</v>
      </c>
      <c r="BX214" s="186">
        <v>-256702.48</v>
      </c>
      <c r="BY214" s="186">
        <v>-256702.48</v>
      </c>
      <c r="BZ214" s="186">
        <v>0</v>
      </c>
      <c r="CA214" s="186">
        <v>0</v>
      </c>
      <c r="CB214" s="186">
        <v>0</v>
      </c>
      <c r="CC214" s="186">
        <v>0</v>
      </c>
      <c r="CD214" s="186">
        <v>0</v>
      </c>
      <c r="CE214" s="186">
        <v>0</v>
      </c>
      <c r="CF214" s="186">
        <v>0</v>
      </c>
      <c r="CG214" s="186">
        <v>0</v>
      </c>
      <c r="CH214" s="186">
        <v>0</v>
      </c>
      <c r="CI214" s="186">
        <v>0</v>
      </c>
      <c r="CJ214" s="186">
        <v>0</v>
      </c>
      <c r="CK214" s="186">
        <v>0</v>
      </c>
      <c r="CL214" s="186">
        <v>0</v>
      </c>
      <c r="CM214" s="186">
        <v>-5240.9399999999996</v>
      </c>
      <c r="CN214" s="186">
        <v>-3030.9</v>
      </c>
      <c r="CO214" s="186">
        <v>-3030.9</v>
      </c>
      <c r="CP214" s="186">
        <v>-3030.9</v>
      </c>
      <c r="CQ214" s="186">
        <v>-3030.9</v>
      </c>
      <c r="CR214" s="186">
        <v>-3030.9</v>
      </c>
      <c r="CS214" s="186">
        <v>0</v>
      </c>
      <c r="CT214" s="186">
        <v>-366666.67</v>
      </c>
      <c r="CU214" s="186">
        <v>-403333.34</v>
      </c>
      <c r="CV214" s="186">
        <v>-733333.01</v>
      </c>
    </row>
    <row r="215" spans="1:100">
      <c r="A215" s="541" t="str">
        <f t="shared" si="3"/>
        <v>2320010</v>
      </c>
      <c r="B215" s="541" t="s">
        <v>1637</v>
      </c>
      <c r="C215" s="463" t="s">
        <v>748</v>
      </c>
      <c r="D215" s="397">
        <v>224.02</v>
      </c>
      <c r="E215" s="397">
        <v>224.02</v>
      </c>
      <c r="F215" s="397">
        <v>200.31</v>
      </c>
      <c r="G215" s="397">
        <v>224.02</v>
      </c>
      <c r="H215" s="397">
        <v>224.02</v>
      </c>
      <c r="I215" s="397">
        <v>224.02</v>
      </c>
      <c r="J215" s="397">
        <v>224.02</v>
      </c>
      <c r="K215" s="397">
        <v>224.02</v>
      </c>
      <c r="L215" s="397">
        <v>74.02</v>
      </c>
      <c r="M215" s="397">
        <v>224.02</v>
      </c>
      <c r="N215" s="397">
        <v>224.02</v>
      </c>
      <c r="O215" s="397">
        <v>224.02</v>
      </c>
      <c r="P215" s="398">
        <v>224.02</v>
      </c>
      <c r="Q215" s="186">
        <v>224.02</v>
      </c>
      <c r="R215" s="186">
        <v>-985.65</v>
      </c>
      <c r="S215" s="186">
        <v>224.02</v>
      </c>
      <c r="T215" s="186">
        <v>224.02</v>
      </c>
      <c r="U215" s="186">
        <v>224.02</v>
      </c>
      <c r="V215" s="186">
        <v>224.02</v>
      </c>
      <c r="W215" s="186">
        <v>205.07</v>
      </c>
      <c r="X215" s="186">
        <v>71.8</v>
      </c>
      <c r="Y215" s="186">
        <v>-2906.03</v>
      </c>
      <c r="Z215" s="186">
        <v>136.87</v>
      </c>
      <c r="AA215" s="186">
        <v>224.02</v>
      </c>
      <c r="AB215" s="186">
        <v>199.82</v>
      </c>
      <c r="AC215" s="186">
        <v>114.69</v>
      </c>
      <c r="AD215" s="186">
        <v>-105.98</v>
      </c>
      <c r="AE215" s="186">
        <v>224.02</v>
      </c>
      <c r="AF215" s="186">
        <v>224.02</v>
      </c>
      <c r="AG215" s="186">
        <v>224.02</v>
      </c>
      <c r="AH215" s="186">
        <v>224.02</v>
      </c>
      <c r="AI215" s="186">
        <v>224.02</v>
      </c>
      <c r="AJ215" s="186">
        <v>224.02</v>
      </c>
      <c r="AK215" s="186">
        <v>224.02</v>
      </c>
      <c r="AL215" s="186">
        <v>224.02</v>
      </c>
      <c r="AM215" s="186">
        <v>224.02</v>
      </c>
      <c r="AN215" s="186">
        <v>224.02</v>
      </c>
      <c r="AO215" s="186">
        <v>-1422.12</v>
      </c>
      <c r="AP215" s="186">
        <v>224.02</v>
      </c>
      <c r="AQ215" s="186">
        <v>224.02</v>
      </c>
      <c r="AR215" s="186">
        <v>224.02</v>
      </c>
      <c r="AS215" s="186">
        <v>224.02</v>
      </c>
      <c r="AT215" s="186">
        <v>224.02</v>
      </c>
      <c r="AU215" s="186">
        <v>224.02</v>
      </c>
      <c r="AV215" s="186">
        <v>224.02</v>
      </c>
      <c r="AW215" s="186">
        <v>224.02</v>
      </c>
      <c r="AX215" s="186">
        <v>224.02</v>
      </c>
      <c r="AY215" s="186">
        <v>224.02</v>
      </c>
      <c r="AZ215" s="186">
        <v>224.02</v>
      </c>
      <c r="BA215" s="186">
        <v>224.02</v>
      </c>
      <c r="BB215" s="186">
        <v>224.02</v>
      </c>
      <c r="BC215" s="186">
        <v>1363.64</v>
      </c>
      <c r="BD215" s="186">
        <v>-1583</v>
      </c>
      <c r="BE215" s="186">
        <v>224.02</v>
      </c>
      <c r="BF215" s="186">
        <v>224.02</v>
      </c>
      <c r="BG215" s="186">
        <v>0</v>
      </c>
      <c r="BH215" s="186">
        <v>0</v>
      </c>
      <c r="BI215" s="186">
        <v>0</v>
      </c>
      <c r="BJ215" s="186">
        <v>0</v>
      </c>
      <c r="BK215" s="186">
        <v>0</v>
      </c>
      <c r="BL215" s="186">
        <v>0</v>
      </c>
      <c r="BM215" s="186">
        <v>0</v>
      </c>
      <c r="BN215" s="186">
        <v>0</v>
      </c>
      <c r="BO215" s="186">
        <v>0</v>
      </c>
      <c r="BP215" s="186">
        <v>0</v>
      </c>
      <c r="BQ215" s="186">
        <v>0</v>
      </c>
      <c r="BR215" s="186">
        <v>0</v>
      </c>
      <c r="BS215" s="186">
        <v>0</v>
      </c>
      <c r="BT215" s="186">
        <v>0</v>
      </c>
      <c r="BU215" s="186">
        <v>0</v>
      </c>
      <c r="BV215" s="186">
        <v>0</v>
      </c>
      <c r="BW215" s="186">
        <v>0</v>
      </c>
      <c r="BX215" s="186">
        <v>0</v>
      </c>
      <c r="BY215" s="186">
        <v>-57.13</v>
      </c>
      <c r="BZ215" s="186">
        <v>0</v>
      </c>
      <c r="CA215" s="186">
        <v>0</v>
      </c>
      <c r="CB215" s="186">
        <v>0</v>
      </c>
      <c r="CC215" s="186">
        <v>-167.74</v>
      </c>
      <c r="CD215" s="186">
        <v>-176.31</v>
      </c>
      <c r="CE215" s="186">
        <v>0</v>
      </c>
      <c r="CF215" s="186">
        <v>0</v>
      </c>
      <c r="CG215" s="186">
        <v>0</v>
      </c>
      <c r="CH215" s="186">
        <v>0</v>
      </c>
      <c r="CI215" s="186">
        <v>0</v>
      </c>
      <c r="CJ215" s="186">
        <v>0</v>
      </c>
      <c r="CK215" s="186">
        <v>104.9</v>
      </c>
      <c r="CL215" s="186">
        <v>104.9</v>
      </c>
      <c r="CM215" s="186">
        <v>-20399.55</v>
      </c>
      <c r="CN215" s="186">
        <v>-20399.55</v>
      </c>
      <c r="CO215" s="186">
        <v>-20454.34</v>
      </c>
      <c r="CP215" s="186">
        <v>-20399.55</v>
      </c>
      <c r="CQ215" s="186">
        <v>-20399.55</v>
      </c>
      <c r="CR215" s="186">
        <v>-20766.310000000001</v>
      </c>
      <c r="CS215" s="186">
        <v>-40.090000000000003</v>
      </c>
      <c r="CT215" s="186">
        <v>0</v>
      </c>
      <c r="CU215" s="186">
        <v>23.3</v>
      </c>
      <c r="CV215" s="186">
        <v>-423.38</v>
      </c>
    </row>
    <row r="216" spans="1:100">
      <c r="A216" s="541" t="str">
        <f t="shared" si="3"/>
        <v>2320011</v>
      </c>
      <c r="B216" s="541" t="s">
        <v>1638</v>
      </c>
      <c r="C216" s="463" t="s">
        <v>749</v>
      </c>
      <c r="D216" s="397">
        <v>2427</v>
      </c>
      <c r="E216" s="397">
        <v>20</v>
      </c>
      <c r="F216" s="397">
        <v>20</v>
      </c>
      <c r="G216" s="397">
        <v>20</v>
      </c>
      <c r="H216" s="397">
        <v>20</v>
      </c>
      <c r="I216" s="397">
        <v>7.5</v>
      </c>
      <c r="J216" s="397">
        <v>170</v>
      </c>
      <c r="K216" s="397">
        <v>170</v>
      </c>
      <c r="L216" s="397">
        <v>170</v>
      </c>
      <c r="M216" s="397">
        <v>170</v>
      </c>
      <c r="N216" s="397">
        <v>170</v>
      </c>
      <c r="O216" s="397">
        <v>170</v>
      </c>
      <c r="P216" s="398">
        <v>195</v>
      </c>
      <c r="Q216" s="186">
        <v>100</v>
      </c>
      <c r="R216" s="186">
        <v>10</v>
      </c>
      <c r="S216" s="186">
        <v>10</v>
      </c>
      <c r="T216" s="186">
        <v>10</v>
      </c>
      <c r="U216" s="186">
        <v>10</v>
      </c>
      <c r="V216" s="186">
        <v>10</v>
      </c>
      <c r="W216" s="186">
        <v>22.5</v>
      </c>
      <c r="X216" s="186">
        <v>25</v>
      </c>
      <c r="Y216" s="186">
        <v>50</v>
      </c>
      <c r="Z216" s="186">
        <v>112.5</v>
      </c>
      <c r="AA216" s="186">
        <v>145</v>
      </c>
      <c r="AB216" s="186">
        <v>165</v>
      </c>
      <c r="AC216" s="186">
        <v>145</v>
      </c>
      <c r="AD216" s="186">
        <v>45</v>
      </c>
      <c r="AE216" s="186">
        <v>695</v>
      </c>
      <c r="AF216" s="186">
        <v>680</v>
      </c>
      <c r="AG216" s="186">
        <v>2427</v>
      </c>
      <c r="AH216" s="186">
        <v>2427</v>
      </c>
      <c r="AI216" s="186">
        <v>2427</v>
      </c>
      <c r="AJ216" s="186">
        <v>2427</v>
      </c>
      <c r="AK216" s="186">
        <v>2427</v>
      </c>
      <c r="AL216" s="186">
        <v>2427</v>
      </c>
      <c r="AM216" s="186">
        <v>2427</v>
      </c>
      <c r="AN216" s="186">
        <v>2427</v>
      </c>
      <c r="AO216" s="186">
        <v>2427</v>
      </c>
      <c r="AP216" s="186">
        <v>2427</v>
      </c>
      <c r="AQ216" s="186">
        <v>2427</v>
      </c>
      <c r="AR216" s="186">
        <v>2427</v>
      </c>
      <c r="AS216" s="186">
        <v>2427</v>
      </c>
      <c r="AT216" s="186">
        <v>0</v>
      </c>
      <c r="AU216" s="186">
        <v>0</v>
      </c>
      <c r="AV216" s="186">
        <v>0</v>
      </c>
      <c r="AW216" s="186">
        <v>0</v>
      </c>
      <c r="AX216" s="186">
        <v>0</v>
      </c>
      <c r="AY216" s="186">
        <v>0</v>
      </c>
      <c r="AZ216" s="186">
        <v>0</v>
      </c>
      <c r="BA216" s="186">
        <v>0</v>
      </c>
      <c r="BB216" s="186">
        <v>0</v>
      </c>
      <c r="BC216" s="186">
        <v>0</v>
      </c>
      <c r="BD216" s="186">
        <v>0</v>
      </c>
      <c r="BE216" s="186">
        <v>0</v>
      </c>
      <c r="BF216" s="186">
        <v>0</v>
      </c>
      <c r="BG216" s="186">
        <v>0</v>
      </c>
      <c r="BH216" s="186">
        <v>0</v>
      </c>
      <c r="BI216" s="186">
        <v>0</v>
      </c>
      <c r="BJ216" s="186">
        <v>0</v>
      </c>
      <c r="BK216" s="186">
        <v>0</v>
      </c>
      <c r="BL216" s="186">
        <v>0</v>
      </c>
      <c r="BM216" s="186">
        <v>0</v>
      </c>
      <c r="BN216" s="186">
        <v>0</v>
      </c>
      <c r="BO216" s="186">
        <v>0</v>
      </c>
      <c r="BP216" s="186">
        <v>0</v>
      </c>
      <c r="BQ216" s="186">
        <v>0</v>
      </c>
      <c r="BR216" s="186">
        <v>0</v>
      </c>
      <c r="BS216" s="186">
        <v>0</v>
      </c>
      <c r="BT216" s="186">
        <v>0</v>
      </c>
      <c r="BU216" s="186">
        <v>0</v>
      </c>
      <c r="BV216" s="186">
        <v>0</v>
      </c>
      <c r="BW216" s="186">
        <v>0</v>
      </c>
      <c r="BX216" s="186">
        <v>0</v>
      </c>
      <c r="BY216" s="186">
        <v>0</v>
      </c>
      <c r="BZ216" s="186">
        <v>0</v>
      </c>
      <c r="CA216" s="186">
        <v>0</v>
      </c>
      <c r="CB216" s="186">
        <v>0</v>
      </c>
      <c r="CC216" s="186">
        <v>0</v>
      </c>
      <c r="CD216" s="186">
        <v>0</v>
      </c>
      <c r="CE216" s="186">
        <v>0</v>
      </c>
      <c r="CF216" s="186">
        <v>0</v>
      </c>
      <c r="CG216" s="186">
        <v>0</v>
      </c>
      <c r="CH216" s="186">
        <v>0</v>
      </c>
      <c r="CI216" s="186">
        <v>0</v>
      </c>
      <c r="CJ216" s="186">
        <v>0</v>
      </c>
      <c r="CK216" s="186">
        <v>0</v>
      </c>
      <c r="CL216" s="186">
        <v>0</v>
      </c>
      <c r="CM216" s="186">
        <v>35360</v>
      </c>
      <c r="CN216" s="186">
        <v>0</v>
      </c>
      <c r="CO216" s="186">
        <v>0</v>
      </c>
      <c r="CP216" s="186">
        <v>0</v>
      </c>
      <c r="CQ216" s="186">
        <v>0</v>
      </c>
      <c r="CR216" s="186">
        <v>0</v>
      </c>
      <c r="CS216" s="186">
        <v>0</v>
      </c>
      <c r="CT216" s="186">
        <v>0</v>
      </c>
      <c r="CU216" s="186">
        <v>0</v>
      </c>
      <c r="CV216" s="186">
        <v>0</v>
      </c>
    </row>
    <row r="217" spans="1:100">
      <c r="A217" s="541" t="str">
        <f t="shared" si="3"/>
        <v>2320012</v>
      </c>
      <c r="B217" s="541" t="s">
        <v>1639</v>
      </c>
      <c r="C217" s="463" t="s">
        <v>750</v>
      </c>
      <c r="D217" s="397">
        <v>-3168464</v>
      </c>
      <c r="E217" s="397">
        <v>-208317.12</v>
      </c>
      <c r="F217" s="397">
        <v>-341892</v>
      </c>
      <c r="G217" s="397">
        <v>-512838</v>
      </c>
      <c r="H217" s="397">
        <v>-683784</v>
      </c>
      <c r="I217" s="397">
        <v>-854730</v>
      </c>
      <c r="J217" s="397">
        <v>-1025676</v>
      </c>
      <c r="K217" s="397">
        <v>-1196622</v>
      </c>
      <c r="L217" s="397">
        <v>-1367568</v>
      </c>
      <c r="M217" s="397">
        <v>-2309514</v>
      </c>
      <c r="N217" s="397">
        <v>-2480460</v>
      </c>
      <c r="O217" s="397">
        <v>-2651406</v>
      </c>
      <c r="P217" s="398">
        <v>-3076048.44</v>
      </c>
      <c r="Q217" s="186">
        <v>-3248375.59</v>
      </c>
      <c r="R217" s="186">
        <v>-344654.3</v>
      </c>
      <c r="S217" s="186">
        <v>-1269981.45</v>
      </c>
      <c r="T217" s="186">
        <v>-1627308.6</v>
      </c>
      <c r="U217" s="186">
        <v>-1673635.75</v>
      </c>
      <c r="V217" s="186">
        <v>-1978962.9</v>
      </c>
      <c r="W217" s="186">
        <v>-2042290.05</v>
      </c>
      <c r="X217" s="186">
        <v>-2235617.2000000002</v>
      </c>
      <c r="Y217" s="186">
        <v>-2196603.5</v>
      </c>
      <c r="Z217" s="186">
        <v>-2335930.65</v>
      </c>
      <c r="AA217" s="186">
        <v>-2884257.8</v>
      </c>
      <c r="AB217" s="186">
        <v>-2099616</v>
      </c>
      <c r="AC217" s="186">
        <v>-2268782.67</v>
      </c>
      <c r="AD217" s="186">
        <v>-338333.34</v>
      </c>
      <c r="AE217" s="186">
        <v>-507500.01</v>
      </c>
      <c r="AF217" s="186">
        <v>-676666.68</v>
      </c>
      <c r="AG217" s="186">
        <v>-845833.35</v>
      </c>
      <c r="AH217" s="186">
        <v>-1015000.02</v>
      </c>
      <c r="AI217" s="186">
        <v>-1444166.69</v>
      </c>
      <c r="AJ217" s="186">
        <v>-2437333.36</v>
      </c>
      <c r="AK217" s="186">
        <v>-2645500.0299999998</v>
      </c>
      <c r="AL217" s="186">
        <v>-2794666.7</v>
      </c>
      <c r="AM217" s="186">
        <v>-2341833.37</v>
      </c>
      <c r="AN217" s="186">
        <v>-2518000.04</v>
      </c>
      <c r="AO217" s="186">
        <v>-2703416.71</v>
      </c>
      <c r="AP217" s="186">
        <v>-266307.89</v>
      </c>
      <c r="AQ217" s="186">
        <v>-556250.01</v>
      </c>
      <c r="AR217" s="186">
        <v>-741666.68</v>
      </c>
      <c r="AS217" s="186">
        <v>-927083.35</v>
      </c>
      <c r="AT217" s="186">
        <v>-1187500.02</v>
      </c>
      <c r="AU217" s="186">
        <v>-1385416.69</v>
      </c>
      <c r="AV217" s="186">
        <v>-1583333.36</v>
      </c>
      <c r="AW217" s="186">
        <v>-1781250.03</v>
      </c>
      <c r="AX217" s="186">
        <v>-1722069.03</v>
      </c>
      <c r="AY217" s="186">
        <v>-1894276.03</v>
      </c>
      <c r="AZ217" s="186">
        <v>-2291483.0299999998</v>
      </c>
      <c r="BA217" s="186">
        <v>-2526310.3999999999</v>
      </c>
      <c r="BB217" s="186">
        <v>-469654.74</v>
      </c>
      <c r="BC217" s="186">
        <v>-704482.11</v>
      </c>
      <c r="BD217" s="186">
        <v>-939309.48</v>
      </c>
      <c r="BE217" s="186">
        <v>-1168438.77</v>
      </c>
      <c r="BF217" s="186">
        <v>-1408964.22</v>
      </c>
      <c r="BG217" s="186">
        <v>-1766319.38</v>
      </c>
      <c r="BH217" s="186">
        <v>-2418650.7200000002</v>
      </c>
      <c r="BI217" s="186">
        <v>-2776068.76</v>
      </c>
      <c r="BJ217" s="186">
        <v>-3084520.86</v>
      </c>
      <c r="BK217" s="186">
        <v>-3392972.96</v>
      </c>
      <c r="BL217" s="186">
        <v>-3779472</v>
      </c>
      <c r="BM217" s="186">
        <v>-4103473.25</v>
      </c>
      <c r="BN217" s="186">
        <v>-648002.5</v>
      </c>
      <c r="BO217" s="186">
        <v>-972033.75</v>
      </c>
      <c r="BP217" s="186">
        <v>-1296035</v>
      </c>
      <c r="BQ217" s="186">
        <v>-1620036.25</v>
      </c>
      <c r="BR217" s="186">
        <v>-1944037.5</v>
      </c>
      <c r="BS217" s="186">
        <v>-2268038.75</v>
      </c>
      <c r="BT217" s="186">
        <v>-2592040</v>
      </c>
      <c r="BU217" s="186">
        <v>-3043991.25</v>
      </c>
      <c r="BV217" s="186">
        <v>-3382209.17</v>
      </c>
      <c r="BW217" s="186">
        <v>-4470427.09</v>
      </c>
      <c r="BX217" s="186">
        <v>-4897075.1900000004</v>
      </c>
      <c r="BY217" s="186">
        <v>-5275251.1900000004</v>
      </c>
      <c r="BZ217" s="186">
        <v>-743427.8</v>
      </c>
      <c r="CA217" s="186">
        <v>-1096157.06</v>
      </c>
      <c r="CB217" s="186">
        <v>-1455789.01</v>
      </c>
      <c r="CC217" s="186">
        <v>-1815420.96</v>
      </c>
      <c r="CD217" s="186">
        <v>-2022869.17</v>
      </c>
      <c r="CE217" s="186">
        <v>-2357137.17</v>
      </c>
      <c r="CF217" s="186">
        <v>-2691405.17</v>
      </c>
      <c r="CG217" s="186">
        <v>-3319307.5</v>
      </c>
      <c r="CH217" s="186">
        <v>-3686201.5</v>
      </c>
      <c r="CI217" s="186">
        <v>-4053095.5</v>
      </c>
      <c r="CJ217" s="186">
        <v>-4620834.5</v>
      </c>
      <c r="CK217" s="186">
        <v>-4995672.5</v>
      </c>
      <c r="CL217" s="186">
        <v>-5370510.5</v>
      </c>
      <c r="CM217" s="186">
        <v>-1124514</v>
      </c>
      <c r="CN217" s="186">
        <v>-1361880</v>
      </c>
      <c r="CO217" s="186">
        <v>-1702350.17</v>
      </c>
      <c r="CP217" s="186">
        <v>-2042820.34</v>
      </c>
      <c r="CQ217" s="186">
        <v>-2383290.5099999998</v>
      </c>
      <c r="CR217" s="186">
        <v>-2723760.68</v>
      </c>
      <c r="CS217" s="186">
        <v>-3064230.85</v>
      </c>
      <c r="CT217" s="186">
        <v>-4142196.37</v>
      </c>
      <c r="CU217" s="186">
        <v>-4556416.01</v>
      </c>
      <c r="CV217" s="186">
        <v>-6213252.9299999997</v>
      </c>
    </row>
    <row r="218" spans="1:100">
      <c r="A218" s="541" t="str">
        <f t="shared" si="3"/>
        <v>2320013</v>
      </c>
      <c r="B218" s="541" t="s">
        <v>1640</v>
      </c>
      <c r="C218" s="463" t="s">
        <v>751</v>
      </c>
      <c r="D218" s="397">
        <v>0</v>
      </c>
      <c r="E218" s="397">
        <v>0</v>
      </c>
      <c r="F218" s="397">
        <v>0</v>
      </c>
      <c r="G218" s="397">
        <v>0</v>
      </c>
      <c r="H218" s="397">
        <v>0</v>
      </c>
      <c r="I218" s="397">
        <v>0</v>
      </c>
      <c r="J218" s="397">
        <v>0</v>
      </c>
      <c r="K218" s="397">
        <v>0</v>
      </c>
      <c r="L218" s="397">
        <v>0</v>
      </c>
      <c r="M218" s="397">
        <v>0</v>
      </c>
      <c r="N218" s="397">
        <v>0</v>
      </c>
      <c r="O218" s="397">
        <v>0</v>
      </c>
      <c r="P218" s="398">
        <v>0</v>
      </c>
      <c r="Q218" s="186">
        <v>0</v>
      </c>
      <c r="R218" s="186">
        <v>0</v>
      </c>
      <c r="S218" s="186">
        <v>0</v>
      </c>
      <c r="T218" s="186">
        <v>0</v>
      </c>
      <c r="U218" s="186">
        <v>0</v>
      </c>
      <c r="V218" s="186">
        <v>0</v>
      </c>
      <c r="W218" s="186">
        <v>-386.49</v>
      </c>
      <c r="X218" s="186">
        <v>0</v>
      </c>
      <c r="Y218" s="186">
        <v>0</v>
      </c>
      <c r="Z218" s="186">
        <v>0</v>
      </c>
      <c r="AA218" s="186">
        <v>0</v>
      </c>
      <c r="AB218" s="186">
        <v>0</v>
      </c>
      <c r="AC218" s="186">
        <v>0</v>
      </c>
      <c r="AD218" s="186">
        <v>-210.35</v>
      </c>
      <c r="AE218" s="186">
        <v>-210.35</v>
      </c>
      <c r="AF218" s="186">
        <v>-210.35</v>
      </c>
      <c r="AG218" s="186">
        <v>-210.35</v>
      </c>
      <c r="AH218" s="186">
        <v>-210.35</v>
      </c>
      <c r="AI218" s="186">
        <v>-210.35</v>
      </c>
      <c r="AJ218" s="186">
        <v>1354.89</v>
      </c>
      <c r="AK218" s="186">
        <v>-210.35</v>
      </c>
      <c r="AL218" s="186">
        <v>-210.35</v>
      </c>
      <c r="AM218" s="186">
        <v>-210.35</v>
      </c>
      <c r="AN218" s="186">
        <v>-210.35</v>
      </c>
      <c r="AO218" s="186">
        <v>-210.35</v>
      </c>
      <c r="AP218" s="186">
        <v>-210.35</v>
      </c>
      <c r="AQ218" s="186">
        <v>-210.35</v>
      </c>
      <c r="AR218" s="186">
        <v>-210.35</v>
      </c>
      <c r="AS218" s="186">
        <v>-210.35</v>
      </c>
      <c r="AT218" s="186">
        <v>-210.35</v>
      </c>
      <c r="AU218" s="186">
        <v>0</v>
      </c>
      <c r="AV218" s="186">
        <v>0</v>
      </c>
      <c r="AW218" s="186">
        <v>0</v>
      </c>
      <c r="AX218" s="186">
        <v>0</v>
      </c>
      <c r="AY218" s="186">
        <v>0</v>
      </c>
      <c r="AZ218" s="186">
        <v>0</v>
      </c>
      <c r="BA218" s="186">
        <v>0</v>
      </c>
      <c r="BB218" s="186">
        <v>0</v>
      </c>
      <c r="BC218" s="186">
        <v>-342.66</v>
      </c>
      <c r="BD218" s="186">
        <v>-1033.71</v>
      </c>
      <c r="BE218" s="186">
        <v>-2115.61</v>
      </c>
      <c r="BF218" s="186">
        <v>-1173.6500000000001</v>
      </c>
      <c r="BG218" s="186">
        <v>0</v>
      </c>
      <c r="BH218" s="186">
        <v>0</v>
      </c>
      <c r="BI218" s="186">
        <v>0</v>
      </c>
      <c r="BJ218" s="186">
        <v>0</v>
      </c>
      <c r="BK218" s="186">
        <v>0</v>
      </c>
      <c r="BL218" s="186">
        <v>0</v>
      </c>
      <c r="BM218" s="186">
        <v>0</v>
      </c>
      <c r="BN218" s="186">
        <v>0</v>
      </c>
      <c r="BO218" s="186">
        <v>0</v>
      </c>
      <c r="BP218" s="186">
        <v>-1106.4100000000001</v>
      </c>
      <c r="BQ218" s="186">
        <v>-2062.5500000000002</v>
      </c>
      <c r="BR218" s="186">
        <v>0</v>
      </c>
      <c r="BS218" s="186">
        <v>0</v>
      </c>
      <c r="BT218" s="186">
        <v>0</v>
      </c>
      <c r="BU218" s="186">
        <v>0</v>
      </c>
      <c r="BV218" s="186">
        <v>0</v>
      </c>
      <c r="BW218" s="186">
        <v>0</v>
      </c>
      <c r="BX218" s="186">
        <v>0</v>
      </c>
      <c r="BY218" s="186">
        <v>0</v>
      </c>
      <c r="BZ218" s="186">
        <v>0</v>
      </c>
      <c r="CA218" s="186">
        <v>0</v>
      </c>
      <c r="CB218" s="186">
        <v>0</v>
      </c>
      <c r="CC218" s="186">
        <v>0</v>
      </c>
      <c r="CD218" s="186">
        <v>0</v>
      </c>
      <c r="CE218" s="186">
        <v>0</v>
      </c>
      <c r="CF218" s="186">
        <v>0</v>
      </c>
      <c r="CG218" s="186">
        <v>0</v>
      </c>
      <c r="CH218" s="186">
        <v>0</v>
      </c>
      <c r="CI218" s="186">
        <v>0</v>
      </c>
      <c r="CJ218" s="186">
        <v>0</v>
      </c>
      <c r="CK218" s="186">
        <v>0</v>
      </c>
      <c r="CL218" s="186">
        <v>0</v>
      </c>
      <c r="CM218" s="186">
        <v>0</v>
      </c>
      <c r="CN218" s="186">
        <v>0</v>
      </c>
      <c r="CO218" s="186">
        <v>0</v>
      </c>
      <c r="CP218" s="186">
        <v>0</v>
      </c>
      <c r="CQ218" s="186">
        <v>0</v>
      </c>
      <c r="CR218" s="186">
        <v>0</v>
      </c>
      <c r="CS218" s="186">
        <v>0</v>
      </c>
      <c r="CT218" s="186">
        <v>0</v>
      </c>
      <c r="CU218" s="186">
        <v>0</v>
      </c>
      <c r="CV218" s="186">
        <v>0</v>
      </c>
    </row>
    <row r="219" spans="1:100">
      <c r="A219" s="541" t="str">
        <f>+B219</f>
        <v>2320014</v>
      </c>
      <c r="B219" s="541" t="s">
        <v>2305</v>
      </c>
      <c r="C219" s="463" t="s">
        <v>2292</v>
      </c>
      <c r="D219" s="397">
        <v>0</v>
      </c>
      <c r="E219" s="397">
        <v>0</v>
      </c>
      <c r="F219" s="397">
        <v>0</v>
      </c>
      <c r="G219" s="397">
        <v>0</v>
      </c>
      <c r="H219" s="397">
        <v>0</v>
      </c>
      <c r="I219" s="397">
        <v>0</v>
      </c>
      <c r="J219" s="397">
        <v>0</v>
      </c>
      <c r="K219" s="397">
        <v>0</v>
      </c>
      <c r="L219" s="397">
        <v>0</v>
      </c>
      <c r="M219" s="397">
        <v>0</v>
      </c>
      <c r="N219" s="397">
        <v>0</v>
      </c>
      <c r="O219" s="397">
        <v>0</v>
      </c>
      <c r="P219" s="398">
        <v>0</v>
      </c>
      <c r="Q219" s="186">
        <v>0</v>
      </c>
      <c r="R219" s="186">
        <v>0</v>
      </c>
      <c r="S219" s="186">
        <v>0</v>
      </c>
      <c r="T219" s="186">
        <v>0</v>
      </c>
      <c r="U219" s="186">
        <v>0</v>
      </c>
      <c r="V219" s="186">
        <v>0</v>
      </c>
      <c r="W219" s="186">
        <v>0</v>
      </c>
      <c r="X219" s="186">
        <v>0</v>
      </c>
      <c r="Y219" s="186">
        <v>0</v>
      </c>
      <c r="Z219" s="186">
        <v>0</v>
      </c>
      <c r="AA219" s="186">
        <v>0</v>
      </c>
      <c r="AB219" s="186">
        <v>0</v>
      </c>
      <c r="AC219" s="186">
        <v>0</v>
      </c>
      <c r="AD219" s="186">
        <v>0</v>
      </c>
      <c r="AE219" s="186">
        <v>0</v>
      </c>
      <c r="AF219" s="186">
        <v>0</v>
      </c>
      <c r="AG219" s="186">
        <v>0</v>
      </c>
      <c r="AH219" s="186">
        <v>0</v>
      </c>
      <c r="AI219" s="186">
        <v>0</v>
      </c>
      <c r="AJ219" s="186">
        <v>0</v>
      </c>
      <c r="AK219" s="186">
        <v>0</v>
      </c>
      <c r="AL219" s="186">
        <v>0</v>
      </c>
      <c r="AM219" s="186">
        <v>0</v>
      </c>
      <c r="AN219" s="186">
        <v>0</v>
      </c>
      <c r="AO219" s="186">
        <v>0</v>
      </c>
      <c r="AP219" s="186">
        <v>0</v>
      </c>
      <c r="AQ219" s="186">
        <v>0</v>
      </c>
      <c r="AR219" s="186">
        <v>0</v>
      </c>
      <c r="AS219" s="186">
        <v>0</v>
      </c>
      <c r="AT219" s="186">
        <v>0</v>
      </c>
      <c r="AU219" s="186">
        <v>0</v>
      </c>
      <c r="AV219" s="186">
        <v>0</v>
      </c>
      <c r="AW219" s="186">
        <v>0</v>
      </c>
      <c r="AX219" s="186">
        <v>0</v>
      </c>
      <c r="AY219" s="186">
        <v>0</v>
      </c>
      <c r="AZ219" s="186">
        <v>0</v>
      </c>
      <c r="BA219" s="186">
        <v>0</v>
      </c>
      <c r="BB219" s="186">
        <v>0</v>
      </c>
      <c r="BC219" s="186">
        <v>0</v>
      </c>
      <c r="BD219" s="186">
        <v>0</v>
      </c>
      <c r="BE219" s="186">
        <v>0</v>
      </c>
      <c r="BF219" s="186">
        <v>0</v>
      </c>
      <c r="BG219" s="186">
        <v>0</v>
      </c>
      <c r="BH219" s="186">
        <v>0</v>
      </c>
      <c r="BI219" s="186">
        <v>0</v>
      </c>
      <c r="BJ219" s="186">
        <v>0</v>
      </c>
      <c r="BK219" s="186">
        <v>0</v>
      </c>
      <c r="BL219" s="186">
        <v>0</v>
      </c>
      <c r="BM219" s="186">
        <v>0</v>
      </c>
      <c r="BN219" s="186">
        <v>0</v>
      </c>
      <c r="BO219" s="186">
        <v>0</v>
      </c>
      <c r="BP219" s="186">
        <v>0</v>
      </c>
      <c r="BQ219" s="186">
        <v>0</v>
      </c>
      <c r="BR219" s="186">
        <v>0</v>
      </c>
      <c r="BS219" s="186">
        <v>-63</v>
      </c>
      <c r="BT219" s="186">
        <v>0</v>
      </c>
      <c r="BU219" s="186">
        <v>0</v>
      </c>
      <c r="BV219" s="186">
        <v>0</v>
      </c>
      <c r="BW219" s="186">
        <v>-63</v>
      </c>
      <c r="BX219" s="186">
        <v>0</v>
      </c>
      <c r="BY219" s="186">
        <v>0</v>
      </c>
      <c r="BZ219" s="186">
        <v>0</v>
      </c>
      <c r="CA219" s="186">
        <v>0</v>
      </c>
      <c r="CB219" s="186">
        <v>0</v>
      </c>
      <c r="CC219" s="186">
        <v>-31.5</v>
      </c>
      <c r="CD219" s="186">
        <v>-31.5</v>
      </c>
      <c r="CE219" s="186">
        <v>-31.5</v>
      </c>
      <c r="CF219" s="186">
        <v>-31.5</v>
      </c>
      <c r="CG219" s="186">
        <v>-31.5</v>
      </c>
      <c r="CH219" s="186">
        <v>-31.5</v>
      </c>
      <c r="CI219" s="186">
        <v>-31.5</v>
      </c>
      <c r="CJ219" s="186">
        <v>-31.5</v>
      </c>
      <c r="CK219" s="186">
        <v>-31.5</v>
      </c>
      <c r="CL219" s="186">
        <v>-31.5</v>
      </c>
      <c r="CM219" s="186">
        <v>0</v>
      </c>
      <c r="CN219" s="186">
        <v>-31.5</v>
      </c>
      <c r="CO219" s="186">
        <v>-31.5</v>
      </c>
      <c r="CP219" s="186">
        <v>0</v>
      </c>
      <c r="CQ219" s="186">
        <v>-31.5</v>
      </c>
      <c r="CR219" s="186">
        <v>-31.5</v>
      </c>
      <c r="CS219" s="186">
        <v>-31.5</v>
      </c>
      <c r="CT219" s="186">
        <v>-31.5</v>
      </c>
      <c r="CU219" s="186">
        <v>0</v>
      </c>
      <c r="CV219" s="186">
        <v>-31.5</v>
      </c>
    </row>
    <row r="220" spans="1:100">
      <c r="A220" s="541" t="str">
        <f t="shared" si="3"/>
        <v>2320015</v>
      </c>
      <c r="B220" s="541" t="s">
        <v>918</v>
      </c>
      <c r="C220" s="463" t="s">
        <v>752</v>
      </c>
      <c r="D220" s="397">
        <v>28.58</v>
      </c>
      <c r="E220" s="397">
        <v>17.68</v>
      </c>
      <c r="F220" s="397">
        <v>6.77</v>
      </c>
      <c r="G220" s="397">
        <v>-6.35</v>
      </c>
      <c r="H220" s="397">
        <v>-3.31</v>
      </c>
      <c r="I220" s="397">
        <v>-14.24</v>
      </c>
      <c r="J220" s="397">
        <v>-19.670000000000002</v>
      </c>
      <c r="K220" s="397">
        <v>-24.64</v>
      </c>
      <c r="L220" s="397">
        <v>-43.3</v>
      </c>
      <c r="M220" s="397">
        <v>-59.88</v>
      </c>
      <c r="N220" s="397">
        <v>152.77000000000001</v>
      </c>
      <c r="O220" s="397">
        <v>16.96</v>
      </c>
      <c r="P220" s="398">
        <v>0</v>
      </c>
      <c r="Q220" s="186">
        <v>-20.010000000000002</v>
      </c>
      <c r="R220" s="186">
        <v>-56.53</v>
      </c>
      <c r="S220" s="186">
        <v>-93.06</v>
      </c>
      <c r="T220" s="186">
        <v>-135.6</v>
      </c>
      <c r="U220" s="186">
        <v>-197.95</v>
      </c>
      <c r="V220" s="186">
        <v>-237.24</v>
      </c>
      <c r="W220" s="186">
        <v>-259.58</v>
      </c>
      <c r="X220" s="186">
        <v>-375.56</v>
      </c>
      <c r="Y220" s="186">
        <v>-622.33000000000004</v>
      </c>
      <c r="Z220" s="186">
        <v>-14073.63</v>
      </c>
      <c r="AA220" s="186">
        <v>-760.3</v>
      </c>
      <c r="AB220" s="186">
        <v>-806.03</v>
      </c>
      <c r="AC220" s="186">
        <v>-849.81</v>
      </c>
      <c r="AD220" s="186">
        <v>-854.22</v>
      </c>
      <c r="AE220" s="186">
        <v>-915.33</v>
      </c>
      <c r="AF220" s="186">
        <v>-1007.9</v>
      </c>
      <c r="AG220" s="186">
        <v>-973.87</v>
      </c>
      <c r="AH220" s="186">
        <v>-1045.4100000000001</v>
      </c>
      <c r="AI220" s="186">
        <v>-1083.99</v>
      </c>
      <c r="AJ220" s="186">
        <v>-1122.57</v>
      </c>
      <c r="AK220" s="186">
        <v>-1155.25</v>
      </c>
      <c r="AL220" s="186">
        <v>-1216.6199999999999</v>
      </c>
      <c r="AM220" s="186">
        <v>-1339.04</v>
      </c>
      <c r="AN220" s="186">
        <v>-1377.59</v>
      </c>
      <c r="AO220" s="186">
        <v>-1417.8</v>
      </c>
      <c r="AP220" s="186">
        <v>-1462.9</v>
      </c>
      <c r="AQ220" s="186">
        <v>-1525.95</v>
      </c>
      <c r="AR220" s="186">
        <v>-1551.41</v>
      </c>
      <c r="AS220" s="186">
        <v>-1601.13</v>
      </c>
      <c r="AT220" s="186">
        <v>-1660.5</v>
      </c>
      <c r="AU220" s="186">
        <v>-1721.09</v>
      </c>
      <c r="AV220" s="186">
        <v>-1701.82</v>
      </c>
      <c r="AW220" s="186">
        <v>-1745.87</v>
      </c>
      <c r="AX220" s="186">
        <v>-1791.02</v>
      </c>
      <c r="AY220" s="186">
        <v>-1835.06</v>
      </c>
      <c r="AZ220" s="186">
        <v>-1874.06</v>
      </c>
      <c r="BA220" s="186">
        <v>-1935.24</v>
      </c>
      <c r="BB220" s="186">
        <v>-1997.66</v>
      </c>
      <c r="BC220" s="186">
        <v>-2115.19</v>
      </c>
      <c r="BD220" s="186">
        <v>-2132.1799999999998</v>
      </c>
      <c r="BE220" s="186">
        <v>-2180.4499999999998</v>
      </c>
      <c r="BF220" s="186">
        <v>-2095.5500000000002</v>
      </c>
      <c r="BG220" s="186">
        <v>-2227.87</v>
      </c>
      <c r="BH220" s="186">
        <v>-2350.52</v>
      </c>
      <c r="BI220" s="186">
        <v>-2478.9699999999998</v>
      </c>
      <c r="BJ220" s="186">
        <v>-2509.46</v>
      </c>
      <c r="BK220" s="186">
        <v>-2482.2399999999998</v>
      </c>
      <c r="BL220" s="186">
        <v>-65.25</v>
      </c>
      <c r="BM220" s="186">
        <v>-15357.31</v>
      </c>
      <c r="BN220" s="186">
        <v>-15424.89</v>
      </c>
      <c r="BO220" s="186">
        <v>-14891.34</v>
      </c>
      <c r="BP220" s="186">
        <v>-14943.49</v>
      </c>
      <c r="BQ220" s="186">
        <v>-14927.12</v>
      </c>
      <c r="BR220" s="186">
        <v>-14972.53</v>
      </c>
      <c r="BS220" s="186">
        <v>-14768.6</v>
      </c>
      <c r="BT220" s="186">
        <v>-14820.78</v>
      </c>
      <c r="BU220" s="186">
        <v>-14844.12</v>
      </c>
      <c r="BV220" s="186">
        <v>-29292.59</v>
      </c>
      <c r="BW220" s="186">
        <v>-14964.21</v>
      </c>
      <c r="BX220" s="186">
        <v>478.45</v>
      </c>
      <c r="BY220" s="186">
        <v>-14776.58</v>
      </c>
      <c r="BZ220" s="186">
        <v>329.9</v>
      </c>
      <c r="CA220" s="186">
        <v>0</v>
      </c>
      <c r="CB220" s="186">
        <v>-15426.59</v>
      </c>
      <c r="CC220" s="186">
        <v>-73</v>
      </c>
      <c r="CD220" s="186">
        <v>0</v>
      </c>
      <c r="CE220" s="186">
        <v>-69.16</v>
      </c>
      <c r="CF220" s="186">
        <v>-124.77</v>
      </c>
      <c r="CG220" s="186">
        <v>0</v>
      </c>
      <c r="CH220" s="186">
        <v>-40.46</v>
      </c>
      <c r="CI220" s="186">
        <v>-106.81</v>
      </c>
      <c r="CJ220" s="186">
        <v>0</v>
      </c>
      <c r="CK220" s="186">
        <v>-6.18</v>
      </c>
      <c r="CL220" s="186">
        <v>-41.48</v>
      </c>
      <c r="CM220" s="186">
        <v>0</v>
      </c>
      <c r="CN220" s="186">
        <v>26.68</v>
      </c>
      <c r="CO220" s="186">
        <v>51.16</v>
      </c>
      <c r="CP220" s="186">
        <v>71.23</v>
      </c>
      <c r="CQ220" s="186">
        <v>97.9</v>
      </c>
      <c r="CR220" s="186">
        <v>170.8</v>
      </c>
      <c r="CS220" s="186">
        <v>65.03</v>
      </c>
      <c r="CT220" s="186">
        <v>-14389.96</v>
      </c>
      <c r="CU220" s="186">
        <v>-14269.9</v>
      </c>
      <c r="CV220" s="186">
        <v>434.73</v>
      </c>
    </row>
    <row r="221" spans="1:100">
      <c r="A221" s="541" t="str">
        <f t="shared" si="3"/>
        <v>2320016</v>
      </c>
      <c r="B221" s="541" t="s">
        <v>1641</v>
      </c>
      <c r="C221" s="463" t="s">
        <v>753</v>
      </c>
      <c r="D221" s="397">
        <v>13.2</v>
      </c>
      <c r="E221" s="397">
        <v>26.4</v>
      </c>
      <c r="F221" s="397">
        <v>39.6</v>
      </c>
      <c r="G221" s="397">
        <v>39.6</v>
      </c>
      <c r="H221" s="397">
        <v>39.6</v>
      </c>
      <c r="I221" s="397">
        <v>-586</v>
      </c>
      <c r="J221" s="397">
        <v>39.6</v>
      </c>
      <c r="K221" s="397">
        <v>39.6</v>
      </c>
      <c r="L221" s="397">
        <v>39.6</v>
      </c>
      <c r="M221" s="397">
        <v>39.6</v>
      </c>
      <c r="N221" s="397">
        <v>39.6</v>
      </c>
      <c r="O221" s="397">
        <v>-586</v>
      </c>
      <c r="P221" s="398">
        <v>0</v>
      </c>
      <c r="Q221" s="186">
        <v>36.4</v>
      </c>
      <c r="R221" s="186">
        <v>112.4</v>
      </c>
      <c r="S221" s="186">
        <v>112.4</v>
      </c>
      <c r="T221" s="186">
        <v>112.4</v>
      </c>
      <c r="U221" s="186">
        <v>124.4</v>
      </c>
      <c r="V221" s="186">
        <v>136.4</v>
      </c>
      <c r="W221" s="186">
        <v>-385.4</v>
      </c>
      <c r="X221" s="186">
        <v>112.4</v>
      </c>
      <c r="Y221" s="186">
        <v>128</v>
      </c>
      <c r="Z221" s="186">
        <v>128</v>
      </c>
      <c r="AA221" s="186">
        <v>-409.4</v>
      </c>
      <c r="AB221" s="186">
        <v>96.8</v>
      </c>
      <c r="AC221" s="186">
        <v>-425</v>
      </c>
      <c r="AD221" s="186">
        <v>46.8</v>
      </c>
      <c r="AE221" s="186">
        <v>99.7</v>
      </c>
      <c r="AF221" s="186">
        <v>99.7</v>
      </c>
      <c r="AG221" s="186">
        <v>99.7</v>
      </c>
      <c r="AH221" s="186">
        <v>99.7</v>
      </c>
      <c r="AI221" s="186">
        <v>99.7</v>
      </c>
      <c r="AJ221" s="186">
        <v>142.69999999999999</v>
      </c>
      <c r="AK221" s="186">
        <v>185.7</v>
      </c>
      <c r="AL221" s="186">
        <v>-343.1</v>
      </c>
      <c r="AM221" s="186">
        <v>-413.3</v>
      </c>
      <c r="AN221" s="186">
        <v>-372.4</v>
      </c>
      <c r="AO221" s="186">
        <v>-372.4</v>
      </c>
      <c r="AP221" s="186">
        <v>-367.6</v>
      </c>
      <c r="AQ221" s="186">
        <v>-372.4</v>
      </c>
      <c r="AR221" s="186">
        <v>-351.1</v>
      </c>
      <c r="AS221" s="186">
        <v>-372.4</v>
      </c>
      <c r="AT221" s="186">
        <v>-372.4</v>
      </c>
      <c r="AU221" s="186">
        <v>-803.1</v>
      </c>
      <c r="AV221" s="186">
        <v>-772</v>
      </c>
      <c r="AW221" s="186">
        <v>-1202.7</v>
      </c>
      <c r="AX221" s="186">
        <v>-1218.4000000000001</v>
      </c>
      <c r="AY221" s="186">
        <v>-341.3</v>
      </c>
      <c r="AZ221" s="186">
        <v>-314.5</v>
      </c>
      <c r="BA221" s="186">
        <v>-283.2</v>
      </c>
      <c r="BB221" s="186">
        <v>-283.2</v>
      </c>
      <c r="BC221" s="186">
        <v>-283.2</v>
      </c>
      <c r="BD221" s="186">
        <v>-283.2</v>
      </c>
      <c r="BE221" s="186">
        <v>-283.2</v>
      </c>
      <c r="BF221" s="186">
        <v>-283.2</v>
      </c>
      <c r="BG221" s="186">
        <v>-309.14999999999998</v>
      </c>
      <c r="BH221" s="186">
        <v>-361.05</v>
      </c>
      <c r="BI221" s="186">
        <v>-331.45</v>
      </c>
      <c r="BJ221" s="186">
        <v>-331.45</v>
      </c>
      <c r="BK221" s="186">
        <v>-331.45</v>
      </c>
      <c r="BL221" s="186">
        <v>0</v>
      </c>
      <c r="BM221" s="186">
        <v>0</v>
      </c>
      <c r="BN221" s="186">
        <v>0</v>
      </c>
      <c r="BO221" s="186">
        <v>0</v>
      </c>
      <c r="BP221" s="186">
        <v>0</v>
      </c>
      <c r="BQ221" s="186">
        <v>0</v>
      </c>
      <c r="BR221" s="186">
        <v>-489.3</v>
      </c>
      <c r="BS221" s="186">
        <v>0</v>
      </c>
      <c r="BT221" s="186">
        <v>0</v>
      </c>
      <c r="BU221" s="186">
        <v>-64.7</v>
      </c>
      <c r="BV221" s="186">
        <v>-27.2</v>
      </c>
      <c r="BW221" s="186">
        <v>-27.2</v>
      </c>
      <c r="BX221" s="186">
        <v>0</v>
      </c>
      <c r="BY221" s="186">
        <v>0</v>
      </c>
      <c r="BZ221" s="186">
        <v>0</v>
      </c>
      <c r="CA221" s="186">
        <v>-647.5</v>
      </c>
      <c r="CB221" s="186">
        <v>-647.5</v>
      </c>
      <c r="CC221" s="186">
        <v>-591.6</v>
      </c>
      <c r="CD221" s="186">
        <v>-591.6</v>
      </c>
      <c r="CE221" s="186">
        <v>-591.6</v>
      </c>
      <c r="CF221" s="186">
        <v>-591.6</v>
      </c>
      <c r="CG221" s="186">
        <v>-591.6</v>
      </c>
      <c r="CH221" s="186">
        <v>-1291.9000000000001</v>
      </c>
      <c r="CI221" s="186">
        <v>-1275.7</v>
      </c>
      <c r="CJ221" s="186">
        <v>-606.5</v>
      </c>
      <c r="CK221" s="186">
        <v>-1290.5999999999999</v>
      </c>
      <c r="CL221" s="186">
        <v>-1238.4000000000001</v>
      </c>
      <c r="CM221" s="186">
        <v>-585.9</v>
      </c>
      <c r="CN221" s="186">
        <v>-1244.0999999999999</v>
      </c>
      <c r="CO221" s="186">
        <v>-1244.0999999999999</v>
      </c>
      <c r="CP221" s="186">
        <v>-1244.0999999999999</v>
      </c>
      <c r="CQ221" s="186">
        <v>-596.6</v>
      </c>
      <c r="CR221" s="186">
        <v>-1254.8</v>
      </c>
      <c r="CS221" s="186">
        <v>-1254.8</v>
      </c>
      <c r="CT221" s="186">
        <v>-1254.8</v>
      </c>
      <c r="CU221" s="186">
        <v>-1913</v>
      </c>
      <c r="CV221" s="186">
        <v>-1171.5</v>
      </c>
    </row>
    <row r="222" spans="1:100">
      <c r="A222" s="541" t="str">
        <f t="shared" si="3"/>
        <v>2320017</v>
      </c>
      <c r="B222" s="541" t="s">
        <v>1642</v>
      </c>
      <c r="C222" s="463" t="s">
        <v>754</v>
      </c>
      <c r="D222" s="397">
        <v>0</v>
      </c>
      <c r="E222" s="397">
        <v>-2053.34</v>
      </c>
      <c r="F222" s="397">
        <v>-3581.68</v>
      </c>
      <c r="G222" s="397">
        <v>0</v>
      </c>
      <c r="H222" s="397">
        <v>-1514.2</v>
      </c>
      <c r="I222" s="397">
        <v>-3030.9</v>
      </c>
      <c r="J222" s="397">
        <v>0</v>
      </c>
      <c r="K222" s="397">
        <v>-1493.7</v>
      </c>
      <c r="L222" s="397">
        <v>-2979.4</v>
      </c>
      <c r="M222" s="397">
        <v>0</v>
      </c>
      <c r="N222" s="397">
        <v>-1478.7</v>
      </c>
      <c r="O222" s="397">
        <v>-2946.99</v>
      </c>
      <c r="P222" s="398">
        <v>0</v>
      </c>
      <c r="Q222" s="186">
        <v>0</v>
      </c>
      <c r="R222" s="186">
        <v>0</v>
      </c>
      <c r="S222" s="186">
        <v>0</v>
      </c>
      <c r="T222" s="186">
        <v>0</v>
      </c>
      <c r="U222" s="186">
        <v>0</v>
      </c>
      <c r="V222" s="186">
        <v>0</v>
      </c>
      <c r="W222" s="186">
        <v>0</v>
      </c>
      <c r="X222" s="186">
        <v>0</v>
      </c>
      <c r="Y222" s="186">
        <v>0</v>
      </c>
      <c r="Z222" s="186">
        <v>0</v>
      </c>
      <c r="AA222" s="186">
        <v>0</v>
      </c>
      <c r="AB222" s="186">
        <v>0</v>
      </c>
      <c r="AC222" s="186">
        <v>0</v>
      </c>
      <c r="AD222" s="186">
        <v>0</v>
      </c>
      <c r="AE222" s="186">
        <v>0</v>
      </c>
      <c r="AF222" s="186">
        <v>0</v>
      </c>
      <c r="AG222" s="186">
        <v>0</v>
      </c>
      <c r="AH222" s="186">
        <v>0</v>
      </c>
      <c r="AI222" s="186">
        <v>0</v>
      </c>
      <c r="AJ222" s="186">
        <v>0</v>
      </c>
      <c r="AK222" s="186">
        <v>0</v>
      </c>
      <c r="AL222" s="186">
        <v>0</v>
      </c>
      <c r="AM222" s="186">
        <v>0</v>
      </c>
      <c r="AN222" s="186">
        <v>0</v>
      </c>
      <c r="AO222" s="186">
        <v>0</v>
      </c>
      <c r="AP222" s="186">
        <v>0</v>
      </c>
      <c r="AQ222" s="186">
        <v>0</v>
      </c>
      <c r="AR222" s="186">
        <v>0</v>
      </c>
      <c r="AS222" s="186">
        <v>0</v>
      </c>
      <c r="AT222" s="186">
        <v>0</v>
      </c>
      <c r="AU222" s="186">
        <v>0</v>
      </c>
      <c r="AV222" s="186">
        <v>0</v>
      </c>
      <c r="AW222" s="186">
        <v>0</v>
      </c>
      <c r="AX222" s="186">
        <v>0</v>
      </c>
      <c r="AY222" s="186">
        <v>0</v>
      </c>
      <c r="AZ222" s="186">
        <v>0</v>
      </c>
      <c r="BA222" s="186">
        <v>0</v>
      </c>
      <c r="BB222" s="186">
        <v>0</v>
      </c>
      <c r="BC222" s="186">
        <v>0</v>
      </c>
      <c r="BD222" s="186">
        <v>0</v>
      </c>
      <c r="BE222" s="186">
        <v>0</v>
      </c>
      <c r="BF222" s="186">
        <v>0</v>
      </c>
      <c r="BG222" s="186">
        <v>0</v>
      </c>
      <c r="BH222" s="186">
        <v>0</v>
      </c>
      <c r="BI222" s="186">
        <v>0</v>
      </c>
      <c r="BJ222" s="186">
        <v>0</v>
      </c>
      <c r="BK222" s="186">
        <v>0</v>
      </c>
      <c r="BL222" s="186">
        <v>0</v>
      </c>
      <c r="BM222" s="186">
        <v>0</v>
      </c>
      <c r="BN222" s="186">
        <v>0</v>
      </c>
      <c r="BO222" s="186">
        <v>0</v>
      </c>
      <c r="BP222" s="186">
        <v>0</v>
      </c>
      <c r="BQ222" s="186">
        <v>0</v>
      </c>
      <c r="BR222" s="186">
        <v>0</v>
      </c>
      <c r="BS222" s="186">
        <v>0</v>
      </c>
      <c r="BT222" s="186">
        <v>0</v>
      </c>
      <c r="BU222" s="186">
        <v>0</v>
      </c>
      <c r="BV222" s="186">
        <v>0</v>
      </c>
      <c r="BW222" s="186">
        <v>0</v>
      </c>
      <c r="BX222" s="186">
        <v>0</v>
      </c>
      <c r="BY222" s="186">
        <v>0</v>
      </c>
      <c r="BZ222" s="186">
        <v>0</v>
      </c>
      <c r="CA222" s="186">
        <v>0</v>
      </c>
      <c r="CB222" s="186">
        <v>0</v>
      </c>
      <c r="CC222" s="186">
        <v>0</v>
      </c>
      <c r="CD222" s="186">
        <v>0</v>
      </c>
      <c r="CE222" s="186">
        <v>0</v>
      </c>
      <c r="CF222" s="186">
        <v>0</v>
      </c>
      <c r="CG222" s="186">
        <v>0</v>
      </c>
      <c r="CH222" s="186">
        <v>0</v>
      </c>
      <c r="CI222" s="186">
        <v>0</v>
      </c>
      <c r="CJ222" s="186">
        <v>0</v>
      </c>
      <c r="CK222" s="186">
        <v>0</v>
      </c>
      <c r="CL222" s="186">
        <v>0</v>
      </c>
      <c r="CM222" s="186">
        <v>0</v>
      </c>
      <c r="CN222" s="186">
        <v>0</v>
      </c>
      <c r="CO222" s="186">
        <v>0</v>
      </c>
      <c r="CP222" s="186">
        <v>0</v>
      </c>
      <c r="CQ222" s="186">
        <v>0</v>
      </c>
      <c r="CR222" s="186">
        <v>0</v>
      </c>
      <c r="CS222" s="186">
        <v>0</v>
      </c>
      <c r="CT222" s="186">
        <v>0</v>
      </c>
      <c r="CU222" s="186">
        <v>0</v>
      </c>
      <c r="CV222" s="186">
        <v>0</v>
      </c>
    </row>
    <row r="223" spans="1:100">
      <c r="A223" s="541" t="str">
        <f t="shared" si="3"/>
        <v>2320018</v>
      </c>
      <c r="B223" s="541" t="s">
        <v>1643</v>
      </c>
      <c r="C223" s="463" t="s">
        <v>755</v>
      </c>
      <c r="D223" s="397">
        <v>0</v>
      </c>
      <c r="E223" s="397">
        <v>0</v>
      </c>
      <c r="F223" s="397">
        <v>0</v>
      </c>
      <c r="G223" s="397">
        <v>0</v>
      </c>
      <c r="H223" s="397">
        <v>0</v>
      </c>
      <c r="I223" s="397">
        <v>0</v>
      </c>
      <c r="J223" s="397">
        <v>0</v>
      </c>
      <c r="K223" s="397">
        <v>0</v>
      </c>
      <c r="L223" s="397">
        <v>0</v>
      </c>
      <c r="M223" s="397">
        <v>0</v>
      </c>
      <c r="N223" s="397">
        <v>0</v>
      </c>
      <c r="O223" s="397">
        <v>0</v>
      </c>
      <c r="P223" s="398">
        <v>0</v>
      </c>
      <c r="Q223" s="186">
        <v>0</v>
      </c>
      <c r="R223" s="186">
        <v>0</v>
      </c>
      <c r="S223" s="186">
        <v>0</v>
      </c>
      <c r="T223" s="186">
        <v>0</v>
      </c>
      <c r="U223" s="186">
        <v>-219.87</v>
      </c>
      <c r="V223" s="186">
        <v>0</v>
      </c>
      <c r="W223" s="186">
        <v>0</v>
      </c>
      <c r="X223" s="186">
        <v>0</v>
      </c>
      <c r="Y223" s="186">
        <v>0</v>
      </c>
      <c r="Z223" s="186">
        <v>0</v>
      </c>
      <c r="AA223" s="186">
        <v>0</v>
      </c>
      <c r="AB223" s="186">
        <v>0</v>
      </c>
      <c r="AC223" s="186">
        <v>0</v>
      </c>
      <c r="AD223" s="186">
        <v>0</v>
      </c>
      <c r="AE223" s="186">
        <v>0</v>
      </c>
      <c r="AF223" s="186">
        <v>0</v>
      </c>
      <c r="AG223" s="186">
        <v>0</v>
      </c>
      <c r="AH223" s="186">
        <v>0</v>
      </c>
      <c r="AI223" s="186">
        <v>0</v>
      </c>
      <c r="AJ223" s="186">
        <v>0</v>
      </c>
      <c r="AK223" s="186">
        <v>0</v>
      </c>
      <c r="AL223" s="186">
        <v>0</v>
      </c>
      <c r="AM223" s="186">
        <v>0</v>
      </c>
      <c r="AN223" s="186">
        <v>0</v>
      </c>
      <c r="AO223" s="186">
        <v>0</v>
      </c>
      <c r="AP223" s="186">
        <v>0</v>
      </c>
      <c r="AQ223" s="186">
        <v>0</v>
      </c>
      <c r="AR223" s="186">
        <v>0</v>
      </c>
      <c r="AS223" s="186">
        <v>0</v>
      </c>
      <c r="AT223" s="186">
        <v>0</v>
      </c>
      <c r="AU223" s="186">
        <v>0</v>
      </c>
      <c r="AV223" s="186">
        <v>0</v>
      </c>
      <c r="AW223" s="186">
        <v>0</v>
      </c>
      <c r="AX223" s="186">
        <v>0</v>
      </c>
      <c r="AY223" s="186">
        <v>0</v>
      </c>
      <c r="AZ223" s="186">
        <v>0</v>
      </c>
      <c r="BA223" s="186">
        <v>0</v>
      </c>
      <c r="BB223" s="186">
        <v>0</v>
      </c>
      <c r="BC223" s="186">
        <v>0</v>
      </c>
      <c r="BD223" s="186">
        <v>0</v>
      </c>
      <c r="BE223" s="186">
        <v>0</v>
      </c>
      <c r="BF223" s="186">
        <v>0</v>
      </c>
      <c r="BG223" s="186">
        <v>0</v>
      </c>
      <c r="BH223" s="186">
        <v>0</v>
      </c>
      <c r="BI223" s="186">
        <v>0</v>
      </c>
      <c r="BJ223" s="186">
        <v>0</v>
      </c>
      <c r="BK223" s="186">
        <v>0</v>
      </c>
      <c r="BL223" s="186">
        <v>0</v>
      </c>
      <c r="BM223" s="186">
        <v>0</v>
      </c>
      <c r="BN223" s="186">
        <v>0</v>
      </c>
      <c r="BO223" s="186">
        <v>0</v>
      </c>
      <c r="BP223" s="186">
        <v>0</v>
      </c>
      <c r="BQ223" s="186">
        <v>0</v>
      </c>
      <c r="BR223" s="186">
        <v>0</v>
      </c>
      <c r="BS223" s="186">
        <v>0</v>
      </c>
      <c r="BT223" s="186">
        <v>0</v>
      </c>
      <c r="BU223" s="186">
        <v>0</v>
      </c>
      <c r="BV223" s="186">
        <v>0</v>
      </c>
      <c r="BW223" s="186">
        <v>0</v>
      </c>
      <c r="BX223" s="186">
        <v>0</v>
      </c>
      <c r="BY223" s="186">
        <v>0</v>
      </c>
      <c r="BZ223" s="186">
        <v>-723.76</v>
      </c>
      <c r="CA223" s="186">
        <v>0</v>
      </c>
      <c r="CB223" s="186">
        <v>0</v>
      </c>
      <c r="CC223" s="186">
        <v>0</v>
      </c>
      <c r="CD223" s="186">
        <v>0</v>
      </c>
      <c r="CE223" s="186">
        <v>0</v>
      </c>
      <c r="CF223" s="186">
        <v>0</v>
      </c>
      <c r="CG223" s="186">
        <v>0</v>
      </c>
      <c r="CH223" s="186">
        <v>0</v>
      </c>
      <c r="CI223" s="186">
        <v>0</v>
      </c>
      <c r="CJ223" s="186">
        <v>0</v>
      </c>
      <c r="CK223" s="186">
        <v>-355.28</v>
      </c>
      <c r="CL223" s="186">
        <v>0</v>
      </c>
      <c r="CM223" s="186">
        <v>0</v>
      </c>
      <c r="CN223" s="186">
        <v>0</v>
      </c>
      <c r="CO223" s="186">
        <v>0</v>
      </c>
      <c r="CP223" s="186">
        <v>0</v>
      </c>
      <c r="CQ223" s="186">
        <v>0</v>
      </c>
      <c r="CR223" s="186">
        <v>0</v>
      </c>
      <c r="CS223" s="186">
        <v>0</v>
      </c>
      <c r="CT223" s="186">
        <v>0</v>
      </c>
      <c r="CU223" s="186">
        <v>0</v>
      </c>
      <c r="CV223" s="186">
        <v>0</v>
      </c>
    </row>
    <row r="224" spans="1:100">
      <c r="A224" s="541" t="str">
        <f t="shared" si="3"/>
        <v>2320019</v>
      </c>
      <c r="B224" s="541" t="s">
        <v>1644</v>
      </c>
      <c r="C224" s="463" t="s">
        <v>756</v>
      </c>
      <c r="D224" s="397">
        <v>0</v>
      </c>
      <c r="E224" s="397">
        <v>0</v>
      </c>
      <c r="F224" s="397">
        <v>0</v>
      </c>
      <c r="G224" s="397">
        <v>0</v>
      </c>
      <c r="H224" s="397">
        <v>0</v>
      </c>
      <c r="I224" s="397">
        <v>0</v>
      </c>
      <c r="J224" s="397">
        <v>0</v>
      </c>
      <c r="K224" s="397">
        <v>0</v>
      </c>
      <c r="L224" s="397">
        <v>0</v>
      </c>
      <c r="M224" s="397">
        <v>0</v>
      </c>
      <c r="N224" s="397">
        <v>0</v>
      </c>
      <c r="O224" s="397">
        <v>0</v>
      </c>
      <c r="P224" s="398">
        <v>0</v>
      </c>
      <c r="Q224" s="186">
        <v>0</v>
      </c>
      <c r="R224" s="186">
        <v>0</v>
      </c>
      <c r="S224" s="186">
        <v>0</v>
      </c>
      <c r="T224" s="186">
        <v>0</v>
      </c>
      <c r="U224" s="186">
        <v>0</v>
      </c>
      <c r="V224" s="186">
        <v>0</v>
      </c>
      <c r="W224" s="186">
        <v>0</v>
      </c>
      <c r="X224" s="186">
        <v>0</v>
      </c>
      <c r="Y224" s="186">
        <v>0</v>
      </c>
      <c r="Z224" s="186">
        <v>0</v>
      </c>
      <c r="AA224" s="186">
        <v>0</v>
      </c>
      <c r="AB224" s="186">
        <v>0</v>
      </c>
      <c r="AC224" s="186">
        <v>0</v>
      </c>
      <c r="AD224" s="186">
        <v>0</v>
      </c>
      <c r="AE224" s="186">
        <v>0</v>
      </c>
      <c r="AF224" s="186">
        <v>0</v>
      </c>
      <c r="AG224" s="186">
        <v>0</v>
      </c>
      <c r="AH224" s="186">
        <v>0</v>
      </c>
      <c r="AI224" s="186">
        <v>0</v>
      </c>
      <c r="AJ224" s="186">
        <v>0</v>
      </c>
      <c r="AK224" s="186">
        <v>0</v>
      </c>
      <c r="AL224" s="186">
        <v>0</v>
      </c>
      <c r="AM224" s="186">
        <v>0</v>
      </c>
      <c r="AN224" s="186">
        <v>0</v>
      </c>
      <c r="AO224" s="186">
        <v>0</v>
      </c>
      <c r="AP224" s="186">
        <v>0</v>
      </c>
      <c r="AQ224" s="186">
        <v>0</v>
      </c>
      <c r="AR224" s="186">
        <v>0</v>
      </c>
      <c r="AS224" s="186">
        <v>0</v>
      </c>
      <c r="AT224" s="186">
        <v>0</v>
      </c>
      <c r="AU224" s="186">
        <v>0</v>
      </c>
      <c r="AV224" s="186">
        <v>0</v>
      </c>
      <c r="AW224" s="186">
        <v>0</v>
      </c>
      <c r="AX224" s="186">
        <v>0</v>
      </c>
      <c r="AY224" s="186">
        <v>0</v>
      </c>
      <c r="AZ224" s="186">
        <v>0</v>
      </c>
      <c r="BA224" s="186">
        <v>0</v>
      </c>
      <c r="BB224" s="186">
        <v>0</v>
      </c>
      <c r="BC224" s="186">
        <v>0</v>
      </c>
      <c r="BD224" s="186">
        <v>0</v>
      </c>
      <c r="BE224" s="186">
        <v>0</v>
      </c>
      <c r="BF224" s="186">
        <v>0</v>
      </c>
      <c r="BG224" s="186">
        <v>0</v>
      </c>
      <c r="BH224" s="186">
        <v>0</v>
      </c>
      <c r="BI224" s="186">
        <v>0</v>
      </c>
      <c r="BJ224" s="186">
        <v>0</v>
      </c>
      <c r="BK224" s="186">
        <v>0</v>
      </c>
      <c r="BL224" s="186">
        <v>0</v>
      </c>
      <c r="BM224" s="186">
        <v>0</v>
      </c>
      <c r="BN224" s="186">
        <v>0</v>
      </c>
      <c r="BO224" s="186">
        <v>0</v>
      </c>
      <c r="BP224" s="186">
        <v>0</v>
      </c>
      <c r="BQ224" s="186">
        <v>0</v>
      </c>
      <c r="BR224" s="186">
        <v>0</v>
      </c>
      <c r="BS224" s="186">
        <v>0</v>
      </c>
      <c r="BT224" s="186">
        <v>0</v>
      </c>
      <c r="BU224" s="186">
        <v>0</v>
      </c>
      <c r="BV224" s="186">
        <v>0</v>
      </c>
      <c r="BW224" s="186">
        <v>0</v>
      </c>
      <c r="BX224" s="186">
        <v>0</v>
      </c>
      <c r="BY224" s="186">
        <v>-5</v>
      </c>
      <c r="BZ224" s="186">
        <v>0</v>
      </c>
      <c r="CA224" s="186">
        <v>0</v>
      </c>
      <c r="CB224" s="186">
        <v>0</v>
      </c>
      <c r="CC224" s="186">
        <v>0</v>
      </c>
      <c r="CD224" s="186">
        <v>0</v>
      </c>
      <c r="CE224" s="186">
        <v>0</v>
      </c>
      <c r="CF224" s="186">
        <v>0</v>
      </c>
      <c r="CG224" s="186">
        <v>0</v>
      </c>
      <c r="CH224" s="186">
        <v>0</v>
      </c>
      <c r="CI224" s="186">
        <v>0</v>
      </c>
      <c r="CJ224" s="186">
        <v>0</v>
      </c>
      <c r="CK224" s="186">
        <v>0</v>
      </c>
      <c r="CL224" s="186">
        <v>0</v>
      </c>
      <c r="CM224" s="186">
        <v>0</v>
      </c>
      <c r="CN224" s="186">
        <v>0</v>
      </c>
      <c r="CO224" s="186">
        <v>0</v>
      </c>
      <c r="CP224" s="186">
        <v>0</v>
      </c>
      <c r="CQ224" s="186">
        <v>0</v>
      </c>
      <c r="CR224" s="186">
        <v>0</v>
      </c>
      <c r="CS224" s="186">
        <v>0</v>
      </c>
      <c r="CT224" s="186">
        <v>0</v>
      </c>
      <c r="CU224" s="186">
        <v>0</v>
      </c>
      <c r="CV224" s="186">
        <v>0</v>
      </c>
    </row>
    <row r="225" spans="1:100">
      <c r="A225" s="541" t="str">
        <f t="shared" si="3"/>
        <v>2320020</v>
      </c>
      <c r="B225" s="541" t="s">
        <v>919</v>
      </c>
      <c r="C225" s="463" t="s">
        <v>757</v>
      </c>
      <c r="D225" s="397">
        <v>376.08</v>
      </c>
      <c r="E225" s="397">
        <v>376.08</v>
      </c>
      <c r="F225" s="397">
        <v>376.08</v>
      </c>
      <c r="G225" s="397">
        <v>376.08</v>
      </c>
      <c r="H225" s="397">
        <v>9199.58</v>
      </c>
      <c r="I225" s="397">
        <v>376.08</v>
      </c>
      <c r="J225" s="397">
        <v>376.08</v>
      </c>
      <c r="K225" s="397">
        <v>376.08</v>
      </c>
      <c r="L225" s="397">
        <v>409.41</v>
      </c>
      <c r="M225" s="397">
        <v>376.08</v>
      </c>
      <c r="N225" s="397">
        <v>376.08</v>
      </c>
      <c r="O225" s="397">
        <v>376.08</v>
      </c>
      <c r="P225" s="398">
        <v>376.08</v>
      </c>
      <c r="Q225" s="186">
        <v>376.08</v>
      </c>
      <c r="R225" s="186">
        <v>376.08</v>
      </c>
      <c r="S225" s="186">
        <v>376.08</v>
      </c>
      <c r="T225" s="186">
        <v>376.08</v>
      </c>
      <c r="U225" s="186">
        <v>376.08</v>
      </c>
      <c r="V225" s="186">
        <v>376.08</v>
      </c>
      <c r="W225" s="186">
        <v>376.08</v>
      </c>
      <c r="X225" s="186">
        <v>376.08</v>
      </c>
      <c r="Y225" s="186">
        <v>9368.15</v>
      </c>
      <c r="Z225" s="186">
        <v>376.08</v>
      </c>
      <c r="AA225" s="186">
        <v>376.08</v>
      </c>
      <c r="AB225" s="186">
        <v>376.08</v>
      </c>
      <c r="AC225" s="186">
        <v>376.08</v>
      </c>
      <c r="AD225" s="186">
        <v>376.08</v>
      </c>
      <c r="AE225" s="186">
        <v>376.08</v>
      </c>
      <c r="AF225" s="186">
        <v>376.08</v>
      </c>
      <c r="AG225" s="186">
        <v>376.08</v>
      </c>
      <c r="AH225" s="186">
        <v>376.08</v>
      </c>
      <c r="AI225" s="186">
        <v>376.08</v>
      </c>
      <c r="AJ225" s="186">
        <v>9786.98</v>
      </c>
      <c r="AK225" s="186">
        <v>376.08</v>
      </c>
      <c r="AL225" s="186">
        <v>376.08</v>
      </c>
      <c r="AM225" s="186">
        <v>376.08</v>
      </c>
      <c r="AN225" s="186">
        <v>376.08</v>
      </c>
      <c r="AO225" s="186">
        <v>376.08</v>
      </c>
      <c r="AP225" s="186">
        <v>376.08</v>
      </c>
      <c r="AQ225" s="186">
        <v>376.08</v>
      </c>
      <c r="AR225" s="186">
        <v>376.08</v>
      </c>
      <c r="AS225" s="186">
        <v>376.08</v>
      </c>
      <c r="AT225" s="186">
        <v>376.08</v>
      </c>
      <c r="AU225" s="186">
        <v>376.08</v>
      </c>
      <c r="AV225" s="186">
        <v>376.08</v>
      </c>
      <c r="AW225" s="186">
        <v>376.08</v>
      </c>
      <c r="AX225" s="186">
        <v>376.08</v>
      </c>
      <c r="AY225" s="186">
        <v>376.08</v>
      </c>
      <c r="AZ225" s="186">
        <v>376.08</v>
      </c>
      <c r="BA225" s="186">
        <v>11021.73</v>
      </c>
      <c r="BB225" s="186">
        <v>10901.74</v>
      </c>
      <c r="BC225" s="186">
        <v>326.08</v>
      </c>
      <c r="BD225" s="186">
        <v>326.08</v>
      </c>
      <c r="BE225" s="186">
        <v>326.08</v>
      </c>
      <c r="BF225" s="186">
        <v>326.08</v>
      </c>
      <c r="BG225" s="186">
        <v>326.08</v>
      </c>
      <c r="BH225" s="186">
        <v>-50</v>
      </c>
      <c r="BI225" s="186">
        <v>-50</v>
      </c>
      <c r="BJ225" s="186">
        <v>-50</v>
      </c>
      <c r="BK225" s="186">
        <v>-50</v>
      </c>
      <c r="BL225" s="186">
        <v>0</v>
      </c>
      <c r="BM225" s="186">
        <v>0</v>
      </c>
      <c r="BN225" s="186">
        <v>11768</v>
      </c>
      <c r="BO225" s="186">
        <v>0</v>
      </c>
      <c r="BP225" s="186">
        <v>23681.46</v>
      </c>
      <c r="BQ225" s="186">
        <v>0</v>
      </c>
      <c r="BR225" s="186">
        <v>9.4</v>
      </c>
      <c r="BS225" s="186">
        <v>-188.52</v>
      </c>
      <c r="BT225" s="186">
        <v>-971.85</v>
      </c>
      <c r="BU225" s="186">
        <v>102.5</v>
      </c>
      <c r="BV225" s="186">
        <v>-13231.9</v>
      </c>
      <c r="BW225" s="186">
        <v>185.83</v>
      </c>
      <c r="BX225" s="186">
        <v>185.83</v>
      </c>
      <c r="BY225" s="186">
        <v>-13901.1</v>
      </c>
      <c r="BZ225" s="186">
        <v>-27991.29</v>
      </c>
      <c r="CA225" s="186">
        <v>-13920.99</v>
      </c>
      <c r="CB225" s="186">
        <v>-13920.99</v>
      </c>
      <c r="CC225" s="186">
        <v>-13920.99</v>
      </c>
      <c r="CD225" s="186">
        <v>-27940.76</v>
      </c>
      <c r="CE225" s="186">
        <v>-14087.65</v>
      </c>
      <c r="CF225" s="186">
        <v>-28477.99</v>
      </c>
      <c r="CG225" s="186">
        <v>-57431.99</v>
      </c>
      <c r="CH225" s="186">
        <v>-28525.07</v>
      </c>
      <c r="CI225" s="186">
        <v>-13945.99</v>
      </c>
      <c r="CJ225" s="186">
        <v>-13945.99</v>
      </c>
      <c r="CK225" s="186">
        <v>-28709.17</v>
      </c>
      <c r="CL225" s="186">
        <v>-13945.99</v>
      </c>
      <c r="CM225" s="186">
        <v>-15156.01</v>
      </c>
      <c r="CN225" s="186">
        <v>-29758.3</v>
      </c>
      <c r="CO225" s="186">
        <v>-15073.68</v>
      </c>
      <c r="CP225" s="186">
        <v>-15073.68</v>
      </c>
      <c r="CQ225" s="186">
        <v>-15073.68</v>
      </c>
      <c r="CR225" s="186">
        <v>-15207.01</v>
      </c>
      <c r="CS225" s="186">
        <v>-16384.099999999999</v>
      </c>
      <c r="CT225" s="186">
        <v>-32957.18</v>
      </c>
      <c r="CU225" s="186">
        <v>-64770</v>
      </c>
      <c r="CV225" s="186">
        <v>-15384.1</v>
      </c>
    </row>
    <row r="226" spans="1:100">
      <c r="A226" s="541" t="str">
        <f t="shared" si="3"/>
        <v>2320021</v>
      </c>
      <c r="B226" s="541" t="s">
        <v>1645</v>
      </c>
      <c r="C226" s="463" t="s">
        <v>758</v>
      </c>
      <c r="D226" s="397">
        <v>0</v>
      </c>
      <c r="E226" s="397">
        <v>500</v>
      </c>
      <c r="F226" s="397">
        <v>-0.09</v>
      </c>
      <c r="G226" s="397">
        <v>-0.09</v>
      </c>
      <c r="H226" s="397">
        <v>4341.0600000000004</v>
      </c>
      <c r="I226" s="397">
        <v>-0.09</v>
      </c>
      <c r="J226" s="397">
        <v>-0.09</v>
      </c>
      <c r="K226" s="397">
        <v>-0.09</v>
      </c>
      <c r="L226" s="397">
        <v>33.24</v>
      </c>
      <c r="M226" s="397">
        <v>-0.09</v>
      </c>
      <c r="N226" s="397">
        <v>-0.09</v>
      </c>
      <c r="O226" s="397">
        <v>-0.09</v>
      </c>
      <c r="P226" s="398">
        <v>-0.09</v>
      </c>
      <c r="Q226" s="186">
        <v>-0.09</v>
      </c>
      <c r="R226" s="186">
        <v>-0.09</v>
      </c>
      <c r="S226" s="186">
        <v>-0.09</v>
      </c>
      <c r="T226" s="186">
        <v>-0.09</v>
      </c>
      <c r="U226" s="186">
        <v>-0.09</v>
      </c>
      <c r="V226" s="186">
        <v>-0.09</v>
      </c>
      <c r="W226" s="186">
        <v>-0.09</v>
      </c>
      <c r="X226" s="186">
        <v>-0.09</v>
      </c>
      <c r="Y226" s="186">
        <v>4170.3100000000004</v>
      </c>
      <c r="Z226" s="186">
        <v>-0.09</v>
      </c>
      <c r="AA226" s="186">
        <v>-0.09</v>
      </c>
      <c r="AB226" s="186">
        <v>-0.09</v>
      </c>
      <c r="AC226" s="186">
        <v>-0.09</v>
      </c>
      <c r="AD226" s="186">
        <v>-0.09</v>
      </c>
      <c r="AE226" s="186">
        <v>-0.09</v>
      </c>
      <c r="AF226" s="186">
        <v>-0.09</v>
      </c>
      <c r="AG226" s="186">
        <v>-0.09</v>
      </c>
      <c r="AH226" s="186">
        <v>-0.09</v>
      </c>
      <c r="AI226" s="186">
        <v>-0.09</v>
      </c>
      <c r="AJ226" s="186">
        <v>5596.44</v>
      </c>
      <c r="AK226" s="186">
        <v>-0.09</v>
      </c>
      <c r="AL226" s="186">
        <v>-0.09</v>
      </c>
      <c r="AM226" s="186">
        <v>-0.09</v>
      </c>
      <c r="AN226" s="186">
        <v>-0.09</v>
      </c>
      <c r="AO226" s="186">
        <v>1199.9100000000001</v>
      </c>
      <c r="AP226" s="186">
        <v>1199.9100000000001</v>
      </c>
      <c r="AQ226" s="186">
        <v>1199.9100000000001</v>
      </c>
      <c r="AR226" s="186">
        <v>1199.9100000000001</v>
      </c>
      <c r="AS226" s="186">
        <v>-0.09</v>
      </c>
      <c r="AT226" s="186">
        <v>-0.09</v>
      </c>
      <c r="AU226" s="186">
        <v>-0.09</v>
      </c>
      <c r="AV226" s="186">
        <v>-0.09</v>
      </c>
      <c r="AW226" s="186">
        <v>-0.09</v>
      </c>
      <c r="AX226" s="186">
        <v>-0.09</v>
      </c>
      <c r="AY226" s="186">
        <v>-0.09</v>
      </c>
      <c r="AZ226" s="186">
        <v>-0.09</v>
      </c>
      <c r="BA226" s="186">
        <v>4262.09</v>
      </c>
      <c r="BB226" s="186">
        <v>4487.92</v>
      </c>
      <c r="BC226" s="186">
        <v>-33.43</v>
      </c>
      <c r="BD226" s="186">
        <v>-33.43</v>
      </c>
      <c r="BE226" s="186">
        <v>-33.43</v>
      </c>
      <c r="BF226" s="186">
        <v>-33.43</v>
      </c>
      <c r="BG226" s="186">
        <v>-33.43</v>
      </c>
      <c r="BH226" s="186">
        <v>0</v>
      </c>
      <c r="BI226" s="186">
        <v>0</v>
      </c>
      <c r="BJ226" s="186">
        <v>0</v>
      </c>
      <c r="BK226" s="186">
        <v>0</v>
      </c>
      <c r="BL226" s="186">
        <v>33.340000000000003</v>
      </c>
      <c r="BM226" s="186">
        <v>33.340000000000003</v>
      </c>
      <c r="BN226" s="186">
        <v>474.27</v>
      </c>
      <c r="BO226" s="186">
        <v>-4566.66</v>
      </c>
      <c r="BP226" s="186">
        <v>5748.53</v>
      </c>
      <c r="BQ226" s="186">
        <v>-4566.66</v>
      </c>
      <c r="BR226" s="186">
        <v>-2871.66</v>
      </c>
      <c r="BS226" s="186">
        <v>5407.51</v>
      </c>
      <c r="BT226" s="186">
        <v>5109.6000000000004</v>
      </c>
      <c r="BU226" s="186">
        <v>-7865.4</v>
      </c>
      <c r="BV226" s="186">
        <v>-12444.75</v>
      </c>
      <c r="BW226" s="186">
        <v>-7852.9</v>
      </c>
      <c r="BX226" s="186">
        <v>-7927.9</v>
      </c>
      <c r="BY226" s="186">
        <v>-14563.92</v>
      </c>
      <c r="BZ226" s="186">
        <v>-19231.29</v>
      </c>
      <c r="CA226" s="186">
        <v>-14526.42</v>
      </c>
      <c r="CB226" s="186">
        <v>-13626.42</v>
      </c>
      <c r="CC226" s="186">
        <v>-13626.42</v>
      </c>
      <c r="CD226" s="186">
        <v>-19018.41</v>
      </c>
      <c r="CE226" s="186">
        <v>-13751.42</v>
      </c>
      <c r="CF226" s="186">
        <v>-18726.740000000002</v>
      </c>
      <c r="CG226" s="186">
        <v>-28982.39</v>
      </c>
      <c r="CH226" s="186">
        <v>-18764.240000000002</v>
      </c>
      <c r="CI226" s="186">
        <v>-13251.42</v>
      </c>
      <c r="CJ226" s="186">
        <v>-13251.42</v>
      </c>
      <c r="CK226" s="186">
        <v>-19786.240000000002</v>
      </c>
      <c r="CL226" s="186">
        <v>-14084.76</v>
      </c>
      <c r="CM226" s="186">
        <v>-15113.93</v>
      </c>
      <c r="CN226" s="186">
        <v>-19924.57</v>
      </c>
      <c r="CO226" s="186">
        <v>-15022.27</v>
      </c>
      <c r="CP226" s="186">
        <v>-15288.93</v>
      </c>
      <c r="CQ226" s="186">
        <v>-15288.93</v>
      </c>
      <c r="CR226" s="186">
        <v>-15347.27</v>
      </c>
      <c r="CS226" s="186">
        <v>-15699.34</v>
      </c>
      <c r="CT226" s="186">
        <v>-20662.240000000002</v>
      </c>
      <c r="CU226" s="186">
        <v>-30571.38</v>
      </c>
      <c r="CV226" s="186">
        <v>-14936.85</v>
      </c>
    </row>
    <row r="227" spans="1:100">
      <c r="A227" s="541" t="str">
        <f t="shared" si="3"/>
        <v>2320022</v>
      </c>
      <c r="B227" s="541" t="s">
        <v>913</v>
      </c>
      <c r="C227" s="463" t="s">
        <v>759</v>
      </c>
      <c r="D227" s="397">
        <v>-550000</v>
      </c>
      <c r="E227" s="397">
        <v>-584104.32999999996</v>
      </c>
      <c r="F227" s="397">
        <v>-499999.93</v>
      </c>
      <c r="G227" s="397">
        <v>-500000.02</v>
      </c>
      <c r="H227" s="397">
        <v>-499999.59</v>
      </c>
      <c r="I227" s="397">
        <v>-500000.1</v>
      </c>
      <c r="J227" s="397">
        <v>-499999.73</v>
      </c>
      <c r="K227" s="397">
        <v>-499999.7</v>
      </c>
      <c r="L227" s="397">
        <v>-480000.17</v>
      </c>
      <c r="M227" s="397">
        <v>-499999.59</v>
      </c>
      <c r="N227" s="397">
        <v>-499999.66</v>
      </c>
      <c r="O227" s="397">
        <v>-500000.39</v>
      </c>
      <c r="P227" s="398">
        <v>-699999.83</v>
      </c>
      <c r="Q227" s="186">
        <v>-600000.39</v>
      </c>
      <c r="R227" s="186">
        <v>-599999.97</v>
      </c>
      <c r="S227" s="186">
        <v>-599999.66</v>
      </c>
      <c r="T227" s="186">
        <v>-599999.57999999996</v>
      </c>
      <c r="U227" s="186">
        <v>-599999.96</v>
      </c>
      <c r="V227" s="186">
        <v>-599999.6</v>
      </c>
      <c r="W227" s="186">
        <v>-599999.5</v>
      </c>
      <c r="X227" s="186">
        <v>-599999.67000000004</v>
      </c>
      <c r="Y227" s="186">
        <v>-599999.51</v>
      </c>
      <c r="Z227" s="186">
        <v>-613214.12</v>
      </c>
      <c r="AA227" s="186">
        <v>-600000.01</v>
      </c>
      <c r="AB227" s="186">
        <v>-749999.86</v>
      </c>
      <c r="AC227" s="186">
        <v>-699999.91</v>
      </c>
      <c r="AD227" s="186">
        <v>-700000.19</v>
      </c>
      <c r="AE227" s="186">
        <v>-700000.11</v>
      </c>
      <c r="AF227" s="186">
        <v>-699999.88</v>
      </c>
      <c r="AG227" s="186">
        <v>-699999.65</v>
      </c>
      <c r="AH227" s="186">
        <v>-699999.84</v>
      </c>
      <c r="AI227" s="186">
        <v>-699999.67</v>
      </c>
      <c r="AJ227" s="186">
        <v>-700000.41</v>
      </c>
      <c r="AK227" s="186">
        <v>-699999.92</v>
      </c>
      <c r="AL227" s="186">
        <v>-699999.83</v>
      </c>
      <c r="AM227" s="186">
        <v>-699999.52</v>
      </c>
      <c r="AN227" s="186">
        <v>-800000.34</v>
      </c>
      <c r="AO227" s="186">
        <v>-700000.43</v>
      </c>
      <c r="AP227" s="186">
        <v>-799999.61</v>
      </c>
      <c r="AQ227" s="186">
        <v>-700000.08</v>
      </c>
      <c r="AR227" s="186">
        <v>-800000.15</v>
      </c>
      <c r="AS227" s="186">
        <v>-799999.66</v>
      </c>
      <c r="AT227" s="186">
        <v>-700673.37</v>
      </c>
      <c r="AU227" s="186">
        <v>-700000.2</v>
      </c>
      <c r="AV227" s="186">
        <v>-700000.44</v>
      </c>
      <c r="AW227" s="186">
        <v>-700000.3</v>
      </c>
      <c r="AX227" s="186">
        <v>-699999.58</v>
      </c>
      <c r="AY227" s="186">
        <v>-700000.31</v>
      </c>
      <c r="AZ227" s="186">
        <v>-600000.31000000006</v>
      </c>
      <c r="BA227" s="186">
        <v>-500000.49</v>
      </c>
      <c r="BB227" s="186">
        <v>-500000.35</v>
      </c>
      <c r="BC227" s="186">
        <v>-500000.29</v>
      </c>
      <c r="BD227" s="186">
        <v>-500000.25</v>
      </c>
      <c r="BE227" s="186">
        <v>-499999.86</v>
      </c>
      <c r="BF227" s="186">
        <v>-500000.08</v>
      </c>
      <c r="BG227" s="186">
        <v>-500000.07</v>
      </c>
      <c r="BH227" s="186">
        <v>-500000.44</v>
      </c>
      <c r="BI227" s="186">
        <v>-500000.46</v>
      </c>
      <c r="BJ227" s="186">
        <v>-499999.99</v>
      </c>
      <c r="BK227" s="186">
        <v>-499999.74</v>
      </c>
      <c r="BL227" s="186">
        <v>-1200000.08</v>
      </c>
      <c r="BM227" s="186">
        <v>-1100000.27</v>
      </c>
      <c r="BN227" s="186">
        <v>-1285517.6000000001</v>
      </c>
      <c r="BO227" s="186">
        <v>-1100000.5</v>
      </c>
      <c r="BP227" s="186">
        <v>-1101717.17</v>
      </c>
      <c r="BQ227" s="186">
        <v>-1100000.08</v>
      </c>
      <c r="BR227" s="186">
        <v>-1100000.1399999999</v>
      </c>
      <c r="BS227" s="186">
        <v>-1250000.2</v>
      </c>
      <c r="BT227" s="186">
        <v>-1099999.6399999999</v>
      </c>
      <c r="BU227" s="186">
        <v>-1099999.6599999999</v>
      </c>
      <c r="BV227" s="186">
        <v>-1099999.52</v>
      </c>
      <c r="BW227" s="186">
        <v>-1099999.52</v>
      </c>
      <c r="BX227" s="186">
        <v>-999999.87</v>
      </c>
      <c r="BY227" s="186">
        <v>-949999.63</v>
      </c>
      <c r="BZ227" s="186">
        <v>-950000.47</v>
      </c>
      <c r="CA227" s="186">
        <v>-949999.85</v>
      </c>
      <c r="CB227" s="186">
        <v>-949999.99</v>
      </c>
      <c r="CC227" s="186">
        <v>-950000.05</v>
      </c>
      <c r="CD227" s="186">
        <v>-949999.54</v>
      </c>
      <c r="CE227" s="186">
        <v>-949999.97</v>
      </c>
      <c r="CF227" s="186">
        <v>-950000.46</v>
      </c>
      <c r="CG227" s="186">
        <v>-949999.78</v>
      </c>
      <c r="CH227" s="186">
        <v>-949999.59</v>
      </c>
      <c r="CI227" s="186">
        <v>-950000.15</v>
      </c>
      <c r="CJ227" s="186">
        <v>-949999.86</v>
      </c>
      <c r="CK227" s="186">
        <v>-799999.79</v>
      </c>
      <c r="CL227" s="186">
        <v>-800000.38</v>
      </c>
      <c r="CM227" s="186">
        <v>-800000.3</v>
      </c>
      <c r="CN227" s="186">
        <v>-800000.16</v>
      </c>
      <c r="CO227" s="186">
        <v>-800000.43</v>
      </c>
      <c r="CP227" s="186">
        <v>-999999.56</v>
      </c>
      <c r="CQ227" s="186">
        <v>-800000.08</v>
      </c>
      <c r="CR227" s="186">
        <v>-800000.36</v>
      </c>
      <c r="CS227" s="186">
        <v>-800000</v>
      </c>
      <c r="CT227" s="186">
        <v>-800000.4</v>
      </c>
      <c r="CU227" s="186">
        <v>-800000.1</v>
      </c>
      <c r="CV227" s="186">
        <v>-1300000.45</v>
      </c>
    </row>
    <row r="228" spans="1:100">
      <c r="A228" s="541" t="str">
        <f t="shared" si="3"/>
        <v>2320023</v>
      </c>
      <c r="B228" s="541" t="s">
        <v>1646</v>
      </c>
      <c r="C228" s="463" t="s">
        <v>760</v>
      </c>
      <c r="D228" s="397">
        <v>0</v>
      </c>
      <c r="E228" s="397">
        <v>0</v>
      </c>
      <c r="F228" s="397">
        <v>0</v>
      </c>
      <c r="G228" s="397">
        <v>0</v>
      </c>
      <c r="H228" s="397">
        <v>-450</v>
      </c>
      <c r="I228" s="397">
        <v>0</v>
      </c>
      <c r="J228" s="397">
        <v>0</v>
      </c>
      <c r="K228" s="397">
        <v>-420</v>
      </c>
      <c r="L228" s="397">
        <v>0</v>
      </c>
      <c r="M228" s="397">
        <v>0</v>
      </c>
      <c r="N228" s="397">
        <v>84</v>
      </c>
      <c r="O228" s="397">
        <v>0</v>
      </c>
      <c r="P228" s="398">
        <v>1040</v>
      </c>
      <c r="Q228" s="186">
        <v>660</v>
      </c>
      <c r="R228" s="186">
        <v>660</v>
      </c>
      <c r="S228" s="186">
        <v>1040</v>
      </c>
      <c r="T228" s="186">
        <v>1040</v>
      </c>
      <c r="U228" s="186">
        <v>640</v>
      </c>
      <c r="V228" s="186">
        <v>1040</v>
      </c>
      <c r="W228" s="186">
        <v>1040</v>
      </c>
      <c r="X228" s="186">
        <v>1040</v>
      </c>
      <c r="Y228" s="186">
        <v>640</v>
      </c>
      <c r="Z228" s="186">
        <v>1040</v>
      </c>
      <c r="AA228" s="186">
        <v>1040</v>
      </c>
      <c r="AB228" s="186">
        <v>1040</v>
      </c>
      <c r="AC228" s="186">
        <v>640</v>
      </c>
      <c r="AD228" s="186">
        <v>640</v>
      </c>
      <c r="AE228" s="186">
        <v>640</v>
      </c>
      <c r="AF228" s="186">
        <v>1040</v>
      </c>
      <c r="AG228" s="186">
        <v>1040</v>
      </c>
      <c r="AH228" s="186">
        <v>1040</v>
      </c>
      <c r="AI228" s="186">
        <v>1040</v>
      </c>
      <c r="AJ228" s="186">
        <v>1040</v>
      </c>
      <c r="AK228" s="186">
        <v>1040</v>
      </c>
      <c r="AL228" s="186">
        <v>1040</v>
      </c>
      <c r="AM228" s="186">
        <v>1040</v>
      </c>
      <c r="AN228" s="186">
        <v>1040</v>
      </c>
      <c r="AO228" s="186">
        <v>1040</v>
      </c>
      <c r="AP228" s="186">
        <v>1040</v>
      </c>
      <c r="AQ228" s="186">
        <v>1040</v>
      </c>
      <c r="AR228" s="186">
        <v>1040</v>
      </c>
      <c r="AS228" s="186">
        <v>-148.22</v>
      </c>
      <c r="AT228" s="186">
        <v>1040</v>
      </c>
      <c r="AU228" s="186">
        <v>1040</v>
      </c>
      <c r="AV228" s="186">
        <v>1040</v>
      </c>
      <c r="AW228" s="186">
        <v>1040</v>
      </c>
      <c r="AX228" s="186">
        <v>1040</v>
      </c>
      <c r="AY228" s="186">
        <v>0</v>
      </c>
      <c r="AZ228" s="186">
        <v>0</v>
      </c>
      <c r="BA228" s="186">
        <v>0</v>
      </c>
      <c r="BB228" s="186">
        <v>0</v>
      </c>
      <c r="BC228" s="186">
        <v>0</v>
      </c>
      <c r="BD228" s="186">
        <v>0</v>
      </c>
      <c r="BE228" s="186">
        <v>0</v>
      </c>
      <c r="BF228" s="186">
        <v>0</v>
      </c>
      <c r="BG228" s="186">
        <v>0</v>
      </c>
      <c r="BH228" s="186">
        <v>0</v>
      </c>
      <c r="BI228" s="186">
        <v>0</v>
      </c>
      <c r="BJ228" s="186">
        <v>0</v>
      </c>
      <c r="BK228" s="186">
        <v>0</v>
      </c>
      <c r="BL228" s="186">
        <v>0</v>
      </c>
      <c r="BM228" s="186">
        <v>0</v>
      </c>
      <c r="BN228" s="186">
        <v>0</v>
      </c>
      <c r="BO228" s="186">
        <v>0</v>
      </c>
      <c r="BP228" s="186">
        <v>0</v>
      </c>
      <c r="BQ228" s="186">
        <v>0</v>
      </c>
      <c r="BR228" s="186">
        <v>0</v>
      </c>
      <c r="BS228" s="186">
        <v>-1119.46</v>
      </c>
      <c r="BT228" s="186">
        <v>0</v>
      </c>
      <c r="BU228" s="186">
        <v>0</v>
      </c>
      <c r="BV228" s="186">
        <v>0</v>
      </c>
      <c r="BW228" s="186">
        <v>-1148.48</v>
      </c>
      <c r="BX228" s="186">
        <v>-888.48</v>
      </c>
      <c r="BY228" s="186">
        <v>0</v>
      </c>
      <c r="BZ228" s="186">
        <v>0</v>
      </c>
      <c r="CA228" s="186">
        <v>0</v>
      </c>
      <c r="CB228" s="186">
        <v>0</v>
      </c>
      <c r="CC228" s="186">
        <v>-1045.08</v>
      </c>
      <c r="CD228" s="186">
        <v>-1059.3800000000001</v>
      </c>
      <c r="CE228" s="186">
        <v>-1059.3800000000001</v>
      </c>
      <c r="CF228" s="186">
        <v>-1059.3800000000001</v>
      </c>
      <c r="CG228" s="186">
        <v>-1064.48</v>
      </c>
      <c r="CH228" s="186">
        <v>-914.62</v>
      </c>
      <c r="CI228" s="186">
        <v>-687.22</v>
      </c>
      <c r="CJ228" s="186">
        <v>-601.72</v>
      </c>
      <c r="CK228" s="186">
        <v>-601.72</v>
      </c>
      <c r="CL228" s="186">
        <v>-607.54</v>
      </c>
      <c r="CM228" s="186">
        <v>0</v>
      </c>
      <c r="CN228" s="186">
        <v>-804.22</v>
      </c>
      <c r="CO228" s="186">
        <v>-804.22</v>
      </c>
      <c r="CP228" s="186">
        <v>-260</v>
      </c>
      <c r="CQ228" s="186">
        <v>-830.98</v>
      </c>
      <c r="CR228" s="186">
        <v>-831.6</v>
      </c>
      <c r="CS228" s="186">
        <v>-832.22</v>
      </c>
      <c r="CT228" s="186">
        <v>-736.91</v>
      </c>
      <c r="CU228" s="186">
        <v>-260</v>
      </c>
      <c r="CV228" s="186">
        <v>-812.22</v>
      </c>
    </row>
    <row r="229" spans="1:100">
      <c r="A229" s="541" t="str">
        <f t="shared" si="3"/>
        <v>2320024</v>
      </c>
      <c r="B229" s="541" t="s">
        <v>1647</v>
      </c>
      <c r="C229" s="463" t="s">
        <v>761</v>
      </c>
      <c r="D229" s="397">
        <v>0</v>
      </c>
      <c r="E229" s="397">
        <v>0</v>
      </c>
      <c r="F229" s="397">
        <v>0</v>
      </c>
      <c r="G229" s="397">
        <v>0</v>
      </c>
      <c r="H229" s="397">
        <v>-432</v>
      </c>
      <c r="I229" s="397">
        <v>0</v>
      </c>
      <c r="J229" s="397">
        <v>0</v>
      </c>
      <c r="K229" s="397">
        <v>-408</v>
      </c>
      <c r="L229" s="397">
        <v>0</v>
      </c>
      <c r="M229" s="397">
        <v>0</v>
      </c>
      <c r="N229" s="397">
        <v>-84</v>
      </c>
      <c r="O229" s="397">
        <v>0</v>
      </c>
      <c r="P229" s="398">
        <v>0</v>
      </c>
      <c r="Q229" s="186">
        <v>-528</v>
      </c>
      <c r="R229" s="186">
        <v>-504</v>
      </c>
      <c r="S229" s="186">
        <v>0</v>
      </c>
      <c r="T229" s="186">
        <v>0</v>
      </c>
      <c r="U229" s="186">
        <v>-504</v>
      </c>
      <c r="V229" s="186">
        <v>0</v>
      </c>
      <c r="W229" s="186">
        <v>0</v>
      </c>
      <c r="X229" s="186">
        <v>0</v>
      </c>
      <c r="Y229" s="186">
        <v>-480</v>
      </c>
      <c r="Z229" s="186">
        <v>0</v>
      </c>
      <c r="AA229" s="186">
        <v>0</v>
      </c>
      <c r="AB229" s="186">
        <v>0</v>
      </c>
      <c r="AC229" s="186">
        <v>-408</v>
      </c>
      <c r="AD229" s="186">
        <v>-456</v>
      </c>
      <c r="AE229" s="186">
        <v>-492</v>
      </c>
      <c r="AF229" s="186">
        <v>0</v>
      </c>
      <c r="AG229" s="186">
        <v>0</v>
      </c>
      <c r="AH229" s="186">
        <v>0</v>
      </c>
      <c r="AI229" s="186">
        <v>0</v>
      </c>
      <c r="AJ229" s="186">
        <v>0</v>
      </c>
      <c r="AK229" s="186">
        <v>0</v>
      </c>
      <c r="AL229" s="186">
        <v>0</v>
      </c>
      <c r="AM229" s="186">
        <v>0</v>
      </c>
      <c r="AN229" s="186">
        <v>0</v>
      </c>
      <c r="AO229" s="186">
        <v>0</v>
      </c>
      <c r="AP229" s="186">
        <v>0</v>
      </c>
      <c r="AQ229" s="186">
        <v>0</v>
      </c>
      <c r="AR229" s="186">
        <v>0</v>
      </c>
      <c r="AS229" s="186">
        <v>-372</v>
      </c>
      <c r="AT229" s="186">
        <v>0</v>
      </c>
      <c r="AU229" s="186">
        <v>0</v>
      </c>
      <c r="AV229" s="186">
        <v>0</v>
      </c>
      <c r="AW229" s="186">
        <v>0</v>
      </c>
      <c r="AX229" s="186">
        <v>0</v>
      </c>
      <c r="AY229" s="186">
        <v>0</v>
      </c>
      <c r="AZ229" s="186">
        <v>0</v>
      </c>
      <c r="BA229" s="186">
        <v>0</v>
      </c>
      <c r="BB229" s="186">
        <v>0</v>
      </c>
      <c r="BC229" s="186">
        <v>0</v>
      </c>
      <c r="BD229" s="186">
        <v>0</v>
      </c>
      <c r="BE229" s="186">
        <v>0</v>
      </c>
      <c r="BF229" s="186">
        <v>0</v>
      </c>
      <c r="BG229" s="186">
        <v>0</v>
      </c>
      <c r="BH229" s="186">
        <v>0</v>
      </c>
      <c r="BI229" s="186">
        <v>0</v>
      </c>
      <c r="BJ229" s="186">
        <v>0</v>
      </c>
      <c r="BK229" s="186">
        <v>0</v>
      </c>
      <c r="BL229" s="186">
        <v>0</v>
      </c>
      <c r="BM229" s="186">
        <v>0</v>
      </c>
      <c r="BN229" s="186">
        <v>0</v>
      </c>
      <c r="BO229" s="186">
        <v>0</v>
      </c>
      <c r="BP229" s="186">
        <v>0</v>
      </c>
      <c r="BQ229" s="186">
        <v>0</v>
      </c>
      <c r="BR229" s="186">
        <v>0</v>
      </c>
      <c r="BS229" s="186">
        <v>-192</v>
      </c>
      <c r="BT229" s="186">
        <v>0</v>
      </c>
      <c r="BU229" s="186">
        <v>0</v>
      </c>
      <c r="BV229" s="186">
        <v>0</v>
      </c>
      <c r="BW229" s="186">
        <v>-204</v>
      </c>
      <c r="BX229" s="186">
        <v>0</v>
      </c>
      <c r="BY229" s="186">
        <v>0</v>
      </c>
      <c r="BZ229" s="186">
        <v>0</v>
      </c>
      <c r="CA229" s="186">
        <v>0</v>
      </c>
      <c r="CB229" s="186">
        <v>0</v>
      </c>
      <c r="CC229" s="186">
        <v>-180</v>
      </c>
      <c r="CD229" s="186">
        <v>-216</v>
      </c>
      <c r="CE229" s="186">
        <v>-216</v>
      </c>
      <c r="CF229" s="186">
        <v>-240</v>
      </c>
      <c r="CG229" s="186">
        <v>-240</v>
      </c>
      <c r="CH229" s="186">
        <v>-240</v>
      </c>
      <c r="CI229" s="186">
        <v>-240</v>
      </c>
      <c r="CJ229" s="186">
        <v>-240</v>
      </c>
      <c r="CK229" s="186">
        <v>-240</v>
      </c>
      <c r="CL229" s="186">
        <v>-240</v>
      </c>
      <c r="CM229" s="186">
        <v>0</v>
      </c>
      <c r="CN229" s="186">
        <v>-240</v>
      </c>
      <c r="CO229" s="186">
        <v>-240</v>
      </c>
      <c r="CP229" s="186">
        <v>0</v>
      </c>
      <c r="CQ229" s="186">
        <v>-264</v>
      </c>
      <c r="CR229" s="186">
        <v>-204</v>
      </c>
      <c r="CS229" s="186">
        <v>-228</v>
      </c>
      <c r="CT229" s="186">
        <v>-228</v>
      </c>
      <c r="CU229" s="186">
        <v>0</v>
      </c>
      <c r="CV229" s="186">
        <v>-288</v>
      </c>
    </row>
    <row r="230" spans="1:100">
      <c r="A230" s="541" t="str">
        <f t="shared" si="3"/>
        <v>2320025</v>
      </c>
      <c r="B230" s="541" t="s">
        <v>1648</v>
      </c>
      <c r="C230" s="463" t="s">
        <v>762</v>
      </c>
      <c r="D230" s="397">
        <v>0</v>
      </c>
      <c r="E230" s="397">
        <v>0</v>
      </c>
      <c r="F230" s="397">
        <v>0</v>
      </c>
      <c r="G230" s="397">
        <v>0</v>
      </c>
      <c r="H230" s="397">
        <v>-763.88</v>
      </c>
      <c r="I230" s="397">
        <v>0</v>
      </c>
      <c r="J230" s="397">
        <v>0</v>
      </c>
      <c r="K230" s="397">
        <v>-763.88</v>
      </c>
      <c r="L230" s="397">
        <v>0</v>
      </c>
      <c r="M230" s="397">
        <v>0</v>
      </c>
      <c r="N230" s="397">
        <v>0</v>
      </c>
      <c r="O230" s="397">
        <v>0</v>
      </c>
      <c r="P230" s="398">
        <v>0</v>
      </c>
      <c r="Q230" s="186">
        <v>-705.12</v>
      </c>
      <c r="R230" s="186">
        <v>-705.12</v>
      </c>
      <c r="S230" s="186">
        <v>0</v>
      </c>
      <c r="T230" s="186">
        <v>0</v>
      </c>
      <c r="U230" s="186">
        <v>-646.36</v>
      </c>
      <c r="V230" s="186">
        <v>0</v>
      </c>
      <c r="W230" s="186">
        <v>0</v>
      </c>
      <c r="X230" s="186">
        <v>0</v>
      </c>
      <c r="Y230" s="186">
        <v>-470.08</v>
      </c>
      <c r="Z230" s="186">
        <v>0</v>
      </c>
      <c r="AA230" s="186">
        <v>0</v>
      </c>
      <c r="AB230" s="186">
        <v>0</v>
      </c>
      <c r="AC230" s="186">
        <v>-470.08</v>
      </c>
      <c r="AD230" s="186">
        <v>-440.7</v>
      </c>
      <c r="AE230" s="186">
        <v>-411.32</v>
      </c>
      <c r="AF230" s="186">
        <v>0</v>
      </c>
      <c r="AG230" s="186">
        <v>0</v>
      </c>
      <c r="AH230" s="186">
        <v>0</v>
      </c>
      <c r="AI230" s="186">
        <v>0</v>
      </c>
      <c r="AJ230" s="186">
        <v>0</v>
      </c>
      <c r="AK230" s="186">
        <v>0</v>
      </c>
      <c r="AL230" s="186">
        <v>0</v>
      </c>
      <c r="AM230" s="186">
        <v>0</v>
      </c>
      <c r="AN230" s="186">
        <v>0</v>
      </c>
      <c r="AO230" s="186">
        <v>0</v>
      </c>
      <c r="AP230" s="186">
        <v>0</v>
      </c>
      <c r="AQ230" s="186">
        <v>0</v>
      </c>
      <c r="AR230" s="186">
        <v>0</v>
      </c>
      <c r="AS230" s="186">
        <v>-352.56</v>
      </c>
      <c r="AT230" s="186">
        <v>0</v>
      </c>
      <c r="AU230" s="186">
        <v>0</v>
      </c>
      <c r="AV230" s="186">
        <v>0</v>
      </c>
      <c r="AW230" s="186">
        <v>0</v>
      </c>
      <c r="AX230" s="186">
        <v>0</v>
      </c>
      <c r="AY230" s="186">
        <v>0</v>
      </c>
      <c r="AZ230" s="186">
        <v>0</v>
      </c>
      <c r="BA230" s="186">
        <v>0</v>
      </c>
      <c r="BB230" s="186">
        <v>0</v>
      </c>
      <c r="BC230" s="186">
        <v>0</v>
      </c>
      <c r="BD230" s="186">
        <v>0</v>
      </c>
      <c r="BE230" s="186">
        <v>0</v>
      </c>
      <c r="BF230" s="186">
        <v>0</v>
      </c>
      <c r="BG230" s="186">
        <v>0</v>
      </c>
      <c r="BH230" s="186">
        <v>0</v>
      </c>
      <c r="BI230" s="186">
        <v>0</v>
      </c>
      <c r="BJ230" s="186">
        <v>0</v>
      </c>
      <c r="BK230" s="186">
        <v>0</v>
      </c>
      <c r="BL230" s="186">
        <v>0</v>
      </c>
      <c r="BM230" s="186">
        <v>0</v>
      </c>
      <c r="BN230" s="186">
        <v>0</v>
      </c>
      <c r="BO230" s="186">
        <v>0</v>
      </c>
      <c r="BP230" s="186">
        <v>0</v>
      </c>
      <c r="BQ230" s="186">
        <v>0</v>
      </c>
      <c r="BR230" s="186">
        <v>0</v>
      </c>
      <c r="BS230" s="186">
        <v>-293.8</v>
      </c>
      <c r="BT230" s="186">
        <v>0</v>
      </c>
      <c r="BU230" s="186">
        <v>0</v>
      </c>
      <c r="BV230" s="186">
        <v>0</v>
      </c>
      <c r="BW230" s="186">
        <v>-646.36</v>
      </c>
      <c r="BX230" s="186">
        <v>0</v>
      </c>
      <c r="BY230" s="186">
        <v>0</v>
      </c>
      <c r="BZ230" s="186">
        <v>0</v>
      </c>
      <c r="CA230" s="186">
        <v>0</v>
      </c>
      <c r="CB230" s="186">
        <v>0</v>
      </c>
      <c r="CC230" s="186">
        <v>-881.4</v>
      </c>
      <c r="CD230" s="186">
        <v>-998.92</v>
      </c>
      <c r="CE230" s="186">
        <v>-1204.58</v>
      </c>
      <c r="CF230" s="186">
        <v>-998.92</v>
      </c>
      <c r="CG230" s="186">
        <v>-998.92</v>
      </c>
      <c r="CH230" s="186">
        <v>-734.5</v>
      </c>
      <c r="CI230" s="186">
        <v>-58.76</v>
      </c>
      <c r="CJ230" s="186">
        <v>0</v>
      </c>
      <c r="CK230" s="186">
        <v>0</v>
      </c>
      <c r="CL230" s="186">
        <v>0</v>
      </c>
      <c r="CM230" s="186">
        <v>0</v>
      </c>
      <c r="CN230" s="186">
        <v>0</v>
      </c>
      <c r="CO230" s="186">
        <v>0</v>
      </c>
      <c r="CP230" s="186">
        <v>0</v>
      </c>
      <c r="CQ230" s="186">
        <v>0</v>
      </c>
      <c r="CR230" s="186">
        <v>0</v>
      </c>
      <c r="CS230" s="186">
        <v>0</v>
      </c>
      <c r="CT230" s="186">
        <v>0</v>
      </c>
      <c r="CU230" s="186">
        <v>0</v>
      </c>
      <c r="CV230" s="186">
        <v>0</v>
      </c>
    </row>
    <row r="231" spans="1:100">
      <c r="A231" s="541" t="str">
        <f t="shared" si="3"/>
        <v>2320026</v>
      </c>
      <c r="B231" s="541" t="s">
        <v>1649</v>
      </c>
      <c r="C231" s="463" t="s">
        <v>763</v>
      </c>
      <c r="D231" s="397">
        <v>0</v>
      </c>
      <c r="E231" s="397">
        <v>0</v>
      </c>
      <c r="F231" s="397">
        <v>0</v>
      </c>
      <c r="G231" s="397">
        <v>0</v>
      </c>
      <c r="H231" s="397">
        <v>-924</v>
      </c>
      <c r="I231" s="397">
        <v>0</v>
      </c>
      <c r="J231" s="397">
        <v>0</v>
      </c>
      <c r="K231" s="397">
        <v>-924</v>
      </c>
      <c r="L231" s="397">
        <v>0</v>
      </c>
      <c r="M231" s="397">
        <v>0</v>
      </c>
      <c r="N231" s="397">
        <v>0</v>
      </c>
      <c r="O231" s="397">
        <v>0</v>
      </c>
      <c r="P231" s="398">
        <v>0</v>
      </c>
      <c r="Q231" s="186">
        <v>-924</v>
      </c>
      <c r="R231" s="186">
        <v>-907.5</v>
      </c>
      <c r="S231" s="186">
        <v>0</v>
      </c>
      <c r="T231" s="186">
        <v>0</v>
      </c>
      <c r="U231" s="186">
        <v>-891</v>
      </c>
      <c r="V231" s="186">
        <v>0</v>
      </c>
      <c r="W231" s="186">
        <v>0</v>
      </c>
      <c r="X231" s="186">
        <v>0</v>
      </c>
      <c r="Y231" s="186">
        <v>-858</v>
      </c>
      <c r="Z231" s="186">
        <v>0</v>
      </c>
      <c r="AA231" s="186">
        <v>0</v>
      </c>
      <c r="AB231" s="186">
        <v>0</v>
      </c>
      <c r="AC231" s="186">
        <v>-924</v>
      </c>
      <c r="AD231" s="186">
        <v>-924</v>
      </c>
      <c r="AE231" s="186">
        <v>-825</v>
      </c>
      <c r="AF231" s="186">
        <v>0</v>
      </c>
      <c r="AG231" s="186">
        <v>0</v>
      </c>
      <c r="AH231" s="186">
        <v>0</v>
      </c>
      <c r="AI231" s="186">
        <v>0</v>
      </c>
      <c r="AJ231" s="186">
        <v>0</v>
      </c>
      <c r="AK231" s="186">
        <v>0</v>
      </c>
      <c r="AL231" s="186">
        <v>0</v>
      </c>
      <c r="AM231" s="186">
        <v>0</v>
      </c>
      <c r="AN231" s="186">
        <v>0</v>
      </c>
      <c r="AO231" s="186">
        <v>0</v>
      </c>
      <c r="AP231" s="186">
        <v>0</v>
      </c>
      <c r="AQ231" s="186">
        <v>0</v>
      </c>
      <c r="AR231" s="186">
        <v>0</v>
      </c>
      <c r="AS231" s="186">
        <v>-792</v>
      </c>
      <c r="AT231" s="186">
        <v>0</v>
      </c>
      <c r="AU231" s="186">
        <v>0</v>
      </c>
      <c r="AV231" s="186">
        <v>0</v>
      </c>
      <c r="AW231" s="186">
        <v>0</v>
      </c>
      <c r="AX231" s="186">
        <v>0</v>
      </c>
      <c r="AY231" s="186">
        <v>0</v>
      </c>
      <c r="AZ231" s="186">
        <v>0</v>
      </c>
      <c r="BA231" s="186">
        <v>0</v>
      </c>
      <c r="BB231" s="186">
        <v>0</v>
      </c>
      <c r="BC231" s="186">
        <v>0</v>
      </c>
      <c r="BD231" s="186">
        <v>0</v>
      </c>
      <c r="BE231" s="186">
        <v>0</v>
      </c>
      <c r="BF231" s="186">
        <v>0</v>
      </c>
      <c r="BG231" s="186">
        <v>0</v>
      </c>
      <c r="BH231" s="186">
        <v>0</v>
      </c>
      <c r="BI231" s="186">
        <v>0</v>
      </c>
      <c r="BJ231" s="186">
        <v>0</v>
      </c>
      <c r="BK231" s="186">
        <v>0</v>
      </c>
      <c r="BL231" s="186">
        <v>0</v>
      </c>
      <c r="BM231" s="186">
        <v>0</v>
      </c>
      <c r="BN231" s="186">
        <v>0</v>
      </c>
      <c r="BO231" s="186">
        <v>0</v>
      </c>
      <c r="BP231" s="186">
        <v>0</v>
      </c>
      <c r="BQ231" s="186">
        <v>0</v>
      </c>
      <c r="BR231" s="186">
        <v>0</v>
      </c>
      <c r="BS231" s="186">
        <v>-805</v>
      </c>
      <c r="BT231" s="186">
        <v>0</v>
      </c>
      <c r="BU231" s="186">
        <v>0</v>
      </c>
      <c r="BV231" s="186">
        <v>0</v>
      </c>
      <c r="BW231" s="186">
        <v>-945</v>
      </c>
      <c r="BX231" s="186">
        <v>0</v>
      </c>
      <c r="BY231" s="186">
        <v>0</v>
      </c>
      <c r="BZ231" s="186">
        <v>0</v>
      </c>
      <c r="CA231" s="186">
        <v>0</v>
      </c>
      <c r="CB231" s="186">
        <v>0</v>
      </c>
      <c r="CC231" s="186">
        <v>-1015</v>
      </c>
      <c r="CD231" s="186">
        <v>-1015</v>
      </c>
      <c r="CE231" s="186">
        <v>-1015</v>
      </c>
      <c r="CF231" s="186">
        <v>-1015</v>
      </c>
      <c r="CG231" s="186">
        <v>-1015</v>
      </c>
      <c r="CH231" s="186">
        <v>-1015</v>
      </c>
      <c r="CI231" s="186">
        <v>-1015</v>
      </c>
      <c r="CJ231" s="186">
        <v>-1015</v>
      </c>
      <c r="CK231" s="186">
        <v>-1015</v>
      </c>
      <c r="CL231" s="186">
        <v>-1015</v>
      </c>
      <c r="CM231" s="186">
        <v>0</v>
      </c>
      <c r="CN231" s="186">
        <v>-1015</v>
      </c>
      <c r="CO231" s="186">
        <v>-1015</v>
      </c>
      <c r="CP231" s="186">
        <v>0</v>
      </c>
      <c r="CQ231" s="186">
        <v>-1015</v>
      </c>
      <c r="CR231" s="186">
        <v>-997.5</v>
      </c>
      <c r="CS231" s="186">
        <v>-1015</v>
      </c>
      <c r="CT231" s="186">
        <v>-1015</v>
      </c>
      <c r="CU231" s="186">
        <v>0</v>
      </c>
      <c r="CV231" s="186">
        <v>-1015</v>
      </c>
    </row>
    <row r="232" spans="1:100">
      <c r="A232" s="541" t="str">
        <f t="shared" si="3"/>
        <v>2320027</v>
      </c>
      <c r="B232" s="541" t="s">
        <v>1650</v>
      </c>
      <c r="C232" s="463" t="s">
        <v>764</v>
      </c>
      <c r="D232" s="397">
        <v>-18013.8</v>
      </c>
      <c r="E232" s="397">
        <v>-8093.46</v>
      </c>
      <c r="F232" s="397">
        <v>-8482.2099999999991</v>
      </c>
      <c r="G232" s="397">
        <v>-5937.19</v>
      </c>
      <c r="H232" s="397">
        <v>-5578.55</v>
      </c>
      <c r="I232" s="397">
        <v>-3741.06</v>
      </c>
      <c r="J232" s="397">
        <v>-7200.46</v>
      </c>
      <c r="K232" s="397">
        <v>-8123.58</v>
      </c>
      <c r="L232" s="397">
        <v>-13638.74</v>
      </c>
      <c r="M232" s="397">
        <v>-16829.73</v>
      </c>
      <c r="N232" s="397">
        <v>-20356.46</v>
      </c>
      <c r="O232" s="397">
        <v>-24436.560000000001</v>
      </c>
      <c r="P232" s="398">
        <v>-25861.45</v>
      </c>
      <c r="Q232" s="186">
        <v>-17915.650000000001</v>
      </c>
      <c r="R232" s="186">
        <v>-17682.23</v>
      </c>
      <c r="S232" s="186">
        <v>-17467.060000000001</v>
      </c>
      <c r="T232" s="186">
        <v>-13615.04</v>
      </c>
      <c r="U232" s="186">
        <v>-13303.2</v>
      </c>
      <c r="V232" s="186">
        <v>-13073.58</v>
      </c>
      <c r="W232" s="186">
        <v>-16132.62</v>
      </c>
      <c r="X232" s="186">
        <v>-20154.259999999998</v>
      </c>
      <c r="Y232" s="186">
        <v>-21200.61</v>
      </c>
      <c r="Z232" s="186">
        <v>-24166.62</v>
      </c>
      <c r="AA232" s="186">
        <v>-27091.47</v>
      </c>
      <c r="AB232" s="186">
        <v>-30117.86</v>
      </c>
      <c r="AC232" s="186">
        <v>-21448.7</v>
      </c>
      <c r="AD232" s="186">
        <v>-21808.959999999999</v>
      </c>
      <c r="AE232" s="186">
        <v>-20128.87</v>
      </c>
      <c r="AF232" s="186">
        <v>-21791.34</v>
      </c>
      <c r="AG232" s="186">
        <v>-22023.03</v>
      </c>
      <c r="AH232" s="186">
        <v>-24593.27</v>
      </c>
      <c r="AI232" s="186">
        <v>-26037.34</v>
      </c>
      <c r="AJ232" s="186">
        <v>-28239.91</v>
      </c>
      <c r="AK232" s="186">
        <v>-32764.58</v>
      </c>
      <c r="AL232" s="186">
        <v>-34276.639999999999</v>
      </c>
      <c r="AM232" s="186">
        <v>-36692.019999999997</v>
      </c>
      <c r="AN232" s="186">
        <v>-39837.26</v>
      </c>
      <c r="AO232" s="186">
        <v>-33833.43</v>
      </c>
      <c r="AP232" s="186">
        <v>-35240.589999999997</v>
      </c>
      <c r="AQ232" s="186">
        <v>-38343.25</v>
      </c>
      <c r="AR232" s="186">
        <v>-38546.160000000003</v>
      </c>
      <c r="AS232" s="186">
        <v>-40169.72</v>
      </c>
      <c r="AT232" s="186">
        <v>-40631.19</v>
      </c>
      <c r="AU232" s="186">
        <v>-45870.61</v>
      </c>
      <c r="AV232" s="186">
        <v>-48796.49</v>
      </c>
      <c r="AW232" s="186">
        <v>-50354.68</v>
      </c>
      <c r="AX232" s="186">
        <v>-51055.61</v>
      </c>
      <c r="AY232" s="186">
        <v>-54294.57</v>
      </c>
      <c r="AZ232" s="186">
        <v>-54393.35</v>
      </c>
      <c r="BA232" s="186">
        <v>-51173.84</v>
      </c>
      <c r="BB232" s="186">
        <v>-52553.79</v>
      </c>
      <c r="BC232" s="186">
        <v>-54366.61</v>
      </c>
      <c r="BD232" s="186">
        <v>-52745.54</v>
      </c>
      <c r="BE232" s="186">
        <v>-52968.68</v>
      </c>
      <c r="BF232" s="186">
        <v>-54425.11</v>
      </c>
      <c r="BG232" s="186">
        <v>-57139.45</v>
      </c>
      <c r="BH232" s="186">
        <v>-58317.14</v>
      </c>
      <c r="BI232" s="186">
        <v>-60741.78</v>
      </c>
      <c r="BJ232" s="186">
        <v>-68281.66</v>
      </c>
      <c r="BK232" s="186">
        <v>-65972.69</v>
      </c>
      <c r="BL232" s="186">
        <v>-63362.28</v>
      </c>
      <c r="BM232" s="186">
        <v>-60758.37</v>
      </c>
      <c r="BN232" s="186">
        <v>-57777.66</v>
      </c>
      <c r="BO232" s="186">
        <v>-55822.69</v>
      </c>
      <c r="BP232" s="186">
        <v>-53146.21</v>
      </c>
      <c r="BQ232" s="186">
        <v>-56981.53</v>
      </c>
      <c r="BR232" s="186">
        <v>-51471.93</v>
      </c>
      <c r="BS232" s="186">
        <v>-52120.78</v>
      </c>
      <c r="BT232" s="186">
        <v>-59325.440000000002</v>
      </c>
      <c r="BU232" s="186">
        <v>-64930.23</v>
      </c>
      <c r="BV232" s="186">
        <v>-71798.5</v>
      </c>
      <c r="BW232" s="186">
        <v>-76390.789999999994</v>
      </c>
      <c r="BX232" s="186">
        <v>-23556.03</v>
      </c>
      <c r="BY232" s="186">
        <v>-18884.54</v>
      </c>
      <c r="BZ232" s="186">
        <v>-23058.79</v>
      </c>
      <c r="CA232" s="186">
        <v>-15563.9</v>
      </c>
      <c r="CB232" s="186">
        <v>-17392.03</v>
      </c>
      <c r="CC232" s="186">
        <v>-18340.78</v>
      </c>
      <c r="CD232" s="186">
        <v>-23571.66</v>
      </c>
      <c r="CE232" s="186">
        <v>-20122.240000000002</v>
      </c>
      <c r="CF232" s="186">
        <v>-24367.69</v>
      </c>
      <c r="CG232" s="186">
        <v>-30654.959999999999</v>
      </c>
      <c r="CH232" s="186">
        <v>-30153.5</v>
      </c>
      <c r="CI232" s="186">
        <v>-33541.5</v>
      </c>
      <c r="CJ232" s="186">
        <v>-32303.53</v>
      </c>
      <c r="CK232" s="186">
        <v>-27280.19</v>
      </c>
      <c r="CL232" s="186">
        <v>-27535.77</v>
      </c>
      <c r="CM232" s="186">
        <v>-24927.9</v>
      </c>
      <c r="CN232" s="186">
        <v>-20918.04</v>
      </c>
      <c r="CO232" s="186">
        <v>-20892.36</v>
      </c>
      <c r="CP232" s="186">
        <v>-21093.14</v>
      </c>
      <c r="CQ232" s="186">
        <v>-23306.560000000001</v>
      </c>
      <c r="CR232" s="186">
        <v>-22544.99</v>
      </c>
      <c r="CS232" s="186">
        <v>-30170.77</v>
      </c>
      <c r="CT232" s="186">
        <v>-35287.620000000003</v>
      </c>
      <c r="CU232" s="186">
        <v>-36023.49</v>
      </c>
      <c r="CV232" s="186">
        <v>-37370.06</v>
      </c>
    </row>
    <row r="233" spans="1:100">
      <c r="A233" s="541" t="str">
        <f t="shared" si="3"/>
        <v>2320028</v>
      </c>
      <c r="B233" s="541" t="s">
        <v>1651</v>
      </c>
      <c r="C233" s="463" t="s">
        <v>765</v>
      </c>
      <c r="D233" s="397">
        <v>1384.96</v>
      </c>
      <c r="E233" s="397">
        <v>824.94</v>
      </c>
      <c r="F233" s="397">
        <v>1308.3</v>
      </c>
      <c r="G233" s="397">
        <v>649.99</v>
      </c>
      <c r="H233" s="397">
        <v>1590.08</v>
      </c>
      <c r="I233" s="397">
        <v>1833.38</v>
      </c>
      <c r="J233" s="397">
        <v>2008.36</v>
      </c>
      <c r="K233" s="397">
        <v>1766.67</v>
      </c>
      <c r="L233" s="397">
        <v>1524.98</v>
      </c>
      <c r="M233" s="397">
        <v>1283.29</v>
      </c>
      <c r="N233" s="397">
        <v>1041.5999999999999</v>
      </c>
      <c r="O233" s="397">
        <v>799.95</v>
      </c>
      <c r="P233" s="398">
        <v>558.29999999999995</v>
      </c>
      <c r="Q233" s="186">
        <v>191.62</v>
      </c>
      <c r="R233" s="186">
        <v>2224.94</v>
      </c>
      <c r="S233" s="186">
        <v>2358.2600000000002</v>
      </c>
      <c r="T233" s="186">
        <v>1991.58</v>
      </c>
      <c r="U233" s="186">
        <v>1624.9</v>
      </c>
      <c r="V233" s="186">
        <v>1258.22</v>
      </c>
      <c r="W233" s="186">
        <v>891.54</v>
      </c>
      <c r="X233" s="186">
        <v>524.86</v>
      </c>
      <c r="Y233" s="186">
        <v>158.18</v>
      </c>
      <c r="Z233" s="186">
        <v>-208.5</v>
      </c>
      <c r="AA233" s="186">
        <v>-575.1</v>
      </c>
      <c r="AB233" s="186">
        <v>-941.7</v>
      </c>
      <c r="AC233" s="186">
        <v>-1324.96</v>
      </c>
      <c r="AD233" s="186">
        <v>491.74</v>
      </c>
      <c r="AE233" s="186">
        <v>308.39999999999998</v>
      </c>
      <c r="AF233" s="186">
        <v>925.02</v>
      </c>
      <c r="AG233" s="186">
        <v>541.67999999999995</v>
      </c>
      <c r="AH233" s="186">
        <v>-555.94000000000005</v>
      </c>
      <c r="AI233" s="186">
        <v>-1653.56</v>
      </c>
      <c r="AJ233" s="186">
        <v>-2751.18</v>
      </c>
      <c r="AK233" s="186">
        <v>-3175.46</v>
      </c>
      <c r="AL233" s="186">
        <v>-3205.83</v>
      </c>
      <c r="AM233" s="186">
        <v>-3705.17</v>
      </c>
      <c r="AN233" s="186">
        <v>-2479.5</v>
      </c>
      <c r="AO233" s="186">
        <v>-1732.96</v>
      </c>
      <c r="AP233" s="186">
        <v>-3362.91</v>
      </c>
      <c r="AQ233" s="186">
        <v>-3743.35</v>
      </c>
      <c r="AR233" s="186">
        <v>-3763.29</v>
      </c>
      <c r="AS233" s="186">
        <v>-4539.1099999999997</v>
      </c>
      <c r="AT233" s="186">
        <v>-4039.05</v>
      </c>
      <c r="AU233" s="186">
        <v>-4979.84</v>
      </c>
      <c r="AV233" s="186">
        <v>-2948.11</v>
      </c>
      <c r="AW233" s="186">
        <v>-4423.16</v>
      </c>
      <c r="AX233" s="186">
        <v>-4823.21</v>
      </c>
      <c r="AY233" s="186">
        <v>-4646.55</v>
      </c>
      <c r="AZ233" s="186">
        <v>-5563.38</v>
      </c>
      <c r="BA233" s="186">
        <v>-7274.26</v>
      </c>
      <c r="BB233" s="186">
        <v>-5211.8</v>
      </c>
      <c r="BC233" s="186">
        <v>-4432.58</v>
      </c>
      <c r="BD233" s="186">
        <v>-4928.43</v>
      </c>
      <c r="BE233" s="186">
        <v>-6039.23</v>
      </c>
      <c r="BF233" s="186">
        <v>-6430.02</v>
      </c>
      <c r="BG233" s="186">
        <v>-7086.66</v>
      </c>
      <c r="BH233" s="186">
        <v>-6263.3</v>
      </c>
      <c r="BI233" s="186">
        <v>-6872.53</v>
      </c>
      <c r="BJ233" s="186">
        <v>-8352.57</v>
      </c>
      <c r="BK233" s="186">
        <v>-7305.9</v>
      </c>
      <c r="BL233" s="186">
        <v>-7495.11</v>
      </c>
      <c r="BM233" s="186">
        <v>-9045.09</v>
      </c>
      <c r="BN233" s="186">
        <v>-10145.07</v>
      </c>
      <c r="BO233" s="186">
        <v>-9265.5400000000009</v>
      </c>
      <c r="BP233" s="186">
        <v>-8705.7800000000007</v>
      </c>
      <c r="BQ233" s="186">
        <v>-10446.51</v>
      </c>
      <c r="BR233" s="186">
        <v>-11724.41</v>
      </c>
      <c r="BS233" s="186">
        <v>-7188.39</v>
      </c>
      <c r="BT233" s="186">
        <v>-8573.42</v>
      </c>
      <c r="BU233" s="186">
        <v>-8301.9599999999991</v>
      </c>
      <c r="BV233" s="186">
        <v>-9918.66</v>
      </c>
      <c r="BW233" s="186">
        <v>-10006</v>
      </c>
      <c r="BX233" s="186">
        <v>-5504.27</v>
      </c>
      <c r="BY233" s="186">
        <v>1688.57</v>
      </c>
      <c r="BZ233" s="186">
        <v>192.37</v>
      </c>
      <c r="CA233" s="186">
        <v>-199.99</v>
      </c>
      <c r="CB233" s="186">
        <v>1313.56</v>
      </c>
      <c r="CC233" s="186">
        <v>83.61</v>
      </c>
      <c r="CD233" s="186">
        <v>-1177.0899999999999</v>
      </c>
      <c r="CE233" s="186">
        <v>-1772.79</v>
      </c>
      <c r="CF233" s="186">
        <v>236.59</v>
      </c>
      <c r="CG233" s="186">
        <v>-280.08999999999997</v>
      </c>
      <c r="CH233" s="186">
        <v>2106.0500000000002</v>
      </c>
      <c r="CI233" s="186">
        <v>2039.37</v>
      </c>
      <c r="CJ233" s="186">
        <v>2722.71</v>
      </c>
      <c r="CK233" s="186">
        <v>3956.09</v>
      </c>
      <c r="CL233" s="186">
        <v>3106.09</v>
      </c>
      <c r="CM233" s="186">
        <v>2894.61</v>
      </c>
      <c r="CN233" s="186">
        <v>2287.1999999999998</v>
      </c>
      <c r="CO233" s="186">
        <v>1303.8900000000001</v>
      </c>
      <c r="CP233" s="186">
        <v>417.59</v>
      </c>
      <c r="CQ233" s="186">
        <v>978.47</v>
      </c>
      <c r="CR233" s="186">
        <v>-84.21</v>
      </c>
      <c r="CS233" s="186">
        <v>-1045.93</v>
      </c>
      <c r="CT233" s="186">
        <v>-1969.81</v>
      </c>
      <c r="CU233" s="186">
        <v>3893.65</v>
      </c>
      <c r="CV233" s="186">
        <v>3284.63</v>
      </c>
    </row>
    <row r="234" spans="1:100">
      <c r="A234" s="541" t="str">
        <f t="shared" si="3"/>
        <v>2320029</v>
      </c>
      <c r="B234" s="541" t="s">
        <v>1652</v>
      </c>
      <c r="C234" s="463" t="s">
        <v>766</v>
      </c>
      <c r="D234" s="397">
        <v>-2494.3000000000002</v>
      </c>
      <c r="E234" s="397">
        <v>-987.5</v>
      </c>
      <c r="F234" s="397">
        <v>-954.7</v>
      </c>
      <c r="G234" s="397">
        <v>-954.7</v>
      </c>
      <c r="H234" s="397">
        <v>-954.7</v>
      </c>
      <c r="I234" s="397">
        <v>-954.7</v>
      </c>
      <c r="J234" s="397">
        <v>-954.7</v>
      </c>
      <c r="K234" s="397">
        <v>-954.7</v>
      </c>
      <c r="L234" s="397">
        <v>-954.7</v>
      </c>
      <c r="M234" s="397">
        <v>-954.7</v>
      </c>
      <c r="N234" s="397">
        <v>-954.7</v>
      </c>
      <c r="O234" s="397">
        <v>-954.7</v>
      </c>
      <c r="P234" s="398">
        <v>-954.7</v>
      </c>
      <c r="Q234" s="186">
        <v>-743.5</v>
      </c>
      <c r="R234" s="186">
        <v>-743.5</v>
      </c>
      <c r="S234" s="186">
        <v>-626.5</v>
      </c>
      <c r="T234" s="186">
        <v>-445.3</v>
      </c>
      <c r="U234" s="186">
        <v>-328.3</v>
      </c>
      <c r="V234" s="186">
        <v>-211.3</v>
      </c>
      <c r="W234" s="186">
        <v>-94.3</v>
      </c>
      <c r="X234" s="186">
        <v>22.7</v>
      </c>
      <c r="Y234" s="186">
        <v>22.7</v>
      </c>
      <c r="Z234" s="186">
        <v>22.7</v>
      </c>
      <c r="AA234" s="186">
        <v>22.7</v>
      </c>
      <c r="AB234" s="186">
        <v>22.7</v>
      </c>
      <c r="AC234" s="186">
        <v>22.7</v>
      </c>
      <c r="AD234" s="186">
        <v>22.7</v>
      </c>
      <c r="AE234" s="186">
        <v>22.7</v>
      </c>
      <c r="AF234" s="186">
        <v>22.7</v>
      </c>
      <c r="AG234" s="186">
        <v>22.7</v>
      </c>
      <c r="AH234" s="186">
        <v>22.7</v>
      </c>
      <c r="AI234" s="186">
        <v>22.7</v>
      </c>
      <c r="AJ234" s="186">
        <v>-14.8</v>
      </c>
      <c r="AK234" s="186">
        <v>-52.3</v>
      </c>
      <c r="AL234" s="186">
        <v>-127.3</v>
      </c>
      <c r="AM234" s="186">
        <v>-127.3</v>
      </c>
      <c r="AN234" s="186">
        <v>-127.3</v>
      </c>
      <c r="AO234" s="186">
        <v>-127.3</v>
      </c>
      <c r="AP234" s="186">
        <v>-127.3</v>
      </c>
      <c r="AQ234" s="186">
        <v>-52.3</v>
      </c>
      <c r="AR234" s="186">
        <v>-52.3</v>
      </c>
      <c r="AS234" s="186">
        <v>-52.3</v>
      </c>
      <c r="AT234" s="186">
        <v>-124.3</v>
      </c>
      <c r="AU234" s="186">
        <v>99.9</v>
      </c>
      <c r="AV234" s="186">
        <v>174.9</v>
      </c>
      <c r="AW234" s="186">
        <v>174.9</v>
      </c>
      <c r="AX234" s="186">
        <v>-1271.02</v>
      </c>
      <c r="AY234" s="186">
        <v>33.85</v>
      </c>
      <c r="AZ234" s="186">
        <v>1479.77</v>
      </c>
      <c r="BA234" s="186">
        <v>33.85</v>
      </c>
      <c r="BB234" s="186">
        <v>33.85</v>
      </c>
      <c r="BC234" s="186">
        <v>-41.15</v>
      </c>
      <c r="BD234" s="186">
        <v>-41.15</v>
      </c>
      <c r="BE234" s="186">
        <v>-79.150000000000006</v>
      </c>
      <c r="BF234" s="186">
        <v>-79.150000000000006</v>
      </c>
      <c r="BG234" s="186">
        <v>-1378.07</v>
      </c>
      <c r="BH234" s="186">
        <v>-417.15</v>
      </c>
      <c r="BI234" s="186">
        <v>-518.85</v>
      </c>
      <c r="BJ234" s="186">
        <v>-2031.97</v>
      </c>
      <c r="BK234" s="186">
        <v>-593.85</v>
      </c>
      <c r="BL234" s="186">
        <v>-593.85</v>
      </c>
      <c r="BM234" s="186">
        <v>-1842.87</v>
      </c>
      <c r="BN234" s="186">
        <v>-2700.87</v>
      </c>
      <c r="BO234" s="186">
        <v>-3468.03</v>
      </c>
      <c r="BP234" s="186">
        <v>-3798.37</v>
      </c>
      <c r="BQ234" s="186">
        <v>-4310.34</v>
      </c>
      <c r="BR234" s="186">
        <v>-4110.0200000000004</v>
      </c>
      <c r="BS234" s="186">
        <v>-4109.8900000000003</v>
      </c>
      <c r="BT234" s="186">
        <v>-2951.3</v>
      </c>
      <c r="BU234" s="186">
        <v>-3280.89</v>
      </c>
      <c r="BV234" s="186">
        <v>-3604.92</v>
      </c>
      <c r="BW234" s="186">
        <v>-3129.28</v>
      </c>
      <c r="BX234" s="186">
        <v>-3188.8</v>
      </c>
      <c r="BY234" s="186">
        <v>-1953.54</v>
      </c>
      <c r="BZ234" s="186">
        <v>-2881.23</v>
      </c>
      <c r="CA234" s="186">
        <v>-3043.11</v>
      </c>
      <c r="CB234" s="186">
        <v>-2837.74</v>
      </c>
      <c r="CC234" s="186">
        <v>-2770.65</v>
      </c>
      <c r="CD234" s="186">
        <v>-3272.27</v>
      </c>
      <c r="CE234" s="186">
        <v>-2319.48</v>
      </c>
      <c r="CF234" s="186">
        <v>-2380.3000000000002</v>
      </c>
      <c r="CG234" s="186">
        <v>-3194.58</v>
      </c>
      <c r="CH234" s="186">
        <v>-2812.78</v>
      </c>
      <c r="CI234" s="186">
        <v>-2985.56</v>
      </c>
      <c r="CJ234" s="186">
        <v>-2627.68</v>
      </c>
      <c r="CK234" s="186">
        <v>-2558</v>
      </c>
      <c r="CL234" s="186">
        <v>-2909.85</v>
      </c>
      <c r="CM234" s="186">
        <v>-282.58</v>
      </c>
      <c r="CN234" s="186">
        <v>-2983.13</v>
      </c>
      <c r="CO234" s="186">
        <v>-3591.99</v>
      </c>
      <c r="CP234" s="186">
        <v>-4081.69</v>
      </c>
      <c r="CQ234" s="186">
        <v>-2861.35</v>
      </c>
      <c r="CR234" s="186">
        <v>-3358.99</v>
      </c>
      <c r="CS234" s="186">
        <v>-4099.63</v>
      </c>
      <c r="CT234" s="186">
        <v>-3990.67</v>
      </c>
      <c r="CU234" s="186">
        <v>-3634.8</v>
      </c>
      <c r="CV234" s="186">
        <v>-3286.02</v>
      </c>
    </row>
    <row r="235" spans="1:100">
      <c r="A235" s="541" t="str">
        <f t="shared" si="3"/>
        <v>2320030</v>
      </c>
      <c r="B235" s="541" t="s">
        <v>1653</v>
      </c>
      <c r="C235" s="463" t="s">
        <v>767</v>
      </c>
      <c r="D235" s="397">
        <v>0</v>
      </c>
      <c r="E235" s="397">
        <v>0</v>
      </c>
      <c r="F235" s="397">
        <v>0</v>
      </c>
      <c r="G235" s="397">
        <v>0</v>
      </c>
      <c r="H235" s="397">
        <v>-180</v>
      </c>
      <c r="I235" s="397">
        <v>0</v>
      </c>
      <c r="J235" s="397">
        <v>0</v>
      </c>
      <c r="K235" s="397">
        <v>-80</v>
      </c>
      <c r="L235" s="397">
        <v>0</v>
      </c>
      <c r="M235" s="397">
        <v>0</v>
      </c>
      <c r="N235" s="397">
        <v>0</v>
      </c>
      <c r="O235" s="397">
        <v>0</v>
      </c>
      <c r="P235" s="398">
        <v>0</v>
      </c>
      <c r="Q235" s="186">
        <v>-80</v>
      </c>
      <c r="R235" s="186">
        <v>-80</v>
      </c>
      <c r="S235" s="186">
        <v>0</v>
      </c>
      <c r="T235" s="186">
        <v>0</v>
      </c>
      <c r="U235" s="186">
        <v>-80</v>
      </c>
      <c r="V235" s="186">
        <v>0</v>
      </c>
      <c r="W235" s="186">
        <v>0</v>
      </c>
      <c r="X235" s="186">
        <v>0</v>
      </c>
      <c r="Y235" s="186">
        <v>-50</v>
      </c>
      <c r="Z235" s="186">
        <v>0</v>
      </c>
      <c r="AA235" s="186">
        <v>0</v>
      </c>
      <c r="AB235" s="186">
        <v>0</v>
      </c>
      <c r="AC235" s="186">
        <v>-50</v>
      </c>
      <c r="AD235" s="186">
        <v>-50</v>
      </c>
      <c r="AE235" s="186">
        <v>-50</v>
      </c>
      <c r="AF235" s="186">
        <v>0</v>
      </c>
      <c r="AG235" s="186">
        <v>0</v>
      </c>
      <c r="AH235" s="186">
        <v>0</v>
      </c>
      <c r="AI235" s="186">
        <v>0</v>
      </c>
      <c r="AJ235" s="186">
        <v>0</v>
      </c>
      <c r="AK235" s="186">
        <v>0</v>
      </c>
      <c r="AL235" s="186">
        <v>0</v>
      </c>
      <c r="AM235" s="186">
        <v>0</v>
      </c>
      <c r="AN235" s="186">
        <v>0</v>
      </c>
      <c r="AO235" s="186">
        <v>0</v>
      </c>
      <c r="AP235" s="186">
        <v>0</v>
      </c>
      <c r="AQ235" s="186">
        <v>0</v>
      </c>
      <c r="AR235" s="186">
        <v>0</v>
      </c>
      <c r="AS235" s="186">
        <v>-50</v>
      </c>
      <c r="AT235" s="186">
        <v>0</v>
      </c>
      <c r="AU235" s="186">
        <v>0</v>
      </c>
      <c r="AV235" s="186">
        <v>0</v>
      </c>
      <c r="AW235" s="186">
        <v>0</v>
      </c>
      <c r="AX235" s="186">
        <v>0</v>
      </c>
      <c r="AY235" s="186">
        <v>0</v>
      </c>
      <c r="AZ235" s="186">
        <v>0</v>
      </c>
      <c r="BA235" s="186">
        <v>0</v>
      </c>
      <c r="BB235" s="186">
        <v>0</v>
      </c>
      <c r="BC235" s="186">
        <v>0</v>
      </c>
      <c r="BD235" s="186">
        <v>0</v>
      </c>
      <c r="BE235" s="186">
        <v>0</v>
      </c>
      <c r="BF235" s="186">
        <v>0</v>
      </c>
      <c r="BG235" s="186">
        <v>0</v>
      </c>
      <c r="BH235" s="186">
        <v>0</v>
      </c>
      <c r="BI235" s="186">
        <v>0</v>
      </c>
      <c r="BJ235" s="186">
        <v>0</v>
      </c>
      <c r="BK235" s="186">
        <v>0</v>
      </c>
      <c r="BL235" s="186">
        <v>0</v>
      </c>
      <c r="BM235" s="186">
        <v>0</v>
      </c>
      <c r="BN235" s="186">
        <v>0</v>
      </c>
      <c r="BO235" s="186">
        <v>0</v>
      </c>
      <c r="BP235" s="186">
        <v>0</v>
      </c>
      <c r="BQ235" s="186">
        <v>0</v>
      </c>
      <c r="BR235" s="186">
        <v>0</v>
      </c>
      <c r="BS235" s="186">
        <v>-50</v>
      </c>
      <c r="BT235" s="186">
        <v>0</v>
      </c>
      <c r="BU235" s="186">
        <v>0</v>
      </c>
      <c r="BV235" s="186">
        <v>0</v>
      </c>
      <c r="BW235" s="186">
        <v>-20</v>
      </c>
      <c r="BX235" s="186">
        <v>888.48</v>
      </c>
      <c r="BY235" s="186">
        <v>0</v>
      </c>
      <c r="BZ235" s="186">
        <v>0</v>
      </c>
      <c r="CA235" s="186">
        <v>0</v>
      </c>
      <c r="CB235" s="186">
        <v>0</v>
      </c>
      <c r="CC235" s="186">
        <v>-20</v>
      </c>
      <c r="CD235" s="186">
        <v>-20</v>
      </c>
      <c r="CE235" s="186">
        <v>-20</v>
      </c>
      <c r="CF235" s="186">
        <v>-20</v>
      </c>
      <c r="CG235" s="186">
        <v>-20</v>
      </c>
      <c r="CH235" s="186">
        <v>-20</v>
      </c>
      <c r="CI235" s="186">
        <v>-20</v>
      </c>
      <c r="CJ235" s="186">
        <v>-20</v>
      </c>
      <c r="CK235" s="186">
        <v>-20</v>
      </c>
      <c r="CL235" s="186">
        <v>-20</v>
      </c>
      <c r="CM235" s="186">
        <v>0</v>
      </c>
      <c r="CN235" s="186">
        <v>-20</v>
      </c>
      <c r="CO235" s="186">
        <v>-20</v>
      </c>
      <c r="CP235" s="186">
        <v>0</v>
      </c>
      <c r="CQ235" s="186">
        <v>-20</v>
      </c>
      <c r="CR235" s="186">
        <v>-20</v>
      </c>
      <c r="CS235" s="186">
        <v>-20</v>
      </c>
      <c r="CT235" s="186">
        <v>-20</v>
      </c>
      <c r="CU235" s="186">
        <v>0</v>
      </c>
      <c r="CV235" s="186">
        <v>-20</v>
      </c>
    </row>
    <row r="236" spans="1:100">
      <c r="A236" s="541" t="str">
        <f t="shared" si="3"/>
        <v>2320031</v>
      </c>
      <c r="B236" s="541" t="s">
        <v>1654</v>
      </c>
      <c r="C236" s="463" t="s">
        <v>768</v>
      </c>
      <c r="D236" s="397">
        <v>-10299259.01</v>
      </c>
      <c r="E236" s="397">
        <v>-18120673.210000001</v>
      </c>
      <c r="F236" s="397">
        <v>-12008336.699999999</v>
      </c>
      <c r="G236" s="397">
        <v>-12588810.98</v>
      </c>
      <c r="H236" s="397">
        <v>-12205787.210000001</v>
      </c>
      <c r="I236" s="397">
        <v>-9095221.5399999991</v>
      </c>
      <c r="J236" s="397">
        <v>-5691557</v>
      </c>
      <c r="K236" s="397">
        <v>-7021194.8399999999</v>
      </c>
      <c r="L236" s="397">
        <v>-8849412.1099999994</v>
      </c>
      <c r="M236" s="397">
        <v>-6576475.2199999997</v>
      </c>
      <c r="N236" s="397">
        <v>-10153348.359999999</v>
      </c>
      <c r="O236" s="397">
        <v>-14812731.52</v>
      </c>
      <c r="P236" s="398">
        <v>-13311425.119999999</v>
      </c>
      <c r="Q236" s="186">
        <v>-13968134.609999999</v>
      </c>
      <c r="R236" s="186">
        <v>-13946595.470000001</v>
      </c>
      <c r="S236" s="186">
        <v>-10634221.83</v>
      </c>
      <c r="T236" s="186">
        <v>-12478793.33</v>
      </c>
      <c r="U236" s="186">
        <v>-7516979.6200000001</v>
      </c>
      <c r="V236" s="186">
        <v>-7673808.2400000002</v>
      </c>
      <c r="W236" s="186">
        <v>-6937659.8700000001</v>
      </c>
      <c r="X236" s="186">
        <v>-10398307.91</v>
      </c>
      <c r="Y236" s="186">
        <v>-9009122.5700000003</v>
      </c>
      <c r="Z236" s="186">
        <v>-12160172.43</v>
      </c>
      <c r="AA236" s="186">
        <v>-14761688.99</v>
      </c>
      <c r="AB236" s="186">
        <v>-9516607.5600000005</v>
      </c>
      <c r="AC236" s="186">
        <v>-14513866.48</v>
      </c>
      <c r="AD236" s="186">
        <v>-12287346.91</v>
      </c>
      <c r="AE236" s="186">
        <v>-11134718.73</v>
      </c>
      <c r="AF236" s="186">
        <v>-12469329.619999999</v>
      </c>
      <c r="AG236" s="186">
        <v>-8070094.7300000004</v>
      </c>
      <c r="AH236" s="186">
        <v>-8045701.3099999996</v>
      </c>
      <c r="AI236" s="186">
        <v>-12186605.6</v>
      </c>
      <c r="AJ236" s="186">
        <v>-12088507.65</v>
      </c>
      <c r="AK236" s="186">
        <v>-11507462.720000001</v>
      </c>
      <c r="AL236" s="186">
        <v>-15541368.18</v>
      </c>
      <c r="AM236" s="186">
        <v>-11270859.01</v>
      </c>
      <c r="AN236" s="186">
        <v>-12029381.470000001</v>
      </c>
      <c r="AO236" s="186">
        <v>-13529246.25</v>
      </c>
      <c r="AP236" s="186">
        <v>-9138589.4399999995</v>
      </c>
      <c r="AQ236" s="186">
        <v>-11182819.800000001</v>
      </c>
      <c r="AR236" s="186">
        <v>-13256574.01</v>
      </c>
      <c r="AS236" s="186">
        <v>-10596982.289999999</v>
      </c>
      <c r="AT236" s="186">
        <v>-9018465.9299999997</v>
      </c>
      <c r="AU236" s="186">
        <v>-11128576.289999999</v>
      </c>
      <c r="AV236" s="186">
        <v>-15996147.65</v>
      </c>
      <c r="AW236" s="186">
        <v>-14274879.720000001</v>
      </c>
      <c r="AX236" s="186">
        <v>-12657737.880000001</v>
      </c>
      <c r="AY236" s="186">
        <v>-12859263.51</v>
      </c>
      <c r="AZ236" s="186">
        <v>-15311363.380000001</v>
      </c>
      <c r="BA236" s="186">
        <v>-21963382.93</v>
      </c>
      <c r="BB236" s="186">
        <v>-9098061.4399999995</v>
      </c>
      <c r="BC236" s="186">
        <v>-10449599.630000001</v>
      </c>
      <c r="BD236" s="186">
        <v>-9088051.7400000002</v>
      </c>
      <c r="BE236" s="186">
        <v>-10095044.1</v>
      </c>
      <c r="BF236" s="186">
        <v>-11914581.42</v>
      </c>
      <c r="BG236" s="186">
        <v>-12191564.51</v>
      </c>
      <c r="BH236" s="186">
        <v>-9526288.3499999996</v>
      </c>
      <c r="BI236" s="186">
        <v>-10562727.51</v>
      </c>
      <c r="BJ236" s="186">
        <v>-17341511.120000001</v>
      </c>
      <c r="BK236" s="186">
        <v>-19216454.280000001</v>
      </c>
      <c r="BL236" s="186">
        <v>-19057481.73</v>
      </c>
      <c r="BM236" s="186">
        <v>-15322862.73</v>
      </c>
      <c r="BN236" s="186">
        <v>-9550740.4000000004</v>
      </c>
      <c r="BO236" s="186">
        <v>-12500576.08</v>
      </c>
      <c r="BP236" s="186">
        <v>-10689473.26</v>
      </c>
      <c r="BQ236" s="186">
        <v>-10765323.09</v>
      </c>
      <c r="BR236" s="186">
        <v>-6914615.3899999997</v>
      </c>
      <c r="BS236" s="186">
        <v>-8099316.6900000004</v>
      </c>
      <c r="BT236" s="186">
        <v>-9528941.0800000001</v>
      </c>
      <c r="BU236" s="186">
        <v>-11819406.4</v>
      </c>
      <c r="BV236" s="186">
        <v>-13081301.380000001</v>
      </c>
      <c r="BW236" s="186">
        <v>-13543392.970000001</v>
      </c>
      <c r="BX236" s="186">
        <v>-13595616.57</v>
      </c>
      <c r="BY236" s="186">
        <v>-13204175.65</v>
      </c>
      <c r="BZ236" s="186">
        <v>-10502683.15</v>
      </c>
      <c r="CA236" s="186">
        <v>-10148194.470000001</v>
      </c>
      <c r="CB236" s="186">
        <v>-6823930.6399999997</v>
      </c>
      <c r="CC236" s="186">
        <v>-7437657.6200000001</v>
      </c>
      <c r="CD236" s="186">
        <v>-8400238.2100000009</v>
      </c>
      <c r="CE236" s="186">
        <v>-8551543.1300000008</v>
      </c>
      <c r="CF236" s="186">
        <v>-8062293.8399999999</v>
      </c>
      <c r="CG236" s="186">
        <v>-8597906.0800000001</v>
      </c>
      <c r="CH236" s="186">
        <v>-10128411.1</v>
      </c>
      <c r="CI236" s="186">
        <v>-12370628.800000001</v>
      </c>
      <c r="CJ236" s="186">
        <v>-14934161.970000001</v>
      </c>
      <c r="CK236" s="186">
        <v>-12835097.720000001</v>
      </c>
      <c r="CL236" s="186">
        <v>-12966846.779999999</v>
      </c>
      <c r="CM236" s="186">
        <v>-10858803.529999999</v>
      </c>
      <c r="CN236" s="186">
        <v>-8567530.4499999993</v>
      </c>
      <c r="CO236" s="186">
        <v>-6807669.3399999999</v>
      </c>
      <c r="CP236" s="186">
        <v>-7766302.8899999997</v>
      </c>
      <c r="CQ236" s="186">
        <v>-9223554.6099999994</v>
      </c>
      <c r="CR236" s="186">
        <v>-9107415.1799999997</v>
      </c>
      <c r="CS236" s="186">
        <v>-7775918.3499999996</v>
      </c>
      <c r="CT236" s="186">
        <v>-15039112.32</v>
      </c>
      <c r="CU236" s="186">
        <v>-17715847.559999999</v>
      </c>
      <c r="CV236" s="186">
        <v>-14188892.109999999</v>
      </c>
    </row>
    <row r="237" spans="1:100">
      <c r="A237" s="541" t="str">
        <f t="shared" si="3"/>
        <v>2320035</v>
      </c>
      <c r="B237" s="541" t="s">
        <v>1655</v>
      </c>
      <c r="C237" s="463" t="s">
        <v>769</v>
      </c>
      <c r="D237" s="397">
        <v>0</v>
      </c>
      <c r="E237" s="397">
        <v>0</v>
      </c>
      <c r="F237" s="397">
        <v>0</v>
      </c>
      <c r="G237" s="397">
        <v>0</v>
      </c>
      <c r="H237" s="397">
        <v>0.6</v>
      </c>
      <c r="I237" s="397">
        <v>0.6</v>
      </c>
      <c r="J237" s="397">
        <v>0.6</v>
      </c>
      <c r="K237" s="397">
        <v>15904.66</v>
      </c>
      <c r="L237" s="397">
        <v>0.6</v>
      </c>
      <c r="M237" s="397">
        <v>0.6</v>
      </c>
      <c r="N237" s="397">
        <v>0.6</v>
      </c>
      <c r="O237" s="397">
        <v>0.6</v>
      </c>
      <c r="P237" s="398">
        <v>0.6</v>
      </c>
      <c r="Q237" s="186">
        <v>0.6</v>
      </c>
      <c r="R237" s="186">
        <v>0.6</v>
      </c>
      <c r="S237" s="186">
        <v>0.6</v>
      </c>
      <c r="T237" s="186">
        <v>0.6</v>
      </c>
      <c r="U237" s="186">
        <v>0.6</v>
      </c>
      <c r="V237" s="186">
        <v>0.6</v>
      </c>
      <c r="W237" s="186">
        <v>0.6</v>
      </c>
      <c r="X237" s="186">
        <v>0.6</v>
      </c>
      <c r="Y237" s="186">
        <v>0.6</v>
      </c>
      <c r="Z237" s="186">
        <v>0.6</v>
      </c>
      <c r="AA237" s="186">
        <v>0.6</v>
      </c>
      <c r="AB237" s="186">
        <v>0.6</v>
      </c>
      <c r="AC237" s="186">
        <v>0.6</v>
      </c>
      <c r="AD237" s="186">
        <v>0.6</v>
      </c>
      <c r="AE237" s="186">
        <v>0.6</v>
      </c>
      <c r="AF237" s="186">
        <v>0.6</v>
      </c>
      <c r="AG237" s="186">
        <v>0.6</v>
      </c>
      <c r="AH237" s="186">
        <v>0.6</v>
      </c>
      <c r="AI237" s="186">
        <v>0.6</v>
      </c>
      <c r="AJ237" s="186">
        <v>0.6</v>
      </c>
      <c r="AK237" s="186">
        <v>0.6</v>
      </c>
      <c r="AL237" s="186">
        <v>0.6</v>
      </c>
      <c r="AM237" s="186">
        <v>0.6</v>
      </c>
      <c r="AN237" s="186">
        <v>0.6</v>
      </c>
      <c r="AO237" s="186">
        <v>0.6</v>
      </c>
      <c r="AP237" s="186">
        <v>0.6</v>
      </c>
      <c r="AQ237" s="186">
        <v>0.6</v>
      </c>
      <c r="AR237" s="186">
        <v>0.6</v>
      </c>
      <c r="AS237" s="186">
        <v>0.6</v>
      </c>
      <c r="AT237" s="186">
        <v>0.6</v>
      </c>
      <c r="AU237" s="186">
        <v>0.6</v>
      </c>
      <c r="AV237" s="186">
        <v>0.6</v>
      </c>
      <c r="AW237" s="186">
        <v>0.6</v>
      </c>
      <c r="AX237" s="186">
        <v>0.6</v>
      </c>
      <c r="AY237" s="186">
        <v>0.6</v>
      </c>
      <c r="AZ237" s="186">
        <v>0.6</v>
      </c>
      <c r="BA237" s="186">
        <v>0.6</v>
      </c>
      <c r="BB237" s="186">
        <v>0.6</v>
      </c>
      <c r="BC237" s="186">
        <v>0.6</v>
      </c>
      <c r="BD237" s="186">
        <v>0.6</v>
      </c>
      <c r="BE237" s="186">
        <v>0.6</v>
      </c>
      <c r="BF237" s="186">
        <v>0.6</v>
      </c>
      <c r="BG237" s="186">
        <v>0.6</v>
      </c>
      <c r="BH237" s="186">
        <v>0.6</v>
      </c>
      <c r="BI237" s="186">
        <v>0.6</v>
      </c>
      <c r="BJ237" s="186">
        <v>0.6</v>
      </c>
      <c r="BK237" s="186">
        <v>0.6</v>
      </c>
      <c r="BL237" s="186">
        <v>0.6</v>
      </c>
      <c r="BM237" s="186">
        <v>0.6</v>
      </c>
      <c r="BN237" s="186">
        <v>0.6</v>
      </c>
      <c r="BO237" s="186">
        <v>0.6</v>
      </c>
      <c r="BP237" s="186">
        <v>0.6</v>
      </c>
      <c r="BQ237" s="186">
        <v>0.6</v>
      </c>
      <c r="BR237" s="186">
        <v>0.6</v>
      </c>
      <c r="BS237" s="186">
        <v>0.6</v>
      </c>
      <c r="BT237" s="186">
        <v>0.6</v>
      </c>
      <c r="BU237" s="186">
        <v>0.6</v>
      </c>
      <c r="BV237" s="186">
        <v>0.6</v>
      </c>
      <c r="BW237" s="186">
        <v>0.6</v>
      </c>
      <c r="BX237" s="186">
        <v>0.6</v>
      </c>
      <c r="BY237" s="186">
        <v>0.6</v>
      </c>
      <c r="BZ237" s="186">
        <v>0.6</v>
      </c>
      <c r="CA237" s="186">
        <v>0.6</v>
      </c>
      <c r="CB237" s="186">
        <v>0.6</v>
      </c>
      <c r="CC237" s="186">
        <v>0.6</v>
      </c>
      <c r="CD237" s="186">
        <v>0.6</v>
      </c>
      <c r="CE237" s="186">
        <v>0.6</v>
      </c>
      <c r="CF237" s="186">
        <v>0.6</v>
      </c>
      <c r="CG237" s="186">
        <v>0.6</v>
      </c>
      <c r="CH237" s="186">
        <v>0.6</v>
      </c>
      <c r="CI237" s="186">
        <v>0.6</v>
      </c>
      <c r="CJ237" s="186">
        <v>0.6</v>
      </c>
      <c r="CK237" s="186">
        <v>0.6</v>
      </c>
      <c r="CL237" s="186">
        <v>0.6</v>
      </c>
      <c r="CM237" s="186">
        <v>0.6</v>
      </c>
      <c r="CN237" s="186">
        <v>0.6</v>
      </c>
      <c r="CO237" s="186">
        <v>0.6</v>
      </c>
      <c r="CP237" s="186">
        <v>0.6</v>
      </c>
      <c r="CQ237" s="186">
        <v>0.6</v>
      </c>
      <c r="CR237" s="186">
        <v>0.6</v>
      </c>
      <c r="CS237" s="186">
        <v>0.6</v>
      </c>
      <c r="CT237" s="186">
        <v>0.6</v>
      </c>
      <c r="CU237" s="186">
        <v>0.6</v>
      </c>
      <c r="CV237" s="186">
        <v>0.6</v>
      </c>
    </row>
    <row r="238" spans="1:100">
      <c r="A238" s="541" t="str">
        <f t="shared" si="3"/>
        <v>2320036</v>
      </c>
      <c r="B238" s="541" t="s">
        <v>1656</v>
      </c>
      <c r="C238" s="463" t="s">
        <v>770</v>
      </c>
      <c r="D238" s="397">
        <v>-82</v>
      </c>
      <c r="E238" s="397">
        <v>-206</v>
      </c>
      <c r="F238" s="397">
        <v>-61</v>
      </c>
      <c r="G238" s="397">
        <v>-61</v>
      </c>
      <c r="H238" s="397">
        <v>-132</v>
      </c>
      <c r="I238" s="397">
        <v>-132</v>
      </c>
      <c r="J238" s="397">
        <v>-132</v>
      </c>
      <c r="K238" s="397">
        <v>-132</v>
      </c>
      <c r="L238" s="397">
        <v>-131</v>
      </c>
      <c r="M238" s="397">
        <v>-59</v>
      </c>
      <c r="N238" s="397">
        <v>-59</v>
      </c>
      <c r="O238" s="397">
        <v>-59</v>
      </c>
      <c r="P238" s="398">
        <v>-659</v>
      </c>
      <c r="Q238" s="186">
        <v>-59</v>
      </c>
      <c r="R238" s="186">
        <v>-38</v>
      </c>
      <c r="S238" s="186">
        <v>-36</v>
      </c>
      <c r="T238" s="186">
        <v>-341</v>
      </c>
      <c r="U238" s="186">
        <v>-36</v>
      </c>
      <c r="V238" s="186">
        <v>-36</v>
      </c>
      <c r="W238" s="186">
        <v>-36</v>
      </c>
      <c r="X238" s="186">
        <v>-36</v>
      </c>
      <c r="Y238" s="186">
        <v>-34</v>
      </c>
      <c r="Z238" s="186">
        <v>-34</v>
      </c>
      <c r="AA238" s="186">
        <v>-384</v>
      </c>
      <c r="AB238" s="186">
        <v>-486</v>
      </c>
      <c r="AC238" s="186">
        <v>-541</v>
      </c>
      <c r="AD238" s="186">
        <v>-546</v>
      </c>
      <c r="AE238" s="186">
        <v>-546</v>
      </c>
      <c r="AF238" s="186">
        <v>-554</v>
      </c>
      <c r="AG238" s="186">
        <v>-570</v>
      </c>
      <c r="AH238" s="186">
        <v>-571</v>
      </c>
      <c r="AI238" s="186">
        <v>-571</v>
      </c>
      <c r="AJ238" s="186">
        <v>-576</v>
      </c>
      <c r="AK238" s="186">
        <v>-581</v>
      </c>
      <c r="AL238" s="186">
        <v>-581</v>
      </c>
      <c r="AM238" s="186">
        <v>-581</v>
      </c>
      <c r="AN238" s="186">
        <v>-521</v>
      </c>
      <c r="AO238" s="186">
        <v>-521</v>
      </c>
      <c r="AP238" s="186">
        <v>-521</v>
      </c>
      <c r="AQ238" s="186">
        <v>-518.5</v>
      </c>
      <c r="AR238" s="186">
        <v>-551</v>
      </c>
      <c r="AS238" s="186">
        <v>-593.5</v>
      </c>
      <c r="AT238" s="186">
        <v>-596</v>
      </c>
      <c r="AU238" s="186">
        <v>-596</v>
      </c>
      <c r="AV238" s="186">
        <v>-596</v>
      </c>
      <c r="AW238" s="186">
        <v>-596</v>
      </c>
      <c r="AX238" s="186">
        <v>-596</v>
      </c>
      <c r="AY238" s="186">
        <v>-596</v>
      </c>
      <c r="AZ238" s="186">
        <v>-571</v>
      </c>
      <c r="BA238" s="186">
        <v>-576</v>
      </c>
      <c r="BB238" s="186">
        <v>-574.5</v>
      </c>
      <c r="BC238" s="186">
        <v>-560.29999999999995</v>
      </c>
      <c r="BD238" s="186">
        <v>-562.6</v>
      </c>
      <c r="BE238" s="186">
        <v>-591.4</v>
      </c>
      <c r="BF238" s="186">
        <v>-132.80000000000001</v>
      </c>
      <c r="BG238" s="186">
        <v>-135.80000000000001</v>
      </c>
      <c r="BH238" s="186">
        <v>-156.80000000000001</v>
      </c>
      <c r="BI238" s="186">
        <v>-142.30000000000001</v>
      </c>
      <c r="BJ238" s="186">
        <v>-143.80000000000001</v>
      </c>
      <c r="BK238" s="186">
        <v>-342.8</v>
      </c>
      <c r="BL238" s="186">
        <v>73.2</v>
      </c>
      <c r="BM238" s="186">
        <v>-12.8</v>
      </c>
      <c r="BN238" s="186">
        <v>-434.6</v>
      </c>
      <c r="BO238" s="186">
        <v>-835.85</v>
      </c>
      <c r="BP238" s="186">
        <v>-1193.7</v>
      </c>
      <c r="BQ238" s="186">
        <v>-706</v>
      </c>
      <c r="BR238" s="186">
        <v>-717</v>
      </c>
      <c r="BS238" s="186">
        <v>-1113.3</v>
      </c>
      <c r="BT238" s="186">
        <v>-1453.6</v>
      </c>
      <c r="BU238" s="186">
        <v>-1055.8</v>
      </c>
      <c r="BV238" s="186">
        <v>-1437.1</v>
      </c>
      <c r="BW238" s="186">
        <v>-1072.3</v>
      </c>
      <c r="BX238" s="186">
        <v>-775.5</v>
      </c>
      <c r="BY238" s="186">
        <v>-1367.8</v>
      </c>
      <c r="BZ238" s="186">
        <v>-1232.3</v>
      </c>
      <c r="CA238" s="186">
        <v>-2017.21</v>
      </c>
      <c r="CB238" s="186">
        <v>-2774.9</v>
      </c>
      <c r="CC238" s="186">
        <v>-1714.5</v>
      </c>
      <c r="CD238" s="186">
        <v>-2723</v>
      </c>
      <c r="CE238" s="186">
        <v>-4755</v>
      </c>
      <c r="CF238" s="186">
        <v>-1239</v>
      </c>
      <c r="CG238" s="186">
        <v>-2445.4</v>
      </c>
      <c r="CH238" s="186">
        <v>-2586.9</v>
      </c>
      <c r="CI238" s="186">
        <v>-2833.5</v>
      </c>
      <c r="CJ238" s="186">
        <v>-2560</v>
      </c>
      <c r="CK238" s="186">
        <v>-1696.99</v>
      </c>
      <c r="CL238" s="186">
        <v>-3535.66</v>
      </c>
      <c r="CM238" s="186">
        <v>-3684.8</v>
      </c>
      <c r="CN238" s="186">
        <v>-1713.14</v>
      </c>
      <c r="CO238" s="186">
        <v>-4978.2299999999996</v>
      </c>
      <c r="CP238" s="186">
        <v>-6772.33</v>
      </c>
      <c r="CQ238" s="186">
        <v>-8614.26</v>
      </c>
      <c r="CR238" s="186">
        <v>-1914.3</v>
      </c>
      <c r="CS238" s="186">
        <v>-3801.37</v>
      </c>
      <c r="CT238" s="186">
        <v>-5775.97</v>
      </c>
      <c r="CU238" s="186">
        <v>-2024.1</v>
      </c>
      <c r="CV238" s="186">
        <v>-9968.5499999999993</v>
      </c>
    </row>
    <row r="239" spans="1:100">
      <c r="A239" s="541" t="str">
        <f t="shared" si="3"/>
        <v>2320037</v>
      </c>
      <c r="B239" s="541" t="s">
        <v>1657</v>
      </c>
      <c r="C239" s="463" t="s">
        <v>771</v>
      </c>
      <c r="D239" s="397">
        <v>21.44</v>
      </c>
      <c r="E239" s="397">
        <v>37.450000000000003</v>
      </c>
      <c r="F239" s="397">
        <v>144.71</v>
      </c>
      <c r="G239" s="397">
        <v>78.290000000000006</v>
      </c>
      <c r="H239" s="397">
        <v>103.99</v>
      </c>
      <c r="I239" s="397">
        <v>138.13999999999999</v>
      </c>
      <c r="J239" s="397">
        <v>263.51</v>
      </c>
      <c r="K239" s="397">
        <v>134.94</v>
      </c>
      <c r="L239" s="397">
        <v>145.32</v>
      </c>
      <c r="M239" s="397">
        <v>143.97999999999999</v>
      </c>
      <c r="N239" s="397">
        <v>143.13999999999999</v>
      </c>
      <c r="O239" s="397">
        <v>274.02999999999997</v>
      </c>
      <c r="P239" s="398">
        <v>182.17</v>
      </c>
      <c r="Q239" s="186">
        <v>258.05</v>
      </c>
      <c r="R239" s="186">
        <v>192.45</v>
      </c>
      <c r="S239" s="186">
        <v>259.02</v>
      </c>
      <c r="T239" s="186">
        <v>292.67</v>
      </c>
      <c r="U239" s="186">
        <v>384.47</v>
      </c>
      <c r="V239" s="186">
        <v>428.86</v>
      </c>
      <c r="W239" s="186">
        <v>470.72</v>
      </c>
      <c r="X239" s="186">
        <v>498.44</v>
      </c>
      <c r="Y239" s="186">
        <v>722.48</v>
      </c>
      <c r="Z239" s="186">
        <v>-1468.39</v>
      </c>
      <c r="AA239" s="186">
        <v>891.89</v>
      </c>
      <c r="AB239" s="186">
        <v>999</v>
      </c>
      <c r="AC239" s="186">
        <v>889.25</v>
      </c>
      <c r="AD239" s="186">
        <v>960.66</v>
      </c>
      <c r="AE239" s="186">
        <v>1244.46</v>
      </c>
      <c r="AF239" s="186">
        <v>1348.3</v>
      </c>
      <c r="AG239" s="186">
        <v>1640.03</v>
      </c>
      <c r="AH239" s="186">
        <v>1126.67</v>
      </c>
      <c r="AI239" s="186">
        <v>-1687.4</v>
      </c>
      <c r="AJ239" s="186">
        <v>1201.18</v>
      </c>
      <c r="AK239" s="186">
        <v>1236.42</v>
      </c>
      <c r="AL239" s="186">
        <v>1435.21</v>
      </c>
      <c r="AM239" s="186">
        <v>-1619.15</v>
      </c>
      <c r="AN239" s="186">
        <v>1413.2</v>
      </c>
      <c r="AO239" s="186">
        <v>-1651.59</v>
      </c>
      <c r="AP239" s="186">
        <v>-1759.14</v>
      </c>
      <c r="AQ239" s="186">
        <v>1514</v>
      </c>
      <c r="AR239" s="186">
        <v>1608.65</v>
      </c>
      <c r="AS239" s="186">
        <v>-1621.39</v>
      </c>
      <c r="AT239" s="186">
        <v>-1249.1400000000001</v>
      </c>
      <c r="AU239" s="186">
        <v>2387.17</v>
      </c>
      <c r="AV239" s="186">
        <v>-1439.28</v>
      </c>
      <c r="AW239" s="186">
        <v>-1436.91</v>
      </c>
      <c r="AX239" s="186">
        <v>-1365.51</v>
      </c>
      <c r="AY239" s="186">
        <v>2146.4299999999998</v>
      </c>
      <c r="AZ239" s="186">
        <v>-1301.3900000000001</v>
      </c>
      <c r="BA239" s="186">
        <v>-1318.23</v>
      </c>
      <c r="BB239" s="186">
        <v>-4958.38</v>
      </c>
      <c r="BC239" s="186">
        <v>-1560.21</v>
      </c>
      <c r="BD239" s="186">
        <v>1962.89</v>
      </c>
      <c r="BE239" s="186">
        <v>-1683.38</v>
      </c>
      <c r="BF239" s="186">
        <v>1972.55</v>
      </c>
      <c r="BG239" s="186">
        <v>1985.15</v>
      </c>
      <c r="BH239" s="186">
        <v>1958.94</v>
      </c>
      <c r="BI239" s="186">
        <v>1988.97</v>
      </c>
      <c r="BJ239" s="186">
        <v>1947.74</v>
      </c>
      <c r="BK239" s="186">
        <v>1977.7</v>
      </c>
      <c r="BL239" s="186">
        <v>393.48</v>
      </c>
      <c r="BM239" s="186">
        <v>478.82</v>
      </c>
      <c r="BN239" s="186">
        <v>543.9</v>
      </c>
      <c r="BO239" s="186">
        <v>-343.52</v>
      </c>
      <c r="BP239" s="186">
        <v>-334.83</v>
      </c>
      <c r="BQ239" s="186">
        <v>-148.46</v>
      </c>
      <c r="BR239" s="186">
        <v>-302.83</v>
      </c>
      <c r="BS239" s="186">
        <v>92.25</v>
      </c>
      <c r="BT239" s="186">
        <v>156.80000000000001</v>
      </c>
      <c r="BU239" s="186">
        <v>269.73</v>
      </c>
      <c r="BV239" s="186">
        <v>371.4</v>
      </c>
      <c r="BW239" s="186">
        <v>419</v>
      </c>
      <c r="BX239" s="186">
        <v>-106.45</v>
      </c>
      <c r="BY239" s="186">
        <v>357.63</v>
      </c>
      <c r="BZ239" s="186">
        <v>328.93</v>
      </c>
      <c r="CA239" s="186">
        <v>0</v>
      </c>
      <c r="CB239" s="186">
        <v>181.18</v>
      </c>
      <c r="CC239" s="186">
        <v>424.53</v>
      </c>
      <c r="CD239" s="186">
        <v>0</v>
      </c>
      <c r="CE239" s="186">
        <v>160.85</v>
      </c>
      <c r="CF239" s="186">
        <v>467.26</v>
      </c>
      <c r="CG239" s="186">
        <v>-401.3</v>
      </c>
      <c r="CH239" s="186">
        <v>-162.52000000000001</v>
      </c>
      <c r="CI239" s="186">
        <v>-6.46</v>
      </c>
      <c r="CJ239" s="186">
        <v>0</v>
      </c>
      <c r="CK239" s="186">
        <v>316.16000000000003</v>
      </c>
      <c r="CL239" s="186">
        <v>-4359.63</v>
      </c>
      <c r="CM239" s="186">
        <v>552.19000000000005</v>
      </c>
      <c r="CN239" s="186">
        <v>537.94000000000005</v>
      </c>
      <c r="CO239" s="186">
        <v>649.29</v>
      </c>
      <c r="CP239" s="186">
        <v>979.81</v>
      </c>
      <c r="CQ239" s="186">
        <v>1016.18</v>
      </c>
      <c r="CR239" s="186">
        <v>1378.33</v>
      </c>
      <c r="CS239" s="186">
        <v>1481.16</v>
      </c>
      <c r="CT239" s="186">
        <v>-3267.96</v>
      </c>
      <c r="CU239" s="186">
        <v>-3121.04</v>
      </c>
      <c r="CV239" s="186">
        <v>-9478.01</v>
      </c>
    </row>
    <row r="240" spans="1:100">
      <c r="A240" s="541" t="str">
        <f>+B240</f>
        <v>2320040</v>
      </c>
      <c r="B240" s="541" t="s">
        <v>2388</v>
      </c>
      <c r="C240" s="463" t="s">
        <v>2389</v>
      </c>
      <c r="D240" s="397">
        <v>0</v>
      </c>
      <c r="E240" s="397">
        <v>0</v>
      </c>
      <c r="F240" s="397">
        <v>0</v>
      </c>
      <c r="G240" s="397">
        <v>0</v>
      </c>
      <c r="H240" s="397">
        <v>0</v>
      </c>
      <c r="I240" s="397">
        <v>0</v>
      </c>
      <c r="J240" s="397">
        <v>0</v>
      </c>
      <c r="K240" s="397">
        <v>0</v>
      </c>
      <c r="L240" s="397">
        <v>0</v>
      </c>
      <c r="M240" s="397">
        <v>0</v>
      </c>
      <c r="N240" s="397">
        <v>0</v>
      </c>
      <c r="O240" s="397">
        <v>0</v>
      </c>
      <c r="P240" s="398">
        <v>0</v>
      </c>
      <c r="Q240" s="186">
        <v>0</v>
      </c>
      <c r="R240" s="186">
        <v>0</v>
      </c>
      <c r="S240" s="186">
        <v>0</v>
      </c>
      <c r="T240" s="186">
        <v>0</v>
      </c>
      <c r="U240" s="186">
        <v>0</v>
      </c>
      <c r="V240" s="186">
        <v>0</v>
      </c>
      <c r="W240" s="186">
        <v>0</v>
      </c>
      <c r="X240" s="186">
        <v>0</v>
      </c>
      <c r="Y240" s="186">
        <v>0</v>
      </c>
      <c r="Z240" s="186">
        <v>0</v>
      </c>
      <c r="AA240" s="186">
        <v>0</v>
      </c>
      <c r="AB240" s="186">
        <v>0</v>
      </c>
      <c r="AC240" s="186">
        <v>0</v>
      </c>
      <c r="AD240" s="186">
        <v>0</v>
      </c>
      <c r="AE240" s="186">
        <v>0</v>
      </c>
      <c r="AF240" s="186">
        <v>0</v>
      </c>
      <c r="AG240" s="186">
        <v>0</v>
      </c>
      <c r="AH240" s="186">
        <v>0</v>
      </c>
      <c r="AI240" s="186">
        <v>0</v>
      </c>
      <c r="AJ240" s="186">
        <v>0</v>
      </c>
      <c r="AK240" s="186">
        <v>0</v>
      </c>
      <c r="AL240" s="186">
        <v>0</v>
      </c>
      <c r="AM240" s="186">
        <v>0</v>
      </c>
      <c r="AN240" s="186">
        <v>0</v>
      </c>
      <c r="AO240" s="186">
        <v>0</v>
      </c>
      <c r="AP240" s="186">
        <v>0</v>
      </c>
      <c r="AQ240" s="186">
        <v>0</v>
      </c>
      <c r="AR240" s="186">
        <v>0</v>
      </c>
      <c r="AS240" s="186">
        <v>0</v>
      </c>
      <c r="AT240" s="186">
        <v>0</v>
      </c>
      <c r="AU240" s="186">
        <v>0</v>
      </c>
      <c r="AV240" s="186">
        <v>0</v>
      </c>
      <c r="AW240" s="186">
        <v>0</v>
      </c>
      <c r="AX240" s="186">
        <v>0</v>
      </c>
      <c r="AY240" s="186">
        <v>0</v>
      </c>
      <c r="AZ240" s="186">
        <v>0</v>
      </c>
      <c r="BA240" s="186">
        <v>0</v>
      </c>
      <c r="BB240" s="186">
        <v>0</v>
      </c>
      <c r="BC240" s="186">
        <v>0</v>
      </c>
      <c r="BD240" s="186">
        <v>0</v>
      </c>
      <c r="BE240" s="186">
        <v>0</v>
      </c>
      <c r="BF240" s="186">
        <v>0</v>
      </c>
      <c r="BG240" s="186">
        <v>0</v>
      </c>
      <c r="BH240" s="186">
        <v>0</v>
      </c>
      <c r="BI240" s="186">
        <v>0</v>
      </c>
      <c r="BJ240" s="186">
        <v>0</v>
      </c>
      <c r="BK240" s="186">
        <v>0</v>
      </c>
      <c r="BL240" s="186">
        <v>0</v>
      </c>
      <c r="BM240" s="186">
        <v>0</v>
      </c>
      <c r="BN240" s="186">
        <v>0</v>
      </c>
      <c r="BO240" s="186">
        <v>0</v>
      </c>
      <c r="BP240" s="186">
        <v>0</v>
      </c>
      <c r="BQ240" s="186">
        <v>0</v>
      </c>
      <c r="BR240" s="186">
        <v>0</v>
      </c>
      <c r="BS240" s="186">
        <v>0</v>
      </c>
      <c r="BT240" s="186">
        <v>0</v>
      </c>
      <c r="BU240" s="186">
        <v>0</v>
      </c>
      <c r="BV240" s="186">
        <v>-1435</v>
      </c>
      <c r="BW240" s="186">
        <v>-1435</v>
      </c>
      <c r="BX240" s="186">
        <v>0</v>
      </c>
      <c r="BY240" s="186">
        <v>0</v>
      </c>
      <c r="BZ240" s="186">
        <v>0</v>
      </c>
      <c r="CA240" s="186">
        <v>0</v>
      </c>
      <c r="CB240" s="186">
        <v>0</v>
      </c>
      <c r="CC240" s="186">
        <v>0</v>
      </c>
      <c r="CD240" s="186">
        <v>0</v>
      </c>
      <c r="CE240" s="186">
        <v>0</v>
      </c>
      <c r="CF240" s="186">
        <v>0</v>
      </c>
      <c r="CG240" s="186">
        <v>0</v>
      </c>
      <c r="CH240" s="186">
        <v>0</v>
      </c>
      <c r="CI240" s="186">
        <v>0</v>
      </c>
      <c r="CJ240" s="186">
        <v>0</v>
      </c>
      <c r="CK240" s="186">
        <v>0</v>
      </c>
      <c r="CL240" s="186">
        <v>0</v>
      </c>
      <c r="CM240" s="186">
        <v>0</v>
      </c>
      <c r="CN240" s="186">
        <v>0</v>
      </c>
      <c r="CO240" s="186">
        <v>0</v>
      </c>
      <c r="CP240" s="186">
        <v>0</v>
      </c>
      <c r="CQ240" s="186">
        <v>0</v>
      </c>
      <c r="CR240" s="186">
        <v>0</v>
      </c>
      <c r="CS240" s="186">
        <v>0</v>
      </c>
      <c r="CT240" s="186">
        <v>0</v>
      </c>
      <c r="CU240" s="186">
        <v>0</v>
      </c>
      <c r="CV240" s="186">
        <v>0</v>
      </c>
    </row>
    <row r="241" spans="1:100">
      <c r="A241" s="541" t="str">
        <f t="shared" si="3"/>
        <v>2320047</v>
      </c>
      <c r="B241" s="541" t="s">
        <v>1658</v>
      </c>
      <c r="C241" s="463" t="s">
        <v>772</v>
      </c>
      <c r="D241" s="397">
        <v>0</v>
      </c>
      <c r="E241" s="397">
        <v>0</v>
      </c>
      <c r="F241" s="397">
        <v>0</v>
      </c>
      <c r="G241" s="397">
        <v>0</v>
      </c>
      <c r="H241" s="397">
        <v>0</v>
      </c>
      <c r="I241" s="397">
        <v>-7497.6</v>
      </c>
      <c r="J241" s="397">
        <v>0</v>
      </c>
      <c r="K241" s="397">
        <v>0</v>
      </c>
      <c r="L241" s="397">
        <v>0</v>
      </c>
      <c r="M241" s="397">
        <v>0</v>
      </c>
      <c r="N241" s="397">
        <v>0</v>
      </c>
      <c r="O241" s="397">
        <v>-7382.1</v>
      </c>
      <c r="P241" s="398">
        <v>0</v>
      </c>
      <c r="Q241" s="186">
        <v>0</v>
      </c>
      <c r="R241" s="186">
        <v>0</v>
      </c>
      <c r="S241" s="186">
        <v>0</v>
      </c>
      <c r="T241" s="186">
        <v>0</v>
      </c>
      <c r="U241" s="186">
        <v>-6775.97</v>
      </c>
      <c r="V241" s="186">
        <v>0</v>
      </c>
      <c r="W241" s="186">
        <v>0</v>
      </c>
      <c r="X241" s="186">
        <v>0</v>
      </c>
      <c r="Y241" s="186">
        <v>0</v>
      </c>
      <c r="Z241" s="186">
        <v>0</v>
      </c>
      <c r="AA241" s="186">
        <v>-6775.97</v>
      </c>
      <c r="AB241" s="186">
        <v>0</v>
      </c>
      <c r="AC241" s="186">
        <v>0</v>
      </c>
      <c r="AD241" s="186">
        <v>-7444.64</v>
      </c>
      <c r="AE241" s="186">
        <v>0</v>
      </c>
      <c r="AF241" s="186">
        <v>0</v>
      </c>
      <c r="AG241" s="186">
        <v>-7739.04</v>
      </c>
      <c r="AH241" s="186">
        <v>0</v>
      </c>
      <c r="AI241" s="186">
        <v>0</v>
      </c>
      <c r="AJ241" s="186">
        <v>0</v>
      </c>
      <c r="AK241" s="186">
        <v>0</v>
      </c>
      <c r="AL241" s="186">
        <v>0</v>
      </c>
      <c r="AM241" s="186">
        <v>0</v>
      </c>
      <c r="AN241" s="186">
        <v>0</v>
      </c>
      <c r="AO241" s="186">
        <v>0</v>
      </c>
      <c r="AP241" s="186">
        <v>0</v>
      </c>
      <c r="AQ241" s="186">
        <v>0</v>
      </c>
      <c r="AR241" s="186">
        <v>0</v>
      </c>
      <c r="AS241" s="186">
        <v>0</v>
      </c>
      <c r="AT241" s="186">
        <v>0</v>
      </c>
      <c r="AU241" s="186">
        <v>0</v>
      </c>
      <c r="AV241" s="186">
        <v>0</v>
      </c>
      <c r="AW241" s="186">
        <v>0</v>
      </c>
      <c r="AX241" s="186">
        <v>0</v>
      </c>
      <c r="AY241" s="186">
        <v>0</v>
      </c>
      <c r="AZ241" s="186">
        <v>0</v>
      </c>
      <c r="BA241" s="186">
        <v>0</v>
      </c>
      <c r="BB241" s="186">
        <v>0</v>
      </c>
      <c r="BC241" s="186">
        <v>0</v>
      </c>
      <c r="BD241" s="186">
        <v>0</v>
      </c>
      <c r="BE241" s="186">
        <v>0</v>
      </c>
      <c r="BF241" s="186">
        <v>0</v>
      </c>
      <c r="BG241" s="186">
        <v>0</v>
      </c>
      <c r="BH241" s="186">
        <v>0</v>
      </c>
      <c r="BI241" s="186">
        <v>0</v>
      </c>
      <c r="BJ241" s="186">
        <v>0</v>
      </c>
      <c r="BK241" s="186">
        <v>0</v>
      </c>
      <c r="BL241" s="186">
        <v>0</v>
      </c>
      <c r="BM241" s="186">
        <v>0</v>
      </c>
      <c r="BN241" s="186">
        <v>0</v>
      </c>
      <c r="BO241" s="186">
        <v>0</v>
      </c>
      <c r="BP241" s="186">
        <v>0</v>
      </c>
      <c r="BQ241" s="186">
        <v>0</v>
      </c>
      <c r="BR241" s="186">
        <v>0</v>
      </c>
      <c r="BS241" s="186">
        <v>0</v>
      </c>
      <c r="BT241" s="186">
        <v>0</v>
      </c>
      <c r="BU241" s="186">
        <v>0</v>
      </c>
      <c r="BV241" s="186">
        <v>0</v>
      </c>
      <c r="BW241" s="186">
        <v>0</v>
      </c>
      <c r="BX241" s="186">
        <v>0</v>
      </c>
      <c r="BY241" s="186">
        <v>0</v>
      </c>
      <c r="BZ241" s="186">
        <v>0</v>
      </c>
      <c r="CA241" s="186">
        <v>0</v>
      </c>
      <c r="CB241" s="186">
        <v>0</v>
      </c>
      <c r="CC241" s="186">
        <v>0</v>
      </c>
      <c r="CD241" s="186">
        <v>0</v>
      </c>
      <c r="CE241" s="186">
        <v>0</v>
      </c>
      <c r="CF241" s="186">
        <v>0</v>
      </c>
      <c r="CG241" s="186">
        <v>0</v>
      </c>
      <c r="CH241" s="186">
        <v>0</v>
      </c>
      <c r="CI241" s="186">
        <v>0</v>
      </c>
      <c r="CJ241" s="186">
        <v>0</v>
      </c>
      <c r="CK241" s="186">
        <v>0</v>
      </c>
      <c r="CL241" s="186">
        <v>0</v>
      </c>
      <c r="CM241" s="186">
        <v>0</v>
      </c>
      <c r="CN241" s="186">
        <v>0</v>
      </c>
      <c r="CO241" s="186">
        <v>0</v>
      </c>
      <c r="CP241" s="186">
        <v>0</v>
      </c>
      <c r="CQ241" s="186">
        <v>0</v>
      </c>
      <c r="CR241" s="186">
        <v>0</v>
      </c>
      <c r="CS241" s="186">
        <v>0</v>
      </c>
      <c r="CT241" s="186">
        <v>0</v>
      </c>
      <c r="CU241" s="186">
        <v>0</v>
      </c>
      <c r="CV241" s="186">
        <v>0</v>
      </c>
    </row>
    <row r="242" spans="1:100">
      <c r="A242" s="541" t="str">
        <f t="shared" si="3"/>
        <v>2320999</v>
      </c>
      <c r="B242" s="541" t="s">
        <v>1659</v>
      </c>
      <c r="C242" s="463" t="s">
        <v>773</v>
      </c>
      <c r="D242" s="397">
        <v>1000</v>
      </c>
      <c r="E242" s="397">
        <v>0</v>
      </c>
      <c r="F242" s="397">
        <v>0</v>
      </c>
      <c r="G242" s="397">
        <v>0</v>
      </c>
      <c r="H242" s="397">
        <v>0</v>
      </c>
      <c r="I242" s="397">
        <v>0</v>
      </c>
      <c r="J242" s="397">
        <v>0</v>
      </c>
      <c r="K242" s="397">
        <v>0</v>
      </c>
      <c r="L242" s="397">
        <v>0</v>
      </c>
      <c r="M242" s="397">
        <v>0</v>
      </c>
      <c r="N242" s="397">
        <v>0</v>
      </c>
      <c r="O242" s="397">
        <v>0</v>
      </c>
      <c r="P242" s="398">
        <v>0</v>
      </c>
      <c r="Q242" s="186">
        <v>0</v>
      </c>
      <c r="R242" s="186">
        <v>0</v>
      </c>
      <c r="S242" s="186">
        <v>0</v>
      </c>
      <c r="T242" s="186">
        <v>0</v>
      </c>
      <c r="U242" s="186">
        <v>0</v>
      </c>
      <c r="V242" s="186">
        <v>0</v>
      </c>
      <c r="W242" s="186">
        <v>0</v>
      </c>
      <c r="X242" s="186">
        <v>0</v>
      </c>
      <c r="Y242" s="186">
        <v>0</v>
      </c>
      <c r="Z242" s="186">
        <v>0</v>
      </c>
      <c r="AA242" s="186">
        <v>0</v>
      </c>
      <c r="AB242" s="186">
        <v>0</v>
      </c>
      <c r="AC242" s="186">
        <v>0</v>
      </c>
      <c r="AD242" s="186">
        <v>0</v>
      </c>
      <c r="AE242" s="186">
        <v>0</v>
      </c>
      <c r="AF242" s="186">
        <v>0</v>
      </c>
      <c r="AG242" s="186">
        <v>0</v>
      </c>
      <c r="AH242" s="186">
        <v>0</v>
      </c>
      <c r="AI242" s="186">
        <v>0</v>
      </c>
      <c r="AJ242" s="186">
        <v>0</v>
      </c>
      <c r="AK242" s="186">
        <v>0</v>
      </c>
      <c r="AL242" s="186">
        <v>0</v>
      </c>
      <c r="AM242" s="186">
        <v>0</v>
      </c>
      <c r="AN242" s="186">
        <v>0</v>
      </c>
      <c r="AO242" s="186">
        <v>0</v>
      </c>
      <c r="AP242" s="186">
        <v>0</v>
      </c>
      <c r="AQ242" s="186">
        <v>0</v>
      </c>
      <c r="AR242" s="186">
        <v>0</v>
      </c>
      <c r="AS242" s="186">
        <v>0</v>
      </c>
      <c r="AT242" s="186">
        <v>0</v>
      </c>
      <c r="AU242" s="186">
        <v>0</v>
      </c>
      <c r="AV242" s="186">
        <v>0</v>
      </c>
      <c r="AW242" s="186">
        <v>0</v>
      </c>
      <c r="AX242" s="186">
        <v>0</v>
      </c>
      <c r="AY242" s="186">
        <v>0</v>
      </c>
      <c r="AZ242" s="186">
        <v>0</v>
      </c>
      <c r="BA242" s="186">
        <v>0</v>
      </c>
      <c r="BB242" s="186">
        <v>0</v>
      </c>
      <c r="BC242" s="186">
        <v>0</v>
      </c>
      <c r="BD242" s="186">
        <v>0</v>
      </c>
      <c r="BE242" s="186">
        <v>0</v>
      </c>
      <c r="BF242" s="186">
        <v>0</v>
      </c>
      <c r="BG242" s="186">
        <v>0</v>
      </c>
      <c r="BH242" s="186">
        <v>0</v>
      </c>
      <c r="BI242" s="186">
        <v>0</v>
      </c>
      <c r="BJ242" s="186">
        <v>0</v>
      </c>
      <c r="BK242" s="186">
        <v>0</v>
      </c>
      <c r="BL242" s="186">
        <v>0</v>
      </c>
      <c r="BM242" s="186">
        <v>0</v>
      </c>
      <c r="BN242" s="186">
        <v>0</v>
      </c>
      <c r="BO242" s="186">
        <v>0</v>
      </c>
      <c r="BP242" s="186">
        <v>0</v>
      </c>
      <c r="BQ242" s="186">
        <v>0</v>
      </c>
      <c r="BR242" s="186">
        <v>0</v>
      </c>
      <c r="BS242" s="186">
        <v>0</v>
      </c>
      <c r="BT242" s="186">
        <v>0</v>
      </c>
      <c r="BU242" s="186">
        <v>0</v>
      </c>
      <c r="BV242" s="186">
        <v>0</v>
      </c>
      <c r="BW242" s="186">
        <v>0</v>
      </c>
      <c r="BX242" s="186">
        <v>0</v>
      </c>
      <c r="BY242" s="186">
        <v>0</v>
      </c>
      <c r="BZ242" s="186">
        <v>0</v>
      </c>
      <c r="CA242" s="186">
        <v>0</v>
      </c>
      <c r="CB242" s="186">
        <v>0</v>
      </c>
      <c r="CC242" s="186">
        <v>0</v>
      </c>
      <c r="CD242" s="186">
        <v>0</v>
      </c>
      <c r="CE242" s="186">
        <v>0</v>
      </c>
      <c r="CF242" s="186">
        <v>0</v>
      </c>
      <c r="CG242" s="186">
        <v>0</v>
      </c>
      <c r="CH242" s="186">
        <v>0</v>
      </c>
      <c r="CI242" s="186">
        <v>0</v>
      </c>
      <c r="CJ242" s="186">
        <v>0</v>
      </c>
      <c r="CK242" s="186">
        <v>0</v>
      </c>
      <c r="CL242" s="186">
        <v>0</v>
      </c>
      <c r="CM242" s="186">
        <v>0</v>
      </c>
      <c r="CN242" s="186">
        <v>0</v>
      </c>
      <c r="CO242" s="186">
        <v>0</v>
      </c>
      <c r="CP242" s="186">
        <v>0</v>
      </c>
      <c r="CQ242" s="186">
        <v>0</v>
      </c>
      <c r="CR242" s="186">
        <v>0</v>
      </c>
      <c r="CS242" s="186">
        <v>0</v>
      </c>
      <c r="CT242" s="186">
        <v>0</v>
      </c>
      <c r="CU242" s="186">
        <v>0</v>
      </c>
      <c r="CV242" s="186">
        <v>0</v>
      </c>
    </row>
    <row r="243" spans="1:100">
      <c r="A243" s="541" t="str">
        <f t="shared" si="3"/>
        <v>2330711</v>
      </c>
      <c r="B243" s="541" t="s">
        <v>887</v>
      </c>
      <c r="C243" s="463" t="s">
        <v>774</v>
      </c>
      <c r="D243" s="397">
        <v>0</v>
      </c>
      <c r="E243" s="397">
        <v>0</v>
      </c>
      <c r="F243" s="397">
        <v>0</v>
      </c>
      <c r="G243" s="397">
        <v>0</v>
      </c>
      <c r="H243" s="397">
        <v>0</v>
      </c>
      <c r="I243" s="397">
        <v>0</v>
      </c>
      <c r="J243" s="397">
        <v>0</v>
      </c>
      <c r="K243" s="397">
        <v>0</v>
      </c>
      <c r="L243" s="397">
        <v>-800000</v>
      </c>
      <c r="M243" s="397">
        <v>-4700000</v>
      </c>
      <c r="N243" s="397">
        <v>0</v>
      </c>
      <c r="O243" s="397">
        <v>0</v>
      </c>
      <c r="P243" s="398">
        <v>0</v>
      </c>
      <c r="Q243" s="186">
        <v>0</v>
      </c>
      <c r="R243" s="186">
        <v>0</v>
      </c>
      <c r="S243" s="186">
        <v>0</v>
      </c>
      <c r="T243" s="186">
        <v>0</v>
      </c>
      <c r="U243" s="186">
        <v>0</v>
      </c>
      <c r="V243" s="186">
        <v>0</v>
      </c>
      <c r="W243" s="186">
        <v>0</v>
      </c>
      <c r="X243" s="186">
        <v>0</v>
      </c>
      <c r="Y243" s="186">
        <v>0</v>
      </c>
      <c r="Z243" s="186">
        <v>0</v>
      </c>
      <c r="AA243" s="186">
        <v>0</v>
      </c>
      <c r="AB243" s="186">
        <v>0</v>
      </c>
      <c r="AC243" s="186">
        <v>0</v>
      </c>
      <c r="AD243" s="186">
        <v>0</v>
      </c>
      <c r="AE243" s="186">
        <v>0</v>
      </c>
      <c r="AF243" s="186">
        <v>0</v>
      </c>
      <c r="AG243" s="186">
        <v>0</v>
      </c>
      <c r="AH243" s="186">
        <v>-600000</v>
      </c>
      <c r="AI243" s="186">
        <v>0</v>
      </c>
      <c r="AJ243" s="186">
        <v>0</v>
      </c>
      <c r="AK243" s="186">
        <v>0</v>
      </c>
      <c r="AL243" s="186">
        <v>0</v>
      </c>
      <c r="AM243" s="186">
        <v>0</v>
      </c>
      <c r="AN243" s="186">
        <v>0</v>
      </c>
      <c r="AO243" s="186">
        <v>0</v>
      </c>
      <c r="AP243" s="186">
        <v>0</v>
      </c>
      <c r="AQ243" s="186">
        <v>0</v>
      </c>
      <c r="AR243" s="186">
        <v>0</v>
      </c>
      <c r="AS243" s="186">
        <v>-1700000</v>
      </c>
      <c r="AT243" s="186">
        <v>0</v>
      </c>
      <c r="AU243" s="186">
        <v>0</v>
      </c>
      <c r="AV243" s="186">
        <v>0</v>
      </c>
      <c r="AW243" s="186">
        <v>0</v>
      </c>
      <c r="AX243" s="186">
        <v>0</v>
      </c>
      <c r="AY243" s="186">
        <v>-46059900</v>
      </c>
      <c r="AZ243" s="186">
        <v>-52684300</v>
      </c>
      <c r="BA243" s="186">
        <v>-50045713</v>
      </c>
      <c r="BB243" s="186">
        <v>0</v>
      </c>
      <c r="BC243" s="186">
        <v>0</v>
      </c>
      <c r="BD243" s="186">
        <v>0</v>
      </c>
      <c r="BE243" s="186">
        <v>0</v>
      </c>
      <c r="BF243" s="186">
        <v>0</v>
      </c>
      <c r="BG243" s="186">
        <v>0</v>
      </c>
      <c r="BH243" s="186">
        <v>0</v>
      </c>
      <c r="BI243" s="186">
        <v>0</v>
      </c>
      <c r="BJ243" s="186">
        <v>-26601973.98</v>
      </c>
      <c r="BK243" s="186">
        <v>0</v>
      </c>
      <c r="BL243" s="186">
        <v>0</v>
      </c>
      <c r="BM243" s="186">
        <v>0</v>
      </c>
      <c r="BN243" s="186">
        <v>0</v>
      </c>
      <c r="BO243" s="186">
        <v>0</v>
      </c>
      <c r="BP243" s="186">
        <v>0</v>
      </c>
      <c r="BQ243" s="186">
        <v>0</v>
      </c>
      <c r="BR243" s="186">
        <v>0</v>
      </c>
      <c r="BS243" s="186">
        <v>0</v>
      </c>
      <c r="BT243" s="186">
        <v>0</v>
      </c>
      <c r="BU243" s="186">
        <v>0</v>
      </c>
      <c r="BV243" s="186">
        <v>0</v>
      </c>
      <c r="BW243" s="186">
        <v>0</v>
      </c>
      <c r="BX243" s="186">
        <v>0</v>
      </c>
      <c r="BY243" s="186">
        <v>0</v>
      </c>
      <c r="BZ243" s="186">
        <v>0</v>
      </c>
      <c r="CA243" s="186">
        <v>0</v>
      </c>
      <c r="CB243" s="186">
        <v>0</v>
      </c>
      <c r="CC243" s="186">
        <v>0</v>
      </c>
      <c r="CD243" s="186">
        <v>0</v>
      </c>
      <c r="CE243" s="186">
        <v>0</v>
      </c>
      <c r="CF243" s="186">
        <v>0</v>
      </c>
      <c r="CG243" s="186">
        <v>0</v>
      </c>
      <c r="CH243" s="186">
        <v>0</v>
      </c>
      <c r="CI243" s="186">
        <v>0</v>
      </c>
      <c r="CJ243" s="186">
        <v>0</v>
      </c>
      <c r="CK243" s="186">
        <v>0</v>
      </c>
      <c r="CL243" s="186">
        <v>0</v>
      </c>
      <c r="CM243" s="186">
        <v>-4181104</v>
      </c>
      <c r="CN243" s="186">
        <v>0</v>
      </c>
      <c r="CO243" s="186">
        <v>0</v>
      </c>
      <c r="CP243" s="186">
        <v>0</v>
      </c>
      <c r="CQ243" s="186">
        <v>0</v>
      </c>
      <c r="CR243" s="186">
        <v>0</v>
      </c>
      <c r="CS243" s="186">
        <v>0</v>
      </c>
      <c r="CT243" s="186">
        <v>0</v>
      </c>
      <c r="CU243" s="186">
        <v>0</v>
      </c>
      <c r="CV243" s="186">
        <v>0</v>
      </c>
    </row>
    <row r="244" spans="1:100">
      <c r="A244" s="541" t="str">
        <f t="shared" si="3"/>
        <v>2340700</v>
      </c>
      <c r="B244" s="541" t="s">
        <v>1660</v>
      </c>
      <c r="C244" s="463" t="s">
        <v>775</v>
      </c>
      <c r="D244" s="397">
        <v>-7103154.0499999998</v>
      </c>
      <c r="E244" s="397">
        <v>-5604995.96</v>
      </c>
      <c r="F244" s="397">
        <v>-5479917.0099999998</v>
      </c>
      <c r="G244" s="397">
        <v>-5898273.3899999997</v>
      </c>
      <c r="H244" s="397">
        <v>-5243408.34</v>
      </c>
      <c r="I244" s="397">
        <v>-19900860.989999998</v>
      </c>
      <c r="J244" s="397">
        <v>-13833685.859999999</v>
      </c>
      <c r="K244" s="397">
        <v>-6033196.0800000001</v>
      </c>
      <c r="L244" s="397">
        <v>-5013447.95</v>
      </c>
      <c r="M244" s="397">
        <v>-4738593.17</v>
      </c>
      <c r="N244" s="397">
        <v>-4804396.34</v>
      </c>
      <c r="O244" s="397">
        <v>-9784161.2300000004</v>
      </c>
      <c r="P244" s="398">
        <v>-6931672.9800000004</v>
      </c>
      <c r="Q244" s="186">
        <v>-5711194.25</v>
      </c>
      <c r="R244" s="186">
        <v>-5494204.2199999997</v>
      </c>
      <c r="S244" s="186">
        <v>-6137465.1399999997</v>
      </c>
      <c r="T244" s="186">
        <v>-5622748.2699999996</v>
      </c>
      <c r="U244" s="186">
        <v>-10296933.26</v>
      </c>
      <c r="V244" s="186">
        <v>-6000829.9500000002</v>
      </c>
      <c r="W244" s="186">
        <v>-6669087.5800000001</v>
      </c>
      <c r="X244" s="186">
        <v>-4907465.74</v>
      </c>
      <c r="Y244" s="186">
        <v>-5103197.88</v>
      </c>
      <c r="Z244" s="186">
        <v>-4953393.7699999996</v>
      </c>
      <c r="AA244" s="186">
        <v>-10525641.5</v>
      </c>
      <c r="AB244" s="186">
        <v>-8393816.5500000007</v>
      </c>
      <c r="AC244" s="186">
        <v>-5297140.6500000004</v>
      </c>
      <c r="AD244" s="186">
        <v>-5589103.21</v>
      </c>
      <c r="AE244" s="186">
        <v>-6044815.5899999999</v>
      </c>
      <c r="AF244" s="186">
        <v>-4567689.16</v>
      </c>
      <c r="AG244" s="186">
        <v>-9361769.2899999991</v>
      </c>
      <c r="AH244" s="186">
        <v>-5117350.29</v>
      </c>
      <c r="AI244" s="186">
        <v>-4764048.22</v>
      </c>
      <c r="AJ244" s="186">
        <v>-3187576.26</v>
      </c>
      <c r="AK244" s="186">
        <v>-3093852.96</v>
      </c>
      <c r="AL244" s="186">
        <v>-4295831.5599999996</v>
      </c>
      <c r="AM244" s="186">
        <v>-9412223.0999999996</v>
      </c>
      <c r="AN244" s="186">
        <v>-8085514.1500000004</v>
      </c>
      <c r="AO244" s="186">
        <v>-2298090.23</v>
      </c>
      <c r="AP244" s="186">
        <v>-11562903.4</v>
      </c>
      <c r="AQ244" s="186">
        <v>-4042467.65</v>
      </c>
      <c r="AR244" s="186">
        <v>-8503302.1999999993</v>
      </c>
      <c r="AS244" s="186">
        <v>-13894925.84</v>
      </c>
      <c r="AT244" s="186">
        <v>-2588192.88</v>
      </c>
      <c r="AU244" s="186">
        <v>-7532643.4100000001</v>
      </c>
      <c r="AV244" s="186">
        <v>-4414155.74</v>
      </c>
      <c r="AW244" s="186">
        <v>-2905724.76</v>
      </c>
      <c r="AX244" s="186">
        <v>-4440501.88</v>
      </c>
      <c r="AY244" s="186">
        <v>-10404007.43</v>
      </c>
      <c r="AZ244" s="186">
        <v>-7206810.2999999998</v>
      </c>
      <c r="BA244" s="186">
        <v>-6048238.4199999999</v>
      </c>
      <c r="BB244" s="186">
        <v>-5644473.3600000003</v>
      </c>
      <c r="BC244" s="186">
        <v>-5668505.0199999996</v>
      </c>
      <c r="BD244" s="186">
        <v>-5457301.5700000003</v>
      </c>
      <c r="BE244" s="186">
        <v>-9529554.0299999993</v>
      </c>
      <c r="BF244" s="186">
        <v>-6979020.6299999999</v>
      </c>
      <c r="BG244" s="186">
        <v>-5291143.84</v>
      </c>
      <c r="BH244" s="186">
        <v>-5033056.0599999996</v>
      </c>
      <c r="BI244" s="186">
        <v>-5727561.8899999997</v>
      </c>
      <c r="BJ244" s="186">
        <v>-5646545.2999999998</v>
      </c>
      <c r="BK244" s="186">
        <v>-9579371.3100000005</v>
      </c>
      <c r="BL244" s="186">
        <v>-8435558.2799999993</v>
      </c>
      <c r="BM244" s="186">
        <v>-8636890.2899999991</v>
      </c>
      <c r="BN244" s="186">
        <v>-6141273.0700000003</v>
      </c>
      <c r="BO244" s="186">
        <v>-7078437.5999999996</v>
      </c>
      <c r="BP244" s="186">
        <v>-6085406.8200000003</v>
      </c>
      <c r="BQ244" s="186">
        <v>-9503784.0199999996</v>
      </c>
      <c r="BR244" s="186">
        <v>-8494586.6400000006</v>
      </c>
      <c r="BS244" s="186">
        <v>-5529162.5700000003</v>
      </c>
      <c r="BT244" s="186">
        <v>-6425165.2400000002</v>
      </c>
      <c r="BU244" s="186">
        <v>-5751130.2999999998</v>
      </c>
      <c r="BV244" s="186">
        <v>-5515770.4000000004</v>
      </c>
      <c r="BW244" s="186">
        <v>-9126695.6600000001</v>
      </c>
      <c r="BX244" s="186">
        <v>-11209888.17</v>
      </c>
      <c r="BY244" s="186">
        <v>-7691394.9199999999</v>
      </c>
      <c r="BZ244" s="186">
        <v>-6292690.2400000002</v>
      </c>
      <c r="CA244" s="186">
        <v>-7963300.1399999997</v>
      </c>
      <c r="CB244" s="186">
        <v>-6146892.54</v>
      </c>
      <c r="CC244" s="186">
        <v>-9408201.0199999996</v>
      </c>
      <c r="CD244" s="186">
        <v>-9734098.5</v>
      </c>
      <c r="CE244" s="186">
        <v>-5820691.1299999999</v>
      </c>
      <c r="CF244" s="186">
        <v>-4923531.18</v>
      </c>
      <c r="CG244" s="186">
        <v>-6633104.0599999996</v>
      </c>
      <c r="CH244" s="186">
        <v>-5434855.0300000003</v>
      </c>
      <c r="CI244" s="186">
        <v>-11091173.619999999</v>
      </c>
      <c r="CJ244" s="186">
        <v>-11845058.42</v>
      </c>
      <c r="CK244" s="186">
        <v>-9292908.1099999994</v>
      </c>
      <c r="CL244" s="186">
        <v>-6367035.1100000003</v>
      </c>
      <c r="CM244" s="186">
        <v>-2369470.5499999998</v>
      </c>
      <c r="CN244" s="186">
        <v>-12581789.619999999</v>
      </c>
      <c r="CO244" s="186">
        <v>-9202224.3499999996</v>
      </c>
      <c r="CP244" s="186">
        <v>-11098348.199999999</v>
      </c>
      <c r="CQ244" s="186">
        <v>-9581118.0899999999</v>
      </c>
      <c r="CR244" s="186">
        <v>-6585590.4699999997</v>
      </c>
      <c r="CS244" s="186">
        <v>-10511772.720000001</v>
      </c>
      <c r="CT244" s="186">
        <v>-5356707.7699999996</v>
      </c>
      <c r="CU244" s="186">
        <v>-9150661.0399999991</v>
      </c>
      <c r="CV244" s="186">
        <v>-13901643.470000001</v>
      </c>
    </row>
    <row r="245" spans="1:100">
      <c r="A245" s="541" t="str">
        <f t="shared" si="3"/>
        <v>2340701</v>
      </c>
      <c r="B245" s="541" t="s">
        <v>1661</v>
      </c>
      <c r="C245" s="463" t="s">
        <v>776</v>
      </c>
      <c r="D245" s="397">
        <v>-13028.11</v>
      </c>
      <c r="E245" s="397">
        <v>-179391.48</v>
      </c>
      <c r="F245" s="397">
        <v>-34753.65</v>
      </c>
      <c r="G245" s="397">
        <v>-20977.7</v>
      </c>
      <c r="H245" s="397">
        <v>-133630.1</v>
      </c>
      <c r="I245" s="397">
        <v>-808060.31</v>
      </c>
      <c r="J245" s="397">
        <v>-11338.02</v>
      </c>
      <c r="K245" s="397">
        <v>-90071.69</v>
      </c>
      <c r="L245" s="397">
        <v>-116783.88</v>
      </c>
      <c r="M245" s="397">
        <v>-157861.01999999999</v>
      </c>
      <c r="N245" s="397">
        <v>-117705.89</v>
      </c>
      <c r="O245" s="397">
        <v>-1098860.79</v>
      </c>
      <c r="P245" s="398">
        <v>-42654.79</v>
      </c>
      <c r="Q245" s="186">
        <v>-54877.81</v>
      </c>
      <c r="R245" s="186">
        <v>-30927.11</v>
      </c>
      <c r="S245" s="186">
        <v>-34644.82</v>
      </c>
      <c r="T245" s="186">
        <v>-52359.54</v>
      </c>
      <c r="U245" s="186">
        <v>-54161.87</v>
      </c>
      <c r="V245" s="186">
        <v>-17729.830000000002</v>
      </c>
      <c r="W245" s="186">
        <v>-9388.7999999999993</v>
      </c>
      <c r="X245" s="186">
        <v>-10996.12</v>
      </c>
      <c r="Y245" s="186">
        <v>-23482.2</v>
      </c>
      <c r="Z245" s="186">
        <v>-9457.65</v>
      </c>
      <c r="AA245" s="186">
        <v>-204687.39</v>
      </c>
      <c r="AB245" s="186">
        <v>-9388.7999999999993</v>
      </c>
      <c r="AC245" s="186">
        <v>-26650.799999999999</v>
      </c>
      <c r="AD245" s="186">
        <v>-11220.74</v>
      </c>
      <c r="AE245" s="186">
        <v>-10517.2</v>
      </c>
      <c r="AF245" s="186">
        <v>-9388.7999999999993</v>
      </c>
      <c r="AG245" s="186">
        <v>-16772.11</v>
      </c>
      <c r="AH245" s="186">
        <v>-28069.119999999999</v>
      </c>
      <c r="AI245" s="186">
        <v>-30871.13</v>
      </c>
      <c r="AJ245" s="186">
        <v>-10521.98</v>
      </c>
      <c r="AK245" s="186">
        <v>-260682</v>
      </c>
      <c r="AL245" s="186">
        <v>-175695.6</v>
      </c>
      <c r="AM245" s="186">
        <v>-16360.9</v>
      </c>
      <c r="AN245" s="186">
        <v>-61151.08</v>
      </c>
      <c r="AO245" s="186">
        <v>-17192.03</v>
      </c>
      <c r="AP245" s="186">
        <v>-10520.04</v>
      </c>
      <c r="AQ245" s="186">
        <v>-16276.38</v>
      </c>
      <c r="AR245" s="186">
        <v>-58652.32</v>
      </c>
      <c r="AS245" s="186">
        <v>-77731.55</v>
      </c>
      <c r="AT245" s="186">
        <v>-46920.87</v>
      </c>
      <c r="AU245" s="186">
        <v>-57646.48</v>
      </c>
      <c r="AV245" s="186">
        <v>-61323.02</v>
      </c>
      <c r="AW245" s="186">
        <v>-54337.75</v>
      </c>
      <c r="AX245" s="186">
        <v>-46268.55</v>
      </c>
      <c r="AY245" s="186">
        <v>-41308.800000000003</v>
      </c>
      <c r="AZ245" s="186">
        <v>-43389.87</v>
      </c>
      <c r="BA245" s="186">
        <v>-396496.93</v>
      </c>
      <c r="BB245" s="186">
        <v>-54037.62</v>
      </c>
      <c r="BC245" s="186">
        <v>-61553.16</v>
      </c>
      <c r="BD245" s="186">
        <v>-45637.120000000003</v>
      </c>
      <c r="BE245" s="186">
        <v>-59954.42</v>
      </c>
      <c r="BF245" s="186">
        <v>-52424.47</v>
      </c>
      <c r="BG245" s="186">
        <v>-42372.800000000003</v>
      </c>
      <c r="BH245" s="186">
        <v>-46893.4</v>
      </c>
      <c r="BI245" s="186">
        <v>-55528.09</v>
      </c>
      <c r="BJ245" s="186">
        <v>-50130.23</v>
      </c>
      <c r="BK245" s="186">
        <v>-70887.899999999994</v>
      </c>
      <c r="BL245" s="186">
        <v>-68181.87</v>
      </c>
      <c r="BM245" s="186">
        <v>-65381.98</v>
      </c>
      <c r="BN245" s="186">
        <v>-40165.4</v>
      </c>
      <c r="BO245" s="186">
        <v>-85476.54</v>
      </c>
      <c r="BP245" s="186">
        <v>-41308.800000000003</v>
      </c>
      <c r="BQ245" s="186">
        <v>-50424.87</v>
      </c>
      <c r="BR245" s="186">
        <v>-60395.1</v>
      </c>
      <c r="BS245" s="186">
        <v>-51921.72</v>
      </c>
      <c r="BT245" s="186">
        <v>-53410.98</v>
      </c>
      <c r="BU245" s="186">
        <v>-44432.97</v>
      </c>
      <c r="BV245" s="186">
        <v>-42372.800000000003</v>
      </c>
      <c r="BW245" s="186">
        <v>-62424.959999999999</v>
      </c>
      <c r="BX245" s="186">
        <v>-157781.60999999999</v>
      </c>
      <c r="BY245" s="186">
        <v>-142078.18</v>
      </c>
      <c r="BZ245" s="186">
        <v>-55196.51</v>
      </c>
      <c r="CA245" s="186">
        <v>-64300.18</v>
      </c>
      <c r="CB245" s="186">
        <v>-65047.42</v>
      </c>
      <c r="CC245" s="186">
        <v>-46550.239999999998</v>
      </c>
      <c r="CD245" s="186">
        <v>6871.49</v>
      </c>
      <c r="CE245" s="186">
        <v>-55842.29</v>
      </c>
      <c r="CF245" s="186">
        <v>-42372.800000000003</v>
      </c>
      <c r="CG245" s="186">
        <v>-57604.35</v>
      </c>
      <c r="CH245" s="186">
        <v>-315776.14</v>
      </c>
      <c r="CI245" s="186">
        <v>-528771.06000000006</v>
      </c>
      <c r="CJ245" s="186">
        <v>-556783.73</v>
      </c>
      <c r="CK245" s="186">
        <v>-548242.52</v>
      </c>
      <c r="CL245" s="186">
        <v>-633298.03</v>
      </c>
      <c r="CM245" s="186">
        <v>-684276.78</v>
      </c>
      <c r="CN245" s="186">
        <v>-537348.25</v>
      </c>
      <c r="CO245" s="186">
        <v>-545600.64</v>
      </c>
      <c r="CP245" s="186">
        <v>-528303.48</v>
      </c>
      <c r="CQ245" s="186">
        <v>-545600.64</v>
      </c>
      <c r="CR245" s="186">
        <v>-559196.87</v>
      </c>
      <c r="CS245" s="186">
        <v>-586758.59</v>
      </c>
      <c r="CT245" s="186">
        <v>-643840.38</v>
      </c>
      <c r="CU245" s="186">
        <v>-528303.48</v>
      </c>
      <c r="CV245" s="186">
        <v>-545600.64</v>
      </c>
    </row>
    <row r="246" spans="1:100">
      <c r="A246" s="541" t="str">
        <f t="shared" si="3"/>
        <v>2340710</v>
      </c>
      <c r="B246" s="541" t="s">
        <v>1799</v>
      </c>
      <c r="C246" s="463" t="s">
        <v>1798</v>
      </c>
      <c r="D246" s="397"/>
      <c r="E246" s="397"/>
      <c r="F246" s="397"/>
      <c r="G246" s="397"/>
      <c r="H246" s="397"/>
      <c r="I246" s="397"/>
      <c r="J246" s="397"/>
      <c r="K246" s="397"/>
      <c r="L246" s="397"/>
      <c r="M246" s="397"/>
      <c r="N246" s="397"/>
      <c r="O246" s="397"/>
      <c r="P246" s="398"/>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6"/>
      <c r="AL246" s="186"/>
      <c r="AM246" s="186"/>
      <c r="AN246" s="186"/>
      <c r="AO246" s="186">
        <v>0</v>
      </c>
      <c r="AP246" s="186">
        <v>0</v>
      </c>
      <c r="AQ246" s="186">
        <v>0</v>
      </c>
      <c r="AR246" s="186">
        <v>0</v>
      </c>
      <c r="AS246" s="186">
        <v>0</v>
      </c>
      <c r="AT246" s="186">
        <v>0</v>
      </c>
      <c r="AU246" s="186">
        <v>0</v>
      </c>
      <c r="AV246" s="186">
        <v>0</v>
      </c>
      <c r="AW246" s="186">
        <v>0</v>
      </c>
      <c r="AX246" s="186">
        <v>0</v>
      </c>
      <c r="AY246" s="186">
        <v>0</v>
      </c>
      <c r="AZ246" s="186">
        <v>0</v>
      </c>
      <c r="BA246" s="186">
        <v>0</v>
      </c>
      <c r="BB246" s="186">
        <v>0</v>
      </c>
      <c r="BC246" s="186">
        <v>0</v>
      </c>
      <c r="BD246" s="186">
        <v>0</v>
      </c>
      <c r="BE246" s="186">
        <v>0</v>
      </c>
      <c r="BF246" s="186">
        <v>0</v>
      </c>
      <c r="BG246" s="186">
        <v>0</v>
      </c>
      <c r="BH246" s="186">
        <v>0</v>
      </c>
      <c r="BI246" s="186">
        <v>0</v>
      </c>
      <c r="BJ246" s="186">
        <v>0</v>
      </c>
      <c r="BK246" s="186">
        <v>0</v>
      </c>
      <c r="BL246" s="186">
        <v>0</v>
      </c>
      <c r="BM246" s="186">
        <v>0</v>
      </c>
      <c r="BN246" s="186">
        <v>0</v>
      </c>
      <c r="BO246" s="186">
        <v>0</v>
      </c>
      <c r="BP246" s="186">
        <v>0</v>
      </c>
      <c r="BQ246" s="186">
        <v>0</v>
      </c>
      <c r="BR246" s="186">
        <v>0</v>
      </c>
      <c r="BS246" s="186">
        <v>0</v>
      </c>
      <c r="BT246" s="186">
        <v>0</v>
      </c>
      <c r="BU246" s="186">
        <v>0</v>
      </c>
      <c r="BV246" s="186">
        <v>0</v>
      </c>
      <c r="BW246" s="186">
        <v>0</v>
      </c>
      <c r="BX246" s="186">
        <v>0</v>
      </c>
      <c r="BY246" s="186">
        <v>0</v>
      </c>
      <c r="BZ246" s="186">
        <v>0</v>
      </c>
      <c r="CA246" s="186">
        <v>0</v>
      </c>
      <c r="CB246" s="186">
        <v>0</v>
      </c>
      <c r="CC246" s="186">
        <v>0</v>
      </c>
      <c r="CD246" s="186">
        <v>0</v>
      </c>
      <c r="CE246" s="186">
        <v>0</v>
      </c>
      <c r="CF246" s="186">
        <v>0</v>
      </c>
      <c r="CG246" s="186">
        <v>0</v>
      </c>
      <c r="CH246" s="186">
        <v>0</v>
      </c>
      <c r="CI246" s="186">
        <v>0</v>
      </c>
      <c r="CJ246" s="186">
        <v>0</v>
      </c>
      <c r="CK246" s="186">
        <v>0</v>
      </c>
      <c r="CL246" s="186">
        <v>0</v>
      </c>
      <c r="CM246" s="186">
        <v>0</v>
      </c>
      <c r="CN246" s="186">
        <v>0</v>
      </c>
      <c r="CO246" s="186">
        <v>0</v>
      </c>
      <c r="CP246" s="186">
        <v>0</v>
      </c>
      <c r="CQ246" s="186">
        <v>0</v>
      </c>
      <c r="CR246" s="186">
        <v>0</v>
      </c>
      <c r="CS246" s="186">
        <v>0</v>
      </c>
      <c r="CT246" s="186">
        <v>0</v>
      </c>
      <c r="CU246" s="186">
        <v>0</v>
      </c>
      <c r="CV246" s="186">
        <v>0</v>
      </c>
    </row>
    <row r="247" spans="1:100">
      <c r="A247" s="541" t="str">
        <f t="shared" si="3"/>
        <v>2340711</v>
      </c>
      <c r="B247" s="541" t="s">
        <v>1752</v>
      </c>
      <c r="C247" s="463" t="s">
        <v>1753</v>
      </c>
      <c r="D247" s="397"/>
      <c r="E247" s="397"/>
      <c r="F247" s="397"/>
      <c r="G247" s="397"/>
      <c r="H247" s="397"/>
      <c r="I247" s="397"/>
      <c r="J247" s="397"/>
      <c r="K247" s="397"/>
      <c r="L247" s="397"/>
      <c r="M247" s="397"/>
      <c r="N247" s="397"/>
      <c r="O247" s="397"/>
      <c r="P247" s="398"/>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6"/>
      <c r="AL247" s="186">
        <v>0</v>
      </c>
      <c r="AM247" s="186">
        <v>0</v>
      </c>
      <c r="AN247" s="186">
        <v>-20663.62</v>
      </c>
      <c r="AO247" s="186">
        <v>-19729.59</v>
      </c>
      <c r="AP247" s="186">
        <v>2598.0300000000002</v>
      </c>
      <c r="AQ247" s="186">
        <v>-27074.3</v>
      </c>
      <c r="AR247" s="186">
        <v>-17699.900000000001</v>
      </c>
      <c r="AS247" s="186">
        <v>-24195.49</v>
      </c>
      <c r="AT247" s="186">
        <v>-17180.82</v>
      </c>
      <c r="AU247" s="186">
        <v>-357489.58</v>
      </c>
      <c r="AV247" s="186">
        <v>0</v>
      </c>
      <c r="AW247" s="186">
        <v>-40987.5</v>
      </c>
      <c r="AX247" s="186">
        <v>-65331.13</v>
      </c>
      <c r="AY247" s="186">
        <v>-661015.12</v>
      </c>
      <c r="AZ247" s="186">
        <v>-751223.67</v>
      </c>
      <c r="BA247" s="186">
        <v>-756196.77</v>
      </c>
      <c r="BB247" s="186">
        <v>-929803.77</v>
      </c>
      <c r="BC247" s="186">
        <v>-711946.43</v>
      </c>
      <c r="BD247" s="186">
        <v>-1307813.8</v>
      </c>
      <c r="BE247" s="186">
        <v>-794302.72</v>
      </c>
      <c r="BF247" s="186">
        <v>-1038433.89</v>
      </c>
      <c r="BG247" s="186">
        <v>-1994349.66</v>
      </c>
      <c r="BH247" s="186">
        <v>-1431642.73</v>
      </c>
      <c r="BI247" s="186">
        <v>-1493365.17</v>
      </c>
      <c r="BJ247" s="186">
        <v>-1518953.46</v>
      </c>
      <c r="BK247" s="186">
        <v>-702090.01</v>
      </c>
      <c r="BL247" s="186">
        <v>-1065214.05</v>
      </c>
      <c r="BM247" s="186">
        <v>-914038.77</v>
      </c>
      <c r="BN247" s="186">
        <v>-695255.61</v>
      </c>
      <c r="BO247" s="186">
        <v>-757044.59</v>
      </c>
      <c r="BP247" s="186">
        <v>-21921.18</v>
      </c>
      <c r="BQ247" s="186">
        <v>151188.9</v>
      </c>
      <c r="BR247" s="186">
        <v>-151572.94</v>
      </c>
      <c r="BS247" s="186">
        <v>-180406.97</v>
      </c>
      <c r="BT247" s="186">
        <v>-226531.85</v>
      </c>
      <c r="BU247" s="186">
        <v>-545141.98</v>
      </c>
      <c r="BV247" s="186">
        <v>-250907.99</v>
      </c>
      <c r="BW247" s="186">
        <v>-246640.42</v>
      </c>
      <c r="BX247" s="186">
        <v>-97630.01</v>
      </c>
      <c r="BY247" s="186">
        <v>-171783.29</v>
      </c>
      <c r="BZ247" s="186">
        <v>-191660</v>
      </c>
      <c r="CA247" s="186">
        <v>-299028.01</v>
      </c>
      <c r="CB247" s="186">
        <v>-183280.94</v>
      </c>
      <c r="CC247" s="186">
        <v>-309551.5</v>
      </c>
      <c r="CD247" s="186">
        <v>-272170.23999999999</v>
      </c>
      <c r="CE247" s="186">
        <v>-139363.41</v>
      </c>
      <c r="CF247" s="186">
        <v>-229977.39</v>
      </c>
      <c r="CG247" s="186">
        <v>-310523.58</v>
      </c>
      <c r="CH247" s="186">
        <v>-260999.04000000001</v>
      </c>
      <c r="CI247" s="186">
        <v>-1123433.94</v>
      </c>
      <c r="CJ247" s="186">
        <v>-1724594.24</v>
      </c>
      <c r="CK247" s="186">
        <v>-2891004.44</v>
      </c>
      <c r="CL247" s="186">
        <v>-5170370.75</v>
      </c>
      <c r="CM247" s="186">
        <v>-2451262.67</v>
      </c>
      <c r="CN247" s="186">
        <v>-1937354.33</v>
      </c>
      <c r="CO247" s="186">
        <v>-1872445.48</v>
      </c>
      <c r="CP247" s="186">
        <v>-1961544.37</v>
      </c>
      <c r="CQ247" s="186">
        <v>-2163381.9500000002</v>
      </c>
      <c r="CR247" s="186">
        <v>-3038890.19</v>
      </c>
      <c r="CS247" s="186">
        <v>-3776477.26</v>
      </c>
      <c r="CT247" s="186">
        <v>-5253186.83</v>
      </c>
      <c r="CU247" s="186">
        <v>-4052901.27</v>
      </c>
      <c r="CV247" s="186">
        <v>-1580283.66</v>
      </c>
    </row>
    <row r="248" spans="1:100">
      <c r="A248" s="541" t="str">
        <f>+B248</f>
        <v>2340720</v>
      </c>
      <c r="B248" s="541" t="s">
        <v>2306</v>
      </c>
      <c r="C248" s="463" t="s">
        <v>2291</v>
      </c>
      <c r="D248" s="397">
        <v>0</v>
      </c>
      <c r="E248" s="397">
        <v>0</v>
      </c>
      <c r="F248" s="397">
        <v>0</v>
      </c>
      <c r="G248" s="397">
        <v>0</v>
      </c>
      <c r="H248" s="397">
        <v>0</v>
      </c>
      <c r="I248" s="397">
        <v>0</v>
      </c>
      <c r="J248" s="397">
        <v>0</v>
      </c>
      <c r="K248" s="397">
        <v>0</v>
      </c>
      <c r="L248" s="397">
        <v>0</v>
      </c>
      <c r="M248" s="397">
        <v>0</v>
      </c>
      <c r="N248" s="397">
        <v>0</v>
      </c>
      <c r="O248" s="397">
        <v>0</v>
      </c>
      <c r="P248" s="398">
        <v>0</v>
      </c>
      <c r="Q248" s="186">
        <v>0</v>
      </c>
      <c r="R248" s="186">
        <v>0</v>
      </c>
      <c r="S248" s="186">
        <v>0</v>
      </c>
      <c r="T248" s="186">
        <v>0</v>
      </c>
      <c r="U248" s="186">
        <v>0</v>
      </c>
      <c r="V248" s="186">
        <v>0</v>
      </c>
      <c r="W248" s="186">
        <v>0</v>
      </c>
      <c r="X248" s="186">
        <v>0</v>
      </c>
      <c r="Y248" s="186">
        <v>0</v>
      </c>
      <c r="Z248" s="186">
        <v>0</v>
      </c>
      <c r="AA248" s="186">
        <v>0</v>
      </c>
      <c r="AB248" s="186">
        <v>0</v>
      </c>
      <c r="AC248" s="186">
        <v>0</v>
      </c>
      <c r="AD248" s="186">
        <v>0</v>
      </c>
      <c r="AE248" s="186">
        <v>0</v>
      </c>
      <c r="AF248" s="186">
        <v>0</v>
      </c>
      <c r="AG248" s="186">
        <v>0</v>
      </c>
      <c r="AH248" s="186">
        <v>0</v>
      </c>
      <c r="AI248" s="186">
        <v>0</v>
      </c>
      <c r="AJ248" s="186">
        <v>0</v>
      </c>
      <c r="AK248" s="186">
        <v>0</v>
      </c>
      <c r="AL248" s="186">
        <v>0</v>
      </c>
      <c r="AM248" s="186">
        <v>0</v>
      </c>
      <c r="AN248" s="186">
        <v>0</v>
      </c>
      <c r="AO248" s="186">
        <v>0</v>
      </c>
      <c r="AP248" s="186">
        <v>0</v>
      </c>
      <c r="AQ248" s="186">
        <v>0</v>
      </c>
      <c r="AR248" s="186">
        <v>0</v>
      </c>
      <c r="AS248" s="186">
        <v>0</v>
      </c>
      <c r="AT248" s="186">
        <v>0</v>
      </c>
      <c r="AU248" s="186">
        <v>0</v>
      </c>
      <c r="AV248" s="186">
        <v>0</v>
      </c>
      <c r="AW248" s="186">
        <v>0</v>
      </c>
      <c r="AX248" s="186">
        <v>0</v>
      </c>
      <c r="AY248" s="186">
        <v>0</v>
      </c>
      <c r="AZ248" s="186">
        <v>0</v>
      </c>
      <c r="BA248" s="186">
        <v>0</v>
      </c>
      <c r="BB248" s="186">
        <v>0</v>
      </c>
      <c r="BC248" s="186">
        <v>0</v>
      </c>
      <c r="BD248" s="186">
        <v>0</v>
      </c>
      <c r="BE248" s="186">
        <v>0</v>
      </c>
      <c r="BF248" s="186">
        <v>0</v>
      </c>
      <c r="BG248" s="186">
        <v>0</v>
      </c>
      <c r="BH248" s="186">
        <v>0</v>
      </c>
      <c r="BI248" s="186">
        <v>0</v>
      </c>
      <c r="BJ248" s="186">
        <v>0</v>
      </c>
      <c r="BK248" s="186">
        <v>0</v>
      </c>
      <c r="BL248" s="186">
        <v>0</v>
      </c>
      <c r="BM248" s="186">
        <v>0</v>
      </c>
      <c r="BN248" s="186">
        <v>0</v>
      </c>
      <c r="BO248" s="186">
        <v>0</v>
      </c>
      <c r="BP248" s="186">
        <v>0</v>
      </c>
      <c r="BQ248" s="186">
        <v>0</v>
      </c>
      <c r="BR248" s="186">
        <v>0</v>
      </c>
      <c r="BS248" s="186">
        <v>-4800</v>
      </c>
      <c r="BT248" s="186">
        <v>0</v>
      </c>
      <c r="BU248" s="186">
        <v>0</v>
      </c>
      <c r="BV248" s="186">
        <v>0</v>
      </c>
      <c r="BW248" s="186">
        <v>0</v>
      </c>
      <c r="BX248" s="186">
        <v>0</v>
      </c>
      <c r="BY248" s="186">
        <v>0</v>
      </c>
      <c r="BZ248" s="186">
        <v>0</v>
      </c>
      <c r="CA248" s="186">
        <v>0</v>
      </c>
      <c r="CB248" s="186">
        <v>0</v>
      </c>
      <c r="CC248" s="186">
        <v>0</v>
      </c>
      <c r="CD248" s="186">
        <v>0</v>
      </c>
      <c r="CE248" s="186">
        <v>0</v>
      </c>
      <c r="CF248" s="186">
        <v>0</v>
      </c>
      <c r="CG248" s="186">
        <v>0</v>
      </c>
      <c r="CH248" s="186">
        <v>0</v>
      </c>
      <c r="CI248" s="186">
        <v>0</v>
      </c>
      <c r="CJ248" s="186">
        <v>0</v>
      </c>
      <c r="CK248" s="186">
        <v>0</v>
      </c>
      <c r="CL248" s="186">
        <v>0</v>
      </c>
      <c r="CM248" s="186">
        <v>0</v>
      </c>
      <c r="CN248" s="186">
        <v>0</v>
      </c>
      <c r="CO248" s="186">
        <v>0</v>
      </c>
      <c r="CP248" s="186">
        <v>0</v>
      </c>
      <c r="CQ248" s="186">
        <v>0</v>
      </c>
      <c r="CR248" s="186">
        <v>0</v>
      </c>
      <c r="CS248" s="186">
        <v>0</v>
      </c>
      <c r="CT248" s="186">
        <v>0</v>
      </c>
      <c r="CU248" s="186">
        <v>0</v>
      </c>
      <c r="CV248" s="186">
        <v>0</v>
      </c>
    </row>
    <row r="249" spans="1:100">
      <c r="A249" s="541" t="str">
        <f t="shared" si="3"/>
        <v>2340740</v>
      </c>
      <c r="B249" s="541" t="s">
        <v>1803</v>
      </c>
      <c r="C249" s="463" t="s">
        <v>1800</v>
      </c>
      <c r="D249" s="397"/>
      <c r="E249" s="397"/>
      <c r="F249" s="397"/>
      <c r="G249" s="397"/>
      <c r="H249" s="397"/>
      <c r="I249" s="397"/>
      <c r="J249" s="397"/>
      <c r="K249" s="397"/>
      <c r="L249" s="397"/>
      <c r="M249" s="397"/>
      <c r="N249" s="397"/>
      <c r="O249" s="397"/>
      <c r="P249" s="398"/>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6"/>
      <c r="AL249" s="186"/>
      <c r="AM249" s="186"/>
      <c r="AN249" s="186"/>
      <c r="AO249" s="186">
        <v>0</v>
      </c>
      <c r="AP249" s="186">
        <v>0</v>
      </c>
      <c r="AQ249" s="186">
        <v>0</v>
      </c>
      <c r="AR249" s="186">
        <v>0</v>
      </c>
      <c r="AS249" s="186">
        <v>0</v>
      </c>
      <c r="AT249" s="186">
        <v>0</v>
      </c>
      <c r="AU249" s="186">
        <v>0</v>
      </c>
      <c r="AV249" s="186">
        <v>0</v>
      </c>
      <c r="AW249" s="186">
        <v>0</v>
      </c>
      <c r="AX249" s="186">
        <v>0</v>
      </c>
      <c r="AY249" s="186">
        <v>0</v>
      </c>
      <c r="AZ249" s="186">
        <v>0</v>
      </c>
      <c r="BA249" s="186">
        <v>0</v>
      </c>
      <c r="BB249" s="186">
        <v>0</v>
      </c>
      <c r="BC249" s="186">
        <v>0</v>
      </c>
      <c r="BD249" s="186">
        <v>0</v>
      </c>
      <c r="BE249" s="186">
        <v>0</v>
      </c>
      <c r="BF249" s="186">
        <v>0</v>
      </c>
      <c r="BG249" s="186">
        <v>0</v>
      </c>
      <c r="BH249" s="186">
        <v>0</v>
      </c>
      <c r="BI249" s="186">
        <v>0</v>
      </c>
      <c r="BJ249" s="186">
        <v>0</v>
      </c>
      <c r="BK249" s="186">
        <v>0</v>
      </c>
      <c r="BL249" s="186">
        <v>0</v>
      </c>
      <c r="BM249" s="186">
        <v>0</v>
      </c>
      <c r="BN249" s="186">
        <v>0</v>
      </c>
      <c r="BO249" s="186">
        <v>0</v>
      </c>
      <c r="BP249" s="186">
        <v>0</v>
      </c>
      <c r="BQ249" s="186">
        <v>0</v>
      </c>
      <c r="BR249" s="186">
        <v>0</v>
      </c>
      <c r="BS249" s="186">
        <v>0</v>
      </c>
      <c r="BT249" s="186">
        <v>0</v>
      </c>
      <c r="BU249" s="186">
        <v>0</v>
      </c>
      <c r="BV249" s="186">
        <v>0</v>
      </c>
      <c r="BW249" s="186">
        <v>0</v>
      </c>
      <c r="BX249" s="186">
        <v>0</v>
      </c>
      <c r="BY249" s="186">
        <v>0</v>
      </c>
      <c r="BZ249" s="186">
        <v>0</v>
      </c>
      <c r="CA249" s="186">
        <v>0</v>
      </c>
      <c r="CB249" s="186">
        <v>0</v>
      </c>
      <c r="CC249" s="186">
        <v>0</v>
      </c>
      <c r="CD249" s="186">
        <v>0</v>
      </c>
      <c r="CE249" s="186">
        <v>0</v>
      </c>
      <c r="CF249" s="186">
        <v>0</v>
      </c>
      <c r="CG249" s="186">
        <v>0</v>
      </c>
      <c r="CH249" s="186">
        <v>0</v>
      </c>
      <c r="CI249" s="186">
        <v>0</v>
      </c>
      <c r="CJ249" s="186">
        <v>0</v>
      </c>
      <c r="CK249" s="186">
        <v>0</v>
      </c>
      <c r="CL249" s="186">
        <v>0</v>
      </c>
      <c r="CM249" s="186">
        <v>0</v>
      </c>
      <c r="CN249" s="186">
        <v>0</v>
      </c>
      <c r="CO249" s="186">
        <v>0</v>
      </c>
      <c r="CP249" s="186">
        <v>0</v>
      </c>
      <c r="CQ249" s="186">
        <v>0</v>
      </c>
      <c r="CR249" s="186">
        <v>0</v>
      </c>
      <c r="CS249" s="186">
        <v>0</v>
      </c>
      <c r="CT249" s="186">
        <v>0</v>
      </c>
      <c r="CU249" s="186">
        <v>0</v>
      </c>
      <c r="CV249" s="186">
        <v>0</v>
      </c>
    </row>
    <row r="250" spans="1:100">
      <c r="A250" s="541" t="str">
        <f t="shared" si="3"/>
        <v>2340741</v>
      </c>
      <c r="B250" s="541" t="s">
        <v>1804</v>
      </c>
      <c r="C250" s="463" t="s">
        <v>1801</v>
      </c>
      <c r="D250" s="397"/>
      <c r="E250" s="397"/>
      <c r="F250" s="397"/>
      <c r="G250" s="397"/>
      <c r="H250" s="397"/>
      <c r="I250" s="397"/>
      <c r="J250" s="397"/>
      <c r="K250" s="397"/>
      <c r="L250" s="397"/>
      <c r="M250" s="397"/>
      <c r="N250" s="397"/>
      <c r="O250" s="397"/>
      <c r="P250" s="398"/>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6"/>
      <c r="AL250" s="186"/>
      <c r="AM250" s="186"/>
      <c r="AN250" s="186"/>
      <c r="AO250" s="186">
        <v>0</v>
      </c>
      <c r="AP250" s="186">
        <v>0</v>
      </c>
      <c r="AQ250" s="186">
        <v>0</v>
      </c>
      <c r="AR250" s="186">
        <v>0</v>
      </c>
      <c r="AS250" s="186">
        <v>0</v>
      </c>
      <c r="AT250" s="186">
        <v>0</v>
      </c>
      <c r="AU250" s="186">
        <v>0</v>
      </c>
      <c r="AV250" s="186">
        <v>0</v>
      </c>
      <c r="AW250" s="186">
        <v>0</v>
      </c>
      <c r="AX250" s="186">
        <v>0</v>
      </c>
      <c r="AY250" s="186">
        <v>0</v>
      </c>
      <c r="AZ250" s="186">
        <v>0</v>
      </c>
      <c r="BA250" s="186">
        <v>0</v>
      </c>
      <c r="BB250" s="186">
        <v>0</v>
      </c>
      <c r="BC250" s="186">
        <v>0</v>
      </c>
      <c r="BD250" s="186">
        <v>0</v>
      </c>
      <c r="BE250" s="186">
        <v>0</v>
      </c>
      <c r="BF250" s="186">
        <v>0</v>
      </c>
      <c r="BG250" s="186">
        <v>0</v>
      </c>
      <c r="BH250" s="186">
        <v>0</v>
      </c>
      <c r="BI250" s="186">
        <v>0</v>
      </c>
      <c r="BJ250" s="186">
        <v>0</v>
      </c>
      <c r="BK250" s="186">
        <v>0</v>
      </c>
      <c r="BL250" s="186">
        <v>0</v>
      </c>
      <c r="BM250" s="186">
        <v>0</v>
      </c>
      <c r="BN250" s="186">
        <v>0</v>
      </c>
      <c r="BO250" s="186">
        <v>0</v>
      </c>
      <c r="BP250" s="186">
        <v>0</v>
      </c>
      <c r="BQ250" s="186">
        <v>0</v>
      </c>
      <c r="BR250" s="186">
        <v>0</v>
      </c>
      <c r="BS250" s="186">
        <v>0</v>
      </c>
      <c r="BT250" s="186">
        <v>0</v>
      </c>
      <c r="BU250" s="186">
        <v>0</v>
      </c>
      <c r="BV250" s="186">
        <v>0</v>
      </c>
      <c r="BW250" s="186">
        <v>0</v>
      </c>
      <c r="BX250" s="186">
        <v>0</v>
      </c>
      <c r="BY250" s="186">
        <v>0</v>
      </c>
      <c r="BZ250" s="186">
        <v>0</v>
      </c>
      <c r="CA250" s="186">
        <v>0</v>
      </c>
      <c r="CB250" s="186">
        <v>0</v>
      </c>
      <c r="CC250" s="186">
        <v>0</v>
      </c>
      <c r="CD250" s="186">
        <v>0</v>
      </c>
      <c r="CE250" s="186">
        <v>0</v>
      </c>
      <c r="CF250" s="186">
        <v>0</v>
      </c>
      <c r="CG250" s="186">
        <v>0</v>
      </c>
      <c r="CH250" s="186">
        <v>0</v>
      </c>
      <c r="CI250" s="186">
        <v>0</v>
      </c>
      <c r="CJ250" s="186">
        <v>0</v>
      </c>
      <c r="CK250" s="186">
        <v>0</v>
      </c>
      <c r="CL250" s="186">
        <v>0</v>
      </c>
      <c r="CM250" s="186">
        <v>0</v>
      </c>
      <c r="CN250" s="186">
        <v>0</v>
      </c>
      <c r="CO250" s="186">
        <v>0</v>
      </c>
      <c r="CP250" s="186">
        <v>0</v>
      </c>
      <c r="CQ250" s="186">
        <v>0</v>
      </c>
      <c r="CR250" s="186">
        <v>0</v>
      </c>
      <c r="CS250" s="186">
        <v>0</v>
      </c>
      <c r="CT250" s="186">
        <v>0</v>
      </c>
      <c r="CU250" s="186">
        <v>0</v>
      </c>
      <c r="CV250" s="186">
        <v>0</v>
      </c>
    </row>
    <row r="251" spans="1:100">
      <c r="A251" s="541" t="str">
        <f t="shared" si="3"/>
        <v>2340743</v>
      </c>
      <c r="B251" s="541" t="s">
        <v>1805</v>
      </c>
      <c r="C251" s="463" t="s">
        <v>1802</v>
      </c>
      <c r="D251" s="397"/>
      <c r="E251" s="397"/>
      <c r="F251" s="397"/>
      <c r="G251" s="397"/>
      <c r="H251" s="397"/>
      <c r="I251" s="397"/>
      <c r="J251" s="397"/>
      <c r="K251" s="397"/>
      <c r="L251" s="397"/>
      <c r="M251" s="397"/>
      <c r="N251" s="397"/>
      <c r="O251" s="397"/>
      <c r="P251" s="398"/>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6"/>
      <c r="AL251" s="186"/>
      <c r="AM251" s="186"/>
      <c r="AN251" s="186"/>
      <c r="AO251" s="186">
        <v>0</v>
      </c>
      <c r="AP251" s="186">
        <v>0</v>
      </c>
      <c r="AQ251" s="186">
        <v>0</v>
      </c>
      <c r="AR251" s="186">
        <v>0</v>
      </c>
      <c r="AS251" s="186">
        <v>0</v>
      </c>
      <c r="AT251" s="186">
        <v>0</v>
      </c>
      <c r="AU251" s="186">
        <v>0</v>
      </c>
      <c r="AV251" s="186">
        <v>0</v>
      </c>
      <c r="AW251" s="186">
        <v>0</v>
      </c>
      <c r="AX251" s="186">
        <v>0</v>
      </c>
      <c r="AY251" s="186">
        <v>0</v>
      </c>
      <c r="AZ251" s="186">
        <v>0</v>
      </c>
      <c r="BA251" s="186">
        <v>0</v>
      </c>
      <c r="BB251" s="186">
        <v>0</v>
      </c>
      <c r="BC251" s="186">
        <v>0</v>
      </c>
      <c r="BD251" s="186">
        <v>0</v>
      </c>
      <c r="BE251" s="186">
        <v>0</v>
      </c>
      <c r="BF251" s="186">
        <v>0</v>
      </c>
      <c r="BG251" s="186">
        <v>0</v>
      </c>
      <c r="BH251" s="186">
        <v>0</v>
      </c>
      <c r="BI251" s="186">
        <v>0</v>
      </c>
      <c r="BJ251" s="186">
        <v>0</v>
      </c>
      <c r="BK251" s="186">
        <v>0</v>
      </c>
      <c r="BL251" s="186">
        <v>0</v>
      </c>
      <c r="BM251" s="186">
        <v>0</v>
      </c>
      <c r="BN251" s="186">
        <v>0</v>
      </c>
      <c r="BO251" s="186">
        <v>0</v>
      </c>
      <c r="BP251" s="186">
        <v>0</v>
      </c>
      <c r="BQ251" s="186">
        <v>0</v>
      </c>
      <c r="BR251" s="186">
        <v>0</v>
      </c>
      <c r="BS251" s="186">
        <v>0</v>
      </c>
      <c r="BT251" s="186">
        <v>0</v>
      </c>
      <c r="BU251" s="186">
        <v>0</v>
      </c>
      <c r="BV251" s="186">
        <v>0</v>
      </c>
      <c r="BW251" s="186">
        <v>0</v>
      </c>
      <c r="BX251" s="186">
        <v>0</v>
      </c>
      <c r="BY251" s="186">
        <v>0</v>
      </c>
      <c r="BZ251" s="186">
        <v>0</v>
      </c>
      <c r="CA251" s="186">
        <v>0</v>
      </c>
      <c r="CB251" s="186">
        <v>0</v>
      </c>
      <c r="CC251" s="186">
        <v>0</v>
      </c>
      <c r="CD251" s="186">
        <v>0</v>
      </c>
      <c r="CE251" s="186">
        <v>0</v>
      </c>
      <c r="CF251" s="186">
        <v>0</v>
      </c>
      <c r="CG251" s="186">
        <v>0</v>
      </c>
      <c r="CH251" s="186">
        <v>0</v>
      </c>
      <c r="CI251" s="186">
        <v>0</v>
      </c>
      <c r="CJ251" s="186">
        <v>0</v>
      </c>
      <c r="CK251" s="186">
        <v>0</v>
      </c>
      <c r="CL251" s="186">
        <v>0</v>
      </c>
      <c r="CM251" s="186">
        <v>0</v>
      </c>
      <c r="CN251" s="186">
        <v>0</v>
      </c>
      <c r="CO251" s="186">
        <v>0</v>
      </c>
      <c r="CP251" s="186">
        <v>0</v>
      </c>
      <c r="CQ251" s="186">
        <v>0</v>
      </c>
      <c r="CR251" s="186">
        <v>0</v>
      </c>
      <c r="CS251" s="186">
        <v>0</v>
      </c>
      <c r="CT251" s="186">
        <v>0</v>
      </c>
      <c r="CU251" s="186">
        <v>0</v>
      </c>
      <c r="CV251" s="186">
        <v>0</v>
      </c>
    </row>
    <row r="252" spans="1:100">
      <c r="A252" s="541" t="str">
        <f t="shared" si="3"/>
        <v>2340799</v>
      </c>
      <c r="B252" s="541" t="s">
        <v>2474</v>
      </c>
      <c r="C252" s="463" t="s">
        <v>2475</v>
      </c>
      <c r="D252" s="397"/>
      <c r="E252" s="397"/>
      <c r="F252" s="397"/>
      <c r="G252" s="397"/>
      <c r="H252" s="397"/>
      <c r="I252" s="397"/>
      <c r="J252" s="397"/>
      <c r="K252" s="397"/>
      <c r="L252" s="397"/>
      <c r="M252" s="397"/>
      <c r="N252" s="397"/>
      <c r="O252" s="397"/>
      <c r="P252" s="398"/>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6"/>
      <c r="AL252" s="186"/>
      <c r="AM252" s="186"/>
      <c r="AN252" s="186"/>
      <c r="AO252" s="186"/>
      <c r="AP252" s="186"/>
      <c r="AQ252" s="186"/>
      <c r="AR252" s="186"/>
      <c r="AS252" s="186"/>
      <c r="AT252" s="186"/>
      <c r="AU252" s="186"/>
      <c r="AV252" s="186"/>
      <c r="AW252" s="186"/>
      <c r="AX252" s="186"/>
      <c r="AY252" s="186"/>
      <c r="AZ252" s="186"/>
      <c r="BA252" s="186"/>
      <c r="BB252" s="186"/>
      <c r="BC252" s="186"/>
      <c r="BD252" s="186"/>
      <c r="BE252" s="186"/>
      <c r="BF252" s="186"/>
      <c r="BG252" s="186"/>
      <c r="BH252" s="186"/>
      <c r="BI252" s="186"/>
      <c r="BJ252" s="186"/>
      <c r="BK252" s="186"/>
      <c r="BL252" s="186"/>
      <c r="BM252" s="186"/>
      <c r="BN252" s="186"/>
      <c r="BO252" s="186"/>
      <c r="BP252" s="186"/>
      <c r="BQ252" s="186"/>
      <c r="BR252" s="186"/>
      <c r="BS252" s="186"/>
      <c r="BT252" s="186"/>
      <c r="BU252" s="186"/>
      <c r="BV252" s="186"/>
      <c r="BW252" s="186"/>
      <c r="BX252" s="186"/>
      <c r="BY252" s="186">
        <v>0</v>
      </c>
      <c r="BZ252" s="186">
        <v>-43661.49</v>
      </c>
      <c r="CA252" s="186">
        <v>-40996.379999999997</v>
      </c>
      <c r="CB252" s="186">
        <v>-41722.78</v>
      </c>
      <c r="CC252" s="186">
        <v>-41928.639999999999</v>
      </c>
      <c r="CD252" s="186">
        <v>-42872.92</v>
      </c>
      <c r="CE252" s="186">
        <v>-43742.91</v>
      </c>
      <c r="CF252" s="186">
        <v>-57924.6</v>
      </c>
      <c r="CG252" s="186">
        <v>-57201.279999999999</v>
      </c>
      <c r="CH252" s="186">
        <v>-57441.81</v>
      </c>
      <c r="CI252" s="186">
        <v>-59005.8</v>
      </c>
      <c r="CJ252" s="186">
        <v>-59967.87</v>
      </c>
      <c r="CK252" s="186">
        <v>-42348.21</v>
      </c>
      <c r="CL252" s="186">
        <v>-42665.34</v>
      </c>
      <c r="CM252" s="186">
        <v>-45992.86</v>
      </c>
      <c r="CN252" s="186">
        <v>-47078.55</v>
      </c>
      <c r="CO252" s="186">
        <v>-47909.19</v>
      </c>
      <c r="CP252" s="186">
        <v>-46664.51</v>
      </c>
      <c r="CQ252" s="186">
        <v>-46409.89</v>
      </c>
      <c r="CR252" s="186">
        <v>-44891.02</v>
      </c>
      <c r="CS252" s="186">
        <v>-44454.11</v>
      </c>
      <c r="CT252" s="186">
        <v>-45735.61</v>
      </c>
      <c r="CU252" s="186">
        <v>-44276.88</v>
      </c>
      <c r="CV252" s="186">
        <v>-44675.02</v>
      </c>
    </row>
    <row r="253" spans="1:100">
      <c r="A253" s="541" t="str">
        <f t="shared" si="3"/>
        <v>2350100</v>
      </c>
      <c r="B253" s="541" t="s">
        <v>1662</v>
      </c>
      <c r="C253" s="463" t="s">
        <v>777</v>
      </c>
      <c r="D253" s="397">
        <v>-38252497.020000003</v>
      </c>
      <c r="E253" s="397">
        <v>-38402663.640000001</v>
      </c>
      <c r="F253" s="397">
        <v>-38619213.899999999</v>
      </c>
      <c r="G253" s="397">
        <v>-38751511.399999999</v>
      </c>
      <c r="H253" s="397">
        <v>-38848172.740000002</v>
      </c>
      <c r="I253" s="397">
        <v>-39086891.649999999</v>
      </c>
      <c r="J253" s="397">
        <v>-39301948.060000002</v>
      </c>
      <c r="K253" s="397">
        <v>-39528824.149999999</v>
      </c>
      <c r="L253" s="397">
        <v>-39623433.270000003</v>
      </c>
      <c r="M253" s="397">
        <v>-39834100.380000003</v>
      </c>
      <c r="N253" s="397">
        <v>-40259363.75</v>
      </c>
      <c r="O253" s="397">
        <v>-40002890.090000004</v>
      </c>
      <c r="P253" s="398">
        <v>-39967880.380000003</v>
      </c>
      <c r="Q253" s="186">
        <v>-40117931.630000003</v>
      </c>
      <c r="R253" s="186">
        <v>-40137186.770000003</v>
      </c>
      <c r="S253" s="186">
        <v>-40205466.490000002</v>
      </c>
      <c r="T253" s="186">
        <v>-40406562.909999996</v>
      </c>
      <c r="U253" s="186">
        <v>-40629411.25</v>
      </c>
      <c r="V253" s="186">
        <v>-40700715.420000002</v>
      </c>
      <c r="W253" s="186">
        <v>-40727665.799999997</v>
      </c>
      <c r="X253" s="186">
        <v>-40710578.390000001</v>
      </c>
      <c r="Y253" s="186">
        <v>-40767228.880000003</v>
      </c>
      <c r="Z253" s="186">
        <v>-40905057.280000001</v>
      </c>
      <c r="AA253" s="186">
        <v>-41160520.020000003</v>
      </c>
      <c r="AB253" s="186">
        <v>-41282380.640000001</v>
      </c>
      <c r="AC253" s="186">
        <v>-39982275.799999997</v>
      </c>
      <c r="AD253" s="186">
        <v>-38927734.600000001</v>
      </c>
      <c r="AE253" s="186">
        <v>-38021392.659999996</v>
      </c>
      <c r="AF253" s="186">
        <v>-37019487.399999999</v>
      </c>
      <c r="AG253" s="186">
        <v>-35950756.5</v>
      </c>
      <c r="AH253" s="186">
        <v>-35134623.130000003</v>
      </c>
      <c r="AI253" s="186">
        <v>-34025425.530000001</v>
      </c>
      <c r="AJ253" s="186">
        <v>-32991141.539999999</v>
      </c>
      <c r="AK253" s="186">
        <v>-32106805.510000002</v>
      </c>
      <c r="AL253" s="186">
        <v>-30795202.239999998</v>
      </c>
      <c r="AM253" s="186">
        <v>-29695670.870000001</v>
      </c>
      <c r="AN253" s="186">
        <v>-28077717.68</v>
      </c>
      <c r="AO253" s="186">
        <v>-27370166.109999999</v>
      </c>
      <c r="AP253" s="186">
        <v>-26799247.010000002</v>
      </c>
      <c r="AQ253" s="186">
        <v>-26553223.07</v>
      </c>
      <c r="AR253" s="186">
        <v>-26544196.93</v>
      </c>
      <c r="AS253" s="186">
        <v>-26380476.620000001</v>
      </c>
      <c r="AT253" s="186">
        <v>-26257939.870000001</v>
      </c>
      <c r="AU253" s="186">
        <v>-26069005.5</v>
      </c>
      <c r="AV253" s="186">
        <v>-26037874.789999999</v>
      </c>
      <c r="AW253" s="186">
        <v>-25950195.57</v>
      </c>
      <c r="AX253" s="186">
        <v>-25955165.579999998</v>
      </c>
      <c r="AY253" s="186">
        <v>-25789167.710000001</v>
      </c>
      <c r="AZ253" s="186">
        <v>-25688398.550000001</v>
      </c>
      <c r="BA253" s="186">
        <v>-25537703.129999999</v>
      </c>
      <c r="BB253" s="186">
        <v>-25569380.91</v>
      </c>
      <c r="BC253" s="186">
        <v>-25629339.93</v>
      </c>
      <c r="BD253" s="186">
        <v>-25705333.899999999</v>
      </c>
      <c r="BE253" s="186">
        <v>-25790760.98</v>
      </c>
      <c r="BF253" s="186">
        <v>-25830275.280000001</v>
      </c>
      <c r="BG253" s="186">
        <v>-25852232.690000001</v>
      </c>
      <c r="BH253" s="186">
        <v>-25925983.190000001</v>
      </c>
      <c r="BI253" s="186">
        <v>-25893012.34</v>
      </c>
      <c r="BJ253" s="186">
        <v>-25992257.5</v>
      </c>
      <c r="BK253" s="186">
        <v>-25966855.82</v>
      </c>
      <c r="BL253" s="186">
        <v>-25903685.43</v>
      </c>
      <c r="BM253" s="186">
        <v>-25867705.32</v>
      </c>
      <c r="BN253" s="186">
        <v>-25898455.109999999</v>
      </c>
      <c r="BO253" s="186">
        <v>-25925131.82</v>
      </c>
      <c r="BP253" s="186">
        <v>-25847349.969999999</v>
      </c>
      <c r="BQ253" s="186">
        <v>-25870817.390000001</v>
      </c>
      <c r="BR253" s="186">
        <v>-25868020.23</v>
      </c>
      <c r="BS253" s="186">
        <v>-25768615.09</v>
      </c>
      <c r="BT253" s="186">
        <v>-25686969.59</v>
      </c>
      <c r="BU253" s="186">
        <v>-25634262.850000001</v>
      </c>
      <c r="BV253" s="186">
        <v>-25695380.539999999</v>
      </c>
      <c r="BW253" s="186">
        <v>-25691903.879999999</v>
      </c>
      <c r="BX253" s="186">
        <v>-25704516</v>
      </c>
      <c r="BY253" s="186">
        <v>-25665571.920000002</v>
      </c>
      <c r="BZ253" s="186">
        <v>-25728441.66</v>
      </c>
      <c r="CA253" s="186">
        <v>-25721300.809999999</v>
      </c>
      <c r="CB253" s="186">
        <v>-25668756</v>
      </c>
      <c r="CC253" s="186">
        <v>-25569201.969999999</v>
      </c>
      <c r="CD253" s="186">
        <v>-25464047.059999999</v>
      </c>
      <c r="CE253" s="186">
        <v>-25456799.27</v>
      </c>
      <c r="CF253" s="186">
        <v>-25416773.23</v>
      </c>
      <c r="CG253" s="186">
        <v>-25432972.77</v>
      </c>
      <c r="CH253" s="186">
        <v>-25393550.68</v>
      </c>
      <c r="CI253" s="186">
        <v>-25333305.43</v>
      </c>
      <c r="CJ253" s="186">
        <v>-25075278.079999998</v>
      </c>
      <c r="CK253" s="186">
        <v>-25241811.829999998</v>
      </c>
      <c r="CL253" s="186">
        <v>-25273973.25</v>
      </c>
      <c r="CM253" s="186">
        <v>-25387420.379999999</v>
      </c>
      <c r="CN253" s="186">
        <v>-25318474.699999999</v>
      </c>
      <c r="CO253" s="186">
        <v>-25407263.77</v>
      </c>
      <c r="CP253" s="186">
        <v>-25529439.879999999</v>
      </c>
      <c r="CQ253" s="186">
        <v>-25706203.600000001</v>
      </c>
      <c r="CR253" s="186">
        <v>-25782528.359999999</v>
      </c>
      <c r="CS253" s="186">
        <v>-25962796.670000002</v>
      </c>
      <c r="CT253" s="186">
        <v>-26074226.34</v>
      </c>
      <c r="CU253" s="186">
        <v>-26300461.460000001</v>
      </c>
      <c r="CV253" s="186">
        <v>-26450409.190000001</v>
      </c>
    </row>
    <row r="254" spans="1:100">
      <c r="A254" s="541" t="str">
        <f t="shared" si="3"/>
        <v>2350110</v>
      </c>
      <c r="B254" s="541" t="s">
        <v>888</v>
      </c>
      <c r="C254" s="463" t="s">
        <v>778</v>
      </c>
      <c r="D254" s="397">
        <v>-709932</v>
      </c>
      <c r="E254" s="397">
        <v>-709932</v>
      </c>
      <c r="F254" s="397">
        <v>-709932</v>
      </c>
      <c r="G254" s="397">
        <v>-709932</v>
      </c>
      <c r="H254" s="397">
        <v>-734932</v>
      </c>
      <c r="I254" s="397">
        <v>-734932</v>
      </c>
      <c r="J254" s="397">
        <v>-734932</v>
      </c>
      <c r="K254" s="397">
        <v>-734932</v>
      </c>
      <c r="L254" s="397">
        <v>-709932</v>
      </c>
      <c r="M254" s="397">
        <v>-709932</v>
      </c>
      <c r="N254" s="397">
        <v>-709932</v>
      </c>
      <c r="O254" s="397">
        <v>-709932</v>
      </c>
      <c r="P254" s="398">
        <v>-709932</v>
      </c>
      <c r="Q254" s="186">
        <v>-709932</v>
      </c>
      <c r="R254" s="186">
        <v>-682932</v>
      </c>
      <c r="S254" s="186">
        <v>-682932</v>
      </c>
      <c r="T254" s="186">
        <v>-682932</v>
      </c>
      <c r="U254" s="186">
        <v>-682932</v>
      </c>
      <c r="V254" s="186">
        <v>-682932</v>
      </c>
      <c r="W254" s="186">
        <v>-682932</v>
      </c>
      <c r="X254" s="186">
        <v>-682932</v>
      </c>
      <c r="Y254" s="186">
        <v>-682932</v>
      </c>
      <c r="Z254" s="186">
        <v>-682932</v>
      </c>
      <c r="AA254" s="186">
        <v>-682932</v>
      </c>
      <c r="AB254" s="186">
        <v>-682932</v>
      </c>
      <c r="AC254" s="186">
        <v>-682932</v>
      </c>
      <c r="AD254" s="186">
        <v>-682932</v>
      </c>
      <c r="AE254" s="186">
        <v>-857932</v>
      </c>
      <c r="AF254" s="186">
        <v>-826000</v>
      </c>
      <c r="AG254" s="186">
        <v>-826000</v>
      </c>
      <c r="AH254" s="186">
        <v>-826000</v>
      </c>
      <c r="AI254" s="186">
        <v>-826000</v>
      </c>
      <c r="AJ254" s="186">
        <v>-826000</v>
      </c>
      <c r="AK254" s="186">
        <v>-826000</v>
      </c>
      <c r="AL254" s="186">
        <v>-826000</v>
      </c>
      <c r="AM254" s="186">
        <v>-826000</v>
      </c>
      <c r="AN254" s="186">
        <v>-826000</v>
      </c>
      <c r="AO254" s="186">
        <v>-826000</v>
      </c>
      <c r="AP254" s="186">
        <v>-826000</v>
      </c>
      <c r="AQ254" s="186">
        <v>-826000</v>
      </c>
      <c r="AR254" s="186">
        <v>-826000</v>
      </c>
      <c r="AS254" s="186">
        <v>-826000</v>
      </c>
      <c r="AT254" s="186">
        <v>-826000</v>
      </c>
      <c r="AU254" s="186">
        <v>-826000</v>
      </c>
      <c r="AV254" s="186">
        <v>-826000</v>
      </c>
      <c r="AW254" s="186">
        <v>-826000</v>
      </c>
      <c r="AX254" s="186">
        <v>-826000</v>
      </c>
      <c r="AY254" s="186">
        <v>-826000</v>
      </c>
      <c r="AZ254" s="186">
        <v>-826000</v>
      </c>
      <c r="BA254" s="186">
        <v>-826000</v>
      </c>
      <c r="BB254" s="186">
        <v>-826000</v>
      </c>
      <c r="BC254" s="186">
        <v>-826000</v>
      </c>
      <c r="BD254" s="186">
        <v>-826000</v>
      </c>
      <c r="BE254" s="186">
        <v>-826000</v>
      </c>
      <c r="BF254" s="186">
        <v>-836000</v>
      </c>
      <c r="BG254" s="186">
        <v>-836000</v>
      </c>
      <c r="BH254" s="186">
        <v>-661000</v>
      </c>
      <c r="BI254" s="186">
        <v>-661000</v>
      </c>
      <c r="BJ254" s="186">
        <v>-511000</v>
      </c>
      <c r="BK254" s="186">
        <v>-511000</v>
      </c>
      <c r="BL254" s="186">
        <v>-511000</v>
      </c>
      <c r="BM254" s="186">
        <v>-511000</v>
      </c>
      <c r="BN254" s="186">
        <v>-511000</v>
      </c>
      <c r="BO254" s="186">
        <v>-511000</v>
      </c>
      <c r="BP254" s="186">
        <v>-521000</v>
      </c>
      <c r="BQ254" s="186">
        <v>-521000</v>
      </c>
      <c r="BR254" s="186">
        <v>-521000</v>
      </c>
      <c r="BS254" s="186">
        <v>-605000</v>
      </c>
      <c r="BT254" s="186">
        <v>-595000</v>
      </c>
      <c r="BU254" s="186">
        <v>-569000</v>
      </c>
      <c r="BV254" s="186">
        <v>-569000</v>
      </c>
      <c r="BW254" s="186">
        <v>-569000</v>
      </c>
      <c r="BX254" s="186">
        <v>-569000</v>
      </c>
      <c r="BY254" s="186">
        <v>-569000</v>
      </c>
      <c r="BZ254" s="186">
        <v>-594000</v>
      </c>
      <c r="CA254" s="186">
        <v>-594000</v>
      </c>
      <c r="CB254" s="186">
        <v>-594000</v>
      </c>
      <c r="CC254" s="186">
        <v>-594000</v>
      </c>
      <c r="CD254" s="186">
        <v>-594000</v>
      </c>
      <c r="CE254" s="186">
        <v>-594000</v>
      </c>
      <c r="CF254" s="186">
        <v>-594000</v>
      </c>
      <c r="CG254" s="186">
        <v>-594000</v>
      </c>
      <c r="CH254" s="186">
        <v>-594000</v>
      </c>
      <c r="CI254" s="186">
        <v>-594000</v>
      </c>
      <c r="CJ254" s="186">
        <v>-594000</v>
      </c>
      <c r="CK254" s="186">
        <v>-594000</v>
      </c>
      <c r="CL254" s="186">
        <v>-589000</v>
      </c>
      <c r="CM254" s="186">
        <v>-589000</v>
      </c>
      <c r="CN254" s="186">
        <v>-589000</v>
      </c>
      <c r="CO254" s="186">
        <v>-589000</v>
      </c>
      <c r="CP254" s="186">
        <v>-589000</v>
      </c>
      <c r="CQ254" s="186">
        <v>-579000</v>
      </c>
      <c r="CR254" s="186">
        <v>-579000</v>
      </c>
      <c r="CS254" s="186">
        <v>-579000</v>
      </c>
      <c r="CT254" s="186">
        <v>-604000</v>
      </c>
      <c r="CU254" s="186">
        <v>-604000</v>
      </c>
      <c r="CV254" s="186">
        <v>-604000</v>
      </c>
    </row>
    <row r="255" spans="1:100">
      <c r="A255" s="541" t="str">
        <f t="shared" si="3"/>
        <v>2360310</v>
      </c>
      <c r="B255" s="541" t="s">
        <v>897</v>
      </c>
      <c r="C255" s="463" t="s">
        <v>779</v>
      </c>
      <c r="D255" s="397">
        <v>0</v>
      </c>
      <c r="E255" s="397">
        <v>-1110183.55</v>
      </c>
      <c r="F255" s="397">
        <v>-3706913.86</v>
      </c>
      <c r="G255" s="397">
        <v>-7388510.1200000001</v>
      </c>
      <c r="H255" s="397">
        <v>-1479412.37</v>
      </c>
      <c r="I255" s="397">
        <v>-2772719.08</v>
      </c>
      <c r="J255" s="397">
        <v>3645817.99</v>
      </c>
      <c r="K255" s="397">
        <v>3086268.68</v>
      </c>
      <c r="L255" s="397">
        <v>2750860.55</v>
      </c>
      <c r="M255" s="397">
        <v>6100180.6799999997</v>
      </c>
      <c r="N255" s="397">
        <v>1846062.79</v>
      </c>
      <c r="O255" s="397">
        <v>2837202.01</v>
      </c>
      <c r="P255" s="398">
        <v>0</v>
      </c>
      <c r="Q255" s="186">
        <v>6614599.8899999997</v>
      </c>
      <c r="R255" s="186">
        <v>5261753.8899999997</v>
      </c>
      <c r="S255" s="186">
        <v>-6877231.6100000003</v>
      </c>
      <c r="T255" s="186">
        <v>-1049179.23</v>
      </c>
      <c r="U255" s="186">
        <v>-1968867.86</v>
      </c>
      <c r="V255" s="186">
        <v>3525612.03</v>
      </c>
      <c r="W255" s="186">
        <v>2499473.4500000002</v>
      </c>
      <c r="X255" s="186">
        <v>1457670.24</v>
      </c>
      <c r="Y255" s="186">
        <v>3433829.26</v>
      </c>
      <c r="Z255" s="186">
        <v>3882410.39</v>
      </c>
      <c r="AA255" s="186">
        <v>4023952.89</v>
      </c>
      <c r="AB255" s="186">
        <v>0</v>
      </c>
      <c r="AC255" s="186">
        <v>11617731.970000001</v>
      </c>
      <c r="AD255" s="186">
        <v>9112301.5800000001</v>
      </c>
      <c r="AE255" s="186">
        <v>-5307226.3899999997</v>
      </c>
      <c r="AF255" s="186">
        <v>-464969.98</v>
      </c>
      <c r="AG255" s="186">
        <v>-620742.56999999995</v>
      </c>
      <c r="AH255" s="186">
        <v>4724907.4000000004</v>
      </c>
      <c r="AI255" s="186">
        <v>4443250.5199999996</v>
      </c>
      <c r="AJ255" s="186">
        <v>5106456.78</v>
      </c>
      <c r="AK255" s="186">
        <v>-947492.86</v>
      </c>
      <c r="AL255" s="186">
        <v>887842.89</v>
      </c>
      <c r="AM255" s="186">
        <v>1050067.68</v>
      </c>
      <c r="AN255" s="186">
        <v>0</v>
      </c>
      <c r="AO255" s="186">
        <v>-878357.64</v>
      </c>
      <c r="AP255" s="186">
        <v>-403265.16</v>
      </c>
      <c r="AQ255" s="186">
        <v>-371936.58</v>
      </c>
      <c r="AR255" s="186">
        <v>-1353085.71</v>
      </c>
      <c r="AS255" s="186">
        <v>-708337.96</v>
      </c>
      <c r="AT255" s="186">
        <v>-264959.49</v>
      </c>
      <c r="AU255" s="186">
        <v>550006.63</v>
      </c>
      <c r="AV255" s="186">
        <v>1403560.08</v>
      </c>
      <c r="AW255" s="186">
        <v>-144712.87</v>
      </c>
      <c r="AX255" s="186">
        <v>1552954.08</v>
      </c>
      <c r="AY255" s="186">
        <v>2400276.9500000002</v>
      </c>
      <c r="AZ255" s="186">
        <v>-5619344.96</v>
      </c>
      <c r="BA255" s="186">
        <v>-8233065.7999999998</v>
      </c>
      <c r="BB255" s="186">
        <v>-8631714.4600000009</v>
      </c>
      <c r="BC255" s="186">
        <v>-9374716.8599999994</v>
      </c>
      <c r="BD255" s="186">
        <v>-3285299.34</v>
      </c>
      <c r="BE255" s="186">
        <v>-3572138.62</v>
      </c>
      <c r="BF255" s="186">
        <v>-2103898.56</v>
      </c>
      <c r="BG255" s="186">
        <v>-2364270.87</v>
      </c>
      <c r="BH255" s="186">
        <v>-1486668.81</v>
      </c>
      <c r="BI255" s="186">
        <v>-895643.03</v>
      </c>
      <c r="BJ255" s="186">
        <v>-698418.17</v>
      </c>
      <c r="BK255" s="186">
        <v>2564355.4700000002</v>
      </c>
      <c r="BL255" s="186">
        <v>-2694511.42</v>
      </c>
      <c r="BM255" s="186">
        <v>-4340058.5</v>
      </c>
      <c r="BN255" s="186">
        <v>-4410157.84</v>
      </c>
      <c r="BO255" s="186">
        <v>-5406410.0199999996</v>
      </c>
      <c r="BP255" s="186">
        <v>-2393103.0299999998</v>
      </c>
      <c r="BQ255" s="186">
        <v>-2759917.3</v>
      </c>
      <c r="BR255" s="186">
        <v>-1890385.42</v>
      </c>
      <c r="BS255" s="186">
        <v>-2033453.12</v>
      </c>
      <c r="BT255" s="186">
        <v>-2184379.35</v>
      </c>
      <c r="BU255" s="186">
        <v>-647212.17000000004</v>
      </c>
      <c r="BV255" s="186">
        <v>-887011.51</v>
      </c>
      <c r="BW255" s="186">
        <v>-1425569.49</v>
      </c>
      <c r="BX255" s="186">
        <v>0.02</v>
      </c>
      <c r="BY255" s="186">
        <v>-2636855.1800000002</v>
      </c>
      <c r="BZ255" s="186">
        <v>-1074950.6299999999</v>
      </c>
      <c r="CA255" s="186">
        <v>-1462030.64</v>
      </c>
      <c r="CB255" s="186">
        <v>-1896973.05</v>
      </c>
      <c r="CC255" s="186">
        <v>-1722510.25</v>
      </c>
      <c r="CD255" s="186">
        <v>-2040092.88</v>
      </c>
      <c r="CE255" s="186">
        <v>-1777498.83</v>
      </c>
      <c r="CF255" s="186">
        <v>-1779840.27</v>
      </c>
      <c r="CG255" s="186">
        <v>-1909281.73</v>
      </c>
      <c r="CH255" s="186">
        <v>-662957.1</v>
      </c>
      <c r="CI255" s="186">
        <v>-1678529.58</v>
      </c>
      <c r="CJ255" s="186">
        <v>-1378790.59</v>
      </c>
      <c r="CK255" s="186">
        <v>-3775020.35</v>
      </c>
      <c r="CL255" s="186">
        <v>-4785526.5199999996</v>
      </c>
      <c r="CM255" s="186">
        <v>-4369963.25</v>
      </c>
      <c r="CN255" s="186">
        <v>-2589963.37</v>
      </c>
      <c r="CO255" s="186">
        <v>-2168497.0299999998</v>
      </c>
      <c r="CP255" s="186">
        <v>-2181282.89</v>
      </c>
      <c r="CQ255" s="186">
        <v>-1987306.55</v>
      </c>
      <c r="CR255" s="186">
        <v>-2581529.0699999998</v>
      </c>
      <c r="CS255" s="186">
        <v>198105.56</v>
      </c>
      <c r="CT255" s="186">
        <v>1522712.26</v>
      </c>
      <c r="CU255" s="186">
        <v>2860455.51</v>
      </c>
      <c r="CV255" s="186">
        <v>0</v>
      </c>
    </row>
    <row r="256" spans="1:100">
      <c r="A256" s="541" t="str">
        <f t="shared" si="3"/>
        <v>2360320</v>
      </c>
      <c r="B256" s="541" t="s">
        <v>896</v>
      </c>
      <c r="C256" s="463" t="s">
        <v>780</v>
      </c>
      <c r="D256" s="397">
        <v>0</v>
      </c>
      <c r="E256" s="397">
        <v>0</v>
      </c>
      <c r="F256" s="397">
        <v>0</v>
      </c>
      <c r="G256" s="397">
        <v>0</v>
      </c>
      <c r="H256" s="397">
        <v>0</v>
      </c>
      <c r="I256" s="397">
        <v>0</v>
      </c>
      <c r="J256" s="397">
        <v>0</v>
      </c>
      <c r="K256" s="397">
        <v>0</v>
      </c>
      <c r="L256" s="397">
        <v>0</v>
      </c>
      <c r="M256" s="397">
        <v>0</v>
      </c>
      <c r="N256" s="397">
        <v>0</v>
      </c>
      <c r="O256" s="397">
        <v>0</v>
      </c>
      <c r="P256" s="398">
        <v>0</v>
      </c>
      <c r="Q256" s="186">
        <v>0</v>
      </c>
      <c r="R256" s="186">
        <v>0</v>
      </c>
      <c r="S256" s="186">
        <v>0</v>
      </c>
      <c r="T256" s="186">
        <v>0</v>
      </c>
      <c r="U256" s="186">
        <v>0</v>
      </c>
      <c r="V256" s="186">
        <v>0</v>
      </c>
      <c r="W256" s="186">
        <v>0</v>
      </c>
      <c r="X256" s="186">
        <v>0</v>
      </c>
      <c r="Y256" s="186">
        <v>0</v>
      </c>
      <c r="Z256" s="186">
        <v>0</v>
      </c>
      <c r="AA256" s="186">
        <v>0</v>
      </c>
      <c r="AB256" s="186">
        <v>0</v>
      </c>
      <c r="AC256" s="186">
        <v>0</v>
      </c>
      <c r="AD256" s="186">
        <v>0</v>
      </c>
      <c r="AE256" s="186">
        <v>0</v>
      </c>
      <c r="AF256" s="186">
        <v>0</v>
      </c>
      <c r="AG256" s="186">
        <v>0</v>
      </c>
      <c r="AH256" s="186">
        <v>0</v>
      </c>
      <c r="AI256" s="186">
        <v>0</v>
      </c>
      <c r="AJ256" s="186">
        <v>0</v>
      </c>
      <c r="AK256" s="186">
        <v>0</v>
      </c>
      <c r="AL256" s="186">
        <v>0</v>
      </c>
      <c r="AM256" s="186">
        <v>0</v>
      </c>
      <c r="AN256" s="186">
        <v>0</v>
      </c>
      <c r="AO256" s="186">
        <v>0</v>
      </c>
      <c r="AP256" s="186">
        <v>0</v>
      </c>
      <c r="AQ256" s="186">
        <v>0</v>
      </c>
      <c r="AR256" s="186">
        <v>0</v>
      </c>
      <c r="AS256" s="186">
        <v>0</v>
      </c>
      <c r="AT256" s="186">
        <v>0</v>
      </c>
      <c r="AU256" s="186">
        <v>0</v>
      </c>
      <c r="AV256" s="186">
        <v>0</v>
      </c>
      <c r="AW256" s="186">
        <v>0</v>
      </c>
      <c r="AX256" s="186">
        <v>0</v>
      </c>
      <c r="AY256" s="186">
        <v>0</v>
      </c>
      <c r="AZ256" s="186">
        <v>0</v>
      </c>
      <c r="BA256" s="186">
        <v>0</v>
      </c>
      <c r="BB256" s="186">
        <v>0</v>
      </c>
      <c r="BC256" s="186">
        <v>0</v>
      </c>
      <c r="BD256" s="186">
        <v>0</v>
      </c>
      <c r="BE256" s="186">
        <v>0</v>
      </c>
      <c r="BF256" s="186">
        <v>0</v>
      </c>
      <c r="BG256" s="186">
        <v>0</v>
      </c>
      <c r="BH256" s="186">
        <v>0</v>
      </c>
      <c r="BI256" s="186">
        <v>0</v>
      </c>
      <c r="BJ256" s="186">
        <v>0</v>
      </c>
      <c r="BK256" s="186">
        <v>0</v>
      </c>
      <c r="BL256" s="186">
        <v>0</v>
      </c>
      <c r="BM256" s="186">
        <v>0</v>
      </c>
      <c r="BN256" s="186">
        <v>0</v>
      </c>
      <c r="BO256" s="186">
        <v>0</v>
      </c>
      <c r="BP256" s="186">
        <v>0</v>
      </c>
      <c r="BQ256" s="186">
        <v>0</v>
      </c>
      <c r="BR256" s="186">
        <v>0</v>
      </c>
      <c r="BS256" s="186">
        <v>0</v>
      </c>
      <c r="BT256" s="186">
        <v>0</v>
      </c>
      <c r="BU256" s="186">
        <v>0</v>
      </c>
      <c r="BV256" s="186">
        <v>0</v>
      </c>
      <c r="BW256" s="186">
        <v>0</v>
      </c>
      <c r="BX256" s="186">
        <v>0</v>
      </c>
      <c r="BY256" s="186">
        <v>0</v>
      </c>
      <c r="BZ256" s="186">
        <v>0</v>
      </c>
      <c r="CA256" s="186">
        <v>0</v>
      </c>
      <c r="CB256" s="186">
        <v>0</v>
      </c>
      <c r="CC256" s="186">
        <v>0</v>
      </c>
      <c r="CD256" s="186">
        <v>0</v>
      </c>
      <c r="CE256" s="186">
        <v>0</v>
      </c>
      <c r="CF256" s="186">
        <v>0</v>
      </c>
      <c r="CG256" s="186">
        <v>0</v>
      </c>
      <c r="CH256" s="186">
        <v>0</v>
      </c>
      <c r="CI256" s="186">
        <v>0</v>
      </c>
      <c r="CJ256" s="186">
        <v>0</v>
      </c>
      <c r="CK256" s="186">
        <v>0</v>
      </c>
      <c r="CL256" s="186">
        <v>0</v>
      </c>
      <c r="CM256" s="186">
        <v>0</v>
      </c>
      <c r="CN256" s="186">
        <v>0</v>
      </c>
      <c r="CO256" s="186">
        <v>0</v>
      </c>
      <c r="CP256" s="186">
        <v>0</v>
      </c>
      <c r="CQ256" s="186">
        <v>0</v>
      </c>
      <c r="CR256" s="186">
        <v>0</v>
      </c>
      <c r="CS256" s="186">
        <v>0</v>
      </c>
      <c r="CT256" s="186">
        <v>0</v>
      </c>
      <c r="CU256" s="186">
        <v>0</v>
      </c>
      <c r="CV256" s="186">
        <v>0</v>
      </c>
    </row>
    <row r="257" spans="1:100">
      <c r="A257" s="541" t="str">
        <f t="shared" si="3"/>
        <v>2360410</v>
      </c>
      <c r="B257" s="541" t="s">
        <v>898</v>
      </c>
      <c r="C257" s="463" t="s">
        <v>781</v>
      </c>
      <c r="D257" s="397">
        <v>0</v>
      </c>
      <c r="E257" s="397">
        <v>-192098.44</v>
      </c>
      <c r="F257" s="397">
        <v>-527557.49</v>
      </c>
      <c r="G257" s="397">
        <v>-883061.66</v>
      </c>
      <c r="H257" s="397">
        <v>-712009.79</v>
      </c>
      <c r="I257" s="397">
        <v>-830724.18</v>
      </c>
      <c r="J257" s="397">
        <v>-430684.47</v>
      </c>
      <c r="K257" s="397">
        <v>-427383.26</v>
      </c>
      <c r="L257" s="397">
        <v>-386809.91</v>
      </c>
      <c r="M257" s="397">
        <v>38331.29</v>
      </c>
      <c r="N257" s="397">
        <v>-176641.52</v>
      </c>
      <c r="O257" s="397">
        <v>225892.94</v>
      </c>
      <c r="P257" s="398">
        <v>0</v>
      </c>
      <c r="Q257" s="186">
        <v>-105519.42</v>
      </c>
      <c r="R257" s="186">
        <v>-235495.25</v>
      </c>
      <c r="S257" s="186">
        <v>-544030.99</v>
      </c>
      <c r="T257" s="186">
        <v>-642040.01</v>
      </c>
      <c r="U257" s="186">
        <v>-699986.64</v>
      </c>
      <c r="V257" s="186">
        <v>-568332.17000000004</v>
      </c>
      <c r="W257" s="186">
        <v>-643980.23</v>
      </c>
      <c r="X257" s="186">
        <v>-722233.13</v>
      </c>
      <c r="Y257" s="186">
        <v>-339899.3</v>
      </c>
      <c r="Z257" s="186">
        <v>-9647.0300000000007</v>
      </c>
      <c r="AA257" s="186">
        <v>107228.18</v>
      </c>
      <c r="AB257" s="186">
        <v>0</v>
      </c>
      <c r="AC257" s="186">
        <v>-119035.83</v>
      </c>
      <c r="AD257" s="186">
        <v>-556440.64</v>
      </c>
      <c r="AE257" s="186">
        <v>-728948.08</v>
      </c>
      <c r="AF257" s="186">
        <v>-684939.06</v>
      </c>
      <c r="AG257" s="186">
        <v>-731622.24</v>
      </c>
      <c r="AH257" s="186">
        <v>-612275.47</v>
      </c>
      <c r="AI257" s="186">
        <v>-679891.79</v>
      </c>
      <c r="AJ257" s="186">
        <v>-570536.6</v>
      </c>
      <c r="AK257" s="186">
        <v>53531.31</v>
      </c>
      <c r="AL257" s="186">
        <v>170215.89</v>
      </c>
      <c r="AM257" s="186">
        <v>196263.5</v>
      </c>
      <c r="AN257" s="186">
        <v>-33203.11</v>
      </c>
      <c r="AO257" s="186">
        <v>-339962.02</v>
      </c>
      <c r="AP257" s="186">
        <v>-261355.56</v>
      </c>
      <c r="AQ257" s="186">
        <v>-404529.3</v>
      </c>
      <c r="AR257" s="186">
        <v>-274727.09000000003</v>
      </c>
      <c r="AS257" s="186">
        <v>-146893.91</v>
      </c>
      <c r="AT257" s="186">
        <v>-218483.43</v>
      </c>
      <c r="AU257" s="186">
        <v>-118620.09</v>
      </c>
      <c r="AV257" s="186">
        <v>-12340.13</v>
      </c>
      <c r="AW257" s="186">
        <v>-39183.08</v>
      </c>
      <c r="AX257" s="186">
        <v>207463.46</v>
      </c>
      <c r="AY257" s="186">
        <v>312707.36</v>
      </c>
      <c r="AZ257" s="186">
        <v>-298546.95</v>
      </c>
      <c r="BA257" s="186">
        <v>-904711.08</v>
      </c>
      <c r="BB257" s="186">
        <v>-896972.61</v>
      </c>
      <c r="BC257" s="186">
        <v>-976451.08</v>
      </c>
      <c r="BD257" s="186">
        <v>-789549.85</v>
      </c>
      <c r="BE257" s="186">
        <v>-748083.65</v>
      </c>
      <c r="BF257" s="186">
        <v>-583090.03</v>
      </c>
      <c r="BG257" s="186">
        <v>-534288.56000000006</v>
      </c>
      <c r="BH257" s="186">
        <v>-573746.12</v>
      </c>
      <c r="BI257" s="186">
        <v>-248224.8</v>
      </c>
      <c r="BJ257" s="186">
        <v>-123057.03</v>
      </c>
      <c r="BK257" s="186">
        <v>-34960.53</v>
      </c>
      <c r="BL257" s="186">
        <v>0</v>
      </c>
      <c r="BM257" s="186">
        <v>-15731.67</v>
      </c>
      <c r="BN257" s="186">
        <v>98644.35</v>
      </c>
      <c r="BO257" s="186">
        <v>-29203.08</v>
      </c>
      <c r="BP257" s="186">
        <v>-514979.27</v>
      </c>
      <c r="BQ257" s="186">
        <v>-468379.32</v>
      </c>
      <c r="BR257" s="186">
        <v>-523914.07</v>
      </c>
      <c r="BS257" s="186">
        <v>-415303.23</v>
      </c>
      <c r="BT257" s="186">
        <v>-308870.39</v>
      </c>
      <c r="BU257" s="186">
        <v>-50182.54</v>
      </c>
      <c r="BV257" s="186">
        <v>15398.47</v>
      </c>
      <c r="BW257" s="186">
        <v>14598.01</v>
      </c>
      <c r="BX257" s="186">
        <v>-0.01</v>
      </c>
      <c r="BY257" s="186">
        <v>-487659.85</v>
      </c>
      <c r="BZ257" s="186">
        <v>-42376.3</v>
      </c>
      <c r="CA257" s="186">
        <v>-30158.05</v>
      </c>
      <c r="CB257" s="186">
        <v>-323251.46999999997</v>
      </c>
      <c r="CC257" s="186">
        <v>-186263.46</v>
      </c>
      <c r="CD257" s="186">
        <v>-453280.63</v>
      </c>
      <c r="CE257" s="186">
        <v>-296710.65999999997</v>
      </c>
      <c r="CF257" s="186">
        <v>-264914.92</v>
      </c>
      <c r="CG257" s="186">
        <v>-430994.61</v>
      </c>
      <c r="CH257" s="186">
        <v>-43811.5</v>
      </c>
      <c r="CI257" s="186">
        <v>-175164.58</v>
      </c>
      <c r="CJ257" s="186">
        <v>-158390.94</v>
      </c>
      <c r="CK257" s="186">
        <v>-609320.35</v>
      </c>
      <c r="CL257" s="186">
        <v>-752354.46</v>
      </c>
      <c r="CM257" s="186">
        <v>-578528.80000000005</v>
      </c>
      <c r="CN257" s="186">
        <v>-478463.51</v>
      </c>
      <c r="CO257" s="186">
        <v>-318838.24</v>
      </c>
      <c r="CP257" s="186">
        <v>-484661.62</v>
      </c>
      <c r="CQ257" s="186">
        <v>-360070.57</v>
      </c>
      <c r="CR257" s="186">
        <v>-410610.2</v>
      </c>
      <c r="CS257" s="186">
        <v>224118.31</v>
      </c>
      <c r="CT257" s="186">
        <v>519265.53</v>
      </c>
      <c r="CU257" s="186">
        <v>816705.09</v>
      </c>
      <c r="CV257" s="186">
        <v>0</v>
      </c>
    </row>
    <row r="258" spans="1:100">
      <c r="A258" s="541" t="str">
        <f t="shared" si="3"/>
        <v>2360420</v>
      </c>
      <c r="B258" s="541" t="s">
        <v>899</v>
      </c>
      <c r="C258" s="463" t="s">
        <v>782</v>
      </c>
      <c r="D258" s="397">
        <v>0</v>
      </c>
      <c r="E258" s="397">
        <v>0</v>
      </c>
      <c r="F258" s="397">
        <v>0</v>
      </c>
      <c r="G258" s="397">
        <v>0</v>
      </c>
      <c r="H258" s="397">
        <v>0</v>
      </c>
      <c r="I258" s="397">
        <v>0</v>
      </c>
      <c r="J258" s="397">
        <v>0</v>
      </c>
      <c r="K258" s="397">
        <v>0</v>
      </c>
      <c r="L258" s="397">
        <v>0</v>
      </c>
      <c r="M258" s="397">
        <v>0</v>
      </c>
      <c r="N258" s="397">
        <v>0</v>
      </c>
      <c r="O258" s="397">
        <v>0</v>
      </c>
      <c r="P258" s="398">
        <v>0</v>
      </c>
      <c r="Q258" s="186">
        <v>0</v>
      </c>
      <c r="R258" s="186">
        <v>0</v>
      </c>
      <c r="S258" s="186">
        <v>0</v>
      </c>
      <c r="T258" s="186">
        <v>0</v>
      </c>
      <c r="U258" s="186">
        <v>0</v>
      </c>
      <c r="V258" s="186">
        <v>0</v>
      </c>
      <c r="W258" s="186">
        <v>0</v>
      </c>
      <c r="X258" s="186">
        <v>0</v>
      </c>
      <c r="Y258" s="186">
        <v>0</v>
      </c>
      <c r="Z258" s="186">
        <v>0</v>
      </c>
      <c r="AA258" s="186">
        <v>0</v>
      </c>
      <c r="AB258" s="186">
        <v>0</v>
      </c>
      <c r="AC258" s="186">
        <v>0</v>
      </c>
      <c r="AD258" s="186">
        <v>0</v>
      </c>
      <c r="AE258" s="186">
        <v>0</v>
      </c>
      <c r="AF258" s="186">
        <v>0</v>
      </c>
      <c r="AG258" s="186">
        <v>0</v>
      </c>
      <c r="AH258" s="186">
        <v>0</v>
      </c>
      <c r="AI258" s="186">
        <v>0</v>
      </c>
      <c r="AJ258" s="186">
        <v>0</v>
      </c>
      <c r="AK258" s="186">
        <v>0</v>
      </c>
      <c r="AL258" s="186">
        <v>0</v>
      </c>
      <c r="AM258" s="186">
        <v>0</v>
      </c>
      <c r="AN258" s="186">
        <v>0</v>
      </c>
      <c r="AO258" s="186">
        <v>0</v>
      </c>
      <c r="AP258" s="186">
        <v>0</v>
      </c>
      <c r="AQ258" s="186">
        <v>0</v>
      </c>
      <c r="AR258" s="186">
        <v>0</v>
      </c>
      <c r="AS258" s="186">
        <v>0</v>
      </c>
      <c r="AT258" s="186">
        <v>0</v>
      </c>
      <c r="AU258" s="186">
        <v>0</v>
      </c>
      <c r="AV258" s="186">
        <v>0</v>
      </c>
      <c r="AW258" s="186">
        <v>0</v>
      </c>
      <c r="AX258" s="186">
        <v>0</v>
      </c>
      <c r="AY258" s="186">
        <v>0</v>
      </c>
      <c r="AZ258" s="186">
        <v>0</v>
      </c>
      <c r="BA258" s="186">
        <v>0</v>
      </c>
      <c r="BB258" s="186">
        <v>0</v>
      </c>
      <c r="BC258" s="186">
        <v>0</v>
      </c>
      <c r="BD258" s="186">
        <v>0</v>
      </c>
      <c r="BE258" s="186">
        <v>0</v>
      </c>
      <c r="BF258" s="186">
        <v>0</v>
      </c>
      <c r="BG258" s="186">
        <v>0</v>
      </c>
      <c r="BH258" s="186">
        <v>0</v>
      </c>
      <c r="BI258" s="186">
        <v>0</v>
      </c>
      <c r="BJ258" s="186">
        <v>0</v>
      </c>
      <c r="BK258" s="186">
        <v>0</v>
      </c>
      <c r="BL258" s="186">
        <v>0</v>
      </c>
      <c r="BM258" s="186">
        <v>0</v>
      </c>
      <c r="BN258" s="186">
        <v>0</v>
      </c>
      <c r="BO258" s="186">
        <v>0</v>
      </c>
      <c r="BP258" s="186">
        <v>0</v>
      </c>
      <c r="BQ258" s="186">
        <v>0</v>
      </c>
      <c r="BR258" s="186">
        <v>0</v>
      </c>
      <c r="BS258" s="186">
        <v>0</v>
      </c>
      <c r="BT258" s="186">
        <v>0</v>
      </c>
      <c r="BU258" s="186">
        <v>0</v>
      </c>
      <c r="BV258" s="186">
        <v>0</v>
      </c>
      <c r="BW258" s="186">
        <v>0</v>
      </c>
      <c r="BX258" s="186">
        <v>0</v>
      </c>
      <c r="BY258" s="186">
        <v>0</v>
      </c>
      <c r="BZ258" s="186">
        <v>0</v>
      </c>
      <c r="CA258" s="186">
        <v>0</v>
      </c>
      <c r="CB258" s="186">
        <v>0</v>
      </c>
      <c r="CC258" s="186">
        <v>0</v>
      </c>
      <c r="CD258" s="186">
        <v>0</v>
      </c>
      <c r="CE258" s="186">
        <v>0</v>
      </c>
      <c r="CF258" s="186">
        <v>0</v>
      </c>
      <c r="CG258" s="186">
        <v>0</v>
      </c>
      <c r="CH258" s="186">
        <v>0</v>
      </c>
      <c r="CI258" s="186">
        <v>0</v>
      </c>
      <c r="CJ258" s="186">
        <v>0</v>
      </c>
      <c r="CK258" s="186">
        <v>0</v>
      </c>
      <c r="CL258" s="186">
        <v>0</v>
      </c>
      <c r="CM258" s="186">
        <v>0</v>
      </c>
      <c r="CN258" s="186">
        <v>0</v>
      </c>
      <c r="CO258" s="186">
        <v>0</v>
      </c>
      <c r="CP258" s="186">
        <v>0</v>
      </c>
      <c r="CQ258" s="186">
        <v>0</v>
      </c>
      <c r="CR258" s="186">
        <v>0</v>
      </c>
      <c r="CS258" s="186">
        <v>0</v>
      </c>
      <c r="CT258" s="186">
        <v>0</v>
      </c>
      <c r="CU258" s="186">
        <v>0</v>
      </c>
      <c r="CV258" s="186">
        <v>0</v>
      </c>
    </row>
    <row r="259" spans="1:100">
      <c r="A259" s="541" t="str">
        <f t="shared" si="3"/>
        <v>2360600</v>
      </c>
      <c r="B259" s="541" t="s">
        <v>920</v>
      </c>
      <c r="C259" s="463" t="s">
        <v>783</v>
      </c>
      <c r="D259" s="397">
        <v>16641.47</v>
      </c>
      <c r="E259" s="397">
        <v>-5057.97</v>
      </c>
      <c r="F259" s="397">
        <v>-6062.13</v>
      </c>
      <c r="G259" s="397">
        <v>-6237.03</v>
      </c>
      <c r="H259" s="397">
        <v>17045.919999999998</v>
      </c>
      <c r="I259" s="397">
        <v>16949.18</v>
      </c>
      <c r="J259" s="397">
        <v>16887.900000000001</v>
      </c>
      <c r="K259" s="397">
        <v>17042.64</v>
      </c>
      <c r="L259" s="397">
        <v>16841.689999999999</v>
      </c>
      <c r="M259" s="397">
        <v>16618.310000000001</v>
      </c>
      <c r="N259" s="397">
        <v>16906.18</v>
      </c>
      <c r="O259" s="397">
        <v>16780.73</v>
      </c>
      <c r="P259" s="398">
        <v>16730.759999999998</v>
      </c>
      <c r="Q259" s="186">
        <v>3510.81</v>
      </c>
      <c r="R259" s="186">
        <v>-5160.33</v>
      </c>
      <c r="S259" s="186">
        <v>-5412.59</v>
      </c>
      <c r="T259" s="186">
        <v>16955.919999999998</v>
      </c>
      <c r="U259" s="186">
        <v>16821.22</v>
      </c>
      <c r="V259" s="186">
        <v>16754.259999999998</v>
      </c>
      <c r="W259" s="186">
        <v>17123.080000000002</v>
      </c>
      <c r="X259" s="186">
        <v>16999.439999999999</v>
      </c>
      <c r="Y259" s="186">
        <v>16908.740000000002</v>
      </c>
      <c r="Z259" s="186">
        <v>16842.22</v>
      </c>
      <c r="AA259" s="186">
        <v>16455.46</v>
      </c>
      <c r="AB259" s="186">
        <v>16035.62</v>
      </c>
      <c r="AC259" s="186">
        <v>2392.11</v>
      </c>
      <c r="AD259" s="186">
        <v>-5230.0600000000004</v>
      </c>
      <c r="AE259" s="186">
        <v>-5532.06</v>
      </c>
      <c r="AF259" s="186">
        <v>17053.7</v>
      </c>
      <c r="AG259" s="186">
        <v>16932.72</v>
      </c>
      <c r="AH259" s="186">
        <v>16836.14</v>
      </c>
      <c r="AI259" s="186">
        <v>16957.97</v>
      </c>
      <c r="AJ259" s="186">
        <v>16653.88</v>
      </c>
      <c r="AK259" s="186">
        <v>16311.75</v>
      </c>
      <c r="AL259" s="186">
        <v>16986.86</v>
      </c>
      <c r="AM259" s="186">
        <v>16861.439999999999</v>
      </c>
      <c r="AN259" s="186">
        <v>16758.52</v>
      </c>
      <c r="AO259" s="186">
        <v>920.31</v>
      </c>
      <c r="AP259" s="186">
        <v>-5706.87</v>
      </c>
      <c r="AQ259" s="186">
        <v>-6005.97</v>
      </c>
      <c r="AR259" s="186">
        <v>17093.86</v>
      </c>
      <c r="AS259" s="186">
        <v>16941.27</v>
      </c>
      <c r="AT259" s="186">
        <v>16693.849999999999</v>
      </c>
      <c r="AU259" s="186">
        <v>16890.43</v>
      </c>
      <c r="AV259" s="186">
        <v>16436.689999999999</v>
      </c>
      <c r="AW259" s="186">
        <v>16273.77</v>
      </c>
      <c r="AX259" s="186">
        <v>17052.29</v>
      </c>
      <c r="AY259" s="186">
        <v>16993.3</v>
      </c>
      <c r="AZ259" s="186">
        <v>16894.46</v>
      </c>
      <c r="BA259" s="186">
        <v>735.18</v>
      </c>
      <c r="BB259" s="186">
        <v>-6042.23</v>
      </c>
      <c r="BC259" s="186">
        <v>-6475.35</v>
      </c>
      <c r="BD259" s="186">
        <v>16828.47</v>
      </c>
      <c r="BE259" s="186">
        <v>16527.060000000001</v>
      </c>
      <c r="BF259" s="186">
        <v>16330.18</v>
      </c>
      <c r="BG259" s="186">
        <v>17013.53</v>
      </c>
      <c r="BH259" s="186">
        <v>16529.32</v>
      </c>
      <c r="BI259" s="186">
        <v>16261.51</v>
      </c>
      <c r="BJ259" s="186">
        <v>17006.419999999998</v>
      </c>
      <c r="BK259" s="186">
        <v>16787.439999999999</v>
      </c>
      <c r="BL259" s="186">
        <v>-586.20000000000005</v>
      </c>
      <c r="BM259" s="186">
        <v>-22306.36</v>
      </c>
      <c r="BN259" s="186">
        <v>-24316.57</v>
      </c>
      <c r="BO259" s="186">
        <v>-24437.66</v>
      </c>
      <c r="BP259" s="186">
        <v>-61.4</v>
      </c>
      <c r="BQ259" s="186">
        <v>-250.56</v>
      </c>
      <c r="BR259" s="186">
        <v>-522.13</v>
      </c>
      <c r="BS259" s="186">
        <v>-308.14</v>
      </c>
      <c r="BT259" s="186">
        <v>-647.05999999999995</v>
      </c>
      <c r="BU259" s="186">
        <v>-1021.75</v>
      </c>
      <c r="BV259" s="186">
        <v>-323.35000000000002</v>
      </c>
      <c r="BW259" s="186">
        <v>-553.41999999999996</v>
      </c>
      <c r="BX259" s="186">
        <v>-700.88</v>
      </c>
      <c r="BY259" s="186">
        <v>-23527.27</v>
      </c>
      <c r="BZ259" s="186">
        <v>-25934.49</v>
      </c>
      <c r="CA259" s="186">
        <v>-26093.65</v>
      </c>
      <c r="CB259" s="186">
        <v>-205.27</v>
      </c>
      <c r="CC259" s="186">
        <v>-427.94</v>
      </c>
      <c r="CD259" s="186">
        <v>-619.95000000000005</v>
      </c>
      <c r="CE259" s="186">
        <v>-179.27</v>
      </c>
      <c r="CF259" s="186">
        <v>-326.45</v>
      </c>
      <c r="CG259" s="186">
        <v>-396.8</v>
      </c>
      <c r="CH259" s="186">
        <v>-125.17</v>
      </c>
      <c r="CI259" s="186">
        <v>-268.24</v>
      </c>
      <c r="CJ259" s="186">
        <v>-412.74</v>
      </c>
      <c r="CK259" s="186">
        <v>-20037.98</v>
      </c>
      <c r="CL259" s="186">
        <v>-25788.73</v>
      </c>
      <c r="CM259" s="186">
        <v>-26543.21</v>
      </c>
      <c r="CN259" s="186">
        <v>-264.89</v>
      </c>
      <c r="CO259" s="186">
        <v>-451.18</v>
      </c>
      <c r="CP259" s="186">
        <v>-629.63</v>
      </c>
      <c r="CQ259" s="186">
        <v>-542.23</v>
      </c>
      <c r="CR259" s="186">
        <v>-917.41</v>
      </c>
      <c r="CS259" s="186">
        <v>-1265.73</v>
      </c>
      <c r="CT259" s="186">
        <v>-80.849999999999994</v>
      </c>
      <c r="CU259" s="186">
        <v>-301.12</v>
      </c>
      <c r="CV259" s="186">
        <v>-812.13</v>
      </c>
    </row>
    <row r="260" spans="1:100">
      <c r="A260" s="541" t="str">
        <f t="shared" si="3"/>
        <v>2360601</v>
      </c>
      <c r="B260" s="541" t="s">
        <v>921</v>
      </c>
      <c r="C260" s="463" t="s">
        <v>784</v>
      </c>
      <c r="D260" s="397">
        <v>21861.62</v>
      </c>
      <c r="E260" s="397">
        <v>-41166.449999999997</v>
      </c>
      <c r="F260" s="397">
        <v>-46524.1</v>
      </c>
      <c r="G260" s="397">
        <v>-47451.37</v>
      </c>
      <c r="H260" s="397">
        <v>25061.54</v>
      </c>
      <c r="I260" s="397">
        <v>24728.66</v>
      </c>
      <c r="J260" s="397">
        <v>24532.51</v>
      </c>
      <c r="K260" s="397">
        <v>25075.96</v>
      </c>
      <c r="L260" s="397">
        <v>24489.59</v>
      </c>
      <c r="M260" s="397">
        <v>23825.78</v>
      </c>
      <c r="N260" s="397">
        <v>24636.19</v>
      </c>
      <c r="O260" s="397">
        <v>24156.97</v>
      </c>
      <c r="P260" s="398">
        <v>23976.21</v>
      </c>
      <c r="Q260" s="186">
        <v>5626.35</v>
      </c>
      <c r="R260" s="186">
        <v>-6946.65</v>
      </c>
      <c r="S260" s="186">
        <v>-7312.4</v>
      </c>
      <c r="T260" s="186">
        <v>25121.88</v>
      </c>
      <c r="U260" s="186">
        <v>24926.560000000001</v>
      </c>
      <c r="V260" s="186">
        <v>24829.48</v>
      </c>
      <c r="W260" s="186">
        <v>25364.31</v>
      </c>
      <c r="X260" s="186">
        <v>25185.02</v>
      </c>
      <c r="Y260" s="186">
        <v>25053.51</v>
      </c>
      <c r="Z260" s="186">
        <v>24957.01</v>
      </c>
      <c r="AA260" s="186">
        <v>24396.31</v>
      </c>
      <c r="AB260" s="186">
        <v>23787.51</v>
      </c>
      <c r="AC260" s="186">
        <v>13104.3</v>
      </c>
      <c r="AD260" s="186">
        <v>6752.56</v>
      </c>
      <c r="AE260" s="186">
        <v>6500.85</v>
      </c>
      <c r="AF260" s="186">
        <v>25322.37</v>
      </c>
      <c r="AG260" s="186">
        <v>25186.53</v>
      </c>
      <c r="AH260" s="186">
        <v>25106.03</v>
      </c>
      <c r="AI260" s="186">
        <v>25209.360000000001</v>
      </c>
      <c r="AJ260" s="186">
        <v>24933.5</v>
      </c>
      <c r="AK260" s="186">
        <v>24599.07</v>
      </c>
      <c r="AL260" s="186">
        <v>25266.67</v>
      </c>
      <c r="AM260" s="186">
        <v>25162.15</v>
      </c>
      <c r="AN260" s="186">
        <v>25076.400000000001</v>
      </c>
      <c r="AO260" s="186">
        <v>16205.6</v>
      </c>
      <c r="AP260" s="186">
        <v>12450.07</v>
      </c>
      <c r="AQ260" s="186">
        <v>12280.6</v>
      </c>
      <c r="AR260" s="186">
        <v>25370.58</v>
      </c>
      <c r="AS260" s="186">
        <v>25284.1</v>
      </c>
      <c r="AT260" s="186">
        <v>25143.88</v>
      </c>
      <c r="AU260" s="186">
        <v>25255.31</v>
      </c>
      <c r="AV260" s="186">
        <v>24998.17</v>
      </c>
      <c r="AW260" s="186">
        <v>24905.9</v>
      </c>
      <c r="AX260" s="186">
        <v>25347.03</v>
      </c>
      <c r="AY260" s="186">
        <v>25313.59</v>
      </c>
      <c r="AZ260" s="186">
        <v>25257.59</v>
      </c>
      <c r="BA260" s="186">
        <v>20497.830000000002</v>
      </c>
      <c r="BB260" s="186">
        <v>18238.740000000002</v>
      </c>
      <c r="BC260" s="186">
        <v>18080.39</v>
      </c>
      <c r="BD260" s="186">
        <v>25862.28</v>
      </c>
      <c r="BE260" s="186">
        <v>25748.28</v>
      </c>
      <c r="BF260" s="186">
        <v>25682.2</v>
      </c>
      <c r="BG260" s="186">
        <v>25923.99</v>
      </c>
      <c r="BH260" s="186">
        <v>25758.28</v>
      </c>
      <c r="BI260" s="186">
        <v>25661.45</v>
      </c>
      <c r="BJ260" s="186">
        <v>25919.49</v>
      </c>
      <c r="BK260" s="186">
        <v>25846.49</v>
      </c>
      <c r="BL260" s="186">
        <v>-197.54</v>
      </c>
      <c r="BM260" s="186">
        <v>-3647.46</v>
      </c>
      <c r="BN260" s="186">
        <v>-3982.53</v>
      </c>
      <c r="BO260" s="186">
        <v>-4002.71</v>
      </c>
      <c r="BP260" s="186">
        <v>-4013.01</v>
      </c>
      <c r="BQ260" s="186">
        <v>-41.82</v>
      </c>
      <c r="BR260" s="186">
        <v>-94.11</v>
      </c>
      <c r="BS260" s="186">
        <v>-51.42</v>
      </c>
      <c r="BT260" s="186">
        <v>-107.94</v>
      </c>
      <c r="BU260" s="186">
        <v>-177.36</v>
      </c>
      <c r="BV260" s="186">
        <v>-53.95</v>
      </c>
      <c r="BW260" s="186">
        <v>-97.92</v>
      </c>
      <c r="BX260" s="186">
        <v>-123.88</v>
      </c>
      <c r="BY260" s="186">
        <v>-3921.36</v>
      </c>
      <c r="BZ260" s="186">
        <v>-4322.4799999999996</v>
      </c>
      <c r="CA260" s="186">
        <v>-4349</v>
      </c>
      <c r="CB260" s="186">
        <v>-34.28</v>
      </c>
      <c r="CC260" s="186">
        <v>-71.400000000000006</v>
      </c>
      <c r="CD260" s="186">
        <v>-103.39</v>
      </c>
      <c r="CE260" s="186">
        <v>-31.18</v>
      </c>
      <c r="CF260" s="186">
        <v>-55.7</v>
      </c>
      <c r="CG260" s="186">
        <v>-67.42</v>
      </c>
      <c r="CH260" s="186">
        <v>-19.670000000000002</v>
      </c>
      <c r="CI260" s="186">
        <v>-43.51</v>
      </c>
      <c r="CJ260" s="186">
        <v>-67.599999999999994</v>
      </c>
      <c r="CK260" s="186">
        <v>-3407.32</v>
      </c>
      <c r="CL260" s="186">
        <v>-4365.8100000000004</v>
      </c>
      <c r="CM260" s="186">
        <v>-4491.5200000000004</v>
      </c>
      <c r="CN260" s="186">
        <v>18911.02</v>
      </c>
      <c r="CO260" s="186">
        <v>18881.84</v>
      </c>
      <c r="CP260" s="186">
        <v>18917.830000000002</v>
      </c>
      <c r="CQ260" s="186">
        <v>18932.41</v>
      </c>
      <c r="CR260" s="186">
        <v>18869.89</v>
      </c>
      <c r="CS260" s="186">
        <v>18809.39</v>
      </c>
      <c r="CT260" s="186">
        <v>19004.79</v>
      </c>
      <c r="CU260" s="186">
        <v>18968.080000000002</v>
      </c>
      <c r="CV260" s="186">
        <v>18889.91</v>
      </c>
    </row>
    <row r="261" spans="1:100">
      <c r="A261" s="541" t="str">
        <f t="shared" si="3"/>
        <v>2360602</v>
      </c>
      <c r="B261" s="541" t="s">
        <v>922</v>
      </c>
      <c r="C261" s="463" t="s">
        <v>785</v>
      </c>
      <c r="D261" s="397">
        <v>-721648.5</v>
      </c>
      <c r="E261" s="397">
        <v>-187387.4</v>
      </c>
      <c r="F261" s="397">
        <v>-385662.47</v>
      </c>
      <c r="G261" s="397">
        <v>-555124.03</v>
      </c>
      <c r="H261" s="397">
        <v>-707354.26</v>
      </c>
      <c r="I261" s="397">
        <v>-845345.35</v>
      </c>
      <c r="J261" s="397">
        <v>-972919.57</v>
      </c>
      <c r="K261" s="397">
        <v>-122237.82</v>
      </c>
      <c r="L261" s="397">
        <v>-238036.81</v>
      </c>
      <c r="M261" s="397">
        <v>-388238.66</v>
      </c>
      <c r="N261" s="397">
        <v>-479349.61</v>
      </c>
      <c r="O261" s="397">
        <v>-610817.92000000004</v>
      </c>
      <c r="P261" s="398">
        <v>-818114.5</v>
      </c>
      <c r="Q261" s="186">
        <v>-190817.65</v>
      </c>
      <c r="R261" s="186">
        <v>-383840.8</v>
      </c>
      <c r="S261" s="186">
        <v>-568952.53</v>
      </c>
      <c r="T261" s="186">
        <v>-713426.91</v>
      </c>
      <c r="U261" s="186">
        <v>-862750.49</v>
      </c>
      <c r="V261" s="186">
        <v>-998742.47</v>
      </c>
      <c r="W261" s="186">
        <v>-134146.22</v>
      </c>
      <c r="X261" s="186">
        <v>-260195.99</v>
      </c>
      <c r="Y261" s="186">
        <v>-398822.53</v>
      </c>
      <c r="Z261" s="186">
        <v>-535135.18999999994</v>
      </c>
      <c r="AA261" s="186">
        <v>-677768.49</v>
      </c>
      <c r="AB261" s="186">
        <v>-849060.78</v>
      </c>
      <c r="AC261" s="186">
        <v>-185432.72</v>
      </c>
      <c r="AD261" s="186">
        <v>-390046.19</v>
      </c>
      <c r="AE261" s="186">
        <v>-569381.18000000005</v>
      </c>
      <c r="AF261" s="186">
        <v>-729248.16</v>
      </c>
      <c r="AG261" s="186">
        <v>-877010.23</v>
      </c>
      <c r="AH261" s="186">
        <v>-1036712.79</v>
      </c>
      <c r="AI261" s="186">
        <v>-151671.82999999999</v>
      </c>
      <c r="AJ261" s="186">
        <v>-309806.67</v>
      </c>
      <c r="AK261" s="186">
        <v>-463372.67</v>
      </c>
      <c r="AL261" s="186">
        <v>-615389.24</v>
      </c>
      <c r="AM261" s="186">
        <v>-768129.53</v>
      </c>
      <c r="AN261" s="186">
        <v>-923034.72</v>
      </c>
      <c r="AO261" s="186">
        <v>-172262.79</v>
      </c>
      <c r="AP261" s="186">
        <v>-342440.01</v>
      </c>
      <c r="AQ261" s="186">
        <v>-502231.51</v>
      </c>
      <c r="AR261" s="186">
        <v>-659248.22</v>
      </c>
      <c r="AS261" s="186">
        <v>-810397.09</v>
      </c>
      <c r="AT261" s="186">
        <v>-952731.69</v>
      </c>
      <c r="AU261" s="186">
        <v>-129607.17</v>
      </c>
      <c r="AV261" s="186">
        <v>-264773.65000000002</v>
      </c>
      <c r="AW261" s="186">
        <v>-407317.69</v>
      </c>
      <c r="AX261" s="186">
        <v>-542452.24</v>
      </c>
      <c r="AY261" s="186">
        <v>-695300.68</v>
      </c>
      <c r="AZ261" s="186">
        <v>-874491.67</v>
      </c>
      <c r="BA261" s="186">
        <v>-233756.65</v>
      </c>
      <c r="BB261" s="186">
        <v>-452145.4</v>
      </c>
      <c r="BC261" s="186">
        <v>-628485.1</v>
      </c>
      <c r="BD261" s="186">
        <v>-809597.92</v>
      </c>
      <c r="BE261" s="186">
        <v>-967336.34</v>
      </c>
      <c r="BF261" s="186">
        <v>-1121957.03</v>
      </c>
      <c r="BG261" s="186">
        <v>-144741.45000000001</v>
      </c>
      <c r="BH261" s="186">
        <v>-299375.05</v>
      </c>
      <c r="BI261" s="186">
        <v>-454471.69</v>
      </c>
      <c r="BJ261" s="186">
        <v>-598924.02</v>
      </c>
      <c r="BK261" s="186">
        <v>-754972.7</v>
      </c>
      <c r="BL261" s="186">
        <v>-941893.71</v>
      </c>
      <c r="BM261" s="186">
        <v>-202820.11</v>
      </c>
      <c r="BN261" s="186">
        <v>-405955.14</v>
      </c>
      <c r="BO261" s="186">
        <v>-587737.07999999996</v>
      </c>
      <c r="BP261" s="186">
        <v>-762154.47</v>
      </c>
      <c r="BQ261" s="186">
        <v>-925528.91</v>
      </c>
      <c r="BR261" s="186">
        <v>-1076585.99</v>
      </c>
      <c r="BS261" s="186">
        <v>-159909.14000000001</v>
      </c>
      <c r="BT261" s="186">
        <v>-298051.46999999997</v>
      </c>
      <c r="BU261" s="186">
        <v>-440754.38</v>
      </c>
      <c r="BV261" s="186">
        <v>-588309.66</v>
      </c>
      <c r="BW261" s="186">
        <v>-736629.84</v>
      </c>
      <c r="BX261" s="186">
        <v>-922462.83</v>
      </c>
      <c r="BY261" s="186">
        <v>-187881.22</v>
      </c>
      <c r="BZ261" s="186">
        <v>-386420.07</v>
      </c>
      <c r="CA261" s="186">
        <v>-573793.69999999995</v>
      </c>
      <c r="CB261" s="186">
        <v>-730001.98</v>
      </c>
      <c r="CC261" s="186">
        <v>-877345.32</v>
      </c>
      <c r="CD261" s="186">
        <v>-1021172.59</v>
      </c>
      <c r="CE261" s="186">
        <v>-140173.04</v>
      </c>
      <c r="CF261" s="186">
        <v>-279855.51</v>
      </c>
      <c r="CG261" s="186">
        <v>-412594.88</v>
      </c>
      <c r="CH261" s="186">
        <v>-554218.4</v>
      </c>
      <c r="CI261" s="186">
        <v>-709842.64</v>
      </c>
      <c r="CJ261" s="186">
        <v>-897798.37</v>
      </c>
      <c r="CK261" s="186">
        <v>-258757.94</v>
      </c>
      <c r="CL261" s="186">
        <v>-502664.4</v>
      </c>
      <c r="CM261" s="186">
        <v>-721609.9</v>
      </c>
      <c r="CN261" s="186">
        <v>-943489.57</v>
      </c>
      <c r="CO261" s="186">
        <v>-1137727.82</v>
      </c>
      <c r="CP261" s="186">
        <v>-1325083.23</v>
      </c>
      <c r="CQ261" s="186">
        <v>-172029.04</v>
      </c>
      <c r="CR261" s="186">
        <v>-340414.19</v>
      </c>
      <c r="CS261" s="186">
        <v>-516921.02</v>
      </c>
      <c r="CT261" s="186">
        <v>-692317.57</v>
      </c>
      <c r="CU261" s="186">
        <v>-905306.75</v>
      </c>
      <c r="CV261" s="186">
        <v>-1139096.8</v>
      </c>
    </row>
    <row r="262" spans="1:100">
      <c r="A262" s="541" t="str">
        <f t="shared" si="3"/>
        <v>2360603</v>
      </c>
      <c r="B262" s="541" t="s">
        <v>923</v>
      </c>
      <c r="C262" s="463" t="s">
        <v>786</v>
      </c>
      <c r="D262" s="397">
        <v>-1117813.5900000001</v>
      </c>
      <c r="E262" s="397">
        <v>-1458285.71</v>
      </c>
      <c r="F262" s="397">
        <v>-1414425.21</v>
      </c>
      <c r="G262" s="397">
        <v>-1280176.4099999999</v>
      </c>
      <c r="H262" s="397">
        <v>-1136727.3</v>
      </c>
      <c r="I262" s="397">
        <v>-968603.23</v>
      </c>
      <c r="J262" s="397">
        <v>-872884.06</v>
      </c>
      <c r="K262" s="397">
        <v>-806695.85</v>
      </c>
      <c r="L262" s="397">
        <v>-819459.45</v>
      </c>
      <c r="M262" s="397">
        <v>-873094.94</v>
      </c>
      <c r="N262" s="397">
        <v>-901268.02</v>
      </c>
      <c r="O262" s="397">
        <v>-1015256.38</v>
      </c>
      <c r="P262" s="398">
        <v>-1290296.31</v>
      </c>
      <c r="Q262" s="186">
        <v>-1434957.27</v>
      </c>
      <c r="R262" s="186">
        <v>-1478817.46</v>
      </c>
      <c r="S262" s="186">
        <v>-1448485.15</v>
      </c>
      <c r="T262" s="186">
        <v>-1141927.06</v>
      </c>
      <c r="U262" s="186">
        <v>-933099.24</v>
      </c>
      <c r="V262" s="186">
        <v>-948532.98</v>
      </c>
      <c r="W262" s="186">
        <v>-924040.72</v>
      </c>
      <c r="X262" s="186">
        <v>-947995.45</v>
      </c>
      <c r="Y262" s="186">
        <v>-904825.98</v>
      </c>
      <c r="Z262" s="186">
        <v>-945821.14</v>
      </c>
      <c r="AA262" s="186">
        <v>-1029383.21</v>
      </c>
      <c r="AB262" s="186">
        <v>-1200091.6599999999</v>
      </c>
      <c r="AC262" s="186">
        <v>-1491372.24</v>
      </c>
      <c r="AD262" s="186">
        <v>-1608653.05</v>
      </c>
      <c r="AE262" s="186">
        <v>-1422325.79</v>
      </c>
      <c r="AF262" s="186">
        <v>-1121634.52</v>
      </c>
      <c r="AG262" s="186">
        <v>-1106026.03</v>
      </c>
      <c r="AH262" s="186">
        <v>-962399.51</v>
      </c>
      <c r="AI262" s="186">
        <v>-927160.99</v>
      </c>
      <c r="AJ262" s="186">
        <v>-816814.25</v>
      </c>
      <c r="AK262" s="186">
        <v>-910367.11</v>
      </c>
      <c r="AL262" s="186">
        <v>-892185.01</v>
      </c>
      <c r="AM262" s="186">
        <v>-1051513.43</v>
      </c>
      <c r="AN262" s="186">
        <v>-1247836.74</v>
      </c>
      <c r="AO262" s="186">
        <v>-1421653.55</v>
      </c>
      <c r="AP262" s="186">
        <v>-1324602.05</v>
      </c>
      <c r="AQ262" s="186">
        <v>-1298064.1200000001</v>
      </c>
      <c r="AR262" s="186">
        <v>-1249194.8400000001</v>
      </c>
      <c r="AS262" s="186">
        <v>-1077161.9099999999</v>
      </c>
      <c r="AT262" s="186">
        <v>-949099.08</v>
      </c>
      <c r="AU262" s="186">
        <v>-776245.84</v>
      </c>
      <c r="AV262" s="186">
        <v>-875004.59</v>
      </c>
      <c r="AW262" s="186">
        <v>-875395.73</v>
      </c>
      <c r="AX262" s="186">
        <v>-936251.45</v>
      </c>
      <c r="AY262" s="186">
        <v>-1049937.8400000001</v>
      </c>
      <c r="AZ262" s="186">
        <v>-1278413.8400000001</v>
      </c>
      <c r="BA262" s="186">
        <v>-1748087.86</v>
      </c>
      <c r="BB262" s="186">
        <v>-1508987.86</v>
      </c>
      <c r="BC262" s="186">
        <v>-1277608.48</v>
      </c>
      <c r="BD262" s="186">
        <v>-1337389.19</v>
      </c>
      <c r="BE262" s="186">
        <v>-1076048.68</v>
      </c>
      <c r="BF262" s="186">
        <v>-1033662.19</v>
      </c>
      <c r="BG262" s="186">
        <v>-894234.75</v>
      </c>
      <c r="BH262" s="186">
        <v>-837829.54</v>
      </c>
      <c r="BI262" s="186">
        <v>-986490.61</v>
      </c>
      <c r="BJ262" s="186">
        <v>-891540.29</v>
      </c>
      <c r="BK262" s="186">
        <v>-1009116.81</v>
      </c>
      <c r="BL262" s="186">
        <v>-1392204.59</v>
      </c>
      <c r="BM262" s="186">
        <v>-1655787.55</v>
      </c>
      <c r="BN262" s="186">
        <v>-1640421.41</v>
      </c>
      <c r="BO262" s="186">
        <v>-1424624.07</v>
      </c>
      <c r="BP262" s="186">
        <v>-1125549.97</v>
      </c>
      <c r="BQ262" s="186">
        <v>-1177922.3799999999</v>
      </c>
      <c r="BR262" s="186">
        <v>-1016378.54</v>
      </c>
      <c r="BS262" s="186">
        <v>-984361.68</v>
      </c>
      <c r="BT262" s="186">
        <v>-932359.53</v>
      </c>
      <c r="BU262" s="186">
        <v>-949375.97</v>
      </c>
      <c r="BV262" s="186">
        <v>-936155.2</v>
      </c>
      <c r="BW262" s="186">
        <v>-1112587.07</v>
      </c>
      <c r="BX262" s="186">
        <v>-1504303.85</v>
      </c>
      <c r="BY262" s="186">
        <v>-1618178.97</v>
      </c>
      <c r="BZ262" s="186">
        <v>-1572436.88</v>
      </c>
      <c r="CA262" s="186">
        <v>-1352878.21</v>
      </c>
      <c r="CB262" s="186">
        <v>-1062025.6200000001</v>
      </c>
      <c r="CC262" s="186">
        <v>-953525.89</v>
      </c>
      <c r="CD262" s="186">
        <v>-967309.63</v>
      </c>
      <c r="CE262" s="186">
        <v>-851851.75</v>
      </c>
      <c r="CF262" s="186">
        <v>-911904.78</v>
      </c>
      <c r="CG262" s="186">
        <v>-870947.67</v>
      </c>
      <c r="CH262" s="186">
        <v>-954992.39</v>
      </c>
      <c r="CI262" s="186">
        <v>-1095394.1499999999</v>
      </c>
      <c r="CJ262" s="186">
        <v>-1396326.38</v>
      </c>
      <c r="CK262" s="186">
        <v>-1837558.54</v>
      </c>
      <c r="CL262" s="186">
        <v>-1655338.08</v>
      </c>
      <c r="CM262" s="186">
        <v>-1457150.65</v>
      </c>
      <c r="CN262" s="186">
        <v>-1426996.58</v>
      </c>
      <c r="CO262" s="186">
        <v>-1201056.29</v>
      </c>
      <c r="CP262" s="186">
        <v>-1108542.6499999999</v>
      </c>
      <c r="CQ262" s="186">
        <v>-1134501.22</v>
      </c>
      <c r="CR262" s="186">
        <v>-1011208.09</v>
      </c>
      <c r="CS262" s="186">
        <v>-1071922.69</v>
      </c>
      <c r="CT262" s="186">
        <v>-1072270.76</v>
      </c>
      <c r="CU262" s="186">
        <v>-1236232.4099999999</v>
      </c>
      <c r="CV262" s="186">
        <v>-1610219.3</v>
      </c>
    </row>
    <row r="263" spans="1:100">
      <c r="A263" s="541" t="str">
        <f t="shared" si="3"/>
        <v>2360604</v>
      </c>
      <c r="B263" s="541" t="s">
        <v>924</v>
      </c>
      <c r="C263" s="463" t="s">
        <v>787</v>
      </c>
      <c r="D263" s="397">
        <v>0</v>
      </c>
      <c r="E263" s="397">
        <v>-809000</v>
      </c>
      <c r="F263" s="397">
        <v>-1618000</v>
      </c>
      <c r="G263" s="397">
        <v>-2427000</v>
      </c>
      <c r="H263" s="397">
        <v>-3236000</v>
      </c>
      <c r="I263" s="397">
        <v>-4045000</v>
      </c>
      <c r="J263" s="397">
        <v>-4854000</v>
      </c>
      <c r="K263" s="397">
        <v>-5663000</v>
      </c>
      <c r="L263" s="397">
        <v>-6134000</v>
      </c>
      <c r="M263" s="397">
        <v>-6900977</v>
      </c>
      <c r="N263" s="397">
        <v>-7667954</v>
      </c>
      <c r="O263" s="397">
        <v>798830.29</v>
      </c>
      <c r="P263" s="398">
        <v>0</v>
      </c>
      <c r="Q263" s="186">
        <v>-814808.95</v>
      </c>
      <c r="R263" s="186">
        <v>-1633808.95</v>
      </c>
      <c r="S263" s="186">
        <v>-2452808.9500000002</v>
      </c>
      <c r="T263" s="186">
        <v>-3271808.95</v>
      </c>
      <c r="U263" s="186">
        <v>-4090808.95</v>
      </c>
      <c r="V263" s="186">
        <v>-4909808.95</v>
      </c>
      <c r="W263" s="186">
        <v>-5728808.9500000002</v>
      </c>
      <c r="X263" s="186">
        <v>-6195809.2999999998</v>
      </c>
      <c r="Y263" s="186">
        <v>-6970809.2999999998</v>
      </c>
      <c r="Z263" s="186">
        <v>-7745809.2999999998</v>
      </c>
      <c r="AA263" s="186">
        <v>718761.98</v>
      </c>
      <c r="AB263" s="186">
        <v>0</v>
      </c>
      <c r="AC263" s="186">
        <v>-809000</v>
      </c>
      <c r="AD263" s="186">
        <v>-1618000</v>
      </c>
      <c r="AE263" s="186">
        <v>-2427000</v>
      </c>
      <c r="AF263" s="186">
        <v>-3236000</v>
      </c>
      <c r="AG263" s="186">
        <v>-4045000</v>
      </c>
      <c r="AH263" s="186">
        <v>-4854000</v>
      </c>
      <c r="AI263" s="186">
        <v>-5663000</v>
      </c>
      <c r="AJ263" s="186">
        <v>-6472000</v>
      </c>
      <c r="AK263" s="186">
        <v>-7281000</v>
      </c>
      <c r="AL263" s="186">
        <v>-8090000</v>
      </c>
      <c r="AM263" s="186">
        <v>771779.1</v>
      </c>
      <c r="AN263" s="186">
        <v>0</v>
      </c>
      <c r="AO263" s="186">
        <v>0</v>
      </c>
      <c r="AP263" s="186">
        <v>-1752000</v>
      </c>
      <c r="AQ263" s="186">
        <v>-2628000</v>
      </c>
      <c r="AR263" s="186">
        <v>-3502911.53</v>
      </c>
      <c r="AS263" s="186">
        <v>-4128911.53</v>
      </c>
      <c r="AT263" s="186">
        <v>-4954911.53</v>
      </c>
      <c r="AU263" s="186">
        <v>-5780911.5300000003</v>
      </c>
      <c r="AV263" s="186">
        <v>-6465577.9299999997</v>
      </c>
      <c r="AW263" s="186">
        <v>-7273911.2300000004</v>
      </c>
      <c r="AX263" s="186">
        <v>-8082244.5300000003</v>
      </c>
      <c r="AY263" s="186">
        <v>781613.01</v>
      </c>
      <c r="AZ263" s="186">
        <v>0</v>
      </c>
      <c r="BA263" s="186">
        <v>-943820</v>
      </c>
      <c r="BB263" s="186">
        <v>-1887640</v>
      </c>
      <c r="BC263" s="186">
        <v>-2831460</v>
      </c>
      <c r="BD263" s="186">
        <v>-3775280</v>
      </c>
      <c r="BE263" s="186">
        <v>-4719100</v>
      </c>
      <c r="BF263" s="186">
        <v>-5662920</v>
      </c>
      <c r="BG263" s="186">
        <v>-6606740</v>
      </c>
      <c r="BH263" s="186">
        <v>-7550560</v>
      </c>
      <c r="BI263" s="186">
        <v>-8494380</v>
      </c>
      <c r="BJ263" s="186">
        <v>-9438200</v>
      </c>
      <c r="BK263" s="186">
        <v>896399.7</v>
      </c>
      <c r="BL263" s="186">
        <v>0</v>
      </c>
      <c r="BM263" s="186">
        <v>-1063964</v>
      </c>
      <c r="BN263" s="186">
        <v>-2127928</v>
      </c>
      <c r="BO263" s="186">
        <v>-3191892</v>
      </c>
      <c r="BP263" s="186">
        <v>-4255856</v>
      </c>
      <c r="BQ263" s="186">
        <v>-5319691.38</v>
      </c>
      <c r="BR263" s="186">
        <v>-6383655.3799999999</v>
      </c>
      <c r="BS263" s="186">
        <v>-7447619.3799999999</v>
      </c>
      <c r="BT263" s="186">
        <v>-7999871.3799999999</v>
      </c>
      <c r="BU263" s="186">
        <v>-8999871.3800000008</v>
      </c>
      <c r="BV263" s="186">
        <v>-9999871.3800000008</v>
      </c>
      <c r="BW263" s="186">
        <v>908137.66</v>
      </c>
      <c r="BX263" s="186">
        <v>0</v>
      </c>
      <c r="BY263" s="186">
        <v>-1159498</v>
      </c>
      <c r="BZ263" s="186">
        <v>-2318996</v>
      </c>
      <c r="CA263" s="186">
        <v>-3478494</v>
      </c>
      <c r="CB263" s="186">
        <v>-4637992</v>
      </c>
      <c r="CC263" s="186">
        <v>-5797490</v>
      </c>
      <c r="CD263" s="186">
        <v>-6956988</v>
      </c>
      <c r="CE263" s="186">
        <v>-8116486</v>
      </c>
      <c r="CF263" s="186">
        <v>-9275984</v>
      </c>
      <c r="CG263" s="186">
        <v>-10435482</v>
      </c>
      <c r="CH263" s="186">
        <v>-11594980</v>
      </c>
      <c r="CI263" s="186">
        <v>662910.98</v>
      </c>
      <c r="CJ263" s="186">
        <v>0</v>
      </c>
      <c r="CK263" s="186">
        <v>-1232571.23</v>
      </c>
      <c r="CL263" s="186">
        <v>-2465142.46</v>
      </c>
      <c r="CM263" s="186">
        <v>-3697713.69</v>
      </c>
      <c r="CN263" s="186">
        <v>-4930284.92</v>
      </c>
      <c r="CO263" s="186">
        <v>-6162856.1500000004</v>
      </c>
      <c r="CP263" s="186">
        <v>-7395427.3799999999</v>
      </c>
      <c r="CQ263" s="186">
        <v>-8627998.6099999994</v>
      </c>
      <c r="CR263" s="186">
        <v>-9860569.8399999999</v>
      </c>
      <c r="CS263" s="186">
        <v>-10425000.57</v>
      </c>
      <c r="CT263" s="186">
        <v>-11583333.970000001</v>
      </c>
      <c r="CU263" s="186">
        <v>1029673.84</v>
      </c>
      <c r="CV263" s="186">
        <v>0</v>
      </c>
    </row>
    <row r="264" spans="1:100">
      <c r="A264" s="541" t="str">
        <f t="shared" si="3"/>
        <v>2360605</v>
      </c>
      <c r="B264" s="541" t="s">
        <v>901</v>
      </c>
      <c r="C264" s="463" t="s">
        <v>788</v>
      </c>
      <c r="D264" s="397">
        <v>-863405.82</v>
      </c>
      <c r="E264" s="397">
        <v>-1141232.71</v>
      </c>
      <c r="F264" s="397">
        <v>-1119000.81</v>
      </c>
      <c r="G264" s="397">
        <v>-953106.13</v>
      </c>
      <c r="H264" s="397">
        <v>-847748.59</v>
      </c>
      <c r="I264" s="397">
        <v>-688160.65</v>
      </c>
      <c r="J264" s="397">
        <v>-790706.12</v>
      </c>
      <c r="K264" s="397">
        <v>-790589.82</v>
      </c>
      <c r="L264" s="397">
        <v>-754426.47</v>
      </c>
      <c r="M264" s="397">
        <v>-823177.74</v>
      </c>
      <c r="N264" s="397">
        <v>-847822.07</v>
      </c>
      <c r="O264" s="397">
        <v>-891960.35</v>
      </c>
      <c r="P264" s="398">
        <v>-971099.37</v>
      </c>
      <c r="Q264" s="186">
        <v>-1116242.81</v>
      </c>
      <c r="R264" s="186">
        <v>-1072360.3600000001</v>
      </c>
      <c r="S264" s="186">
        <v>-1054711.94</v>
      </c>
      <c r="T264" s="186">
        <v>-917726.06</v>
      </c>
      <c r="U264" s="186">
        <v>-815328.8</v>
      </c>
      <c r="V264" s="186">
        <v>-865597.62</v>
      </c>
      <c r="W264" s="186">
        <v>-798484.94</v>
      </c>
      <c r="X264" s="186">
        <v>-854282.69</v>
      </c>
      <c r="Y264" s="186">
        <v>-861806.45</v>
      </c>
      <c r="Z264" s="186">
        <v>-884223.84</v>
      </c>
      <c r="AA264" s="186">
        <v>-933510.2</v>
      </c>
      <c r="AB264" s="186">
        <v>-917625.04</v>
      </c>
      <c r="AC264" s="186">
        <v>-1107651.19</v>
      </c>
      <c r="AD264" s="186">
        <v>-1204912.68</v>
      </c>
      <c r="AE264" s="186">
        <v>-1119239.07</v>
      </c>
      <c r="AF264" s="186">
        <v>-1059898.01</v>
      </c>
      <c r="AG264" s="186">
        <v>-915365.05</v>
      </c>
      <c r="AH264" s="186">
        <v>-885400.56</v>
      </c>
      <c r="AI264" s="186">
        <v>-828806.12</v>
      </c>
      <c r="AJ264" s="186">
        <v>-822895.42</v>
      </c>
      <c r="AK264" s="186">
        <v>-844050.2</v>
      </c>
      <c r="AL264" s="186">
        <v>-861399.19</v>
      </c>
      <c r="AM264" s="186">
        <v>-922255.26</v>
      </c>
      <c r="AN264" s="186">
        <v>-924161.82</v>
      </c>
      <c r="AO264" s="186">
        <v>-1036502.86</v>
      </c>
      <c r="AP264" s="186">
        <v>-952681.4</v>
      </c>
      <c r="AQ264" s="186">
        <v>-951581.44</v>
      </c>
      <c r="AR264" s="186">
        <v>-956601.61</v>
      </c>
      <c r="AS264" s="186">
        <v>-883002.34</v>
      </c>
      <c r="AT264" s="186">
        <v>-865519.15</v>
      </c>
      <c r="AU264" s="186">
        <v>-812479.46</v>
      </c>
      <c r="AV264" s="186">
        <v>-813680.17</v>
      </c>
      <c r="AW264" s="186">
        <v>-846312.01</v>
      </c>
      <c r="AX264" s="186">
        <v>-899052.15</v>
      </c>
      <c r="AY264" s="186">
        <v>-966037.82</v>
      </c>
      <c r="AZ264" s="186">
        <v>-990699.91</v>
      </c>
      <c r="BA264" s="186">
        <v>-1322406.3400000001</v>
      </c>
      <c r="BB264" s="186">
        <v>-1171013.03</v>
      </c>
      <c r="BC264" s="186">
        <v>-1074085.18</v>
      </c>
      <c r="BD264" s="186">
        <v>-1094952.79</v>
      </c>
      <c r="BE264" s="186">
        <v>-1007736.16</v>
      </c>
      <c r="BF264" s="186">
        <v>-998171.22</v>
      </c>
      <c r="BG264" s="186">
        <v>-916004.53</v>
      </c>
      <c r="BH264" s="186">
        <v>-890431.4</v>
      </c>
      <c r="BI264" s="186">
        <v>-956837.97</v>
      </c>
      <c r="BJ264" s="186">
        <v>-920585.16</v>
      </c>
      <c r="BK264" s="186">
        <v>-972171.06</v>
      </c>
      <c r="BL264" s="186">
        <v>-1037067.09</v>
      </c>
      <c r="BM264" s="186">
        <v>-1193393.58</v>
      </c>
      <c r="BN264" s="186">
        <v>-1123088.26</v>
      </c>
      <c r="BO264" s="186">
        <v>-1080449.74</v>
      </c>
      <c r="BP264" s="186">
        <v>-1074333.8999999999</v>
      </c>
      <c r="BQ264" s="186">
        <v>-948753.76</v>
      </c>
      <c r="BR264" s="186">
        <v>-927669.83</v>
      </c>
      <c r="BS264" s="186">
        <v>-916050.83</v>
      </c>
      <c r="BT264" s="186">
        <v>-882173.48</v>
      </c>
      <c r="BU264" s="186">
        <v>-921605.63</v>
      </c>
      <c r="BV264" s="186">
        <v>-926152.96</v>
      </c>
      <c r="BW264" s="186">
        <v>-1006879.55</v>
      </c>
      <c r="BX264" s="186">
        <v>-1089358.7</v>
      </c>
      <c r="BY264" s="186">
        <v>-1221253.49</v>
      </c>
      <c r="BZ264" s="186">
        <v>-1135675.0900000001</v>
      </c>
      <c r="CA264" s="186">
        <v>-1103364.95</v>
      </c>
      <c r="CB264" s="186">
        <v>-991510.67</v>
      </c>
      <c r="CC264" s="186">
        <v>-885486.25</v>
      </c>
      <c r="CD264" s="186">
        <v>-827303.46</v>
      </c>
      <c r="CE264" s="186">
        <v>-866479.17</v>
      </c>
      <c r="CF264" s="186">
        <v>-859378.53</v>
      </c>
      <c r="CG264" s="186">
        <v>-864737.51</v>
      </c>
      <c r="CH264" s="186">
        <v>-913805.81</v>
      </c>
      <c r="CI264" s="186">
        <v>-1017784.1</v>
      </c>
      <c r="CJ264" s="186">
        <v>-1061936.3899999999</v>
      </c>
      <c r="CK264" s="186">
        <v>-1456853.71</v>
      </c>
      <c r="CL264" s="186">
        <v>-1338719.8999999999</v>
      </c>
      <c r="CM264" s="186">
        <v>-1291178.05</v>
      </c>
      <c r="CN264" s="186">
        <v>-1328748.96</v>
      </c>
      <c r="CO264" s="186">
        <v>-1201455.51</v>
      </c>
      <c r="CP264" s="186">
        <v>-1169257.92</v>
      </c>
      <c r="CQ264" s="186">
        <v>-1157377.58</v>
      </c>
      <c r="CR264" s="186">
        <v>-1084493.3500000001</v>
      </c>
      <c r="CS264" s="186">
        <v>-1163226.6599999999</v>
      </c>
      <c r="CT264" s="186">
        <v>-1140305.6299999999</v>
      </c>
      <c r="CU264" s="186">
        <v>-1259102.8799999999</v>
      </c>
      <c r="CV264" s="186">
        <v>-1373429.83</v>
      </c>
    </row>
    <row r="265" spans="1:100">
      <c r="A265" s="541" t="str">
        <f t="shared" si="3"/>
        <v>2360606</v>
      </c>
      <c r="B265" s="541" t="s">
        <v>925</v>
      </c>
      <c r="C265" s="463" t="s">
        <v>789</v>
      </c>
      <c r="D265" s="397">
        <v>2555.48</v>
      </c>
      <c r="E265" s="397">
        <v>3293.89</v>
      </c>
      <c r="F265" s="397">
        <v>3094.48</v>
      </c>
      <c r="G265" s="397">
        <v>2956.22</v>
      </c>
      <c r="H265" s="397">
        <v>3110.33</v>
      </c>
      <c r="I265" s="397">
        <v>2458.3200000000002</v>
      </c>
      <c r="J265" s="397">
        <v>1485.64</v>
      </c>
      <c r="K265" s="397">
        <v>3485</v>
      </c>
      <c r="L265" s="397">
        <v>3415.33</v>
      </c>
      <c r="M265" s="397">
        <v>3351.07</v>
      </c>
      <c r="N265" s="397">
        <v>3459.08</v>
      </c>
      <c r="O265" s="397">
        <v>3401.84</v>
      </c>
      <c r="P265" s="398">
        <v>3345.67</v>
      </c>
      <c r="Q265" s="186">
        <v>3496.74</v>
      </c>
      <c r="R265" s="186">
        <v>3458.26</v>
      </c>
      <c r="S265" s="186">
        <v>3381.1</v>
      </c>
      <c r="T265" s="186">
        <v>3503.6</v>
      </c>
      <c r="U265" s="186">
        <v>3420.5</v>
      </c>
      <c r="V265" s="186">
        <v>3331.7</v>
      </c>
      <c r="W265" s="186">
        <v>3458.93</v>
      </c>
      <c r="X265" s="186">
        <v>3395.57</v>
      </c>
      <c r="Y265" s="186">
        <v>3311.34</v>
      </c>
      <c r="Z265" s="186">
        <v>3467.66</v>
      </c>
      <c r="AA265" s="186">
        <v>3358.92</v>
      </c>
      <c r="AB265" s="186">
        <v>3271.45</v>
      </c>
      <c r="AC265" s="186">
        <v>3394.16</v>
      </c>
      <c r="AD265" s="186">
        <v>3194.34</v>
      </c>
      <c r="AE265" s="186">
        <v>3096.19</v>
      </c>
      <c r="AF265" s="186">
        <v>3395.64</v>
      </c>
      <c r="AG265" s="186">
        <v>3291.34</v>
      </c>
      <c r="AH265" s="186">
        <v>3201.18</v>
      </c>
      <c r="AI265" s="186">
        <v>3403.14</v>
      </c>
      <c r="AJ265" s="186">
        <v>3265.73</v>
      </c>
      <c r="AK265" s="186">
        <v>3149.92</v>
      </c>
      <c r="AL265" s="186">
        <v>3423.75</v>
      </c>
      <c r="AM265" s="186">
        <v>3339.95</v>
      </c>
      <c r="AN265" s="186">
        <v>3232.29</v>
      </c>
      <c r="AO265" s="186">
        <v>3437.19</v>
      </c>
      <c r="AP265" s="186">
        <v>3312.25</v>
      </c>
      <c r="AQ265" s="186">
        <v>3236.75</v>
      </c>
      <c r="AR265" s="186">
        <v>3456.7</v>
      </c>
      <c r="AS265" s="186">
        <v>3380.38</v>
      </c>
      <c r="AT265" s="186">
        <v>3325.61</v>
      </c>
      <c r="AU265" s="186">
        <v>3541.79</v>
      </c>
      <c r="AV265" s="186">
        <v>3468.27</v>
      </c>
      <c r="AW265" s="186">
        <v>3381.78</v>
      </c>
      <c r="AX265" s="186">
        <v>3356.23</v>
      </c>
      <c r="AY265" s="186">
        <v>3308.86</v>
      </c>
      <c r="AZ265" s="186">
        <v>3249.31</v>
      </c>
      <c r="BA265" s="186">
        <v>3478.87</v>
      </c>
      <c r="BB265" s="186">
        <v>3410.01</v>
      </c>
      <c r="BC265" s="186">
        <v>3364.9</v>
      </c>
      <c r="BD265" s="186">
        <v>3495.75</v>
      </c>
      <c r="BE265" s="186">
        <v>3433.11</v>
      </c>
      <c r="BF265" s="186">
        <v>3378.37</v>
      </c>
      <c r="BG265" s="186">
        <v>3481.27</v>
      </c>
      <c r="BH265" s="186">
        <v>3440.57</v>
      </c>
      <c r="BI265" s="186">
        <v>3381.08</v>
      </c>
      <c r="BJ265" s="186">
        <v>3526.05</v>
      </c>
      <c r="BK265" s="186">
        <v>3490.88</v>
      </c>
      <c r="BL265" s="186">
        <v>3434.88</v>
      </c>
      <c r="BM265" s="186">
        <v>3518.63</v>
      </c>
      <c r="BN265" s="186">
        <v>3493.13</v>
      </c>
      <c r="BO265" s="186">
        <v>3459.43</v>
      </c>
      <c r="BP265" s="186">
        <v>3529.38</v>
      </c>
      <c r="BQ265" s="186">
        <v>3516.78</v>
      </c>
      <c r="BR265" s="186">
        <v>3510.51</v>
      </c>
      <c r="BS265" s="186">
        <v>3528.3</v>
      </c>
      <c r="BT265" s="186">
        <v>3511.38</v>
      </c>
      <c r="BU265" s="186">
        <v>3509.9</v>
      </c>
      <c r="BV265" s="186">
        <v>3521.06</v>
      </c>
      <c r="BW265" s="186">
        <v>3512.48</v>
      </c>
      <c r="BX265" s="186">
        <v>3492.77</v>
      </c>
      <c r="BY265" s="186">
        <v>3525.62</v>
      </c>
      <c r="BZ265" s="186">
        <v>3513.77</v>
      </c>
      <c r="CA265" s="186">
        <v>3503.4</v>
      </c>
      <c r="CB265" s="186">
        <v>3518.09</v>
      </c>
      <c r="CC265" s="186">
        <v>3514.83</v>
      </c>
      <c r="CD265" s="186">
        <v>3464.48</v>
      </c>
      <c r="CE265" s="186">
        <v>3506.25</v>
      </c>
      <c r="CF265" s="186">
        <v>3504.1</v>
      </c>
      <c r="CG265" s="186">
        <v>3502.62</v>
      </c>
      <c r="CH265" s="186">
        <v>3538.5</v>
      </c>
      <c r="CI265" s="186">
        <v>3538.5</v>
      </c>
      <c r="CJ265" s="186">
        <v>3511.29</v>
      </c>
      <c r="CK265" s="186">
        <v>3528.46</v>
      </c>
      <c r="CL265" s="186">
        <v>3526.82</v>
      </c>
      <c r="CM265" s="186">
        <v>3519.42</v>
      </c>
      <c r="CN265" s="186">
        <v>3542.96</v>
      </c>
      <c r="CO265" s="186">
        <v>3534.07</v>
      </c>
      <c r="CP265" s="186">
        <v>3527.29</v>
      </c>
      <c r="CQ265" s="186">
        <v>3535.87</v>
      </c>
      <c r="CR265" s="186">
        <v>3523.21</v>
      </c>
      <c r="CS265" s="186">
        <v>3517.9</v>
      </c>
      <c r="CT265" s="186">
        <v>3539.44</v>
      </c>
      <c r="CU265" s="186">
        <v>4275.97</v>
      </c>
      <c r="CV265" s="186">
        <v>4275.97</v>
      </c>
    </row>
    <row r="266" spans="1:100">
      <c r="A266" s="541" t="str">
        <f t="shared" si="3"/>
        <v>2360620</v>
      </c>
      <c r="B266" s="541" t="s">
        <v>926</v>
      </c>
      <c r="C266" s="463" t="s">
        <v>790</v>
      </c>
      <c r="D266" s="397">
        <v>0</v>
      </c>
      <c r="E266" s="397">
        <v>-239642.44</v>
      </c>
      <c r="F266" s="397">
        <v>0</v>
      </c>
      <c r="G266" s="397">
        <v>0</v>
      </c>
      <c r="H266" s="397">
        <v>0</v>
      </c>
      <c r="I266" s="397">
        <v>0</v>
      </c>
      <c r="J266" s="397">
        <v>0</v>
      </c>
      <c r="K266" s="397">
        <v>0</v>
      </c>
      <c r="L266" s="397">
        <v>0</v>
      </c>
      <c r="M266" s="397">
        <v>0</v>
      </c>
      <c r="N266" s="397">
        <v>0</v>
      </c>
      <c r="O266" s="397">
        <v>0</v>
      </c>
      <c r="P266" s="398">
        <v>-90000</v>
      </c>
      <c r="Q266" s="186">
        <v>-90000</v>
      </c>
      <c r="R266" s="186">
        <v>0</v>
      </c>
      <c r="S266" s="186">
        <v>-53000</v>
      </c>
      <c r="T266" s="186">
        <v>-161748.47</v>
      </c>
      <c r="U266" s="186">
        <v>-147341.09</v>
      </c>
      <c r="V266" s="186">
        <v>-66000</v>
      </c>
      <c r="W266" s="186">
        <v>-58000</v>
      </c>
      <c r="X266" s="186">
        <v>-60000</v>
      </c>
      <c r="Y266" s="186">
        <v>-44000</v>
      </c>
      <c r="Z266" s="186">
        <v>-42000</v>
      </c>
      <c r="AA266" s="186">
        <v>-68000</v>
      </c>
      <c r="AB266" s="186">
        <v>-146973</v>
      </c>
      <c r="AC266" s="186">
        <v>-158815</v>
      </c>
      <c r="AD266" s="186">
        <v>-23684</v>
      </c>
      <c r="AE266" s="186">
        <v>-35526</v>
      </c>
      <c r="AF266" s="186">
        <v>-47368</v>
      </c>
      <c r="AG266" s="186">
        <v>-59210</v>
      </c>
      <c r="AH266" s="186">
        <v>-71052</v>
      </c>
      <c r="AI266" s="186">
        <v>-97894</v>
      </c>
      <c r="AJ266" s="186">
        <v>-156736</v>
      </c>
      <c r="AK266" s="186">
        <v>-185578</v>
      </c>
      <c r="AL266" s="186">
        <v>-195420</v>
      </c>
      <c r="AM266" s="186">
        <v>-164265.44</v>
      </c>
      <c r="AN266" s="186">
        <v>-190234</v>
      </c>
      <c r="AO266" s="186">
        <v>-203213.17</v>
      </c>
      <c r="AP266" s="186">
        <v>-25958.34</v>
      </c>
      <c r="AQ266" s="186">
        <v>-46872.51</v>
      </c>
      <c r="AR266" s="186">
        <v>-59851.68</v>
      </c>
      <c r="AS266" s="186">
        <v>-64895.85</v>
      </c>
      <c r="AT266" s="186">
        <v>-83125.02</v>
      </c>
      <c r="AU266" s="186">
        <v>-96979.19</v>
      </c>
      <c r="AV266" s="186">
        <v>-220529.76</v>
      </c>
      <c r="AW266" s="186">
        <v>-124687.53</v>
      </c>
      <c r="AX266" s="186">
        <v>-120544.86</v>
      </c>
      <c r="AY266" s="186">
        <v>-132599.35</v>
      </c>
      <c r="AZ266" s="186">
        <v>-160403.84</v>
      </c>
      <c r="BA266" s="186">
        <v>-176841.76</v>
      </c>
      <c r="BB266" s="186">
        <v>-32875.839999999997</v>
      </c>
      <c r="BC266" s="186">
        <v>-48787.86</v>
      </c>
      <c r="BD266" s="186">
        <v>-65225.78</v>
      </c>
      <c r="BE266" s="186">
        <v>-82099.600000000006</v>
      </c>
      <c r="BF266" s="186">
        <v>-98537.52</v>
      </c>
      <c r="BG266" s="186">
        <v>-123552.39</v>
      </c>
      <c r="BH266" s="186">
        <v>-171815.58</v>
      </c>
      <c r="BI266" s="186">
        <v>-194234.84</v>
      </c>
      <c r="BJ266" s="186">
        <v>-215826.49</v>
      </c>
      <c r="BK266" s="186">
        <v>-237418.14</v>
      </c>
      <c r="BL266" s="186">
        <v>-353473.07</v>
      </c>
      <c r="BM266" s="186">
        <v>-413011.53</v>
      </c>
      <c r="BN266" s="186">
        <v>-163830.94</v>
      </c>
      <c r="BO266" s="186">
        <v>-68040.27</v>
      </c>
      <c r="BP266" s="186">
        <v>-90720.36</v>
      </c>
      <c r="BQ266" s="186">
        <v>-113400.45</v>
      </c>
      <c r="BR266" s="186">
        <v>-136080.54</v>
      </c>
      <c r="BS266" s="186">
        <v>-158760.63</v>
      </c>
      <c r="BT266" s="186">
        <v>-181440.72</v>
      </c>
      <c r="BU266" s="186">
        <v>-213077.3</v>
      </c>
      <c r="BV266" s="186">
        <v>-236752.55</v>
      </c>
      <c r="BW266" s="186">
        <v>-312927.8</v>
      </c>
      <c r="BX266" s="186">
        <v>-452793.17</v>
      </c>
      <c r="BY266" s="186">
        <v>-369352.88</v>
      </c>
      <c r="BZ266" s="186">
        <v>-44084.3</v>
      </c>
      <c r="CA266" s="186">
        <v>-59022.239999999998</v>
      </c>
      <c r="CB266" s="186">
        <v>-84196.479999999996</v>
      </c>
      <c r="CC266" s="186">
        <v>-311658.09000000003</v>
      </c>
      <c r="CD266" s="186">
        <v>-525235.67000000004</v>
      </c>
      <c r="CE266" s="186">
        <v>-844932.7</v>
      </c>
      <c r="CF266" s="186">
        <v>-1063171.25</v>
      </c>
      <c r="CG266" s="186">
        <v>-1128352.6599999999</v>
      </c>
      <c r="CH266" s="186">
        <v>-1344463.25</v>
      </c>
      <c r="CI266" s="186">
        <v>-1567155.92</v>
      </c>
      <c r="CJ266" s="186">
        <v>-1868718.24</v>
      </c>
      <c r="CK266" s="186">
        <v>-1867428.58</v>
      </c>
      <c r="CL266" s="186">
        <v>-1893667.24</v>
      </c>
      <c r="CM266" s="186">
        <v>-1518152.98</v>
      </c>
      <c r="CN266" s="186">
        <v>-1534768.6</v>
      </c>
      <c r="CO266" s="186">
        <v>-1559246.14</v>
      </c>
      <c r="CP266" s="186">
        <v>-1598044.07</v>
      </c>
      <c r="CQ266" s="186">
        <v>-1621876.98</v>
      </c>
      <c r="CR266" s="186">
        <v>-1646162.58</v>
      </c>
      <c r="CS266" s="186">
        <v>-1641037.85</v>
      </c>
      <c r="CT266" s="186">
        <v>-1812463.43</v>
      </c>
      <c r="CU266" s="186">
        <v>-1920153.8</v>
      </c>
      <c r="CV266" s="186">
        <v>-1335022.32</v>
      </c>
    </row>
    <row r="267" spans="1:100">
      <c r="A267" s="541" t="str">
        <f t="shared" si="3"/>
        <v>2360800</v>
      </c>
      <c r="B267" s="541" t="s">
        <v>1416</v>
      </c>
      <c r="C267" s="463" t="s">
        <v>791</v>
      </c>
      <c r="D267" s="397">
        <v>0</v>
      </c>
      <c r="E267" s="397">
        <v>0</v>
      </c>
      <c r="F267" s="397">
        <v>0</v>
      </c>
      <c r="G267" s="397">
        <v>0</v>
      </c>
      <c r="H267" s="397">
        <v>0</v>
      </c>
      <c r="I267" s="397">
        <v>0</v>
      </c>
      <c r="J267" s="397">
        <v>0</v>
      </c>
      <c r="K267" s="397">
        <v>0</v>
      </c>
      <c r="L267" s="397">
        <v>0</v>
      </c>
      <c r="M267" s="397">
        <v>0</v>
      </c>
      <c r="N267" s="397">
        <v>0</v>
      </c>
      <c r="O267" s="397">
        <v>0</v>
      </c>
      <c r="P267" s="398">
        <v>0</v>
      </c>
      <c r="Q267" s="186">
        <v>0</v>
      </c>
      <c r="R267" s="186">
        <v>0</v>
      </c>
      <c r="S267" s="186">
        <v>0</v>
      </c>
      <c r="T267" s="186">
        <v>0</v>
      </c>
      <c r="U267" s="186">
        <v>0</v>
      </c>
      <c r="V267" s="186">
        <v>0</v>
      </c>
      <c r="W267" s="186">
        <v>0</v>
      </c>
      <c r="X267" s="186">
        <v>0</v>
      </c>
      <c r="Y267" s="186">
        <v>0</v>
      </c>
      <c r="Z267" s="186">
        <v>0</v>
      </c>
      <c r="AA267" s="186">
        <v>0</v>
      </c>
      <c r="AB267" s="186">
        <v>-50000</v>
      </c>
      <c r="AC267" s="186">
        <v>-50000</v>
      </c>
      <c r="AD267" s="186">
        <v>-50000</v>
      </c>
      <c r="AE267" s="186">
        <v>-50000</v>
      </c>
      <c r="AF267" s="186">
        <v>-50000</v>
      </c>
      <c r="AG267" s="186">
        <v>-50000</v>
      </c>
      <c r="AH267" s="186">
        <v>-50000</v>
      </c>
      <c r="AI267" s="186">
        <v>-50000</v>
      </c>
      <c r="AJ267" s="186">
        <v>-50000</v>
      </c>
      <c r="AK267" s="186">
        <v>-50000</v>
      </c>
      <c r="AL267" s="186">
        <v>-50000</v>
      </c>
      <c r="AM267" s="186">
        <v>-50000</v>
      </c>
      <c r="AN267" s="186">
        <v>-50000</v>
      </c>
      <c r="AO267" s="186">
        <v>-50000</v>
      </c>
      <c r="AP267" s="186">
        <v>-50000</v>
      </c>
      <c r="AQ267" s="186">
        <v>-50000</v>
      </c>
      <c r="AR267" s="186">
        <v>-50000</v>
      </c>
      <c r="AS267" s="186">
        <v>-50000</v>
      </c>
      <c r="AT267" s="186">
        <v>-50000</v>
      </c>
      <c r="AU267" s="186">
        <v>-50000</v>
      </c>
      <c r="AV267" s="186">
        <v>-35606.15</v>
      </c>
      <c r="AW267" s="186">
        <v>-35606.15</v>
      </c>
      <c r="AX267" s="186">
        <v>-34622.79</v>
      </c>
      <c r="AY267" s="186">
        <v>-34622.79</v>
      </c>
      <c r="AZ267" s="186">
        <v>-34622.79</v>
      </c>
      <c r="BA267" s="186">
        <v>-34622.79</v>
      </c>
      <c r="BB267" s="186">
        <v>-34622.79</v>
      </c>
      <c r="BC267" s="186">
        <v>-34622.79</v>
      </c>
      <c r="BD267" s="186">
        <v>-34622.79</v>
      </c>
      <c r="BE267" s="186">
        <v>-34622.79</v>
      </c>
      <c r="BF267" s="186">
        <v>-34622.79</v>
      </c>
      <c r="BG267" s="186">
        <v>-34622.79</v>
      </c>
      <c r="BH267" s="186">
        <v>-34622.79</v>
      </c>
      <c r="BI267" s="186">
        <v>-34622.79</v>
      </c>
      <c r="BJ267" s="186">
        <v>-34622.79</v>
      </c>
      <c r="BK267" s="186">
        <v>-34622.79</v>
      </c>
      <c r="BL267" s="186">
        <v>-34622.79</v>
      </c>
      <c r="BM267" s="186">
        <v>-34622.79</v>
      </c>
      <c r="BN267" s="186">
        <v>-34622.79</v>
      </c>
      <c r="BO267" s="186">
        <v>-34622.79</v>
      </c>
      <c r="BP267" s="186">
        <v>-34622.79</v>
      </c>
      <c r="BQ267" s="186">
        <v>-34622.79</v>
      </c>
      <c r="BR267" s="186">
        <v>-34622.79</v>
      </c>
      <c r="BS267" s="186">
        <v>-34622.79</v>
      </c>
      <c r="BT267" s="186">
        <v>-34622.79</v>
      </c>
      <c r="BU267" s="186">
        <v>-34622.79</v>
      </c>
      <c r="BV267" s="186">
        <v>-34622.79</v>
      </c>
      <c r="BW267" s="186">
        <v>-34622.79</v>
      </c>
      <c r="BX267" s="186">
        <v>-34622.79</v>
      </c>
      <c r="BY267" s="186">
        <v>-34622.79</v>
      </c>
      <c r="BZ267" s="186">
        <v>-34622.79</v>
      </c>
      <c r="CA267" s="186">
        <v>-34622.79</v>
      </c>
      <c r="CB267" s="186">
        <v>-34622.79</v>
      </c>
      <c r="CC267" s="186">
        <v>-34622.79</v>
      </c>
      <c r="CD267" s="186">
        <v>-34622.79</v>
      </c>
      <c r="CE267" s="186">
        <v>-34622.79</v>
      </c>
      <c r="CF267" s="186">
        <v>-34622.79</v>
      </c>
      <c r="CG267" s="186">
        <v>-34622.79</v>
      </c>
      <c r="CH267" s="186">
        <v>-34622.79</v>
      </c>
      <c r="CI267" s="186">
        <v>-34622.79</v>
      </c>
      <c r="CJ267" s="186">
        <v>-34622.79</v>
      </c>
      <c r="CK267" s="186">
        <v>-34622.79</v>
      </c>
      <c r="CL267" s="186">
        <v>-34622.79</v>
      </c>
      <c r="CM267" s="186">
        <v>-34622.79</v>
      </c>
      <c r="CN267" s="186">
        <v>-34622.79</v>
      </c>
      <c r="CO267" s="186">
        <v>-34622.79</v>
      </c>
      <c r="CP267" s="186">
        <v>-34622.79</v>
      </c>
      <c r="CQ267" s="186">
        <v>-34622.79</v>
      </c>
      <c r="CR267" s="186">
        <v>-34622.79</v>
      </c>
      <c r="CS267" s="186">
        <v>-34622.79</v>
      </c>
      <c r="CT267" s="186">
        <v>-34622.79</v>
      </c>
      <c r="CU267" s="186">
        <v>-34622.79</v>
      </c>
      <c r="CV267" s="186">
        <v>-34622.79</v>
      </c>
    </row>
    <row r="268" spans="1:100">
      <c r="A268" s="541" t="str">
        <f t="shared" si="3"/>
        <v>2370300</v>
      </c>
      <c r="B268" s="541" t="s">
        <v>890</v>
      </c>
      <c r="C268" s="463" t="s">
        <v>792</v>
      </c>
      <c r="D268" s="397">
        <v>-334348.08</v>
      </c>
      <c r="E268" s="397">
        <v>-411340.6</v>
      </c>
      <c r="F268" s="397">
        <v>-487071.77</v>
      </c>
      <c r="G268" s="397">
        <v>-562383.55000000005</v>
      </c>
      <c r="H268" s="397">
        <v>-637033.81000000006</v>
      </c>
      <c r="I268" s="397">
        <v>-711566.98</v>
      </c>
      <c r="J268" s="397">
        <v>-784411.25</v>
      </c>
      <c r="K268" s="397">
        <v>-857137.98</v>
      </c>
      <c r="L268" s="397">
        <v>-21472.09</v>
      </c>
      <c r="M268" s="397">
        <v>-104464.38</v>
      </c>
      <c r="N268" s="397">
        <v>-186469.6</v>
      </c>
      <c r="O268" s="397">
        <v>-266252.03000000003</v>
      </c>
      <c r="P268" s="398">
        <v>-347114.93</v>
      </c>
      <c r="Q268" s="186">
        <v>-425609.97</v>
      </c>
      <c r="R268" s="186">
        <v>-503790.12</v>
      </c>
      <c r="S268" s="186">
        <v>-580662.56000000006</v>
      </c>
      <c r="T268" s="186">
        <v>-658559.87</v>
      </c>
      <c r="U268" s="186">
        <v>-733378.24</v>
      </c>
      <c r="V268" s="186">
        <v>-807866.24</v>
      </c>
      <c r="W268" s="186">
        <v>-882946.25</v>
      </c>
      <c r="X268" s="186">
        <v>-22274.44</v>
      </c>
      <c r="Y268" s="186">
        <v>-107640.57</v>
      </c>
      <c r="Z268" s="186">
        <v>-192369.15</v>
      </c>
      <c r="AA268" s="186">
        <v>-276129.98</v>
      </c>
      <c r="AB268" s="186">
        <v>-24118.19</v>
      </c>
      <c r="AC268" s="186">
        <v>-110559.84</v>
      </c>
      <c r="AD268" s="186">
        <v>-192686.22</v>
      </c>
      <c r="AE268" s="186">
        <v>-271046.09000000003</v>
      </c>
      <c r="AF268" s="186">
        <v>-346083.14</v>
      </c>
      <c r="AG268" s="186">
        <v>-417694.18</v>
      </c>
      <c r="AH268" s="186">
        <v>-486750.79</v>
      </c>
      <c r="AI268" s="186">
        <v>-551111.54</v>
      </c>
      <c r="AJ268" s="186">
        <v>-19946.64</v>
      </c>
      <c r="AK268" s="186">
        <v>-87146.04</v>
      </c>
      <c r="AL268" s="186">
        <v>-151548.82999999999</v>
      </c>
      <c r="AM268" s="186">
        <v>-210919.21</v>
      </c>
      <c r="AN268" s="186">
        <v>-17812.34</v>
      </c>
      <c r="AO268" s="186">
        <v>-74317.34</v>
      </c>
      <c r="AP268" s="186">
        <v>-127218.62</v>
      </c>
      <c r="AQ268" s="186">
        <v>-179071.35</v>
      </c>
      <c r="AR268" s="186">
        <v>-229088.99</v>
      </c>
      <c r="AS268" s="186">
        <v>-277626.40999999997</v>
      </c>
      <c r="AT268" s="186">
        <v>-325812.15000000002</v>
      </c>
      <c r="AU268" s="186">
        <v>-368186.97</v>
      </c>
      <c r="AV268" s="186">
        <v>-412452.75</v>
      </c>
      <c r="AW268" s="186">
        <v>-457250.23</v>
      </c>
      <c r="AX268" s="186">
        <v>-500190.34</v>
      </c>
      <c r="AY268" s="186">
        <v>-538918.24</v>
      </c>
      <c r="AZ268" s="186">
        <v>-17573.16</v>
      </c>
      <c r="BA268" s="186">
        <v>-71614.66</v>
      </c>
      <c r="BB268" s="186">
        <v>-124917.84</v>
      </c>
      <c r="BC268" s="186">
        <v>-176236.65</v>
      </c>
      <c r="BD268" s="186">
        <v>-227517.09</v>
      </c>
      <c r="BE268" s="186">
        <v>-278274.19</v>
      </c>
      <c r="BF268" s="186">
        <v>-325740.88</v>
      </c>
      <c r="BG268" s="186">
        <v>-374524.72</v>
      </c>
      <c r="BH268" s="186">
        <v>-422657.59</v>
      </c>
      <c r="BI268" s="186">
        <v>-469895.84</v>
      </c>
      <c r="BJ268" s="186">
        <v>-515436.15</v>
      </c>
      <c r="BK268" s="186">
        <v>-561353.64</v>
      </c>
      <c r="BL268" s="186">
        <v>-16610.23</v>
      </c>
      <c r="BM268" s="186">
        <v>-71059.53</v>
      </c>
      <c r="BN268" s="186">
        <v>-124663.16</v>
      </c>
      <c r="BO268" s="186">
        <v>-176598.15</v>
      </c>
      <c r="BP268" s="186">
        <v>-228850.78</v>
      </c>
      <c r="BQ268" s="186">
        <v>-279286.71000000002</v>
      </c>
      <c r="BR268" s="186">
        <v>-327851.01</v>
      </c>
      <c r="BS268" s="186">
        <v>-374147.63</v>
      </c>
      <c r="BT268" s="186">
        <v>-420120.22</v>
      </c>
      <c r="BU268" s="186">
        <v>-466624.03</v>
      </c>
      <c r="BV268" s="186">
        <v>-512355.05</v>
      </c>
      <c r="BW268" s="186">
        <v>-556104.1</v>
      </c>
      <c r="BX268" s="186">
        <v>-16026.57</v>
      </c>
      <c r="BY268" s="186">
        <v>-69889.67</v>
      </c>
      <c r="BZ268" s="186">
        <v>-123609.04</v>
      </c>
      <c r="CA268" s="186">
        <v>-175690.36</v>
      </c>
      <c r="CB268" s="186">
        <v>-226799.48</v>
      </c>
      <c r="CC268" s="186">
        <v>-276679.34000000003</v>
      </c>
      <c r="CD268" s="186">
        <v>-325451.73</v>
      </c>
      <c r="CE268" s="186">
        <v>-372508.97</v>
      </c>
      <c r="CF268" s="186">
        <v>-418641.97</v>
      </c>
      <c r="CG268" s="186">
        <v>-463529.51</v>
      </c>
      <c r="CH268" s="186">
        <v>-506720.36</v>
      </c>
      <c r="CI268" s="186">
        <v>-551103.75</v>
      </c>
      <c r="CJ268" s="186">
        <v>-14685.01</v>
      </c>
      <c r="CK268" s="186">
        <v>-67914.42</v>
      </c>
      <c r="CL268" s="186">
        <v>-120735.97</v>
      </c>
      <c r="CM268" s="186">
        <v>-172978.19</v>
      </c>
      <c r="CN268" s="186">
        <v>-223902.89</v>
      </c>
      <c r="CO268" s="186">
        <v>-273871.86</v>
      </c>
      <c r="CP268" s="186">
        <v>-323372.13</v>
      </c>
      <c r="CQ268" s="186">
        <v>-373908.47999999998</v>
      </c>
      <c r="CR268" s="186">
        <v>-423453.8</v>
      </c>
      <c r="CS268" s="186">
        <v>-472903.4</v>
      </c>
      <c r="CT268" s="186">
        <v>-519885.46</v>
      </c>
      <c r="CU268" s="186">
        <v>-568781.9</v>
      </c>
      <c r="CV268" s="186">
        <v>-15558.56</v>
      </c>
    </row>
    <row r="269" spans="1:100">
      <c r="A269" s="541" t="str">
        <f t="shared" si="3"/>
        <v>2370350</v>
      </c>
      <c r="B269" s="541" t="s">
        <v>893</v>
      </c>
      <c r="C269" s="542" t="s">
        <v>892</v>
      </c>
      <c r="D269" s="397"/>
      <c r="E269" s="397"/>
      <c r="F269" s="397"/>
      <c r="G269" s="397"/>
      <c r="H269" s="397"/>
      <c r="I269" s="397"/>
      <c r="J269" s="397"/>
      <c r="K269" s="397"/>
      <c r="L269" s="397"/>
      <c r="M269" s="397"/>
      <c r="N269" s="397"/>
      <c r="O269" s="397"/>
      <c r="P269" s="398"/>
      <c r="Q269" s="186"/>
      <c r="R269" s="186"/>
      <c r="S269" s="186"/>
      <c r="T269" s="186"/>
      <c r="U269" s="186"/>
      <c r="V269" s="186"/>
      <c r="W269" s="186"/>
      <c r="X269" s="186"/>
      <c r="Y269" s="186"/>
      <c r="Z269" s="186"/>
      <c r="AA269" s="186"/>
      <c r="AB269" s="186"/>
      <c r="AC269" s="186">
        <v>0</v>
      </c>
      <c r="AD269" s="186"/>
      <c r="AE269" s="186"/>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c r="BL269" s="186"/>
      <c r="BM269" s="186"/>
      <c r="BN269" s="186"/>
      <c r="BO269" s="186"/>
      <c r="BP269" s="186"/>
      <c r="BQ269" s="186"/>
      <c r="BR269" s="186"/>
      <c r="BS269" s="186"/>
      <c r="BT269" s="186"/>
      <c r="BU269" s="186"/>
      <c r="BV269" s="186"/>
      <c r="BW269" s="186"/>
      <c r="BX269" s="186"/>
      <c r="BY269" s="186"/>
      <c r="BZ269" s="186"/>
      <c r="CA269" s="186"/>
      <c r="CB269" s="186"/>
      <c r="CC269" s="186"/>
      <c r="CD269" s="186"/>
      <c r="CE269" s="186"/>
      <c r="CF269" s="186"/>
      <c r="CG269" s="186"/>
      <c r="CH269" s="186"/>
      <c r="CI269" s="186"/>
      <c r="CJ269" s="186"/>
      <c r="CK269" s="186"/>
      <c r="CL269" s="186"/>
      <c r="CM269" s="186"/>
      <c r="CN269" s="186"/>
      <c r="CO269" s="186"/>
      <c r="CP269" s="186"/>
      <c r="CQ269" s="186"/>
      <c r="CR269" s="186"/>
      <c r="CS269" s="186"/>
      <c r="CT269" s="186"/>
      <c r="CU269" s="186"/>
      <c r="CV269" s="186"/>
    </row>
    <row r="270" spans="1:100">
      <c r="A270" s="541" t="str">
        <f t="shared" si="3"/>
        <v>2370400</v>
      </c>
      <c r="B270" s="541" t="s">
        <v>891</v>
      </c>
      <c r="C270" s="463" t="s">
        <v>793</v>
      </c>
      <c r="D270" s="397">
        <v>-1443411.66</v>
      </c>
      <c r="E270" s="397">
        <v>-2440519.38</v>
      </c>
      <c r="F270" s="397">
        <v>-3437627.1</v>
      </c>
      <c r="G270" s="397">
        <v>-4109734.82</v>
      </c>
      <c r="H270" s="397">
        <v>-5106842.54</v>
      </c>
      <c r="I270" s="397">
        <v>-1489428.9</v>
      </c>
      <c r="J270" s="397">
        <v>-1497786.62</v>
      </c>
      <c r="K270" s="397">
        <v>-2531144.34</v>
      </c>
      <c r="L270" s="397">
        <v>-3564502.06</v>
      </c>
      <c r="M270" s="397">
        <v>-4272859.78</v>
      </c>
      <c r="N270" s="397">
        <v>-5306217.5</v>
      </c>
      <c r="O270" s="397">
        <v>-1489428.86</v>
      </c>
      <c r="P270" s="398">
        <v>-1497786.58</v>
      </c>
      <c r="Q270" s="186">
        <v>-2531144.2999999998</v>
      </c>
      <c r="R270" s="186">
        <v>-3564502.03</v>
      </c>
      <c r="S270" s="186">
        <v>-4272859.76</v>
      </c>
      <c r="T270" s="186">
        <v>-5306217.49</v>
      </c>
      <c r="U270" s="186">
        <v>-1522095.53</v>
      </c>
      <c r="V270" s="186">
        <v>-1600453.26</v>
      </c>
      <c r="W270" s="186">
        <v>-2703810.99</v>
      </c>
      <c r="X270" s="186">
        <v>-3807168.72</v>
      </c>
      <c r="Y270" s="186">
        <v>-4585526.45</v>
      </c>
      <c r="Z270" s="186">
        <v>-5688884.1799999997</v>
      </c>
      <c r="AA270" s="186">
        <v>-1524428.89</v>
      </c>
      <c r="AB270" s="186">
        <v>-1602786.62</v>
      </c>
      <c r="AC270" s="186">
        <v>-2706144.35</v>
      </c>
      <c r="AD270" s="186">
        <v>-3809502.08</v>
      </c>
      <c r="AE270" s="186">
        <v>-4587859.8099999996</v>
      </c>
      <c r="AF270" s="186">
        <v>-5691217.54</v>
      </c>
      <c r="AG270" s="186">
        <v>-1524428.91</v>
      </c>
      <c r="AH270" s="186">
        <v>-1602786.64</v>
      </c>
      <c r="AI270" s="186">
        <v>-2706144.37</v>
      </c>
      <c r="AJ270" s="186">
        <v>-3799252.1</v>
      </c>
      <c r="AK270" s="186">
        <v>-4577609.83</v>
      </c>
      <c r="AL270" s="186">
        <v>-5680967.5599999996</v>
      </c>
      <c r="AM270" s="186">
        <v>-1514178.93</v>
      </c>
      <c r="AN270" s="186">
        <v>-1592536.66</v>
      </c>
      <c r="AO270" s="186">
        <v>-2695894.39</v>
      </c>
      <c r="AP270" s="186">
        <v>-3799252.12</v>
      </c>
      <c r="AQ270" s="186">
        <v>-4577609.8499999996</v>
      </c>
      <c r="AR270" s="186">
        <v>-5680967.5800000001</v>
      </c>
      <c r="AS270" s="186">
        <v>-1514178.95</v>
      </c>
      <c r="AT270" s="186">
        <v>-1592536.68</v>
      </c>
      <c r="AU270" s="186">
        <v>-2695894.41</v>
      </c>
      <c r="AV270" s="186">
        <v>-3799252.14</v>
      </c>
      <c r="AW270" s="186">
        <v>-4577609.87</v>
      </c>
      <c r="AX270" s="186">
        <v>-5680967.5999999996</v>
      </c>
      <c r="AY270" s="186">
        <v>-1514178.97</v>
      </c>
      <c r="AZ270" s="186">
        <v>-1592536.7</v>
      </c>
      <c r="BA270" s="186">
        <v>-2695894.43</v>
      </c>
      <c r="BB270" s="186">
        <v>-3799252.16</v>
      </c>
      <c r="BC270" s="186">
        <v>-4577609.8899999997</v>
      </c>
      <c r="BD270" s="186">
        <v>-5680967.6200000001</v>
      </c>
      <c r="BE270" s="186">
        <v>-1387095.26</v>
      </c>
      <c r="BF270" s="186">
        <v>-1211286.32</v>
      </c>
      <c r="BG270" s="186">
        <v>-2535268.9700000002</v>
      </c>
      <c r="BH270" s="186">
        <v>-3653210.03</v>
      </c>
      <c r="BI270" s="186">
        <v>-4446151.09</v>
      </c>
      <c r="BJ270" s="186">
        <v>-5644439.4100000001</v>
      </c>
      <c r="BK270" s="186">
        <v>-3109942.44</v>
      </c>
      <c r="BL270" s="186">
        <v>-1611425.16</v>
      </c>
      <c r="BM270" s="186">
        <v>-2822074.55</v>
      </c>
      <c r="BN270" s="186">
        <v>-4032723.94</v>
      </c>
      <c r="BO270" s="186">
        <v>-4918373.33</v>
      </c>
      <c r="BP270" s="186">
        <v>-6129022.7199999997</v>
      </c>
      <c r="BQ270" s="186">
        <v>-3594525.75</v>
      </c>
      <c r="BR270" s="186">
        <v>-1392015.42</v>
      </c>
      <c r="BS270" s="186">
        <v>-2622803.7000000002</v>
      </c>
      <c r="BT270" s="186">
        <v>-3908973.92</v>
      </c>
      <c r="BU270" s="186">
        <v>-4870144.1399999997</v>
      </c>
      <c r="BV270" s="186">
        <v>-6156314.3600000003</v>
      </c>
      <c r="BW270" s="186">
        <v>-3697338.22</v>
      </c>
      <c r="BX270" s="186">
        <v>-1434810.52</v>
      </c>
      <c r="BY270" s="186">
        <v>-2720980.74</v>
      </c>
      <c r="BZ270" s="186">
        <v>-4007150.96</v>
      </c>
      <c r="CA270" s="186">
        <v>-4963286.47</v>
      </c>
      <c r="CB270" s="186">
        <v>-6249456.6900000004</v>
      </c>
      <c r="CC270" s="186">
        <v>-3790480.55</v>
      </c>
      <c r="CD270" s="186">
        <v>-1429775.77</v>
      </c>
      <c r="CE270" s="186">
        <v>-2715945.99</v>
      </c>
      <c r="CF270" s="186">
        <v>-4002116.21</v>
      </c>
      <c r="CG270" s="186">
        <v>-4963286.43</v>
      </c>
      <c r="CH270" s="186">
        <v>-6249456.6500000004</v>
      </c>
      <c r="CI270" s="186">
        <v>-3790480.51</v>
      </c>
      <c r="CJ270" s="186">
        <v>-1429775.73</v>
      </c>
      <c r="CK270" s="186">
        <v>-2715945.95</v>
      </c>
      <c r="CL270" s="186">
        <v>-4002116.17</v>
      </c>
      <c r="CM270" s="186">
        <v>-5280973.8899999997</v>
      </c>
      <c r="CN270" s="186">
        <v>-7127769.1100000003</v>
      </c>
      <c r="CO270" s="186">
        <v>-5018976.91</v>
      </c>
      <c r="CP270" s="186">
        <v>-3113676.6</v>
      </c>
      <c r="CQ270" s="186">
        <v>-4750030.76</v>
      </c>
      <c r="CR270" s="186">
        <v>-6386384.9199999999</v>
      </c>
      <c r="CS270" s="186">
        <v>-4296614.08</v>
      </c>
      <c r="CT270" s="186">
        <v>-5932968.2400000002</v>
      </c>
      <c r="CU270" s="186">
        <v>-5086822.4000000004</v>
      </c>
      <c r="CV270" s="186">
        <v>-3076301.56</v>
      </c>
    </row>
    <row r="271" spans="1:100">
      <c r="A271" s="541" t="str">
        <f t="shared" si="3"/>
        <v>2370900</v>
      </c>
      <c r="B271" s="541" t="s">
        <v>894</v>
      </c>
      <c r="C271" s="542" t="s">
        <v>895</v>
      </c>
      <c r="D271" s="397"/>
      <c r="E271" s="397"/>
      <c r="F271" s="397"/>
      <c r="G271" s="397"/>
      <c r="H271" s="397"/>
      <c r="I271" s="397"/>
      <c r="J271" s="397"/>
      <c r="K271" s="397"/>
      <c r="L271" s="397"/>
      <c r="M271" s="397"/>
      <c r="N271" s="397"/>
      <c r="O271" s="397"/>
      <c r="P271" s="398"/>
      <c r="Q271" s="186"/>
      <c r="R271" s="186"/>
      <c r="S271" s="186"/>
      <c r="T271" s="186"/>
      <c r="U271" s="186"/>
      <c r="V271" s="186"/>
      <c r="W271" s="186"/>
      <c r="X271" s="186"/>
      <c r="Y271" s="186"/>
      <c r="Z271" s="186"/>
      <c r="AA271" s="186"/>
      <c r="AB271" s="186"/>
      <c r="AC271" s="186">
        <v>0</v>
      </c>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86"/>
      <c r="BJ271" s="186"/>
      <c r="BK271" s="186"/>
      <c r="BL271" s="186"/>
      <c r="BM271" s="186"/>
      <c r="BN271" s="186"/>
      <c r="BO271" s="186"/>
      <c r="BP271" s="186"/>
      <c r="BQ271" s="186"/>
      <c r="BR271" s="186"/>
      <c r="BS271" s="186"/>
      <c r="BT271" s="186"/>
      <c r="BU271" s="186"/>
      <c r="BV271" s="186"/>
      <c r="BW271" s="186"/>
      <c r="BX271" s="186"/>
      <c r="BY271" s="186"/>
      <c r="BZ271" s="186"/>
      <c r="CA271" s="186"/>
      <c r="CB271" s="186"/>
      <c r="CC271" s="186"/>
      <c r="CD271" s="186"/>
      <c r="CE271" s="186"/>
      <c r="CF271" s="186"/>
      <c r="CG271" s="186"/>
      <c r="CH271" s="186"/>
      <c r="CI271" s="186"/>
      <c r="CJ271" s="186"/>
      <c r="CK271" s="186"/>
      <c r="CL271" s="186"/>
      <c r="CM271" s="186"/>
      <c r="CN271" s="186"/>
      <c r="CO271" s="186"/>
      <c r="CP271" s="186"/>
      <c r="CQ271" s="186"/>
      <c r="CR271" s="186"/>
      <c r="CS271" s="186"/>
      <c r="CT271" s="186"/>
      <c r="CU271" s="186"/>
      <c r="CV271" s="186"/>
    </row>
    <row r="272" spans="1:100">
      <c r="A272" s="541" t="str">
        <f t="shared" si="3"/>
        <v>2380720</v>
      </c>
      <c r="B272" s="541" t="s">
        <v>1663</v>
      </c>
      <c r="C272" s="463" t="s">
        <v>794</v>
      </c>
      <c r="D272" s="397">
        <v>0</v>
      </c>
      <c r="E272" s="397">
        <v>-7357286.6799999997</v>
      </c>
      <c r="F272" s="397">
        <v>0</v>
      </c>
      <c r="G272" s="397">
        <v>0</v>
      </c>
      <c r="H272" s="397">
        <v>-11948603.68</v>
      </c>
      <c r="I272" s="397">
        <v>0</v>
      </c>
      <c r="J272" s="397">
        <v>0</v>
      </c>
      <c r="K272" s="397">
        <v>-9971893.4700000007</v>
      </c>
      <c r="L272" s="397">
        <v>0</v>
      </c>
      <c r="M272" s="397">
        <v>0</v>
      </c>
      <c r="N272" s="397">
        <v>-5874136.4699999997</v>
      </c>
      <c r="O272" s="397">
        <v>0</v>
      </c>
      <c r="P272" s="398">
        <v>0</v>
      </c>
      <c r="Q272" s="186">
        <v>0</v>
      </c>
      <c r="R272" s="186">
        <v>-6579361.9699999997</v>
      </c>
      <c r="S272" s="186">
        <v>0</v>
      </c>
      <c r="T272" s="186">
        <v>-14236193.27</v>
      </c>
      <c r="U272" s="186">
        <v>0</v>
      </c>
      <c r="V272" s="186">
        <v>0</v>
      </c>
      <c r="W272" s="186">
        <v>-8836348.5500000007</v>
      </c>
      <c r="X272" s="186">
        <v>0</v>
      </c>
      <c r="Y272" s="186">
        <v>0</v>
      </c>
      <c r="Z272" s="186">
        <v>0</v>
      </c>
      <c r="AA272" s="186">
        <v>0</v>
      </c>
      <c r="AB272" s="186">
        <v>0</v>
      </c>
      <c r="AC272" s="186">
        <v>0</v>
      </c>
      <c r="AD272" s="186">
        <v>0</v>
      </c>
      <c r="AE272" s="186">
        <v>0</v>
      </c>
      <c r="AF272" s="186">
        <v>0</v>
      </c>
      <c r="AG272" s="186">
        <v>0</v>
      </c>
      <c r="AH272" s="186">
        <v>0</v>
      </c>
      <c r="AI272" s="186">
        <v>0</v>
      </c>
      <c r="AJ272" s="186">
        <v>0</v>
      </c>
      <c r="AK272" s="186">
        <v>0</v>
      </c>
      <c r="AL272" s="186">
        <v>0</v>
      </c>
      <c r="AM272" s="186">
        <v>0</v>
      </c>
      <c r="AN272" s="186">
        <v>0</v>
      </c>
      <c r="AO272" s="186">
        <v>0</v>
      </c>
      <c r="AP272" s="186">
        <v>0</v>
      </c>
      <c r="AQ272" s="186">
        <v>0</v>
      </c>
      <c r="AR272" s="186">
        <v>0</v>
      </c>
      <c r="AS272" s="186">
        <v>0</v>
      </c>
      <c r="AT272" s="186">
        <v>0</v>
      </c>
      <c r="AU272" s="186">
        <v>0</v>
      </c>
      <c r="AV272" s="186">
        <v>0</v>
      </c>
      <c r="AW272" s="186">
        <v>0</v>
      </c>
      <c r="AX272" s="186">
        <v>0</v>
      </c>
      <c r="AY272" s="186">
        <v>0</v>
      </c>
      <c r="AZ272" s="186">
        <v>0</v>
      </c>
      <c r="BA272" s="186">
        <v>0</v>
      </c>
      <c r="BB272" s="186">
        <v>0</v>
      </c>
      <c r="BC272" s="186">
        <v>0</v>
      </c>
      <c r="BD272" s="186">
        <v>0</v>
      </c>
      <c r="BE272" s="186">
        <v>-15456143.34</v>
      </c>
      <c r="BF272" s="186">
        <v>0</v>
      </c>
      <c r="BG272" s="186">
        <v>0</v>
      </c>
      <c r="BH272" s="186">
        <v>0</v>
      </c>
      <c r="BI272" s="186">
        <v>0</v>
      </c>
      <c r="BJ272" s="186">
        <v>0</v>
      </c>
      <c r="BK272" s="186">
        <v>0</v>
      </c>
      <c r="BL272" s="186">
        <v>0</v>
      </c>
      <c r="BM272" s="186">
        <v>0</v>
      </c>
      <c r="BN272" s="186">
        <v>0</v>
      </c>
      <c r="BO272" s="186">
        <v>0</v>
      </c>
      <c r="BP272" s="186">
        <v>0</v>
      </c>
      <c r="BQ272" s="186">
        <v>0</v>
      </c>
      <c r="BR272" s="186">
        <v>0</v>
      </c>
      <c r="BS272" s="186">
        <v>0</v>
      </c>
      <c r="BT272" s="186">
        <v>0</v>
      </c>
      <c r="BU272" s="186">
        <v>0</v>
      </c>
      <c r="BV272" s="186">
        <v>0</v>
      </c>
      <c r="BW272" s="186">
        <v>0</v>
      </c>
      <c r="BX272" s="186">
        <v>0</v>
      </c>
      <c r="BY272" s="186">
        <v>0</v>
      </c>
      <c r="BZ272" s="186">
        <v>0</v>
      </c>
      <c r="CA272" s="186">
        <v>0</v>
      </c>
      <c r="CB272" s="186">
        <v>0</v>
      </c>
      <c r="CC272" s="186">
        <v>0</v>
      </c>
      <c r="CD272" s="186">
        <v>0</v>
      </c>
      <c r="CE272" s="186">
        <v>0</v>
      </c>
      <c r="CF272" s="186">
        <v>0</v>
      </c>
      <c r="CG272" s="186">
        <v>0</v>
      </c>
      <c r="CH272" s="186">
        <v>0</v>
      </c>
      <c r="CI272" s="186">
        <v>0</v>
      </c>
      <c r="CJ272" s="186">
        <v>0</v>
      </c>
      <c r="CK272" s="186">
        <v>0</v>
      </c>
      <c r="CL272" s="186">
        <v>0</v>
      </c>
      <c r="CM272" s="186">
        <v>0</v>
      </c>
      <c r="CN272" s="186">
        <v>-27095926</v>
      </c>
      <c r="CO272" s="186">
        <v>0</v>
      </c>
      <c r="CP272" s="186">
        <v>0</v>
      </c>
      <c r="CQ272" s="186">
        <v>0</v>
      </c>
      <c r="CR272" s="186">
        <v>0</v>
      </c>
      <c r="CS272" s="186">
        <v>0</v>
      </c>
      <c r="CT272" s="186">
        <v>0</v>
      </c>
      <c r="CU272" s="186">
        <v>0</v>
      </c>
      <c r="CV272" s="186">
        <v>0</v>
      </c>
    </row>
    <row r="273" spans="1:100">
      <c r="A273" s="541" t="str">
        <f t="shared" si="3"/>
        <v>2410000</v>
      </c>
      <c r="B273" s="541" t="s">
        <v>1808</v>
      </c>
      <c r="C273" s="463" t="s">
        <v>1806</v>
      </c>
      <c r="D273" s="397"/>
      <c r="E273" s="397"/>
      <c r="F273" s="397"/>
      <c r="G273" s="397"/>
      <c r="H273" s="397"/>
      <c r="I273" s="397"/>
      <c r="J273" s="397"/>
      <c r="K273" s="397"/>
      <c r="L273" s="397"/>
      <c r="M273" s="397"/>
      <c r="N273" s="397"/>
      <c r="O273" s="397"/>
      <c r="P273" s="398"/>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v>-168314.57</v>
      </c>
      <c r="AP273" s="186">
        <v>-171951.76</v>
      </c>
      <c r="AQ273" s="186">
        <v>-163248.23000000001</v>
      </c>
      <c r="AR273" s="186">
        <v>-165616.57</v>
      </c>
      <c r="AS273" s="186">
        <v>-147292.25</v>
      </c>
      <c r="AT273" s="186">
        <v>-142846.66</v>
      </c>
      <c r="AU273" s="186">
        <v>-132652.81</v>
      </c>
      <c r="AV273" s="186">
        <v>-132880.37</v>
      </c>
      <c r="AW273" s="186">
        <v>-147507.72</v>
      </c>
      <c r="AX273" s="186">
        <v>-148372.32999999999</v>
      </c>
      <c r="AY273" s="186">
        <v>-176301.59</v>
      </c>
      <c r="AZ273" s="186">
        <v>-206709.26</v>
      </c>
      <c r="BA273" s="186">
        <v>-260773.49</v>
      </c>
      <c r="BB273" s="186">
        <v>-226971.34</v>
      </c>
      <c r="BC273" s="186">
        <v>-193726.94</v>
      </c>
      <c r="BD273" s="186">
        <v>-203810.62</v>
      </c>
      <c r="BE273" s="186">
        <v>-170174.79</v>
      </c>
      <c r="BF273" s="186">
        <v>-183684.78</v>
      </c>
      <c r="BG273" s="186">
        <v>-163278.59</v>
      </c>
      <c r="BH273" s="186">
        <v>-154735.54999999999</v>
      </c>
      <c r="BI273" s="186">
        <v>-163726.74</v>
      </c>
      <c r="BJ273" s="186">
        <v>-145895.70000000001</v>
      </c>
      <c r="BK273" s="186">
        <v>-164517.29999999999</v>
      </c>
      <c r="BL273" s="186">
        <v>-182878.03</v>
      </c>
      <c r="BM273" s="186">
        <v>-253618.02</v>
      </c>
      <c r="BN273" s="186">
        <v>-223317.9</v>
      </c>
      <c r="BO273" s="186">
        <v>-224227.29</v>
      </c>
      <c r="BP273" s="186">
        <v>-217468.6</v>
      </c>
      <c r="BQ273" s="186">
        <v>-179957.41</v>
      </c>
      <c r="BR273" s="186">
        <v>-182662.09</v>
      </c>
      <c r="BS273" s="186">
        <v>-165086.78</v>
      </c>
      <c r="BT273" s="186">
        <v>-139667.26</v>
      </c>
      <c r="BU273" s="186">
        <v>-160107.17000000001</v>
      </c>
      <c r="BV273" s="186">
        <v>-128709.69</v>
      </c>
      <c r="BW273" s="186">
        <v>-177017.73</v>
      </c>
      <c r="BX273" s="186">
        <v>-217572.58</v>
      </c>
      <c r="BY273" s="186">
        <v>-244523.54</v>
      </c>
      <c r="BZ273" s="186">
        <v>-239660.14</v>
      </c>
      <c r="CA273" s="186">
        <v>-226159.21</v>
      </c>
      <c r="CB273" s="186">
        <v>-201399.64</v>
      </c>
      <c r="CC273" s="186">
        <v>-180304.79</v>
      </c>
      <c r="CD273" s="186">
        <v>-97020.479999999996</v>
      </c>
      <c r="CE273" s="186">
        <v>-154364.32</v>
      </c>
      <c r="CF273" s="186">
        <v>-138434.73000000001</v>
      </c>
      <c r="CG273" s="186">
        <v>-122016.18</v>
      </c>
      <c r="CH273" s="186">
        <v>-154882.34</v>
      </c>
      <c r="CI273" s="186">
        <v>-187704.98</v>
      </c>
      <c r="CJ273" s="186">
        <v>-195262.16</v>
      </c>
      <c r="CK273" s="186">
        <v>-307483.71000000002</v>
      </c>
      <c r="CL273" s="186">
        <v>-283327.83</v>
      </c>
      <c r="CM273" s="186">
        <v>-287392</v>
      </c>
      <c r="CN273" s="186">
        <v>-296618.06</v>
      </c>
      <c r="CO273" s="186">
        <v>-233549.36</v>
      </c>
      <c r="CP273" s="186">
        <v>-236915.85</v>
      </c>
      <c r="CQ273" s="186">
        <v>-244282.81</v>
      </c>
      <c r="CR273" s="186">
        <v>-226126.66</v>
      </c>
      <c r="CS273" s="186">
        <v>-275230.69</v>
      </c>
      <c r="CT273" s="186">
        <v>-218769.31</v>
      </c>
      <c r="CU273" s="186">
        <v>-252449.51</v>
      </c>
      <c r="CV273" s="186">
        <v>-304771.88</v>
      </c>
    </row>
    <row r="274" spans="1:100">
      <c r="A274" s="541" t="str">
        <f t="shared" si="3"/>
        <v>2410005</v>
      </c>
      <c r="B274" s="541" t="s">
        <v>1809</v>
      </c>
      <c r="C274" s="463" t="s">
        <v>1807</v>
      </c>
      <c r="D274" s="397"/>
      <c r="E274" s="397"/>
      <c r="F274" s="397"/>
      <c r="G274" s="397"/>
      <c r="H274" s="397"/>
      <c r="I274" s="397"/>
      <c r="J274" s="397"/>
      <c r="K274" s="397"/>
      <c r="L274" s="397"/>
      <c r="M274" s="397"/>
      <c r="N274" s="397"/>
      <c r="O274" s="397"/>
      <c r="P274" s="398"/>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v>-19844.009999999998</v>
      </c>
      <c r="AP274" s="186">
        <v>-20029.97</v>
      </c>
      <c r="AQ274" s="186">
        <v>-19443.93</v>
      </c>
      <c r="AR274" s="186">
        <v>-19125.689999999999</v>
      </c>
      <c r="AS274" s="186">
        <v>-18313.5</v>
      </c>
      <c r="AT274" s="186">
        <v>-16942.849999999999</v>
      </c>
      <c r="AU274" s="186">
        <v>-15653.96</v>
      </c>
      <c r="AV274" s="186">
        <v>-15111.77</v>
      </c>
      <c r="AW274" s="186">
        <v>-17277.03</v>
      </c>
      <c r="AX274" s="186">
        <v>-17290.93</v>
      </c>
      <c r="AY274" s="186">
        <v>-18709.61</v>
      </c>
      <c r="AZ274" s="186">
        <v>-25030.93</v>
      </c>
      <c r="BA274" s="186">
        <v>-28965.759999999998</v>
      </c>
      <c r="BB274" s="186">
        <v>-27202.69</v>
      </c>
      <c r="BC274" s="186">
        <v>-22671.68</v>
      </c>
      <c r="BD274" s="186">
        <v>-23589.77</v>
      </c>
      <c r="BE274" s="186">
        <v>-20792.96</v>
      </c>
      <c r="BF274" s="186">
        <v>-20307.59</v>
      </c>
      <c r="BG274" s="186">
        <v>-18996.009999999998</v>
      </c>
      <c r="BH274" s="186">
        <v>-18267.73</v>
      </c>
      <c r="BI274" s="186">
        <v>-19755.48</v>
      </c>
      <c r="BJ274" s="186">
        <v>-17389.3</v>
      </c>
      <c r="BK274" s="186">
        <v>-18633.79</v>
      </c>
      <c r="BL274" s="186">
        <v>-21912.99</v>
      </c>
      <c r="BM274" s="186">
        <v>-32961.339999999997</v>
      </c>
      <c r="BN274" s="186">
        <v>-36675.64</v>
      </c>
      <c r="BO274" s="186">
        <v>-35101.14</v>
      </c>
      <c r="BP274" s="186">
        <v>-36430.230000000003</v>
      </c>
      <c r="BQ274" s="186">
        <v>-33594.33</v>
      </c>
      <c r="BR274" s="186">
        <v>-31748.3</v>
      </c>
      <c r="BS274" s="186">
        <v>-28405.040000000001</v>
      </c>
      <c r="BT274" s="186">
        <v>-26495.040000000001</v>
      </c>
      <c r="BU274" s="186">
        <v>-29105.89</v>
      </c>
      <c r="BV274" s="186">
        <v>-27767.98</v>
      </c>
      <c r="BW274" s="186">
        <v>-31057.54</v>
      </c>
      <c r="BX274" s="186">
        <v>-37295.379999999997</v>
      </c>
      <c r="BY274" s="186">
        <v>-39390.39</v>
      </c>
      <c r="BZ274" s="186">
        <v>-37526.46</v>
      </c>
      <c r="CA274" s="186">
        <v>-34791.42</v>
      </c>
      <c r="CB274" s="186">
        <v>-25007.32</v>
      </c>
      <c r="CC274" s="186">
        <v>-21738.98</v>
      </c>
      <c r="CD274" s="186">
        <v>-25592.09</v>
      </c>
      <c r="CE274" s="186">
        <v>-25564.05</v>
      </c>
      <c r="CF274" s="186">
        <v>-26416.23</v>
      </c>
      <c r="CG274" s="186">
        <v>-26151.85</v>
      </c>
      <c r="CH274" s="186">
        <v>-27892.04</v>
      </c>
      <c r="CI274" s="186">
        <v>-33275.96</v>
      </c>
      <c r="CJ274" s="186">
        <v>-36909.29</v>
      </c>
      <c r="CK274" s="186">
        <v>-50530.31</v>
      </c>
      <c r="CL274" s="186">
        <v>-48241.22</v>
      </c>
      <c r="CM274" s="186">
        <v>-47258.95</v>
      </c>
      <c r="CN274" s="186">
        <v>-44107.13</v>
      </c>
      <c r="CO274" s="186">
        <v>-40231.919999999998</v>
      </c>
      <c r="CP274" s="186">
        <v>-37392.339999999997</v>
      </c>
      <c r="CQ274" s="186">
        <v>-39802.69</v>
      </c>
      <c r="CR274" s="186">
        <v>-37509.160000000003</v>
      </c>
      <c r="CS274" s="186">
        <v>-38830.21</v>
      </c>
      <c r="CT274" s="186">
        <v>-36818.86</v>
      </c>
      <c r="CU274" s="186">
        <v>-39728.519999999997</v>
      </c>
      <c r="CV274" s="186">
        <v>-46833.32</v>
      </c>
    </row>
    <row r="275" spans="1:100">
      <c r="A275" s="541" t="str">
        <f t="shared" si="3"/>
        <v>2410300</v>
      </c>
      <c r="B275" s="541" t="s">
        <v>1664</v>
      </c>
      <c r="C275" s="463" t="s">
        <v>795</v>
      </c>
      <c r="D275" s="397">
        <v>-69907.19</v>
      </c>
      <c r="E275" s="397">
        <v>-156548.42000000001</v>
      </c>
      <c r="F275" s="397">
        <v>-150854.56</v>
      </c>
      <c r="G275" s="397">
        <v>-114202.8</v>
      </c>
      <c r="H275" s="397">
        <v>-74791.25</v>
      </c>
      <c r="I275" s="397">
        <v>-79891.820000000007</v>
      </c>
      <c r="J275" s="397">
        <v>-78038.179999999993</v>
      </c>
      <c r="K275" s="397">
        <v>-97653.46</v>
      </c>
      <c r="L275" s="397">
        <v>-62799.38</v>
      </c>
      <c r="M275" s="397">
        <v>-71085.62</v>
      </c>
      <c r="N275" s="397">
        <v>-89830.31</v>
      </c>
      <c r="O275" s="397">
        <v>-68679.039999999994</v>
      </c>
      <c r="P275" s="398">
        <v>-96949.88</v>
      </c>
      <c r="Q275" s="186">
        <v>-156303.9</v>
      </c>
      <c r="R275" s="186">
        <v>-129811.69</v>
      </c>
      <c r="S275" s="186">
        <v>-119378.06</v>
      </c>
      <c r="T275" s="186">
        <v>-76758.02</v>
      </c>
      <c r="U275" s="186">
        <v>-57473.67</v>
      </c>
      <c r="V275" s="186">
        <v>-91045.61</v>
      </c>
      <c r="W275" s="186">
        <v>-69265.789999999994</v>
      </c>
      <c r="X275" s="186">
        <v>-65242.49</v>
      </c>
      <c r="Y275" s="186">
        <v>-49779.03</v>
      </c>
      <c r="Z275" s="186">
        <v>-46604.5</v>
      </c>
      <c r="AA275" s="186">
        <v>-58486.25</v>
      </c>
      <c r="AB275" s="186">
        <v>-133482.54</v>
      </c>
      <c r="AC275" s="186">
        <v>-121541.71</v>
      </c>
      <c r="AD275" s="186">
        <v>-126079.29</v>
      </c>
      <c r="AE275" s="186">
        <v>-112713.57</v>
      </c>
      <c r="AF275" s="186">
        <v>-118897.95</v>
      </c>
      <c r="AG275" s="186">
        <v>-70837.72</v>
      </c>
      <c r="AH275" s="186">
        <v>-51725.64</v>
      </c>
      <c r="AI275" s="186">
        <v>-53249.04</v>
      </c>
      <c r="AJ275" s="186">
        <v>-44253.51</v>
      </c>
      <c r="AK275" s="186">
        <v>-44467.360000000001</v>
      </c>
      <c r="AL275" s="186">
        <v>-54250.16</v>
      </c>
      <c r="AM275" s="186">
        <v>-57650.68</v>
      </c>
      <c r="AN275" s="186">
        <v>-92656.08</v>
      </c>
      <c r="AO275" s="186">
        <v>96196.49</v>
      </c>
      <c r="AP275" s="186">
        <v>89470.8</v>
      </c>
      <c r="AQ275" s="186">
        <v>93405.08</v>
      </c>
      <c r="AR275" s="186">
        <v>89557.14</v>
      </c>
      <c r="AS275" s="186">
        <v>86139.5</v>
      </c>
      <c r="AT275" s="186">
        <v>95076.03</v>
      </c>
      <c r="AU275" s="186">
        <v>96267.65</v>
      </c>
      <c r="AV275" s="186">
        <v>87177.43</v>
      </c>
      <c r="AW275" s="186">
        <v>92491.199999999997</v>
      </c>
      <c r="AX275" s="186">
        <v>81418.8</v>
      </c>
      <c r="AY275" s="186">
        <v>85182.69</v>
      </c>
      <c r="AZ275" s="186">
        <v>92433.67</v>
      </c>
      <c r="BA275" s="186">
        <v>94052.75</v>
      </c>
      <c r="BB275" s="186">
        <v>85958.14</v>
      </c>
      <c r="BC275" s="186">
        <v>37810.93</v>
      </c>
      <c r="BD275" s="186">
        <v>98073.21</v>
      </c>
      <c r="BE275" s="186">
        <v>91420.11</v>
      </c>
      <c r="BF275" s="186">
        <v>65386.52</v>
      </c>
      <c r="BG275" s="186">
        <v>97470.9</v>
      </c>
      <c r="BH275" s="186">
        <v>66591.66</v>
      </c>
      <c r="BI275" s="186">
        <v>130587.97</v>
      </c>
      <c r="BJ275" s="186">
        <v>97343.72</v>
      </c>
      <c r="BK275" s="186">
        <v>98487.43</v>
      </c>
      <c r="BL275" s="186">
        <v>81339.539999999994</v>
      </c>
      <c r="BM275" s="186">
        <v>106153.02</v>
      </c>
      <c r="BN275" s="186">
        <v>100386.3</v>
      </c>
      <c r="BO275" s="186">
        <v>111300.77</v>
      </c>
      <c r="BP275" s="186">
        <v>115828.87</v>
      </c>
      <c r="BQ275" s="186">
        <v>110736.96000000001</v>
      </c>
      <c r="BR275" s="186">
        <v>92758.8</v>
      </c>
      <c r="BS275" s="186">
        <v>97976.78</v>
      </c>
      <c r="BT275" s="186">
        <v>106357.28</v>
      </c>
      <c r="BU275" s="186">
        <v>113235.44</v>
      </c>
      <c r="BV275" s="186">
        <v>102450.15</v>
      </c>
      <c r="BW275" s="186">
        <v>119725.72</v>
      </c>
      <c r="BX275" s="186">
        <v>107837.63</v>
      </c>
      <c r="BY275" s="186">
        <v>116928.46</v>
      </c>
      <c r="BZ275" s="186">
        <v>116913.24</v>
      </c>
      <c r="CA275" s="186">
        <v>114302.61</v>
      </c>
      <c r="CB275" s="186">
        <v>119017.74</v>
      </c>
      <c r="CC275" s="186">
        <v>111763.21</v>
      </c>
      <c r="CD275" s="186">
        <v>116028.57</v>
      </c>
      <c r="CE275" s="186">
        <v>118333.16</v>
      </c>
      <c r="CF275" s="186">
        <v>118425.74</v>
      </c>
      <c r="CG275" s="186">
        <v>117826.02</v>
      </c>
      <c r="CH275" s="186">
        <v>117096.31</v>
      </c>
      <c r="CI275" s="186">
        <v>119213.88</v>
      </c>
      <c r="CJ275" s="186">
        <v>118208.71</v>
      </c>
      <c r="CK275" s="186">
        <v>104766.53</v>
      </c>
      <c r="CL275" s="186">
        <v>103422.08</v>
      </c>
      <c r="CM275" s="186">
        <v>109351.06</v>
      </c>
      <c r="CN275" s="186">
        <v>107445.77</v>
      </c>
      <c r="CO275" s="186">
        <v>100384.1</v>
      </c>
      <c r="CP275" s="186">
        <v>106951.61</v>
      </c>
      <c r="CQ275" s="186">
        <v>108243.06</v>
      </c>
      <c r="CR275" s="186">
        <v>107194.5</v>
      </c>
      <c r="CS275" s="186">
        <v>104944.11</v>
      </c>
      <c r="CT275" s="186">
        <v>109406.43</v>
      </c>
      <c r="CU275" s="186">
        <v>109275.24</v>
      </c>
      <c r="CV275" s="186">
        <v>110528.94</v>
      </c>
    </row>
    <row r="276" spans="1:100">
      <c r="A276" s="541" t="str">
        <f t="shared" si="3"/>
        <v>2410305</v>
      </c>
      <c r="B276" s="541" t="s">
        <v>1665</v>
      </c>
      <c r="C276" s="463" t="s">
        <v>796</v>
      </c>
      <c r="D276" s="397">
        <v>-777.26</v>
      </c>
      <c r="E276" s="397">
        <v>-625.29999999999995</v>
      </c>
      <c r="F276" s="397">
        <v>-1004.13</v>
      </c>
      <c r="G276" s="397">
        <v>-840.44</v>
      </c>
      <c r="H276" s="397">
        <v>-768.4</v>
      </c>
      <c r="I276" s="397">
        <v>-1033.68</v>
      </c>
      <c r="J276" s="397">
        <v>-554.46</v>
      </c>
      <c r="K276" s="397">
        <v>-1419.25</v>
      </c>
      <c r="L276" s="397">
        <v>-769.73</v>
      </c>
      <c r="M276" s="397">
        <v>-761.53</v>
      </c>
      <c r="N276" s="397">
        <v>-1274</v>
      </c>
      <c r="O276" s="397">
        <v>-490.22</v>
      </c>
      <c r="P276" s="398">
        <v>-1117.07</v>
      </c>
      <c r="Q276" s="186">
        <v>-833.52</v>
      </c>
      <c r="R276" s="186">
        <v>-618.49</v>
      </c>
      <c r="S276" s="186">
        <v>-1029.05</v>
      </c>
      <c r="T276" s="186">
        <v>-832.95</v>
      </c>
      <c r="U276" s="186">
        <v>-593.79</v>
      </c>
      <c r="V276" s="186">
        <v>-789.58</v>
      </c>
      <c r="W276" s="186">
        <v>-1151.5899999999999</v>
      </c>
      <c r="X276" s="186">
        <v>-452.7</v>
      </c>
      <c r="Y276" s="186">
        <v>-940.21</v>
      </c>
      <c r="Z276" s="186">
        <v>-976.8</v>
      </c>
      <c r="AA276" s="186">
        <v>-885.75</v>
      </c>
      <c r="AB276" s="186">
        <v>-2072.61</v>
      </c>
      <c r="AC276" s="186">
        <v>-913.75</v>
      </c>
      <c r="AD276" s="186">
        <v>-685.75</v>
      </c>
      <c r="AE276" s="186">
        <v>-1576.18</v>
      </c>
      <c r="AF276" s="186">
        <v>-1820.99</v>
      </c>
      <c r="AG276" s="186">
        <v>-667.48</v>
      </c>
      <c r="AH276" s="186">
        <v>-1555.43</v>
      </c>
      <c r="AI276" s="186">
        <v>-773.77</v>
      </c>
      <c r="AJ276" s="186">
        <v>-1080.1500000000001</v>
      </c>
      <c r="AK276" s="186">
        <v>-1583.04</v>
      </c>
      <c r="AL276" s="186">
        <v>-2612.29</v>
      </c>
      <c r="AM276" s="186">
        <v>-1972.28</v>
      </c>
      <c r="AN276" s="186">
        <v>-3015.72</v>
      </c>
      <c r="AO276" s="186">
        <v>-637.22</v>
      </c>
      <c r="AP276" s="186">
        <v>-1893.27</v>
      </c>
      <c r="AQ276" s="186">
        <v>-1203.74</v>
      </c>
      <c r="AR276" s="186">
        <v>-1257.3399999999999</v>
      </c>
      <c r="AS276" s="186">
        <v>-2418.12</v>
      </c>
      <c r="AT276" s="186">
        <v>-1041.5999999999999</v>
      </c>
      <c r="AU276" s="186">
        <v>-908.12</v>
      </c>
      <c r="AV276" s="186">
        <v>-1109.1099999999999</v>
      </c>
      <c r="AW276" s="186">
        <v>-1228.4100000000001</v>
      </c>
      <c r="AX276" s="186">
        <v>-1612.83</v>
      </c>
      <c r="AY276" s="186">
        <v>-1028.56</v>
      </c>
      <c r="AZ276" s="186">
        <v>-1321.9</v>
      </c>
      <c r="BA276" s="186">
        <v>-915.21</v>
      </c>
      <c r="BB276" s="186">
        <v>-739.03</v>
      </c>
      <c r="BC276" s="186">
        <v>-1065.3599999999999</v>
      </c>
      <c r="BD276" s="186">
        <v>-493.35</v>
      </c>
      <c r="BE276" s="186">
        <v>-1441</v>
      </c>
      <c r="BF276" s="186">
        <v>-1408.6</v>
      </c>
      <c r="BG276" s="186">
        <v>-618.16</v>
      </c>
      <c r="BH276" s="186">
        <v>-849.03</v>
      </c>
      <c r="BI276" s="186">
        <v>-501.88</v>
      </c>
      <c r="BJ276" s="186">
        <v>-303.74</v>
      </c>
      <c r="BK276" s="186">
        <v>-507.97</v>
      </c>
      <c r="BL276" s="186">
        <v>-1744.34</v>
      </c>
      <c r="BM276" s="186">
        <v>-1507.29</v>
      </c>
      <c r="BN276" s="186">
        <v>-1827.45</v>
      </c>
      <c r="BO276" s="186">
        <v>-1133.6500000000001</v>
      </c>
      <c r="BP276" s="186">
        <v>-720.05</v>
      </c>
      <c r="BQ276" s="186">
        <v>-1555.92</v>
      </c>
      <c r="BR276" s="186">
        <v>-2024.93</v>
      </c>
      <c r="BS276" s="186">
        <v>-1589.92</v>
      </c>
      <c r="BT276" s="186">
        <v>-2756.45</v>
      </c>
      <c r="BU276" s="186">
        <v>-1181.1300000000001</v>
      </c>
      <c r="BV276" s="186">
        <v>-2836.98</v>
      </c>
      <c r="BW276" s="186">
        <v>-942.23</v>
      </c>
      <c r="BX276" s="186">
        <v>-2045.61</v>
      </c>
      <c r="BY276" s="186">
        <v>-672.7</v>
      </c>
      <c r="BZ276" s="186">
        <v>-1041.8</v>
      </c>
      <c r="CA276" s="186">
        <v>-1909.29</v>
      </c>
      <c r="CB276" s="186">
        <v>-281.52999999999997</v>
      </c>
      <c r="CC276" s="186">
        <v>-1442.17</v>
      </c>
      <c r="CD276" s="186">
        <v>-871.98</v>
      </c>
      <c r="CE276" s="186">
        <v>-509.92</v>
      </c>
      <c r="CF276" s="186">
        <v>-400.69</v>
      </c>
      <c r="CG276" s="186">
        <v>-611.38</v>
      </c>
      <c r="CH276" s="186">
        <v>-484.04</v>
      </c>
      <c r="CI276" s="186">
        <v>-103.4</v>
      </c>
      <c r="CJ276" s="186">
        <v>-476.48</v>
      </c>
      <c r="CK276" s="186">
        <v>-1223.51</v>
      </c>
      <c r="CL276" s="186">
        <v>-1298.33</v>
      </c>
      <c r="CM276" s="186">
        <v>-94.17</v>
      </c>
      <c r="CN276" s="186">
        <v>-567.76</v>
      </c>
      <c r="CO276" s="186">
        <v>-1713.04</v>
      </c>
      <c r="CP276" s="186">
        <v>-340.73</v>
      </c>
      <c r="CQ276" s="186">
        <v>-332.99</v>
      </c>
      <c r="CR276" s="186">
        <v>-535.25</v>
      </c>
      <c r="CS276" s="186">
        <v>-1028.44</v>
      </c>
      <c r="CT276" s="186">
        <v>-190.28</v>
      </c>
      <c r="CU276" s="186">
        <v>-236.66</v>
      </c>
      <c r="CV276" s="186">
        <v>-52.54</v>
      </c>
    </row>
    <row r="277" spans="1:100">
      <c r="A277" s="541" t="str">
        <f t="shared" si="3"/>
        <v>2410310</v>
      </c>
      <c r="B277" s="541" t="s">
        <v>1666</v>
      </c>
      <c r="C277" s="463" t="s">
        <v>797</v>
      </c>
      <c r="D277" s="397">
        <v>-542392.98</v>
      </c>
      <c r="E277" s="397">
        <v>-678199.9</v>
      </c>
      <c r="F277" s="397">
        <v>-704640.93</v>
      </c>
      <c r="G277" s="397">
        <v>-606297.94999999995</v>
      </c>
      <c r="H277" s="397">
        <v>-567480.93000000005</v>
      </c>
      <c r="I277" s="397">
        <v>-507300.9</v>
      </c>
      <c r="J277" s="397">
        <v>-491443.08</v>
      </c>
      <c r="K277" s="397">
        <v>-474832.81</v>
      </c>
      <c r="L277" s="397">
        <v>-456317.76</v>
      </c>
      <c r="M277" s="397">
        <v>-469837.61</v>
      </c>
      <c r="N277" s="397">
        <v>-473737.69</v>
      </c>
      <c r="O277" s="397">
        <v>-512637.74</v>
      </c>
      <c r="P277" s="398">
        <v>-605889.87</v>
      </c>
      <c r="Q277" s="186">
        <v>-663021.87</v>
      </c>
      <c r="R277" s="186">
        <v>-689491.17</v>
      </c>
      <c r="S277" s="186">
        <v>-655810.24</v>
      </c>
      <c r="T277" s="186">
        <v>-547773.07999999996</v>
      </c>
      <c r="U277" s="186">
        <v>-489320.45</v>
      </c>
      <c r="V277" s="186">
        <v>-496516.37</v>
      </c>
      <c r="W277" s="186">
        <v>-474977.78</v>
      </c>
      <c r="X277" s="186">
        <v>-475418.74</v>
      </c>
      <c r="Y277" s="186">
        <v>-469884.61</v>
      </c>
      <c r="Z277" s="186">
        <v>-474953.31</v>
      </c>
      <c r="AA277" s="186">
        <v>-503945.4</v>
      </c>
      <c r="AB277" s="186">
        <v>-536871.6</v>
      </c>
      <c r="AC277" s="186">
        <v>-620992.07999999996</v>
      </c>
      <c r="AD277" s="186">
        <v>-679960.58</v>
      </c>
      <c r="AE277" s="186">
        <v>-610971.85</v>
      </c>
      <c r="AF277" s="186">
        <v>-557247.1</v>
      </c>
      <c r="AG277" s="186">
        <v>-510814.34</v>
      </c>
      <c r="AH277" s="186">
        <v>-482258.93</v>
      </c>
      <c r="AI277" s="186">
        <v>-456056.77</v>
      </c>
      <c r="AJ277" s="186">
        <v>-452052.07</v>
      </c>
      <c r="AK277" s="186">
        <v>-458733.97</v>
      </c>
      <c r="AL277" s="186">
        <v>-457940.38</v>
      </c>
      <c r="AM277" s="186">
        <v>-492684.15</v>
      </c>
      <c r="AN277" s="186">
        <v>-553755.96</v>
      </c>
      <c r="AO277" s="186">
        <v>-609008.6</v>
      </c>
      <c r="AP277" s="186">
        <v>-599429.57999999996</v>
      </c>
      <c r="AQ277" s="186">
        <v>-570708.52</v>
      </c>
      <c r="AR277" s="186">
        <v>-561722.52</v>
      </c>
      <c r="AS277" s="186">
        <v>-531060.26</v>
      </c>
      <c r="AT277" s="186">
        <v>-495334.31</v>
      </c>
      <c r="AU277" s="186">
        <v>-472143.13</v>
      </c>
      <c r="AV277" s="186">
        <v>-474544.38</v>
      </c>
      <c r="AW277" s="186">
        <v>-478934.95</v>
      </c>
      <c r="AX277" s="186">
        <v>-480143.37</v>
      </c>
      <c r="AY277" s="186">
        <v>-520964.91</v>
      </c>
      <c r="AZ277" s="186">
        <v>-586685.89</v>
      </c>
      <c r="BA277" s="186">
        <v>-772605.89</v>
      </c>
      <c r="BB277" s="186">
        <v>-712404.27</v>
      </c>
      <c r="BC277" s="186">
        <v>-611026.55000000005</v>
      </c>
      <c r="BD277" s="186">
        <v>-619917.13</v>
      </c>
      <c r="BE277" s="186">
        <v>-551982.21</v>
      </c>
      <c r="BF277" s="186">
        <v>-554212.87</v>
      </c>
      <c r="BG277" s="186">
        <v>-514523.65</v>
      </c>
      <c r="BH277" s="186">
        <v>-490971.46</v>
      </c>
      <c r="BI277" s="186">
        <v>-512414.34</v>
      </c>
      <c r="BJ277" s="186">
        <v>-497637.84</v>
      </c>
      <c r="BK277" s="186">
        <v>-515649.91</v>
      </c>
      <c r="BL277" s="186">
        <v>-636824.75</v>
      </c>
      <c r="BM277" s="186">
        <v>-700557.82</v>
      </c>
      <c r="BN277" s="186">
        <v>-706111.81</v>
      </c>
      <c r="BO277" s="186">
        <v>-618934.13</v>
      </c>
      <c r="BP277" s="186">
        <v>-663539.47</v>
      </c>
      <c r="BQ277" s="186">
        <v>-550794.46</v>
      </c>
      <c r="BR277" s="186">
        <v>-474301.13</v>
      </c>
      <c r="BS277" s="186">
        <v>-418580.15</v>
      </c>
      <c r="BT277" s="186">
        <v>-457468.46</v>
      </c>
      <c r="BU277" s="186">
        <v>-386761.47</v>
      </c>
      <c r="BV277" s="186">
        <v>-432930.49</v>
      </c>
      <c r="BW277" s="186">
        <v>-501740.18</v>
      </c>
      <c r="BX277" s="186">
        <v>-678622.24</v>
      </c>
      <c r="BY277" s="186">
        <v>-698280.48</v>
      </c>
      <c r="BZ277" s="186">
        <v>-693121.89</v>
      </c>
      <c r="CA277" s="186">
        <v>-671310.8</v>
      </c>
      <c r="CB277" s="186">
        <v>-614010.65</v>
      </c>
      <c r="CC277" s="186">
        <v>-581147.82999999996</v>
      </c>
      <c r="CD277" s="186">
        <v>-542762.18000000005</v>
      </c>
      <c r="CE277" s="186">
        <v>-534973.47</v>
      </c>
      <c r="CF277" s="186">
        <v>-533139.57999999996</v>
      </c>
      <c r="CG277" s="186">
        <v>-505920.02</v>
      </c>
      <c r="CH277" s="186">
        <v>-511080.81</v>
      </c>
      <c r="CI277" s="186">
        <v>-568805.32999999996</v>
      </c>
      <c r="CJ277" s="186">
        <v>-650483.44999999995</v>
      </c>
      <c r="CK277" s="186">
        <v>-894971.47</v>
      </c>
      <c r="CL277" s="186">
        <v>-938242.02</v>
      </c>
      <c r="CM277" s="186">
        <v>-781279.02</v>
      </c>
      <c r="CN277" s="186">
        <v>-779951.15</v>
      </c>
      <c r="CO277" s="186">
        <v>-703198.35</v>
      </c>
      <c r="CP277" s="186">
        <v>-670080.13</v>
      </c>
      <c r="CQ277" s="186">
        <v>-661277.42000000004</v>
      </c>
      <c r="CR277" s="186">
        <v>-641864.15</v>
      </c>
      <c r="CS277" s="186">
        <v>-664611.75</v>
      </c>
      <c r="CT277" s="186">
        <v>-640175.91</v>
      </c>
      <c r="CU277" s="186">
        <v>-706933.98</v>
      </c>
      <c r="CV277" s="186">
        <v>-813263.62</v>
      </c>
    </row>
    <row r="278" spans="1:100">
      <c r="A278" s="541" t="str">
        <f t="shared" si="3"/>
        <v>2410320</v>
      </c>
      <c r="B278" s="541" t="s">
        <v>1667</v>
      </c>
      <c r="C278" s="463" t="s">
        <v>798</v>
      </c>
      <c r="D278" s="397">
        <v>-89.55</v>
      </c>
      <c r="E278" s="397">
        <v>-239732.56</v>
      </c>
      <c r="F278" s="397">
        <v>-89.55</v>
      </c>
      <c r="G278" s="397">
        <v>-89.55</v>
      </c>
      <c r="H278" s="397">
        <v>-89.55</v>
      </c>
      <c r="I278" s="397">
        <v>-89.55</v>
      </c>
      <c r="J278" s="397">
        <v>-89.55</v>
      </c>
      <c r="K278" s="397">
        <v>-89.55</v>
      </c>
      <c r="L278" s="397">
        <v>-89.55</v>
      </c>
      <c r="M278" s="397">
        <v>-89.55</v>
      </c>
      <c r="N278" s="397">
        <v>-89.55</v>
      </c>
      <c r="O278" s="397">
        <v>-89.55</v>
      </c>
      <c r="P278" s="398">
        <v>-89.55</v>
      </c>
      <c r="Q278" s="186">
        <v>-89.55</v>
      </c>
      <c r="R278" s="186">
        <v>-89.55</v>
      </c>
      <c r="S278" s="186">
        <v>-89.55</v>
      </c>
      <c r="T278" s="186">
        <v>-95838.02</v>
      </c>
      <c r="U278" s="186">
        <v>-90430.6</v>
      </c>
      <c r="V278" s="186">
        <v>-89.55</v>
      </c>
      <c r="W278" s="186">
        <v>-89.55</v>
      </c>
      <c r="X278" s="186">
        <v>-89.55</v>
      </c>
      <c r="Y278" s="186">
        <v>-89.55</v>
      </c>
      <c r="Z278" s="186">
        <v>-89.55</v>
      </c>
      <c r="AA278" s="186">
        <v>-89.55</v>
      </c>
      <c r="AB278" s="186">
        <v>-89.55</v>
      </c>
      <c r="AC278" s="186">
        <v>-89.55</v>
      </c>
      <c r="AD278" s="186">
        <v>-89.55</v>
      </c>
      <c r="AE278" s="186">
        <v>-89.55</v>
      </c>
      <c r="AF278" s="186">
        <v>-89.55</v>
      </c>
      <c r="AG278" s="186">
        <v>-89.55</v>
      </c>
      <c r="AH278" s="186">
        <v>-89.55</v>
      </c>
      <c r="AI278" s="186">
        <v>-89.55</v>
      </c>
      <c r="AJ278" s="186">
        <v>-89.55</v>
      </c>
      <c r="AK278" s="186">
        <v>-89.55</v>
      </c>
      <c r="AL278" s="186">
        <v>-89.55</v>
      </c>
      <c r="AM278" s="186">
        <v>-92.99</v>
      </c>
      <c r="AN278" s="186">
        <v>-89.55</v>
      </c>
      <c r="AO278" s="186">
        <v>-89.55</v>
      </c>
      <c r="AP278" s="186">
        <v>-89.55</v>
      </c>
      <c r="AQ278" s="186">
        <v>-8024.55</v>
      </c>
      <c r="AR278" s="186">
        <v>-8024.55</v>
      </c>
      <c r="AS278" s="186">
        <v>-89.55</v>
      </c>
      <c r="AT278" s="186">
        <v>-10072.799999999999</v>
      </c>
      <c r="AU278" s="186">
        <v>-10072.799999999999</v>
      </c>
      <c r="AV278" s="186">
        <v>-119997.35</v>
      </c>
      <c r="AW278" s="186">
        <v>-10072.799999999999</v>
      </c>
      <c r="AX278" s="186">
        <v>-10072.799999999999</v>
      </c>
      <c r="AY278" s="186">
        <v>-9983.25</v>
      </c>
      <c r="AZ278" s="186">
        <v>-9983.25</v>
      </c>
      <c r="BA278" s="186">
        <v>0</v>
      </c>
      <c r="BB278" s="186">
        <v>0</v>
      </c>
      <c r="BC278" s="186">
        <v>435.9</v>
      </c>
      <c r="BD278" s="186">
        <v>435.9</v>
      </c>
      <c r="BE278" s="186">
        <v>0</v>
      </c>
      <c r="BF278" s="186">
        <v>0</v>
      </c>
      <c r="BG278" s="186">
        <v>0</v>
      </c>
      <c r="BH278" s="186">
        <v>0</v>
      </c>
      <c r="BI278" s="186">
        <v>0</v>
      </c>
      <c r="BJ278" s="186">
        <v>0</v>
      </c>
      <c r="BK278" s="186">
        <v>0</v>
      </c>
      <c r="BL278" s="186">
        <v>0</v>
      </c>
      <c r="BM278" s="186">
        <v>-125858.37</v>
      </c>
      <c r="BN278" s="186">
        <v>-118777.73</v>
      </c>
      <c r="BO278" s="186">
        <v>0</v>
      </c>
      <c r="BP278" s="186">
        <v>0</v>
      </c>
      <c r="BQ278" s="186">
        <v>0</v>
      </c>
      <c r="BR278" s="186">
        <v>0</v>
      </c>
      <c r="BS278" s="186">
        <v>0</v>
      </c>
      <c r="BT278" s="186">
        <v>0</v>
      </c>
      <c r="BU278" s="186">
        <v>0</v>
      </c>
      <c r="BV278" s="186">
        <v>0</v>
      </c>
      <c r="BW278" s="186">
        <v>0</v>
      </c>
      <c r="BX278" s="186">
        <v>0</v>
      </c>
      <c r="BY278" s="186">
        <v>-87.39</v>
      </c>
      <c r="BZ278" s="186">
        <v>-10236.299999999999</v>
      </c>
      <c r="CA278" s="186">
        <v>0</v>
      </c>
      <c r="CB278" s="186">
        <v>0</v>
      </c>
      <c r="CC278" s="186">
        <v>-199.1</v>
      </c>
      <c r="CD278" s="186">
        <v>-188.4</v>
      </c>
      <c r="CE278" s="186">
        <v>-188.4</v>
      </c>
      <c r="CF278" s="186">
        <v>-188.4</v>
      </c>
      <c r="CG278" s="186">
        <v>-188.4</v>
      </c>
      <c r="CH278" s="186">
        <v>-188.4</v>
      </c>
      <c r="CI278" s="186">
        <v>-189.36</v>
      </c>
      <c r="CJ278" s="186">
        <v>-131226.32999999999</v>
      </c>
      <c r="CK278" s="186">
        <v>-188.4</v>
      </c>
      <c r="CL278" s="186">
        <v>-188.4</v>
      </c>
      <c r="CM278" s="186">
        <v>-188.4</v>
      </c>
      <c r="CN278" s="186">
        <v>-188.4</v>
      </c>
      <c r="CO278" s="186">
        <v>-833.03</v>
      </c>
      <c r="CP278" s="186">
        <v>-163.16</v>
      </c>
      <c r="CQ278" s="186">
        <v>-163.16</v>
      </c>
      <c r="CR278" s="186">
        <v>-615.85</v>
      </c>
      <c r="CS278" s="186">
        <v>-362.21</v>
      </c>
      <c r="CT278" s="186">
        <v>-362.21</v>
      </c>
      <c r="CU278" s="186">
        <v>-362.21</v>
      </c>
      <c r="CV278" s="186">
        <v>-362.21</v>
      </c>
    </row>
    <row r="279" spans="1:100">
      <c r="A279" s="541" t="str">
        <f t="shared" si="3"/>
        <v>2410330</v>
      </c>
      <c r="B279" s="541" t="s">
        <v>1668</v>
      </c>
      <c r="C279" s="463" t="s">
        <v>799</v>
      </c>
      <c r="D279" s="397">
        <v>-1337.13</v>
      </c>
      <c r="E279" s="397">
        <v>-736443.68</v>
      </c>
      <c r="F279" s="397">
        <v>-1337.13</v>
      </c>
      <c r="G279" s="397">
        <v>-1337.13</v>
      </c>
      <c r="H279" s="397">
        <v>-1337.13</v>
      </c>
      <c r="I279" s="397">
        <v>-1337.13</v>
      </c>
      <c r="J279" s="397">
        <v>-1337.13</v>
      </c>
      <c r="K279" s="397">
        <v>-1337.13</v>
      </c>
      <c r="L279" s="397">
        <v>-1337.13</v>
      </c>
      <c r="M279" s="397">
        <v>-1337.13</v>
      </c>
      <c r="N279" s="397">
        <v>-1337.13</v>
      </c>
      <c r="O279" s="397">
        <v>-1337.13</v>
      </c>
      <c r="P279" s="398">
        <v>-1337.13</v>
      </c>
      <c r="Q279" s="186">
        <v>-1337.13</v>
      </c>
      <c r="R279" s="186">
        <v>-1337.13</v>
      </c>
      <c r="S279" s="186">
        <v>-1337.13</v>
      </c>
      <c r="T279" s="186">
        <v>-155626.78</v>
      </c>
      <c r="U279" s="186">
        <v>-145126.96</v>
      </c>
      <c r="V279" s="186">
        <v>-1337.13</v>
      </c>
      <c r="W279" s="186">
        <v>-1337.13</v>
      </c>
      <c r="X279" s="186">
        <v>-1337.13</v>
      </c>
      <c r="Y279" s="186">
        <v>-1337.13</v>
      </c>
      <c r="Z279" s="186">
        <v>-1337.13</v>
      </c>
      <c r="AA279" s="186">
        <v>-1337.13</v>
      </c>
      <c r="AB279" s="186">
        <v>-1337.13</v>
      </c>
      <c r="AC279" s="186">
        <v>-1337.13</v>
      </c>
      <c r="AD279" s="186">
        <v>-1337.13</v>
      </c>
      <c r="AE279" s="186">
        <v>-1337.13</v>
      </c>
      <c r="AF279" s="186">
        <v>-1337.13</v>
      </c>
      <c r="AG279" s="186">
        <v>-1337.13</v>
      </c>
      <c r="AH279" s="186">
        <v>-1337.13</v>
      </c>
      <c r="AI279" s="186">
        <v>-1337.13</v>
      </c>
      <c r="AJ279" s="186">
        <v>-1337.13</v>
      </c>
      <c r="AK279" s="186">
        <v>-1337.13</v>
      </c>
      <c r="AL279" s="186">
        <v>-1337.13</v>
      </c>
      <c r="AM279" s="186">
        <v>-1337.13</v>
      </c>
      <c r="AN279" s="186">
        <v>-1337.13</v>
      </c>
      <c r="AO279" s="186">
        <v>-1337.13</v>
      </c>
      <c r="AP279" s="186">
        <v>-1337.13</v>
      </c>
      <c r="AQ279" s="186">
        <v>-25185.41</v>
      </c>
      <c r="AR279" s="186">
        <v>-25185.41</v>
      </c>
      <c r="AS279" s="186">
        <v>-25185.41</v>
      </c>
      <c r="AT279" s="186">
        <v>-25185.41</v>
      </c>
      <c r="AU279" s="186">
        <v>-1337.13</v>
      </c>
      <c r="AV279" s="186">
        <v>-195536.44</v>
      </c>
      <c r="AW279" s="186">
        <v>-1337.13</v>
      </c>
      <c r="AX279" s="186">
        <v>-1337.13</v>
      </c>
      <c r="AY279" s="186">
        <v>0</v>
      </c>
      <c r="AZ279" s="186">
        <v>0</v>
      </c>
      <c r="BA279" s="186">
        <v>0</v>
      </c>
      <c r="BB279" s="186">
        <v>0</v>
      </c>
      <c r="BC279" s="186">
        <v>1002.86</v>
      </c>
      <c r="BD279" s="186">
        <v>1002.86</v>
      </c>
      <c r="BE279" s="186">
        <v>0</v>
      </c>
      <c r="BF279" s="186">
        <v>0</v>
      </c>
      <c r="BG279" s="186">
        <v>0</v>
      </c>
      <c r="BH279" s="186">
        <v>0</v>
      </c>
      <c r="BI279" s="186">
        <v>333.33</v>
      </c>
      <c r="BJ279" s="186">
        <v>5.49</v>
      </c>
      <c r="BK279" s="186">
        <v>333.33</v>
      </c>
      <c r="BL279" s="186">
        <v>333.33</v>
      </c>
      <c r="BM279" s="186">
        <v>-181558.7</v>
      </c>
      <c r="BN279" s="186">
        <v>-170753.68</v>
      </c>
      <c r="BO279" s="186">
        <v>333.33</v>
      </c>
      <c r="BP279" s="186">
        <v>333.33</v>
      </c>
      <c r="BQ279" s="186">
        <v>333.33</v>
      </c>
      <c r="BR279" s="186">
        <v>333.33</v>
      </c>
      <c r="BS279" s="186">
        <v>333.33</v>
      </c>
      <c r="BT279" s="186">
        <v>333.33</v>
      </c>
      <c r="BU279" s="186">
        <v>333.33</v>
      </c>
      <c r="BV279" s="186">
        <v>333.33</v>
      </c>
      <c r="BW279" s="186">
        <v>333.33</v>
      </c>
      <c r="BX279" s="186">
        <v>333.33</v>
      </c>
      <c r="BY279" s="186">
        <v>207.82</v>
      </c>
      <c r="BZ279" s="186">
        <v>-29104.43</v>
      </c>
      <c r="CA279" s="186">
        <v>333.33</v>
      </c>
      <c r="CB279" s="186">
        <v>333.33</v>
      </c>
      <c r="CC279" s="186">
        <v>-28.1</v>
      </c>
      <c r="CD279" s="186">
        <v>333.33</v>
      </c>
      <c r="CE279" s="186">
        <v>333.33</v>
      </c>
      <c r="CF279" s="186">
        <v>333.33</v>
      </c>
      <c r="CG279" s="186">
        <v>333.33</v>
      </c>
      <c r="CH279" s="186">
        <v>333.33</v>
      </c>
      <c r="CI279" s="186">
        <v>333.33</v>
      </c>
      <c r="CJ279" s="186">
        <v>-215923.88</v>
      </c>
      <c r="CK279" s="186">
        <v>333.33</v>
      </c>
      <c r="CL279" s="186">
        <v>333.33</v>
      </c>
      <c r="CM279" s="186">
        <v>333.33</v>
      </c>
      <c r="CN279" s="186">
        <v>562.76</v>
      </c>
      <c r="CO279" s="186">
        <v>-1861.49</v>
      </c>
      <c r="CP279" s="186">
        <v>578.65</v>
      </c>
      <c r="CQ279" s="186">
        <v>578.65</v>
      </c>
      <c r="CR279" s="186">
        <v>29.13</v>
      </c>
      <c r="CS279" s="186">
        <v>273.89</v>
      </c>
      <c r="CT279" s="186">
        <v>273.89</v>
      </c>
      <c r="CU279" s="186">
        <v>273.89</v>
      </c>
      <c r="CV279" s="186">
        <v>273.89</v>
      </c>
    </row>
    <row r="280" spans="1:100">
      <c r="A280" s="541" t="str">
        <f t="shared" ref="A280:A323" si="4">+B280</f>
        <v>2410430</v>
      </c>
      <c r="B280" s="541" t="s">
        <v>1669</v>
      </c>
      <c r="C280" s="463" t="s">
        <v>1473</v>
      </c>
      <c r="D280" s="397"/>
      <c r="E280" s="397"/>
      <c r="F280" s="397"/>
      <c r="G280" s="397"/>
      <c r="H280" s="397"/>
      <c r="I280" s="397"/>
      <c r="J280" s="397"/>
      <c r="K280" s="397"/>
      <c r="L280" s="397"/>
      <c r="M280" s="397"/>
      <c r="N280" s="397"/>
      <c r="O280" s="397"/>
      <c r="P280" s="398"/>
      <c r="Q280" s="186"/>
      <c r="R280" s="186"/>
      <c r="S280" s="186"/>
      <c r="T280" s="186"/>
      <c r="U280" s="186"/>
      <c r="V280" s="186"/>
      <c r="W280" s="186"/>
      <c r="X280" s="186"/>
      <c r="Y280" s="186"/>
      <c r="Z280" s="186"/>
      <c r="AA280" s="186"/>
      <c r="AB280" s="186"/>
      <c r="AC280" s="186"/>
      <c r="AD280" s="186"/>
      <c r="AE280" s="186"/>
      <c r="AF280" s="186">
        <v>0</v>
      </c>
      <c r="AG280" s="186">
        <v>0</v>
      </c>
      <c r="AH280" s="186">
        <v>0</v>
      </c>
      <c r="AI280" s="186">
        <v>0</v>
      </c>
      <c r="AJ280" s="186">
        <v>0</v>
      </c>
      <c r="AK280" s="186">
        <v>0</v>
      </c>
      <c r="AL280" s="186">
        <v>0</v>
      </c>
      <c r="AM280" s="186">
        <v>0</v>
      </c>
      <c r="AN280" s="186">
        <v>0</v>
      </c>
      <c r="AO280" s="186">
        <v>0</v>
      </c>
      <c r="AP280" s="186">
        <v>0</v>
      </c>
      <c r="AQ280" s="186">
        <v>0</v>
      </c>
      <c r="AR280" s="186">
        <v>0</v>
      </c>
      <c r="AS280" s="186">
        <v>0</v>
      </c>
      <c r="AT280" s="186">
        <v>0</v>
      </c>
      <c r="AU280" s="186">
        <v>0</v>
      </c>
      <c r="AV280" s="186">
        <v>0</v>
      </c>
      <c r="AW280" s="186">
        <v>0</v>
      </c>
      <c r="AX280" s="186">
        <v>0</v>
      </c>
      <c r="AY280" s="186">
        <v>0</v>
      </c>
      <c r="AZ280" s="186">
        <v>0</v>
      </c>
      <c r="BA280" s="186">
        <v>0</v>
      </c>
      <c r="BB280" s="186">
        <v>0</v>
      </c>
      <c r="BC280" s="186">
        <v>0</v>
      </c>
      <c r="BD280" s="186">
        <v>0</v>
      </c>
      <c r="BE280" s="186">
        <v>0</v>
      </c>
      <c r="BF280" s="186">
        <v>0</v>
      </c>
      <c r="BG280" s="186">
        <v>0</v>
      </c>
      <c r="BH280" s="186">
        <v>0</v>
      </c>
      <c r="BI280" s="186">
        <v>0</v>
      </c>
      <c r="BJ280" s="186">
        <v>0</v>
      </c>
      <c r="BK280" s="186">
        <v>0</v>
      </c>
      <c r="BL280" s="186">
        <v>0</v>
      </c>
      <c r="BM280" s="186">
        <v>0</v>
      </c>
      <c r="BN280" s="186">
        <v>0</v>
      </c>
      <c r="BO280" s="186">
        <v>0</v>
      </c>
      <c r="BP280" s="186">
        <v>0</v>
      </c>
      <c r="BQ280" s="186">
        <v>0</v>
      </c>
      <c r="BR280" s="186">
        <v>0</v>
      </c>
      <c r="BS280" s="186">
        <v>0</v>
      </c>
      <c r="BT280" s="186">
        <v>0</v>
      </c>
      <c r="BU280" s="186">
        <v>0</v>
      </c>
      <c r="BV280" s="186">
        <v>0</v>
      </c>
      <c r="BW280" s="186">
        <v>0</v>
      </c>
      <c r="BX280" s="186">
        <v>0</v>
      </c>
      <c r="BY280" s="186">
        <v>0</v>
      </c>
      <c r="BZ280" s="186">
        <v>0</v>
      </c>
      <c r="CA280" s="186">
        <v>0</v>
      </c>
      <c r="CB280" s="186">
        <v>0</v>
      </c>
      <c r="CC280" s="186">
        <v>0</v>
      </c>
      <c r="CD280" s="186">
        <v>0</v>
      </c>
      <c r="CE280" s="186">
        <v>0</v>
      </c>
      <c r="CF280" s="186">
        <v>0</v>
      </c>
      <c r="CG280" s="186">
        <v>0</v>
      </c>
      <c r="CH280" s="186">
        <v>0</v>
      </c>
      <c r="CI280" s="186">
        <v>0</v>
      </c>
      <c r="CJ280" s="186">
        <v>-154.80000000000001</v>
      </c>
      <c r="CK280" s="186">
        <v>-463.56</v>
      </c>
      <c r="CL280" s="186">
        <v>-463.56</v>
      </c>
      <c r="CM280" s="186">
        <v>-1445.44</v>
      </c>
      <c r="CN280" s="186">
        <v>-462.98</v>
      </c>
      <c r="CO280" s="186">
        <v>324.24</v>
      </c>
      <c r="CP280" s="186">
        <v>324.24</v>
      </c>
      <c r="CQ280" s="186">
        <v>324.24</v>
      </c>
      <c r="CR280" s="186">
        <v>324.24</v>
      </c>
      <c r="CS280" s="186">
        <v>324.24</v>
      </c>
      <c r="CT280" s="186">
        <v>324.24</v>
      </c>
      <c r="CU280" s="186">
        <v>324.24</v>
      </c>
      <c r="CV280" s="186">
        <v>324.24</v>
      </c>
    </row>
    <row r="281" spans="1:100">
      <c r="A281" s="541" t="str">
        <f t="shared" si="4"/>
        <v>2420111</v>
      </c>
      <c r="B281" s="541" t="s">
        <v>914</v>
      </c>
      <c r="C281" s="463" t="s">
        <v>800</v>
      </c>
      <c r="D281" s="397">
        <v>-777018</v>
      </c>
      <c r="E281" s="397">
        <v>-777018</v>
      </c>
      <c r="F281" s="397">
        <v>-777018</v>
      </c>
      <c r="G281" s="397">
        <v>-777018</v>
      </c>
      <c r="H281" s="397">
        <v>-777018</v>
      </c>
      <c r="I281" s="397">
        <v>-777018</v>
      </c>
      <c r="J281" s="397">
        <v>-777018</v>
      </c>
      <c r="K281" s="397">
        <v>-777018</v>
      </c>
      <c r="L281" s="397">
        <v>-777018</v>
      </c>
      <c r="M281" s="397">
        <v>-777018</v>
      </c>
      <c r="N281" s="397">
        <v>-777018</v>
      </c>
      <c r="O281" s="397">
        <v>-777018</v>
      </c>
      <c r="P281" s="398">
        <v>-440389</v>
      </c>
      <c r="Q281" s="186">
        <v>-440389</v>
      </c>
      <c r="R281" s="186">
        <v>-440389</v>
      </c>
      <c r="S281" s="186">
        <v>-440389</v>
      </c>
      <c r="T281" s="186">
        <v>-440389</v>
      </c>
      <c r="U281" s="186">
        <v>-440389</v>
      </c>
      <c r="V281" s="186">
        <v>-440389</v>
      </c>
      <c r="W281" s="186">
        <v>-440389</v>
      </c>
      <c r="X281" s="186">
        <v>-440389</v>
      </c>
      <c r="Y281" s="186">
        <v>-440389</v>
      </c>
      <c r="Z281" s="186">
        <v>-440389</v>
      </c>
      <c r="AA281" s="186">
        <v>-440389</v>
      </c>
      <c r="AB281" s="186">
        <v>-450241</v>
      </c>
      <c r="AC281" s="186">
        <v>-450241</v>
      </c>
      <c r="AD281" s="186">
        <v>-450241</v>
      </c>
      <c r="AE281" s="186">
        <v>-450241</v>
      </c>
      <c r="AF281" s="186">
        <v>-450241</v>
      </c>
      <c r="AG281" s="186">
        <v>-450241</v>
      </c>
      <c r="AH281" s="186">
        <v>-450241</v>
      </c>
      <c r="AI281" s="186">
        <v>-450241</v>
      </c>
      <c r="AJ281" s="186">
        <v>-450241</v>
      </c>
      <c r="AK281" s="186">
        <v>-450241</v>
      </c>
      <c r="AL281" s="186">
        <v>-450241</v>
      </c>
      <c r="AM281" s="186">
        <v>-450241</v>
      </c>
      <c r="AN281" s="186">
        <v>-388457</v>
      </c>
      <c r="AO281" s="186">
        <v>-388457</v>
      </c>
      <c r="AP281" s="186">
        <v>-388457</v>
      </c>
      <c r="AQ281" s="186">
        <v>-388457</v>
      </c>
      <c r="AR281" s="186">
        <v>-388457</v>
      </c>
      <c r="AS281" s="186">
        <v>-388457</v>
      </c>
      <c r="AT281" s="186">
        <v>-388457</v>
      </c>
      <c r="AU281" s="186">
        <v>-388457</v>
      </c>
      <c r="AV281" s="186">
        <v>-388457</v>
      </c>
      <c r="AW281" s="186">
        <v>-388457</v>
      </c>
      <c r="AX281" s="186">
        <v>-388457</v>
      </c>
      <c r="AY281" s="186">
        <v>-388457</v>
      </c>
      <c r="AZ281" s="186">
        <v>-388457</v>
      </c>
      <c r="BA281" s="186">
        <v>-388457</v>
      </c>
      <c r="BB281" s="186">
        <v>-388457</v>
      </c>
      <c r="BC281" s="186">
        <v>-388457</v>
      </c>
      <c r="BD281" s="186">
        <v>-388457</v>
      </c>
      <c r="BE281" s="186">
        <v>-388457</v>
      </c>
      <c r="BF281" s="186">
        <v>-365962</v>
      </c>
      <c r="BG281" s="186">
        <v>-365962</v>
      </c>
      <c r="BH281" s="186">
        <v>-365962</v>
      </c>
      <c r="BI281" s="186">
        <v>-365962</v>
      </c>
      <c r="BJ281" s="186">
        <v>-365962</v>
      </c>
      <c r="BK281" s="186">
        <v>-365962</v>
      </c>
      <c r="BL281" s="186">
        <v>-259763</v>
      </c>
      <c r="BM281" s="186">
        <v>-259763</v>
      </c>
      <c r="BN281" s="186">
        <v>-259763</v>
      </c>
      <c r="BO281" s="186">
        <v>-259763</v>
      </c>
      <c r="BP281" s="186">
        <v>-259763</v>
      </c>
      <c r="BQ281" s="186">
        <v>-259763</v>
      </c>
      <c r="BR281" s="186">
        <v>-259763</v>
      </c>
      <c r="BS281" s="186">
        <v>-259763</v>
      </c>
      <c r="BT281" s="186">
        <v>-259763</v>
      </c>
      <c r="BU281" s="186">
        <v>-259763</v>
      </c>
      <c r="BV281" s="186">
        <v>-259763</v>
      </c>
      <c r="BW281" s="186">
        <v>-259763</v>
      </c>
      <c r="BX281" s="186">
        <v>-249912</v>
      </c>
      <c r="BY281" s="186">
        <v>-249912</v>
      </c>
      <c r="BZ281" s="186">
        <v>-249912</v>
      </c>
      <c r="CA281" s="186">
        <v>-249912</v>
      </c>
      <c r="CB281" s="186">
        <v>-249912</v>
      </c>
      <c r="CC281" s="186">
        <v>-249912</v>
      </c>
      <c r="CD281" s="186">
        <v>-249912</v>
      </c>
      <c r="CE281" s="186">
        <v>-249912</v>
      </c>
      <c r="CF281" s="186">
        <v>-249912</v>
      </c>
      <c r="CG281" s="186">
        <v>-249912</v>
      </c>
      <c r="CH281" s="186">
        <v>-249912</v>
      </c>
      <c r="CI281" s="186">
        <v>-249912</v>
      </c>
      <c r="CJ281" s="186">
        <v>-249912</v>
      </c>
      <c r="CK281" s="186">
        <v>-249912</v>
      </c>
      <c r="CL281" s="186">
        <v>-249912</v>
      </c>
      <c r="CM281" s="186">
        <v>-249912</v>
      </c>
      <c r="CN281" s="186">
        <v>-249912</v>
      </c>
      <c r="CO281" s="186">
        <v>-249912</v>
      </c>
      <c r="CP281" s="186">
        <v>-249912</v>
      </c>
      <c r="CQ281" s="186">
        <v>-249912</v>
      </c>
      <c r="CR281" s="186">
        <v>-249912</v>
      </c>
      <c r="CS281" s="186">
        <v>-249912</v>
      </c>
      <c r="CT281" s="186">
        <v>-249912</v>
      </c>
      <c r="CU281" s="186">
        <v>-249912</v>
      </c>
      <c r="CV281" s="186">
        <v>-215694</v>
      </c>
    </row>
    <row r="282" spans="1:100">
      <c r="A282" s="541" t="str">
        <f t="shared" si="4"/>
        <v>2420121</v>
      </c>
      <c r="B282" s="541" t="s">
        <v>1754</v>
      </c>
      <c r="C282" s="463" t="s">
        <v>1695</v>
      </c>
      <c r="D282" s="397">
        <v>-777018</v>
      </c>
      <c r="E282" s="397">
        <v>-777018</v>
      </c>
      <c r="F282" s="397">
        <v>-777018</v>
      </c>
      <c r="G282" s="397">
        <v>-777018</v>
      </c>
      <c r="H282" s="397">
        <v>-777018</v>
      </c>
      <c r="I282" s="397">
        <v>-777018</v>
      </c>
      <c r="J282" s="397">
        <v>-777018</v>
      </c>
      <c r="K282" s="397">
        <v>-777018</v>
      </c>
      <c r="L282" s="397">
        <v>-777018</v>
      </c>
      <c r="M282" s="397">
        <v>-777018</v>
      </c>
      <c r="N282" s="397">
        <v>-777018</v>
      </c>
      <c r="O282" s="397">
        <v>-777018</v>
      </c>
      <c r="P282" s="398"/>
      <c r="Q282" s="398"/>
      <c r="R282" s="398"/>
      <c r="S282" s="398"/>
      <c r="T282" s="398"/>
      <c r="U282" s="398"/>
      <c r="V282" s="398"/>
      <c r="W282" s="398"/>
      <c r="X282" s="398"/>
      <c r="Y282" s="398"/>
      <c r="Z282" s="398"/>
      <c r="AA282" s="398"/>
      <c r="AB282" s="398"/>
      <c r="AC282" s="398"/>
      <c r="AD282" s="398"/>
      <c r="AE282" s="398"/>
      <c r="AF282" s="398"/>
      <c r="AG282" s="398"/>
      <c r="AH282" s="398"/>
      <c r="AI282" s="186">
        <v>0</v>
      </c>
      <c r="AJ282" s="186">
        <v>0</v>
      </c>
      <c r="AK282" s="186">
        <v>-620</v>
      </c>
      <c r="AL282" s="186">
        <v>-620</v>
      </c>
      <c r="AM282" s="186">
        <v>-620</v>
      </c>
      <c r="AN282" s="186">
        <v>-548</v>
      </c>
      <c r="AO282" s="186">
        <v>-548</v>
      </c>
      <c r="AP282" s="186">
        <v>-548</v>
      </c>
      <c r="AQ282" s="186">
        <v>-548</v>
      </c>
      <c r="AR282" s="186">
        <v>-548</v>
      </c>
      <c r="AS282" s="186">
        <v>-548</v>
      </c>
      <c r="AT282" s="186">
        <v>-548</v>
      </c>
      <c r="AU282" s="186">
        <v>-548</v>
      </c>
      <c r="AV282" s="186">
        <v>-548</v>
      </c>
      <c r="AW282" s="186">
        <v>-548</v>
      </c>
      <c r="AX282" s="186">
        <v>-548</v>
      </c>
      <c r="AY282" s="186">
        <v>-548</v>
      </c>
      <c r="AZ282" s="186">
        <v>-4232</v>
      </c>
      <c r="BA282" s="186">
        <v>-4232</v>
      </c>
      <c r="BB282" s="186">
        <v>-4232</v>
      </c>
      <c r="BC282" s="186">
        <v>-4232</v>
      </c>
      <c r="BD282" s="186">
        <v>-4232</v>
      </c>
      <c r="BE282" s="186">
        <v>-4232</v>
      </c>
      <c r="BF282" s="186">
        <v>-4232</v>
      </c>
      <c r="BG282" s="186">
        <v>-4232</v>
      </c>
      <c r="BH282" s="186">
        <v>-4232</v>
      </c>
      <c r="BI282" s="186">
        <v>-4232</v>
      </c>
      <c r="BJ282" s="186">
        <v>-4232</v>
      </c>
      <c r="BK282" s="186">
        <v>-4232</v>
      </c>
      <c r="BL282" s="186">
        <v>0</v>
      </c>
      <c r="BM282" s="186">
        <v>0</v>
      </c>
      <c r="BN282" s="186">
        <v>0</v>
      </c>
      <c r="BO282" s="186">
        <v>0</v>
      </c>
      <c r="BP282" s="186">
        <v>0</v>
      </c>
      <c r="BQ282" s="186">
        <v>0</v>
      </c>
      <c r="BR282" s="186">
        <v>0</v>
      </c>
      <c r="BS282" s="186">
        <v>0</v>
      </c>
      <c r="BT282" s="186">
        <v>0</v>
      </c>
      <c r="BU282" s="186">
        <v>0</v>
      </c>
      <c r="BV282" s="186">
        <v>0</v>
      </c>
      <c r="BW282" s="186">
        <v>0</v>
      </c>
      <c r="BX282" s="186">
        <v>0</v>
      </c>
      <c r="BY282" s="186">
        <v>0</v>
      </c>
      <c r="BZ282" s="186">
        <v>0</v>
      </c>
      <c r="CA282" s="186">
        <v>0</v>
      </c>
      <c r="CB282" s="186">
        <v>0</v>
      </c>
      <c r="CC282" s="186">
        <v>0</v>
      </c>
      <c r="CD282" s="186">
        <v>0</v>
      </c>
      <c r="CE282" s="186">
        <v>0</v>
      </c>
      <c r="CF282" s="186">
        <v>0</v>
      </c>
      <c r="CG282" s="186">
        <v>0</v>
      </c>
      <c r="CH282" s="186">
        <v>0</v>
      </c>
      <c r="CI282" s="186">
        <v>0</v>
      </c>
      <c r="CJ282" s="186">
        <v>0</v>
      </c>
      <c r="CK282" s="186">
        <v>0</v>
      </c>
      <c r="CL282" s="186">
        <v>0</v>
      </c>
      <c r="CM282" s="186">
        <v>0</v>
      </c>
      <c r="CN282" s="186">
        <v>0</v>
      </c>
      <c r="CO282" s="186">
        <v>0</v>
      </c>
      <c r="CP282" s="186">
        <v>0</v>
      </c>
      <c r="CQ282" s="186">
        <v>0</v>
      </c>
      <c r="CR282" s="186">
        <v>0</v>
      </c>
      <c r="CS282" s="186">
        <v>0</v>
      </c>
      <c r="CT282" s="186">
        <v>0</v>
      </c>
      <c r="CU282" s="186">
        <v>0</v>
      </c>
      <c r="CV282" s="186">
        <v>-2003358</v>
      </c>
    </row>
    <row r="283" spans="1:100">
      <c r="A283" s="541" t="str">
        <f t="shared" si="4"/>
        <v>2420131</v>
      </c>
      <c r="B283" s="541" t="s">
        <v>915</v>
      </c>
      <c r="C283" s="463" t="s">
        <v>801</v>
      </c>
      <c r="D283" s="397">
        <v>-606935</v>
      </c>
      <c r="E283" s="397">
        <v>-606935</v>
      </c>
      <c r="F283" s="397">
        <v>-606935</v>
      </c>
      <c r="G283" s="397">
        <v>-606935</v>
      </c>
      <c r="H283" s="397">
        <v>-606935</v>
      </c>
      <c r="I283" s="397">
        <v>-606935</v>
      </c>
      <c r="J283" s="397">
        <v>-606935</v>
      </c>
      <c r="K283" s="397">
        <v>-606935</v>
      </c>
      <c r="L283" s="397">
        <v>-606935</v>
      </c>
      <c r="M283" s="397">
        <v>-606935</v>
      </c>
      <c r="N283" s="397">
        <v>-606935</v>
      </c>
      <c r="O283" s="397">
        <v>-606935</v>
      </c>
      <c r="P283" s="398">
        <v>-670526</v>
      </c>
      <c r="Q283" s="186">
        <v>-670526</v>
      </c>
      <c r="R283" s="186">
        <v>-670526</v>
      </c>
      <c r="S283" s="186">
        <v>-670526</v>
      </c>
      <c r="T283" s="186">
        <v>-670526</v>
      </c>
      <c r="U283" s="186">
        <v>-670526</v>
      </c>
      <c r="V283" s="186">
        <v>-670526</v>
      </c>
      <c r="W283" s="186">
        <v>-670526</v>
      </c>
      <c r="X283" s="186">
        <v>-670526</v>
      </c>
      <c r="Y283" s="186">
        <v>-670526</v>
      </c>
      <c r="Z283" s="186">
        <v>-670526</v>
      </c>
      <c r="AA283" s="186">
        <v>-670526</v>
      </c>
      <c r="AB283" s="186">
        <v>-684602</v>
      </c>
      <c r="AC283" s="186">
        <v>-684602</v>
      </c>
      <c r="AD283" s="186">
        <v>-684602</v>
      </c>
      <c r="AE283" s="186">
        <v>-684602</v>
      </c>
      <c r="AF283" s="186">
        <v>-684602</v>
      </c>
      <c r="AG283" s="186">
        <v>-684602</v>
      </c>
      <c r="AH283" s="186">
        <v>-684602</v>
      </c>
      <c r="AI283" s="186">
        <v>-684602</v>
      </c>
      <c r="AJ283" s="186">
        <v>-684602</v>
      </c>
      <c r="AK283" s="186">
        <v>-704381</v>
      </c>
      <c r="AL283" s="186">
        <v>-704381</v>
      </c>
      <c r="AM283" s="186">
        <v>-704381</v>
      </c>
      <c r="AN283" s="186">
        <v>-734975</v>
      </c>
      <c r="AO283" s="186">
        <v>-734975</v>
      </c>
      <c r="AP283" s="186">
        <v>-734975</v>
      </c>
      <c r="AQ283" s="186">
        <v>-734975</v>
      </c>
      <c r="AR283" s="186">
        <v>-734975</v>
      </c>
      <c r="AS283" s="186">
        <v>-734975</v>
      </c>
      <c r="AT283" s="186">
        <v>-734975</v>
      </c>
      <c r="AU283" s="186">
        <v>-734975</v>
      </c>
      <c r="AV283" s="186">
        <v>-734975</v>
      </c>
      <c r="AW283" s="186">
        <v>-734975</v>
      </c>
      <c r="AX283" s="186">
        <v>-734975</v>
      </c>
      <c r="AY283" s="186">
        <v>-734975</v>
      </c>
      <c r="AZ283" s="186">
        <v>-825877</v>
      </c>
      <c r="BA283" s="186">
        <v>-825877</v>
      </c>
      <c r="BB283" s="186">
        <v>-825877</v>
      </c>
      <c r="BC283" s="186">
        <v>-825877</v>
      </c>
      <c r="BD283" s="186">
        <v>-825877</v>
      </c>
      <c r="BE283" s="186">
        <v>-825877</v>
      </c>
      <c r="BF283" s="186">
        <v>-825877</v>
      </c>
      <c r="BG283" s="186">
        <v>-825877</v>
      </c>
      <c r="BH283" s="186">
        <v>-825877</v>
      </c>
      <c r="BI283" s="186">
        <v>-825877</v>
      </c>
      <c r="BJ283" s="186">
        <v>-825877</v>
      </c>
      <c r="BK283" s="186">
        <v>-825877</v>
      </c>
      <c r="BL283" s="186">
        <v>-872517</v>
      </c>
      <c r="BM283" s="186">
        <v>-872517</v>
      </c>
      <c r="BN283" s="186">
        <v>-872517</v>
      </c>
      <c r="BO283" s="186">
        <v>-872517</v>
      </c>
      <c r="BP283" s="186">
        <v>-872517</v>
      </c>
      <c r="BQ283" s="186">
        <v>-872517</v>
      </c>
      <c r="BR283" s="186">
        <v>-872517</v>
      </c>
      <c r="BS283" s="186">
        <v>-872517</v>
      </c>
      <c r="BT283" s="186">
        <v>-872517</v>
      </c>
      <c r="BU283" s="186">
        <v>-872517</v>
      </c>
      <c r="BV283" s="186">
        <v>-872517</v>
      </c>
      <c r="BW283" s="186">
        <v>-872517</v>
      </c>
      <c r="BX283" s="186">
        <v>-917247</v>
      </c>
      <c r="BY283" s="186">
        <v>-917247</v>
      </c>
      <c r="BZ283" s="186">
        <v>-917247</v>
      </c>
      <c r="CA283" s="186">
        <v>-917247</v>
      </c>
      <c r="CB283" s="186">
        <v>-917247</v>
      </c>
      <c r="CC283" s="186">
        <v>-917247</v>
      </c>
      <c r="CD283" s="186">
        <v>-917247</v>
      </c>
      <c r="CE283" s="186">
        <v>-917247</v>
      </c>
      <c r="CF283" s="186">
        <v>-917247</v>
      </c>
      <c r="CG283" s="186">
        <v>-917247</v>
      </c>
      <c r="CH283" s="186">
        <v>-917247</v>
      </c>
      <c r="CI283" s="186">
        <v>-917247</v>
      </c>
      <c r="CJ283" s="186">
        <v>-1089990</v>
      </c>
      <c r="CK283" s="186">
        <v>-1089990</v>
      </c>
      <c r="CL283" s="186">
        <v>-1089990</v>
      </c>
      <c r="CM283" s="186">
        <v>-1089990</v>
      </c>
      <c r="CN283" s="186">
        <v>-1089990</v>
      </c>
      <c r="CO283" s="186">
        <v>-1089990</v>
      </c>
      <c r="CP283" s="186">
        <v>-1089990</v>
      </c>
      <c r="CQ283" s="186">
        <v>-1089990</v>
      </c>
      <c r="CR283" s="186">
        <v>-1089990</v>
      </c>
      <c r="CS283" s="186">
        <v>-1089990</v>
      </c>
      <c r="CT283" s="186">
        <v>-1089990</v>
      </c>
      <c r="CU283" s="186">
        <v>-1089990</v>
      </c>
      <c r="CV283" s="186">
        <v>-1188715</v>
      </c>
    </row>
    <row r="284" spans="1:100">
      <c r="A284" s="541" t="str">
        <f>+B284</f>
        <v>2420191</v>
      </c>
      <c r="B284" s="541" t="s">
        <v>2395</v>
      </c>
      <c r="C284" s="463" t="s">
        <v>2390</v>
      </c>
      <c r="D284" s="397">
        <v>0</v>
      </c>
      <c r="E284" s="397">
        <v>0</v>
      </c>
      <c r="F284" s="397">
        <v>0</v>
      </c>
      <c r="G284" s="397">
        <v>0</v>
      </c>
      <c r="H284" s="397">
        <v>0</v>
      </c>
      <c r="I284" s="397">
        <v>0</v>
      </c>
      <c r="J284" s="397">
        <v>0</v>
      </c>
      <c r="K284" s="397">
        <v>0</v>
      </c>
      <c r="L284" s="397">
        <v>0</v>
      </c>
      <c r="M284" s="397">
        <v>0</v>
      </c>
      <c r="N284" s="397">
        <v>0</v>
      </c>
      <c r="O284" s="397">
        <v>0</v>
      </c>
      <c r="P284" s="398">
        <v>0</v>
      </c>
      <c r="Q284" s="186">
        <v>0</v>
      </c>
      <c r="R284" s="186">
        <v>0</v>
      </c>
      <c r="S284" s="186">
        <v>0</v>
      </c>
      <c r="T284" s="186">
        <v>0</v>
      </c>
      <c r="U284" s="186">
        <v>0</v>
      </c>
      <c r="V284" s="186">
        <v>0</v>
      </c>
      <c r="W284" s="186">
        <v>0</v>
      </c>
      <c r="X284" s="186">
        <v>0</v>
      </c>
      <c r="Y284" s="186">
        <v>0</v>
      </c>
      <c r="Z284" s="186">
        <v>0</v>
      </c>
      <c r="AA284" s="186">
        <v>0</v>
      </c>
      <c r="AB284" s="186">
        <v>0</v>
      </c>
      <c r="AC284" s="186">
        <v>0</v>
      </c>
      <c r="AD284" s="186">
        <v>0</v>
      </c>
      <c r="AE284" s="186">
        <v>0</v>
      </c>
      <c r="AF284" s="186">
        <v>0</v>
      </c>
      <c r="AG284" s="186">
        <v>0</v>
      </c>
      <c r="AH284" s="186">
        <v>0</v>
      </c>
      <c r="AI284" s="186">
        <v>0</v>
      </c>
      <c r="AJ284" s="186">
        <v>0</v>
      </c>
      <c r="AK284" s="186">
        <v>0</v>
      </c>
      <c r="AL284" s="186">
        <v>0</v>
      </c>
      <c r="AM284" s="186">
        <v>0</v>
      </c>
      <c r="AN284" s="186">
        <v>0</v>
      </c>
      <c r="AO284" s="186">
        <v>0</v>
      </c>
      <c r="AP284" s="186">
        <v>0</v>
      </c>
      <c r="AQ284" s="186">
        <v>0</v>
      </c>
      <c r="AR284" s="186">
        <v>0</v>
      </c>
      <c r="AS284" s="186">
        <v>0</v>
      </c>
      <c r="AT284" s="186">
        <v>0</v>
      </c>
      <c r="AU284" s="186">
        <v>0</v>
      </c>
      <c r="AV284" s="186">
        <v>0</v>
      </c>
      <c r="AW284" s="186">
        <v>0</v>
      </c>
      <c r="AX284" s="186">
        <v>0</v>
      </c>
      <c r="AY284" s="186">
        <v>0</v>
      </c>
      <c r="AZ284" s="186">
        <v>0</v>
      </c>
      <c r="BA284" s="186">
        <v>0</v>
      </c>
      <c r="BB284" s="186">
        <v>0</v>
      </c>
      <c r="BC284" s="186">
        <v>0</v>
      </c>
      <c r="BD284" s="186">
        <v>0</v>
      </c>
      <c r="BE284" s="186">
        <v>0</v>
      </c>
      <c r="BF284" s="186">
        <v>0</v>
      </c>
      <c r="BG284" s="186">
        <v>0</v>
      </c>
      <c r="BH284" s="186">
        <v>0</v>
      </c>
      <c r="BI284" s="186">
        <v>0</v>
      </c>
      <c r="BJ284" s="186">
        <v>0</v>
      </c>
      <c r="BK284" s="186">
        <v>0</v>
      </c>
      <c r="BL284" s="186">
        <v>0</v>
      </c>
      <c r="BM284" s="186">
        <v>0</v>
      </c>
      <c r="BN284" s="186">
        <v>0</v>
      </c>
      <c r="BO284" s="186">
        <v>0</v>
      </c>
      <c r="BP284" s="186">
        <v>0</v>
      </c>
      <c r="BQ284" s="186">
        <v>0</v>
      </c>
      <c r="BR284" s="186">
        <v>0</v>
      </c>
      <c r="BS284" s="186">
        <v>0</v>
      </c>
      <c r="BT284" s="186">
        <v>0</v>
      </c>
      <c r="BU284" s="186">
        <v>0</v>
      </c>
      <c r="BV284" s="186">
        <v>0</v>
      </c>
      <c r="BW284" s="186">
        <v>0</v>
      </c>
      <c r="BX284" s="186">
        <v>-1527721.66</v>
      </c>
      <c r="BY284" s="186">
        <v>-1527721.66</v>
      </c>
      <c r="BZ284" s="186">
        <v>-49457.66</v>
      </c>
      <c r="CA284" s="186">
        <v>-1263689.1299999999</v>
      </c>
      <c r="CB284" s="186">
        <v>-1263689.1299999999</v>
      </c>
      <c r="CC284" s="186">
        <v>-1263689.1299999999</v>
      </c>
      <c r="CD284" s="186">
        <v>-1344801.03</v>
      </c>
      <c r="CE284" s="186">
        <v>-1344801.03</v>
      </c>
      <c r="CF284" s="186">
        <v>-1344801.03</v>
      </c>
      <c r="CG284" s="186">
        <v>-1498920.35</v>
      </c>
      <c r="CH284" s="186">
        <v>-1498920.35</v>
      </c>
      <c r="CI284" s="186">
        <v>-1498920.35</v>
      </c>
      <c r="CJ284" s="186">
        <v>-1958184.7</v>
      </c>
      <c r="CK284" s="186">
        <v>-1958184.7</v>
      </c>
      <c r="CL284" s="186">
        <v>-1958184.7</v>
      </c>
      <c r="CM284" s="186">
        <v>-1176900.3700000001</v>
      </c>
      <c r="CN284" s="186">
        <v>-1176900.3700000001</v>
      </c>
      <c r="CO284" s="186">
        <v>-1176900.3700000001</v>
      </c>
      <c r="CP284" s="186">
        <v>-1439648.01</v>
      </c>
      <c r="CQ284" s="186">
        <v>-1439648.01</v>
      </c>
      <c r="CR284" s="186">
        <v>-1439648.01</v>
      </c>
      <c r="CS284" s="186">
        <v>-1241453.2</v>
      </c>
      <c r="CT284" s="186">
        <v>-1241453.2</v>
      </c>
      <c r="CU284" s="186">
        <v>-1241453.2</v>
      </c>
      <c r="CV284" s="186">
        <v>-1381972.96</v>
      </c>
    </row>
    <row r="285" spans="1:100">
      <c r="A285" s="541" t="str">
        <f>+B285</f>
        <v>2420192</v>
      </c>
      <c r="B285" s="541" t="s">
        <v>2476</v>
      </c>
      <c r="C285" s="463" t="s">
        <v>2477</v>
      </c>
      <c r="D285" s="397"/>
      <c r="E285" s="397"/>
      <c r="F285" s="397"/>
      <c r="G285" s="397"/>
      <c r="H285" s="397"/>
      <c r="I285" s="397"/>
      <c r="J285" s="397"/>
      <c r="K285" s="397"/>
      <c r="L285" s="397"/>
      <c r="M285" s="397"/>
      <c r="N285" s="397"/>
      <c r="O285" s="397"/>
      <c r="P285" s="398"/>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c r="BL285" s="186"/>
      <c r="BM285" s="186"/>
      <c r="BN285" s="186"/>
      <c r="BO285" s="186"/>
      <c r="BP285" s="186"/>
      <c r="BQ285" s="186"/>
      <c r="BR285" s="186"/>
      <c r="BS285" s="186"/>
      <c r="BT285" s="186"/>
      <c r="BU285" s="186"/>
      <c r="BV285" s="186"/>
      <c r="BW285" s="186"/>
      <c r="BX285" s="186"/>
      <c r="BY285" s="186">
        <v>0</v>
      </c>
      <c r="BZ285" s="186">
        <v>-71115</v>
      </c>
      <c r="CA285" s="186">
        <v>-75473.919999999998</v>
      </c>
      <c r="CB285" s="186">
        <v>-75473.919999999998</v>
      </c>
      <c r="CC285" s="186">
        <v>-75473.919999999998</v>
      </c>
      <c r="CD285" s="186">
        <v>-72256.03</v>
      </c>
      <c r="CE285" s="186">
        <v>-72256.03</v>
      </c>
      <c r="CF285" s="186">
        <v>-72256.03</v>
      </c>
      <c r="CG285" s="186">
        <v>-73127</v>
      </c>
      <c r="CH285" s="186">
        <v>-73127</v>
      </c>
      <c r="CI285" s="186">
        <v>-73127</v>
      </c>
      <c r="CJ285" s="186">
        <v>-74735.28</v>
      </c>
      <c r="CK285" s="186">
        <v>-74735.28</v>
      </c>
      <c r="CL285" s="186">
        <v>-74735.28</v>
      </c>
      <c r="CM285" s="186">
        <v>-241675.42</v>
      </c>
      <c r="CN285" s="186">
        <v>-241675.42</v>
      </c>
      <c r="CO285" s="186">
        <v>-241675.42</v>
      </c>
      <c r="CP285" s="186">
        <v>-269058.03000000003</v>
      </c>
      <c r="CQ285" s="186">
        <v>-269058.03000000003</v>
      </c>
      <c r="CR285" s="186">
        <v>-269058.03000000003</v>
      </c>
      <c r="CS285" s="186">
        <v>-283941.28999999998</v>
      </c>
      <c r="CT285" s="186">
        <v>-283941.28999999998</v>
      </c>
      <c r="CU285" s="186">
        <v>-283941.28999999998</v>
      </c>
      <c r="CV285" s="186">
        <v>-289608.46000000002</v>
      </c>
    </row>
    <row r="286" spans="1:100">
      <c r="A286" s="541" t="str">
        <f>+B286</f>
        <v>2420199</v>
      </c>
      <c r="B286" s="541" t="s">
        <v>2253</v>
      </c>
      <c r="C286" s="463" t="s">
        <v>2254</v>
      </c>
      <c r="D286" s="397"/>
      <c r="E286" s="397"/>
      <c r="F286" s="397"/>
      <c r="G286" s="397"/>
      <c r="H286" s="397"/>
      <c r="I286" s="397"/>
      <c r="J286" s="397"/>
      <c r="K286" s="397"/>
      <c r="L286" s="397"/>
      <c r="M286" s="397"/>
      <c r="N286" s="397"/>
      <c r="O286" s="397"/>
      <c r="P286" s="398"/>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v>0</v>
      </c>
      <c r="BK286" s="186">
        <v>0</v>
      </c>
      <c r="BL286" s="186">
        <v>-1205445</v>
      </c>
      <c r="BM286" s="186">
        <v>0</v>
      </c>
      <c r="BN286" s="186">
        <v>0</v>
      </c>
      <c r="BO286" s="186">
        <v>-1014277.62</v>
      </c>
      <c r="BP286" s="186">
        <v>-1014277.62</v>
      </c>
      <c r="BQ286" s="186">
        <v>-1014277.62</v>
      </c>
      <c r="BR286" s="186">
        <v>-1223064.25</v>
      </c>
      <c r="BS286" s="186">
        <v>-777378.87</v>
      </c>
      <c r="BT286" s="186">
        <v>-777378.87</v>
      </c>
      <c r="BU286" s="186">
        <v>-1879798.98</v>
      </c>
      <c r="BV286" s="186">
        <v>-1879798.98</v>
      </c>
      <c r="BW286" s="186">
        <v>-1879798.98</v>
      </c>
      <c r="BX286" s="186">
        <v>0</v>
      </c>
      <c r="BY286" s="186">
        <v>0</v>
      </c>
      <c r="BZ286" s="186">
        <v>0</v>
      </c>
      <c r="CA286" s="186">
        <v>0</v>
      </c>
      <c r="CB286" s="186">
        <v>0</v>
      </c>
      <c r="CC286" s="186">
        <v>0</v>
      </c>
      <c r="CD286" s="186">
        <v>0</v>
      </c>
      <c r="CE286" s="186">
        <v>0</v>
      </c>
      <c r="CF286" s="186">
        <v>0</v>
      </c>
      <c r="CG286" s="186">
        <v>0</v>
      </c>
      <c r="CH286" s="186">
        <v>0</v>
      </c>
      <c r="CI286" s="186">
        <v>0</v>
      </c>
      <c r="CJ286" s="186">
        <v>0</v>
      </c>
      <c r="CK286" s="186">
        <v>0</v>
      </c>
      <c r="CL286" s="186">
        <v>0</v>
      </c>
      <c r="CM286" s="186">
        <v>0</v>
      </c>
      <c r="CN286" s="186">
        <v>0</v>
      </c>
      <c r="CO286" s="186">
        <v>0</v>
      </c>
      <c r="CP286" s="186">
        <v>0</v>
      </c>
      <c r="CQ286" s="186">
        <v>0</v>
      </c>
      <c r="CR286" s="186">
        <v>0</v>
      </c>
      <c r="CS286" s="186">
        <v>0</v>
      </c>
      <c r="CT286" s="186">
        <v>0</v>
      </c>
      <c r="CU286" s="186">
        <v>0</v>
      </c>
      <c r="CV286" s="186">
        <v>0</v>
      </c>
    </row>
    <row r="287" spans="1:100">
      <c r="A287" s="541" t="str">
        <f t="shared" si="4"/>
        <v>2420300</v>
      </c>
      <c r="B287" s="541" t="s">
        <v>916</v>
      </c>
      <c r="C287" s="463" t="s">
        <v>802</v>
      </c>
      <c r="D287" s="397">
        <v>-2622171.31</v>
      </c>
      <c r="E287" s="397">
        <v>-2627171.31</v>
      </c>
      <c r="F287" s="397">
        <v>-2632171.31</v>
      </c>
      <c r="G287" s="397">
        <v>-2637171.31</v>
      </c>
      <c r="H287" s="397">
        <v>-2642171.31</v>
      </c>
      <c r="I287" s="397">
        <v>-2647171.31</v>
      </c>
      <c r="J287" s="397">
        <v>-2652171.31</v>
      </c>
      <c r="K287" s="397">
        <v>-2657171.31</v>
      </c>
      <c r="L287" s="397">
        <v>-2662171.31</v>
      </c>
      <c r="M287" s="397">
        <v>-2667171.31</v>
      </c>
      <c r="N287" s="397">
        <v>-2672171.31</v>
      </c>
      <c r="O287" s="397">
        <v>-2677171.31</v>
      </c>
      <c r="P287" s="398">
        <v>-2682171.31</v>
      </c>
      <c r="Q287" s="186">
        <v>-2687171.31</v>
      </c>
      <c r="R287" s="186">
        <v>-2690628.56</v>
      </c>
      <c r="S287" s="186">
        <v>-2692386.03</v>
      </c>
      <c r="T287" s="186">
        <v>-2694603.27</v>
      </c>
      <c r="U287" s="186">
        <v>-2692303.57</v>
      </c>
      <c r="V287" s="186">
        <v>-2691092.34</v>
      </c>
      <c r="W287" s="186">
        <v>-2681390.56</v>
      </c>
      <c r="X287" s="186">
        <v>-2677754.56</v>
      </c>
      <c r="Y287" s="186">
        <v>-2682754.56</v>
      </c>
      <c r="Z287" s="186">
        <v>-2687754.56</v>
      </c>
      <c r="AA287" s="186">
        <v>-2692754.56</v>
      </c>
      <c r="AB287" s="186">
        <v>-2614755.5099999998</v>
      </c>
      <c r="AC287" s="186">
        <v>-2600385.21</v>
      </c>
      <c r="AD287" s="186">
        <v>-2604913.27</v>
      </c>
      <c r="AE287" s="186">
        <v>-2607664.5499999998</v>
      </c>
      <c r="AF287" s="186">
        <v>-2611662.5499999998</v>
      </c>
      <c r="AG287" s="186">
        <v>-2612878.7999999998</v>
      </c>
      <c r="AH287" s="186">
        <v>-2616529.7999999998</v>
      </c>
      <c r="AI287" s="186">
        <v>-2636529.7999999998</v>
      </c>
      <c r="AJ287" s="186">
        <v>-2649140.6800000002</v>
      </c>
      <c r="AK287" s="186">
        <v>-2669140.6800000002</v>
      </c>
      <c r="AL287" s="186">
        <v>-2689140.68</v>
      </c>
      <c r="AM287" s="186">
        <v>-2706151.53</v>
      </c>
      <c r="AN287" s="186">
        <v>-3066666.17</v>
      </c>
      <c r="AO287" s="186">
        <v>-3911435.27</v>
      </c>
      <c r="AP287" s="186">
        <v>-3049357.54</v>
      </c>
      <c r="AQ287" s="186">
        <v>-3063285.65</v>
      </c>
      <c r="AR287" s="186">
        <v>-3066860.5</v>
      </c>
      <c r="AS287" s="186">
        <v>-3074452.97</v>
      </c>
      <c r="AT287" s="186">
        <v>-3083177.04</v>
      </c>
      <c r="AU287" s="186">
        <v>-3082664.24</v>
      </c>
      <c r="AV287" s="186">
        <v>-3097664.24</v>
      </c>
      <c r="AW287" s="186">
        <v>-3107823.14</v>
      </c>
      <c r="AX287" s="186">
        <v>-3122823.14</v>
      </c>
      <c r="AY287" s="186">
        <v>-3132263.17</v>
      </c>
      <c r="AZ287" s="186">
        <v>-3123156.42</v>
      </c>
      <c r="BA287" s="186">
        <v>-3119516.17</v>
      </c>
      <c r="BB287" s="186">
        <v>-3132970.62</v>
      </c>
      <c r="BC287" s="186">
        <v>-3146701.3</v>
      </c>
      <c r="BD287" s="186">
        <v>-3159553.54</v>
      </c>
      <c r="BE287" s="186">
        <v>-3170672.34</v>
      </c>
      <c r="BF287" s="186">
        <v>-3173874.68</v>
      </c>
      <c r="BG287" s="186">
        <v>-3188874.68</v>
      </c>
      <c r="BH287" s="186">
        <v>-3203874.68</v>
      </c>
      <c r="BI287" s="186">
        <v>-3206628.67</v>
      </c>
      <c r="BJ287" s="186">
        <v>-3221628.67</v>
      </c>
      <c r="BK287" s="186">
        <v>-3230963.08</v>
      </c>
      <c r="BL287" s="186">
        <v>-3300000</v>
      </c>
      <c r="BM287" s="186">
        <v>-3298283.1</v>
      </c>
      <c r="BN287" s="186">
        <v>-3312182.6</v>
      </c>
      <c r="BO287" s="186">
        <v>-3322872.39</v>
      </c>
      <c r="BP287" s="186">
        <v>-3335262.49</v>
      </c>
      <c r="BQ287" s="186">
        <v>-3347236.09</v>
      </c>
      <c r="BR287" s="186">
        <v>-3355245.34</v>
      </c>
      <c r="BS287" s="186">
        <v>-3351563.75</v>
      </c>
      <c r="BT287" s="186">
        <v>-3361492.2</v>
      </c>
      <c r="BU287" s="186">
        <v>-3376498.2</v>
      </c>
      <c r="BV287" s="186">
        <v>-3383843.05</v>
      </c>
      <c r="BW287" s="186">
        <v>-3393353.65</v>
      </c>
      <c r="BX287" s="186">
        <v>-3500000</v>
      </c>
      <c r="BY287" s="186">
        <v>-3485166.95</v>
      </c>
      <c r="BZ287" s="186">
        <v>-3497881.85</v>
      </c>
      <c r="CA287" s="186">
        <v>-3511238.25</v>
      </c>
      <c r="CB287" s="186">
        <v>-3525666.71</v>
      </c>
      <c r="CC287" s="186">
        <v>-3536988.19</v>
      </c>
      <c r="CD287" s="186">
        <v>-3711499.93</v>
      </c>
      <c r="CE287" s="186">
        <v>-3726505.43</v>
      </c>
      <c r="CF287" s="186">
        <v>-3741510.93</v>
      </c>
      <c r="CG287" s="186">
        <v>-3923183.1</v>
      </c>
      <c r="CH287" s="186">
        <v>-3938188.6</v>
      </c>
      <c r="CI287" s="186">
        <v>-3922981.56</v>
      </c>
      <c r="CJ287" s="186">
        <v>-4225242.0599999996</v>
      </c>
      <c r="CK287" s="186">
        <v>-4213213.62</v>
      </c>
      <c r="CL287" s="186">
        <v>-4228713.62</v>
      </c>
      <c r="CM287" s="186">
        <v>-3859634.1</v>
      </c>
      <c r="CN287" s="186">
        <v>-3867773.84</v>
      </c>
      <c r="CO287" s="186">
        <v>-3881493.62</v>
      </c>
      <c r="CP287" s="186">
        <v>-3884586.87</v>
      </c>
      <c r="CQ287" s="186">
        <v>-3888457.02</v>
      </c>
      <c r="CR287" s="186">
        <v>-3903957.02</v>
      </c>
      <c r="CS287" s="186">
        <v>-3912438.63</v>
      </c>
      <c r="CT287" s="186">
        <v>-3913868.05</v>
      </c>
      <c r="CU287" s="186">
        <v>-3929368.05</v>
      </c>
      <c r="CV287" s="186">
        <v>-3906365.73</v>
      </c>
    </row>
    <row r="288" spans="1:100">
      <c r="A288" s="541" t="str">
        <f t="shared" si="4"/>
        <v>2420310</v>
      </c>
      <c r="B288" s="541" t="s">
        <v>927</v>
      </c>
      <c r="C288" s="463" t="s">
        <v>803</v>
      </c>
      <c r="D288" s="397">
        <v>-12109.11</v>
      </c>
      <c r="E288" s="397">
        <v>-6369.36</v>
      </c>
      <c r="F288" s="397">
        <v>-12143.08</v>
      </c>
      <c r="G288" s="397">
        <v>-12102.58</v>
      </c>
      <c r="H288" s="397">
        <v>-23596.720000000001</v>
      </c>
      <c r="I288" s="397">
        <v>-8102.51</v>
      </c>
      <c r="J288" s="397">
        <v>-8811.2999999999993</v>
      </c>
      <c r="K288" s="397">
        <v>-10320.77</v>
      </c>
      <c r="L288" s="397">
        <v>-26472.86</v>
      </c>
      <c r="M288" s="397">
        <v>-28795.47</v>
      </c>
      <c r="N288" s="397">
        <v>-26156.45</v>
      </c>
      <c r="O288" s="397">
        <v>-40882.93</v>
      </c>
      <c r="P288" s="398">
        <v>-20487.240000000002</v>
      </c>
      <c r="Q288" s="186">
        <v>-17839.400000000001</v>
      </c>
      <c r="R288" s="186">
        <v>-27865.32</v>
      </c>
      <c r="S288" s="186">
        <v>-17927.580000000002</v>
      </c>
      <c r="T288" s="186">
        <v>-21546.76</v>
      </c>
      <c r="U288" s="186">
        <v>-24817.95</v>
      </c>
      <c r="V288" s="186">
        <v>-19249.439999999999</v>
      </c>
      <c r="W288" s="186">
        <v>-17921.59</v>
      </c>
      <c r="X288" s="186">
        <v>-32782.47</v>
      </c>
      <c r="Y288" s="186">
        <v>-23684.87</v>
      </c>
      <c r="Z288" s="186">
        <v>-24380.75</v>
      </c>
      <c r="AA288" s="186">
        <v>-33112.18</v>
      </c>
      <c r="AB288" s="186">
        <v>-30888.34</v>
      </c>
      <c r="AC288" s="186">
        <v>-30687.87</v>
      </c>
      <c r="AD288" s="186">
        <v>-25459.14</v>
      </c>
      <c r="AE288" s="186">
        <v>-29253.93</v>
      </c>
      <c r="AF288" s="186">
        <v>-22502.85</v>
      </c>
      <c r="AG288" s="186">
        <v>-7965.89</v>
      </c>
      <c r="AH288" s="186">
        <v>-18278.759999999998</v>
      </c>
      <c r="AI288" s="186">
        <v>-29231.39</v>
      </c>
      <c r="AJ288" s="186">
        <v>-22313.360000000001</v>
      </c>
      <c r="AK288" s="186">
        <v>-30755</v>
      </c>
      <c r="AL288" s="186">
        <v>-28160.95</v>
      </c>
      <c r="AM288" s="186">
        <v>-35867.1</v>
      </c>
      <c r="AN288" s="186">
        <v>-24690.46</v>
      </c>
      <c r="AO288" s="186">
        <v>-26356.93</v>
      </c>
      <c r="AP288" s="186">
        <v>-24552.19</v>
      </c>
      <c r="AQ288" s="186">
        <v>-24212.49</v>
      </c>
      <c r="AR288" s="186">
        <v>-26664.85</v>
      </c>
      <c r="AS288" s="186">
        <v>-47651.66</v>
      </c>
      <c r="AT288" s="186">
        <v>-29913.58</v>
      </c>
      <c r="AU288" s="186">
        <v>-25581.22</v>
      </c>
      <c r="AV288" s="186">
        <v>-19933.689999999999</v>
      </c>
      <c r="AW288" s="186">
        <v>-19644.93</v>
      </c>
      <c r="AX288" s="186">
        <v>-21309.85</v>
      </c>
      <c r="AY288" s="186">
        <v>-54363.02</v>
      </c>
      <c r="AZ288" s="186">
        <v>-65322.52</v>
      </c>
      <c r="BA288" s="186">
        <v>-71918.649999999994</v>
      </c>
      <c r="BB288" s="186">
        <v>-51975.82</v>
      </c>
      <c r="BC288" s="186">
        <v>-51462.84</v>
      </c>
      <c r="BD288" s="186">
        <v>-39513.949999999997</v>
      </c>
      <c r="BE288" s="186">
        <v>-15731.48</v>
      </c>
      <c r="BF288" s="186">
        <v>22764.32</v>
      </c>
      <c r="BG288" s="186">
        <v>38260.230000000003</v>
      </c>
      <c r="BH288" s="186">
        <v>30924.13</v>
      </c>
      <c r="BI288" s="186">
        <v>31213.22</v>
      </c>
      <c r="BJ288" s="186">
        <v>31597.72</v>
      </c>
      <c r="BK288" s="186">
        <v>32133.919999999998</v>
      </c>
      <c r="BL288" s="186">
        <v>9065.06</v>
      </c>
      <c r="BM288" s="186">
        <v>9475.2199999999993</v>
      </c>
      <c r="BN288" s="186">
        <v>13271.21</v>
      </c>
      <c r="BO288" s="186">
        <v>13096.47</v>
      </c>
      <c r="BP288" s="186">
        <v>9643</v>
      </c>
      <c r="BQ288" s="186">
        <v>9376.14</v>
      </c>
      <c r="BR288" s="186">
        <v>8495.84</v>
      </c>
      <c r="BS288" s="186">
        <v>7802.24</v>
      </c>
      <c r="BT288" s="186">
        <v>9164.35</v>
      </c>
      <c r="BU288" s="186">
        <v>8524.27</v>
      </c>
      <c r="BV288" s="186">
        <v>8692.27</v>
      </c>
      <c r="BW288" s="186">
        <v>8541.0400000000009</v>
      </c>
      <c r="BX288" s="186">
        <v>8754.91</v>
      </c>
      <c r="BY288" s="186">
        <v>19673.59</v>
      </c>
      <c r="BZ288" s="186">
        <v>7432.88</v>
      </c>
      <c r="CA288" s="186">
        <v>5977.53</v>
      </c>
      <c r="CB288" s="186">
        <v>6092.71</v>
      </c>
      <c r="CC288" s="186">
        <v>6112.71</v>
      </c>
      <c r="CD288" s="186">
        <v>6207.85</v>
      </c>
      <c r="CE288" s="186">
        <v>6223.81</v>
      </c>
      <c r="CF288" s="186">
        <v>-170866.85</v>
      </c>
      <c r="CG288" s="186">
        <v>-169333.29</v>
      </c>
      <c r="CH288" s="186">
        <v>6120.86</v>
      </c>
      <c r="CI288" s="186">
        <v>7449.96</v>
      </c>
      <c r="CJ288" s="186">
        <v>7936.82</v>
      </c>
      <c r="CK288" s="186">
        <v>6881.62</v>
      </c>
      <c r="CL288" s="186">
        <v>6759.86</v>
      </c>
      <c r="CM288" s="186">
        <v>6850.68</v>
      </c>
      <c r="CN288" s="186">
        <v>8416.7099999999991</v>
      </c>
      <c r="CO288" s="186">
        <v>9147.41</v>
      </c>
      <c r="CP288" s="186">
        <v>8908.7999999999993</v>
      </c>
      <c r="CQ288" s="186">
        <v>10458.77</v>
      </c>
      <c r="CR288" s="186">
        <v>11563.42</v>
      </c>
      <c r="CS288" s="186">
        <v>11617.43</v>
      </c>
      <c r="CT288" s="186">
        <v>11444.17</v>
      </c>
      <c r="CU288" s="186">
        <v>11444.17</v>
      </c>
      <c r="CV288" s="186">
        <v>13830.45</v>
      </c>
    </row>
    <row r="289" spans="1:100">
      <c r="A289" s="541" t="str">
        <f t="shared" si="4"/>
        <v>2420320</v>
      </c>
      <c r="B289" s="541" t="s">
        <v>889</v>
      </c>
      <c r="C289" s="463" t="s">
        <v>804</v>
      </c>
      <c r="D289" s="397">
        <v>-302569.92</v>
      </c>
      <c r="E289" s="397">
        <v>-312171.84000000003</v>
      </c>
      <c r="F289" s="397">
        <v>-331738.90999999997</v>
      </c>
      <c r="G289" s="397">
        <v>-331508.38</v>
      </c>
      <c r="H289" s="397">
        <v>-165194.48000000001</v>
      </c>
      <c r="I289" s="397">
        <v>-192986.12</v>
      </c>
      <c r="J289" s="397">
        <v>-247552.17</v>
      </c>
      <c r="K289" s="397">
        <v>-271910.36</v>
      </c>
      <c r="L289" s="397">
        <v>-329603.55</v>
      </c>
      <c r="M289" s="397">
        <v>-380326.63</v>
      </c>
      <c r="N289" s="397">
        <v>-415146.67</v>
      </c>
      <c r="O289" s="397">
        <v>-448408.34</v>
      </c>
      <c r="P289" s="398">
        <v>-466800.7</v>
      </c>
      <c r="Q289" s="186">
        <v>-490503.51</v>
      </c>
      <c r="R289" s="186">
        <v>-511234.33</v>
      </c>
      <c r="S289" s="186">
        <v>-388939.91</v>
      </c>
      <c r="T289" s="186">
        <v>-195786.79</v>
      </c>
      <c r="U289" s="186">
        <v>-220421.81</v>
      </c>
      <c r="V289" s="186">
        <v>-236522.82</v>
      </c>
      <c r="W289" s="186">
        <v>-256680.61</v>
      </c>
      <c r="X289" s="186">
        <v>-280266.39</v>
      </c>
      <c r="Y289" s="186">
        <v>-290436.69</v>
      </c>
      <c r="Z289" s="186">
        <v>-308514.78999999998</v>
      </c>
      <c r="AA289" s="186">
        <v>-329891.71999999997</v>
      </c>
      <c r="AB289" s="186">
        <v>-365719.26</v>
      </c>
      <c r="AC289" s="186">
        <v>-390410.62</v>
      </c>
      <c r="AD289" s="186">
        <v>-427488.39</v>
      </c>
      <c r="AE289" s="186">
        <v>-466543.16</v>
      </c>
      <c r="AF289" s="186">
        <v>-303496.15000000002</v>
      </c>
      <c r="AG289" s="186">
        <v>-291445.05</v>
      </c>
      <c r="AH289" s="186">
        <v>-315498.03000000003</v>
      </c>
      <c r="AI289" s="186">
        <v>-336287.38</v>
      </c>
      <c r="AJ289" s="186">
        <v>-349958.75</v>
      </c>
      <c r="AK289" s="186">
        <v>-372545.91</v>
      </c>
      <c r="AL289" s="186">
        <v>-396229.49</v>
      </c>
      <c r="AM289" s="186">
        <v>-416775.27</v>
      </c>
      <c r="AN289" s="186">
        <v>-482361.27</v>
      </c>
      <c r="AO289" s="186">
        <v>-506090.03</v>
      </c>
      <c r="AP289" s="186">
        <v>-516851.91</v>
      </c>
      <c r="AQ289" s="186">
        <v>-551193.87</v>
      </c>
      <c r="AR289" s="186">
        <v>-337570.55</v>
      </c>
      <c r="AS289" s="186">
        <v>-364789.51</v>
      </c>
      <c r="AT289" s="186">
        <v>-425142.54</v>
      </c>
      <c r="AU289" s="186">
        <v>-424704.19</v>
      </c>
      <c r="AV289" s="186">
        <v>-472308.27</v>
      </c>
      <c r="AW289" s="186">
        <v>-470344.99</v>
      </c>
      <c r="AX289" s="186">
        <v>-467290.38</v>
      </c>
      <c r="AY289" s="186">
        <v>-467235.2</v>
      </c>
      <c r="AZ289" s="186">
        <v>-418234.14</v>
      </c>
      <c r="BA289" s="186">
        <v>-418296.14</v>
      </c>
      <c r="BB289" s="186">
        <v>-420274.7</v>
      </c>
      <c r="BC289" s="186">
        <v>-398136.99</v>
      </c>
      <c r="BD289" s="186">
        <v>-18499.89</v>
      </c>
      <c r="BE289" s="186">
        <v>-17967.82</v>
      </c>
      <c r="BF289" s="186">
        <v>-11903.78</v>
      </c>
      <c r="BG289" s="186">
        <v>-11903.78</v>
      </c>
      <c r="BH289" s="186">
        <v>-11931.76</v>
      </c>
      <c r="BI289" s="186">
        <v>-10165.129999999999</v>
      </c>
      <c r="BJ289" s="186">
        <v>-553.21</v>
      </c>
      <c r="BK289" s="186">
        <v>-553.21</v>
      </c>
      <c r="BL289" s="186">
        <v>-553.21</v>
      </c>
      <c r="BM289" s="186">
        <v>-553.21</v>
      </c>
      <c r="BN289" s="186">
        <v>-525.23</v>
      </c>
      <c r="BO289" s="186">
        <v>-525.23</v>
      </c>
      <c r="BP289" s="186">
        <v>2265.12</v>
      </c>
      <c r="BQ289" s="186">
        <v>-1221.72</v>
      </c>
      <c r="BR289" s="186">
        <v>-1444.63</v>
      </c>
      <c r="BS289" s="186">
        <v>-1444.63</v>
      </c>
      <c r="BT289" s="186">
        <v>-4159.63</v>
      </c>
      <c r="BU289" s="186">
        <v>2374.96</v>
      </c>
      <c r="BV289" s="186">
        <v>-2050.04</v>
      </c>
      <c r="BW289" s="186">
        <v>-5948.6</v>
      </c>
      <c r="BX289" s="186">
        <v>-5948.6</v>
      </c>
      <c r="BY289" s="186">
        <v>-5948.6</v>
      </c>
      <c r="BZ289" s="186">
        <v>-7548.6</v>
      </c>
      <c r="CA289" s="186">
        <v>-37371.17</v>
      </c>
      <c r="CB289" s="186">
        <v>-37371.17</v>
      </c>
      <c r="CC289" s="186">
        <v>-32093.11</v>
      </c>
      <c r="CD289" s="186">
        <v>-31462.92</v>
      </c>
      <c r="CE289" s="186">
        <v>-31204.12</v>
      </c>
      <c r="CF289" s="186">
        <v>-34579.120000000003</v>
      </c>
      <c r="CG289" s="186">
        <v>-28951.68</v>
      </c>
      <c r="CH289" s="186">
        <v>-26570.02</v>
      </c>
      <c r="CI289" s="186">
        <v>-26570.02</v>
      </c>
      <c r="CJ289" s="186">
        <v>-26425.13</v>
      </c>
      <c r="CK289" s="186">
        <v>-35625.129999999997</v>
      </c>
      <c r="CL289" s="186">
        <v>-49118.73</v>
      </c>
      <c r="CM289" s="186">
        <v>-48930.61</v>
      </c>
      <c r="CN289" s="186">
        <v>-48868.66</v>
      </c>
      <c r="CO289" s="186">
        <v>-46580.42</v>
      </c>
      <c r="CP289" s="186">
        <v>-47880.42</v>
      </c>
      <c r="CQ289" s="186">
        <v>-48230.42</v>
      </c>
      <c r="CR289" s="186">
        <v>-48230.42</v>
      </c>
      <c r="CS289" s="186">
        <v>-48230.42</v>
      </c>
      <c r="CT289" s="186">
        <v>-51395.89</v>
      </c>
      <c r="CU289" s="186">
        <v>-51289.39</v>
      </c>
      <c r="CV289" s="186">
        <v>-51289.39</v>
      </c>
    </row>
    <row r="290" spans="1:100">
      <c r="A290" s="541" t="str">
        <f t="shared" si="4"/>
        <v>2420321</v>
      </c>
      <c r="B290" s="541" t="s">
        <v>939</v>
      </c>
      <c r="C290" s="463" t="s">
        <v>805</v>
      </c>
      <c r="D290" s="397">
        <v>-40439944</v>
      </c>
      <c r="E290" s="397">
        <v>-40439944</v>
      </c>
      <c r="F290" s="397">
        <v>-40439944</v>
      </c>
      <c r="G290" s="397">
        <v>-38439944</v>
      </c>
      <c r="H290" s="397">
        <v>-38439944</v>
      </c>
      <c r="I290" s="397">
        <v>-38439944</v>
      </c>
      <c r="J290" s="397">
        <v>-35939944</v>
      </c>
      <c r="K290" s="397">
        <v>-35939944</v>
      </c>
      <c r="L290" s="397">
        <v>-35939944</v>
      </c>
      <c r="M290" s="397">
        <v>-33284401</v>
      </c>
      <c r="N290" s="397">
        <v>-33284401</v>
      </c>
      <c r="O290" s="397">
        <v>-33284401</v>
      </c>
      <c r="P290" s="398">
        <v>-33295565</v>
      </c>
      <c r="Q290" s="186">
        <v>-33295565</v>
      </c>
      <c r="R290" s="186">
        <v>-33295565</v>
      </c>
      <c r="S290" s="186">
        <v>-33295565</v>
      </c>
      <c r="T290" s="186">
        <v>-33295565</v>
      </c>
      <c r="U290" s="186">
        <v>-33295565</v>
      </c>
      <c r="V290" s="186">
        <v>-33295565</v>
      </c>
      <c r="W290" s="186">
        <v>-33295565</v>
      </c>
      <c r="X290" s="186">
        <v>-33295565</v>
      </c>
      <c r="Y290" s="186">
        <v>-33295565</v>
      </c>
      <c r="Z290" s="186">
        <v>-33295565</v>
      </c>
      <c r="AA290" s="186">
        <v>-33295565</v>
      </c>
      <c r="AB290" s="186">
        <v>-33938077</v>
      </c>
      <c r="AC290" s="186">
        <v>-33938077</v>
      </c>
      <c r="AD290" s="186">
        <v>-33938077</v>
      </c>
      <c r="AE290" s="186">
        <v>-33938077</v>
      </c>
      <c r="AF290" s="186">
        <v>-33938077</v>
      </c>
      <c r="AG290" s="186">
        <v>-33938077</v>
      </c>
      <c r="AH290" s="186">
        <v>-33938077</v>
      </c>
      <c r="AI290" s="186">
        <v>-33938077</v>
      </c>
      <c r="AJ290" s="186">
        <v>-33938077</v>
      </c>
      <c r="AK290" s="186">
        <v>-33938077</v>
      </c>
      <c r="AL290" s="186">
        <v>-33938077</v>
      </c>
      <c r="AM290" s="186">
        <v>-33938077</v>
      </c>
      <c r="AN290" s="186">
        <v>-31563329</v>
      </c>
      <c r="AO290" s="186">
        <v>-31563329</v>
      </c>
      <c r="AP290" s="186">
        <v>-31563329</v>
      </c>
      <c r="AQ290" s="186">
        <v>-30390812</v>
      </c>
      <c r="AR290" s="186">
        <v>-30390812</v>
      </c>
      <c r="AS290" s="186">
        <v>-30390812</v>
      </c>
      <c r="AT290" s="186">
        <v>-30390812</v>
      </c>
      <c r="AU290" s="186">
        <v>-30390812</v>
      </c>
      <c r="AV290" s="186">
        <v>-30390812</v>
      </c>
      <c r="AW290" s="186">
        <v>-30390812</v>
      </c>
      <c r="AX290" s="186">
        <v>-30390812</v>
      </c>
      <c r="AY290" s="186">
        <v>-30390812</v>
      </c>
      <c r="AZ290" s="186">
        <v>-30039284</v>
      </c>
      <c r="BA290" s="186">
        <v>-30039284</v>
      </c>
      <c r="BB290" s="186">
        <v>-30039284</v>
      </c>
      <c r="BC290" s="186">
        <v>-27963655</v>
      </c>
      <c r="BD290" s="186">
        <v>-27963655</v>
      </c>
      <c r="BE290" s="186">
        <v>-27963655</v>
      </c>
      <c r="BF290" s="186">
        <v>-27963655</v>
      </c>
      <c r="BG290" s="186">
        <v>-27963655</v>
      </c>
      <c r="BH290" s="186">
        <v>-27963655</v>
      </c>
      <c r="BI290" s="186">
        <v>-27963655</v>
      </c>
      <c r="BJ290" s="186">
        <v>-27963655</v>
      </c>
      <c r="BK290" s="186">
        <v>-27963655</v>
      </c>
      <c r="BL290" s="186">
        <v>-27962095</v>
      </c>
      <c r="BM290" s="186">
        <v>-27962095</v>
      </c>
      <c r="BN290" s="186">
        <v>-27962095</v>
      </c>
      <c r="BO290" s="186">
        <v>-27962095</v>
      </c>
      <c r="BP290" s="186">
        <v>-27962095</v>
      </c>
      <c r="BQ290" s="186">
        <v>-27962095</v>
      </c>
      <c r="BR290" s="186">
        <v>-27962095</v>
      </c>
      <c r="BS290" s="186">
        <v>-27962095</v>
      </c>
      <c r="BT290" s="186">
        <v>-27962095</v>
      </c>
      <c r="BU290" s="186">
        <v>-27962095</v>
      </c>
      <c r="BV290" s="186">
        <v>-27962095</v>
      </c>
      <c r="BW290" s="186">
        <v>-27962095</v>
      </c>
      <c r="BX290" s="186">
        <v>-20805063</v>
      </c>
      <c r="BY290" s="186">
        <v>-20805063</v>
      </c>
      <c r="BZ290" s="186">
        <v>-20805063</v>
      </c>
      <c r="CA290" s="186">
        <v>-20805063</v>
      </c>
      <c r="CB290" s="186">
        <v>-20805063</v>
      </c>
      <c r="CC290" s="186">
        <v>-20805063</v>
      </c>
      <c r="CD290" s="186">
        <v>-20805063</v>
      </c>
      <c r="CE290" s="186">
        <v>-20805063</v>
      </c>
      <c r="CF290" s="186">
        <v>-20805063</v>
      </c>
      <c r="CG290" s="186">
        <v>-20805063</v>
      </c>
      <c r="CH290" s="186">
        <v>-20805063</v>
      </c>
      <c r="CI290" s="186">
        <v>-20805063</v>
      </c>
      <c r="CJ290" s="186">
        <v>-17404076</v>
      </c>
      <c r="CK290" s="186">
        <v>-17404076</v>
      </c>
      <c r="CL290" s="186">
        <v>-17404076</v>
      </c>
      <c r="CM290" s="186">
        <v>-17404076</v>
      </c>
      <c r="CN290" s="186">
        <v>-17404076</v>
      </c>
      <c r="CO290" s="186">
        <v>-17404076</v>
      </c>
      <c r="CP290" s="186">
        <v>-17404076</v>
      </c>
      <c r="CQ290" s="186">
        <v>-17404076</v>
      </c>
      <c r="CR290" s="186">
        <v>-17404076</v>
      </c>
      <c r="CS290" s="186">
        <v>-17404076</v>
      </c>
      <c r="CT290" s="186">
        <v>-17404076</v>
      </c>
      <c r="CU290" s="186">
        <v>-17404076</v>
      </c>
      <c r="CV290" s="186">
        <v>-13903851</v>
      </c>
    </row>
    <row r="291" spans="1:100">
      <c r="A291" s="541" t="str">
        <f t="shared" si="4"/>
        <v>2420800</v>
      </c>
      <c r="B291" s="541" t="s">
        <v>928</v>
      </c>
      <c r="C291" s="463" t="s">
        <v>806</v>
      </c>
      <c r="D291" s="397">
        <v>-170911</v>
      </c>
      <c r="E291" s="397">
        <v>-181124.67</v>
      </c>
      <c r="F291" s="397">
        <v>-181134.83</v>
      </c>
      <c r="G291" s="397">
        <v>-193663.47</v>
      </c>
      <c r="H291" s="397">
        <v>-200172.17</v>
      </c>
      <c r="I291" s="397">
        <v>-206680.59</v>
      </c>
      <c r="J291" s="397">
        <v>-42383.88</v>
      </c>
      <c r="K291" s="397">
        <v>-48883.88</v>
      </c>
      <c r="L291" s="397">
        <v>-89697.94</v>
      </c>
      <c r="M291" s="397">
        <v>-89697.94</v>
      </c>
      <c r="N291" s="397">
        <v>-89697.94</v>
      </c>
      <c r="O291" s="397">
        <v>-89697.94</v>
      </c>
      <c r="P291" s="398">
        <v>-89697.94</v>
      </c>
      <c r="Q291" s="186">
        <v>-89697.94</v>
      </c>
      <c r="R291" s="186">
        <v>-89697.94</v>
      </c>
      <c r="S291" s="186">
        <v>-91514.22</v>
      </c>
      <c r="T291" s="186">
        <v>-91514.22</v>
      </c>
      <c r="U291" s="186">
        <v>-91514.22</v>
      </c>
      <c r="V291" s="186">
        <v>-91514.22</v>
      </c>
      <c r="W291" s="186">
        <v>-121914.22</v>
      </c>
      <c r="X291" s="186">
        <v>-121914.22</v>
      </c>
      <c r="Y291" s="186">
        <v>-121914.22</v>
      </c>
      <c r="Z291" s="186">
        <v>-132328.28</v>
      </c>
      <c r="AA291" s="186">
        <v>-132328.28</v>
      </c>
      <c r="AB291" s="186">
        <v>-1132328.28</v>
      </c>
      <c r="AC291" s="186">
        <v>-1132328.28</v>
      </c>
      <c r="AD291" s="186">
        <v>-1132328.28</v>
      </c>
      <c r="AE291" s="186">
        <v>-3133549.71</v>
      </c>
      <c r="AF291" s="186">
        <v>-3133549.71</v>
      </c>
      <c r="AG291" s="186">
        <v>-2133549.71</v>
      </c>
      <c r="AH291" s="186">
        <v>-133549.71</v>
      </c>
      <c r="AI291" s="186">
        <v>-133549.71</v>
      </c>
      <c r="AJ291" s="186">
        <v>-174363.77</v>
      </c>
      <c r="AK291" s="186">
        <v>-174363.77</v>
      </c>
      <c r="AL291" s="186">
        <v>-174363.77</v>
      </c>
      <c r="AM291" s="186">
        <v>-174363.77</v>
      </c>
      <c r="AN291" s="186">
        <v>-174363.77</v>
      </c>
      <c r="AO291" s="186">
        <v>-174363.77</v>
      </c>
      <c r="AP291" s="186">
        <v>-175930.55</v>
      </c>
      <c r="AQ291" s="186">
        <v>-175930.55</v>
      </c>
      <c r="AR291" s="186">
        <v>-175930.55</v>
      </c>
      <c r="AS291" s="186">
        <v>-175930.55</v>
      </c>
      <c r="AT291" s="186">
        <v>-175930.55</v>
      </c>
      <c r="AU291" s="186">
        <v>-175930.55</v>
      </c>
      <c r="AV291" s="186">
        <v>-175930.55</v>
      </c>
      <c r="AW291" s="186">
        <v>-175930.55</v>
      </c>
      <c r="AX291" s="186">
        <v>-228446.58</v>
      </c>
      <c r="AY291" s="186">
        <v>-228446.58</v>
      </c>
      <c r="AZ291" s="186">
        <v>-228446.58</v>
      </c>
      <c r="BA291" s="186">
        <v>-228446.58</v>
      </c>
      <c r="BB291" s="186">
        <v>-228446.58</v>
      </c>
      <c r="BC291" s="186">
        <v>-229330.55</v>
      </c>
      <c r="BD291" s="186">
        <v>-229330.55</v>
      </c>
      <c r="BE291" s="186">
        <v>-229330.55</v>
      </c>
      <c r="BF291" s="186">
        <v>-229330.55</v>
      </c>
      <c r="BG291" s="186">
        <v>-229330.55</v>
      </c>
      <c r="BH291" s="186">
        <v>-229330.55</v>
      </c>
      <c r="BI291" s="186">
        <v>-229330.55</v>
      </c>
      <c r="BJ291" s="186">
        <v>-36160</v>
      </c>
      <c r="BK291" s="186">
        <v>-36160</v>
      </c>
      <c r="BL291" s="186">
        <v>-36160</v>
      </c>
      <c r="BM291" s="186">
        <v>-97777.95</v>
      </c>
      <c r="BN291" s="186">
        <v>-102139.46</v>
      </c>
      <c r="BO291" s="186">
        <v>-102139.46</v>
      </c>
      <c r="BP291" s="186">
        <v>-102139.46</v>
      </c>
      <c r="BQ291" s="186">
        <v>-102139.46</v>
      </c>
      <c r="BR291" s="186">
        <v>-102139.46</v>
      </c>
      <c r="BS291" s="186">
        <v>-102139.46</v>
      </c>
      <c r="BT291" s="186">
        <v>-102139.46</v>
      </c>
      <c r="BU291" s="186">
        <v>-102139.46</v>
      </c>
      <c r="BV291" s="186">
        <v>-102139.46</v>
      </c>
      <c r="BW291" s="186">
        <v>-102139.46</v>
      </c>
      <c r="BX291" s="186">
        <v>-102139.46</v>
      </c>
      <c r="BY291" s="186">
        <v>-102139.46</v>
      </c>
      <c r="BZ291" s="186">
        <v>-181060.46</v>
      </c>
      <c r="CA291" s="186">
        <v>-181060.46</v>
      </c>
      <c r="CB291" s="186">
        <v>-181060.46</v>
      </c>
      <c r="CC291" s="186">
        <v>-181060.46</v>
      </c>
      <c r="CD291" s="186">
        <v>-181060.46</v>
      </c>
      <c r="CE291" s="186">
        <v>-181060.46</v>
      </c>
      <c r="CF291" s="186">
        <v>-181060.46</v>
      </c>
      <c r="CG291" s="186">
        <v>-181060.46</v>
      </c>
      <c r="CH291" s="186">
        <v>-181060.46</v>
      </c>
      <c r="CI291" s="186">
        <v>-181060.46</v>
      </c>
      <c r="CJ291" s="186">
        <v>-181060.46</v>
      </c>
      <c r="CK291" s="186">
        <v>-181060.46</v>
      </c>
      <c r="CL291" s="186">
        <v>-181060.46</v>
      </c>
      <c r="CM291" s="186">
        <v>-261025.46</v>
      </c>
      <c r="CN291" s="186">
        <v>-261025.46</v>
      </c>
      <c r="CO291" s="186">
        <v>-261025.46</v>
      </c>
      <c r="CP291" s="186">
        <v>-261025.46</v>
      </c>
      <c r="CQ291" s="186">
        <v>-261025.46</v>
      </c>
      <c r="CR291" s="186">
        <v>-261025.46</v>
      </c>
      <c r="CS291" s="186">
        <v>-261025.46</v>
      </c>
      <c r="CT291" s="186">
        <v>-261025.46</v>
      </c>
      <c r="CU291" s="186">
        <v>-261025.46</v>
      </c>
      <c r="CV291" s="186">
        <v>-261025.46</v>
      </c>
    </row>
    <row r="292" spans="1:100">
      <c r="A292" s="541" t="str">
        <f t="shared" si="4"/>
        <v>2450100</v>
      </c>
      <c r="B292" s="541" t="s">
        <v>902</v>
      </c>
      <c r="C292" s="463" t="s">
        <v>807</v>
      </c>
      <c r="D292" s="397">
        <v>-7120</v>
      </c>
      <c r="E292" s="397">
        <v>0</v>
      </c>
      <c r="F292" s="397">
        <v>0</v>
      </c>
      <c r="G292" s="397">
        <v>0</v>
      </c>
      <c r="H292" s="397">
        <v>0</v>
      </c>
      <c r="I292" s="397">
        <v>-38715</v>
      </c>
      <c r="J292" s="397">
        <v>-128875</v>
      </c>
      <c r="K292" s="397">
        <v>-2468590</v>
      </c>
      <c r="L292" s="397">
        <v>-1173365</v>
      </c>
      <c r="M292" s="397">
        <v>-1223070</v>
      </c>
      <c r="N292" s="397">
        <v>-2881650</v>
      </c>
      <c r="O292" s="397">
        <v>-2014370</v>
      </c>
      <c r="P292" s="398">
        <v>-7392240</v>
      </c>
      <c r="Q292" s="186">
        <v>-7790065</v>
      </c>
      <c r="R292" s="186">
        <v>-6393740</v>
      </c>
      <c r="S292" s="186">
        <v>-6342450</v>
      </c>
      <c r="T292" s="186">
        <v>-5637320</v>
      </c>
      <c r="U292" s="186">
        <v>-5755855</v>
      </c>
      <c r="V292" s="186">
        <v>-4880205</v>
      </c>
      <c r="W292" s="186">
        <v>-4858745</v>
      </c>
      <c r="X292" s="186">
        <v>-5110565</v>
      </c>
      <c r="Y292" s="186">
        <v>-5737865</v>
      </c>
      <c r="Z292" s="186">
        <v>-7190665</v>
      </c>
      <c r="AA292" s="186">
        <v>-7185065</v>
      </c>
      <c r="AB292" s="186">
        <v>-5677115</v>
      </c>
      <c r="AC292" s="186">
        <v>-4421245</v>
      </c>
      <c r="AD292" s="186">
        <v>-5029175</v>
      </c>
      <c r="AE292" s="186">
        <v>-3317630</v>
      </c>
      <c r="AF292" s="186">
        <v>-1955540</v>
      </c>
      <c r="AG292" s="186">
        <v>-1672795</v>
      </c>
      <c r="AH292" s="186">
        <v>-343605</v>
      </c>
      <c r="AI292" s="186">
        <v>-334975</v>
      </c>
      <c r="AJ292" s="186">
        <v>-322945</v>
      </c>
      <c r="AK292" s="186">
        <v>-385945</v>
      </c>
      <c r="AL292" s="186">
        <v>-407985</v>
      </c>
      <c r="AM292" s="186">
        <v>-73985</v>
      </c>
      <c r="AN292" s="186">
        <v>0</v>
      </c>
      <c r="AO292" s="186">
        <v>-55450</v>
      </c>
      <c r="AP292" s="186">
        <v>-358425</v>
      </c>
      <c r="AQ292" s="186">
        <v>0</v>
      </c>
      <c r="AR292" s="186">
        <v>0</v>
      </c>
      <c r="AS292" s="186">
        <v>-3400</v>
      </c>
      <c r="AT292" s="186">
        <v>-20300</v>
      </c>
      <c r="AU292" s="186">
        <v>-132075</v>
      </c>
      <c r="AV292" s="186">
        <v>-4680</v>
      </c>
      <c r="AW292" s="186">
        <v>-9230</v>
      </c>
      <c r="AX292" s="186">
        <v>-138225</v>
      </c>
      <c r="AY292" s="186">
        <v>-60555</v>
      </c>
      <c r="AZ292" s="186">
        <v>-181065</v>
      </c>
      <c r="BA292" s="186">
        <v>-1780</v>
      </c>
      <c r="BB292" s="186">
        <v>-113125</v>
      </c>
      <c r="BC292" s="186">
        <v>-32645</v>
      </c>
      <c r="BD292" s="186">
        <v>-25690</v>
      </c>
      <c r="BE292" s="186">
        <v>0</v>
      </c>
      <c r="BF292" s="186">
        <v>-280</v>
      </c>
      <c r="BG292" s="186">
        <v>-11720</v>
      </c>
      <c r="BH292" s="186">
        <v>0</v>
      </c>
      <c r="BI292" s="186">
        <v>0</v>
      </c>
      <c r="BJ292" s="186">
        <v>0</v>
      </c>
      <c r="BK292" s="186">
        <v>0</v>
      </c>
      <c r="BL292" s="186">
        <v>0</v>
      </c>
      <c r="BM292" s="186">
        <v>0</v>
      </c>
      <c r="BN292" s="186">
        <v>0</v>
      </c>
      <c r="BO292" s="186">
        <v>0</v>
      </c>
      <c r="BP292" s="186">
        <v>0</v>
      </c>
      <c r="BQ292" s="186">
        <v>0</v>
      </c>
      <c r="BR292" s="186">
        <v>0</v>
      </c>
      <c r="BS292" s="186">
        <v>0</v>
      </c>
      <c r="BT292" s="186">
        <v>0</v>
      </c>
      <c r="BU292" s="186">
        <v>0</v>
      </c>
      <c r="BV292" s="186">
        <v>0</v>
      </c>
      <c r="BW292" s="186">
        <v>0</v>
      </c>
      <c r="BX292" s="186">
        <v>0</v>
      </c>
      <c r="BY292" s="186">
        <v>0</v>
      </c>
      <c r="BZ292" s="186">
        <v>0</v>
      </c>
      <c r="CA292" s="186">
        <v>0</v>
      </c>
      <c r="CB292" s="186">
        <v>0</v>
      </c>
      <c r="CC292" s="186">
        <v>0</v>
      </c>
      <c r="CD292" s="186">
        <v>0</v>
      </c>
      <c r="CE292" s="186">
        <v>0</v>
      </c>
      <c r="CF292" s="186">
        <v>0</v>
      </c>
      <c r="CG292" s="186">
        <v>0</v>
      </c>
      <c r="CH292" s="186">
        <v>0</v>
      </c>
      <c r="CI292" s="186">
        <v>0</v>
      </c>
      <c r="CJ292" s="186">
        <v>0</v>
      </c>
      <c r="CK292" s="186">
        <v>0</v>
      </c>
      <c r="CL292" s="186">
        <v>0</v>
      </c>
      <c r="CM292" s="186">
        <v>0</v>
      </c>
      <c r="CN292" s="186">
        <v>0</v>
      </c>
      <c r="CO292" s="186">
        <v>0</v>
      </c>
      <c r="CP292" s="186">
        <v>0</v>
      </c>
      <c r="CQ292" s="186">
        <v>0</v>
      </c>
      <c r="CR292" s="186">
        <v>0</v>
      </c>
      <c r="CS292" s="186">
        <v>0</v>
      </c>
      <c r="CT292" s="186">
        <v>0</v>
      </c>
      <c r="CU292" s="186">
        <v>0</v>
      </c>
      <c r="CV292" s="186">
        <v>0</v>
      </c>
    </row>
    <row r="293" spans="1:100">
      <c r="A293" s="541" t="str">
        <f t="shared" si="4"/>
        <v>2450200</v>
      </c>
      <c r="B293" s="541" t="s">
        <v>903</v>
      </c>
      <c r="C293" s="463" t="s">
        <v>808</v>
      </c>
      <c r="D293" s="397">
        <v>-28565</v>
      </c>
      <c r="E293" s="397">
        <v>-16835</v>
      </c>
      <c r="F293" s="397">
        <v>-11185</v>
      </c>
      <c r="G293" s="397">
        <v>-18490</v>
      </c>
      <c r="H293" s="397">
        <v>-800</v>
      </c>
      <c r="I293" s="397">
        <v>-48975</v>
      </c>
      <c r="J293" s="397">
        <v>-58765</v>
      </c>
      <c r="K293" s="397">
        <v>-780035</v>
      </c>
      <c r="L293" s="397">
        <v>-352435</v>
      </c>
      <c r="M293" s="397">
        <v>-394780</v>
      </c>
      <c r="N293" s="397">
        <v>-777250</v>
      </c>
      <c r="O293" s="397">
        <v>-688750</v>
      </c>
      <c r="P293" s="398">
        <v>-1593250</v>
      </c>
      <c r="Q293" s="186">
        <v>-1274880</v>
      </c>
      <c r="R293" s="186">
        <v>-1033930</v>
      </c>
      <c r="S293" s="186">
        <v>-879585</v>
      </c>
      <c r="T293" s="186">
        <v>-655185</v>
      </c>
      <c r="U293" s="186">
        <v>-552090</v>
      </c>
      <c r="V293" s="186">
        <v>-314130</v>
      </c>
      <c r="W293" s="186">
        <v>-359700</v>
      </c>
      <c r="X293" s="186">
        <v>-439100</v>
      </c>
      <c r="Y293" s="186">
        <v>-594500</v>
      </c>
      <c r="Z293" s="186">
        <v>-853370</v>
      </c>
      <c r="AA293" s="186">
        <v>-880470</v>
      </c>
      <c r="AB293" s="186">
        <v>-668840</v>
      </c>
      <c r="AC293" s="186">
        <v>-461890</v>
      </c>
      <c r="AD293" s="186">
        <v>-401870</v>
      </c>
      <c r="AE293" s="186">
        <v>-134920</v>
      </c>
      <c r="AF293" s="186">
        <v>-16250</v>
      </c>
      <c r="AG293" s="186">
        <v>-15820</v>
      </c>
      <c r="AH293" s="186">
        <v>0</v>
      </c>
      <c r="AI293" s="186">
        <v>0</v>
      </c>
      <c r="AJ293" s="186">
        <v>-480</v>
      </c>
      <c r="AK293" s="186">
        <v>-18320</v>
      </c>
      <c r="AL293" s="186">
        <v>-530</v>
      </c>
      <c r="AM293" s="186">
        <v>-2800</v>
      </c>
      <c r="AN293" s="186">
        <v>0</v>
      </c>
      <c r="AO293" s="186">
        <v>-600</v>
      </c>
      <c r="AP293" s="186">
        <v>-31075</v>
      </c>
      <c r="AQ293" s="186">
        <v>-4235</v>
      </c>
      <c r="AR293" s="186">
        <v>0</v>
      </c>
      <c r="AS293" s="186">
        <v>-520</v>
      </c>
      <c r="AT293" s="186">
        <v>-1980</v>
      </c>
      <c r="AU293" s="186">
        <v>-7950</v>
      </c>
      <c r="AV293" s="186">
        <v>0</v>
      </c>
      <c r="AW293" s="186">
        <v>0</v>
      </c>
      <c r="AX293" s="186">
        <v>0</v>
      </c>
      <c r="AY293" s="186">
        <v>0</v>
      </c>
      <c r="AZ293" s="186">
        <v>0</v>
      </c>
      <c r="BA293" s="186">
        <v>0</v>
      </c>
      <c r="BB293" s="186">
        <v>0</v>
      </c>
      <c r="BC293" s="186">
        <v>0</v>
      </c>
      <c r="BD293" s="186">
        <v>0</v>
      </c>
      <c r="BE293" s="186">
        <v>0</v>
      </c>
      <c r="BF293" s="186">
        <v>0</v>
      </c>
      <c r="BG293" s="186">
        <v>0</v>
      </c>
      <c r="BH293" s="186">
        <v>0</v>
      </c>
      <c r="BI293" s="186">
        <v>0</v>
      </c>
      <c r="BJ293" s="186">
        <v>0</v>
      </c>
      <c r="BK293" s="186">
        <v>0</v>
      </c>
      <c r="BL293" s="186">
        <v>0</v>
      </c>
      <c r="BM293" s="186">
        <v>0</v>
      </c>
      <c r="BN293" s="186">
        <v>0</v>
      </c>
      <c r="BO293" s="186">
        <v>0</v>
      </c>
      <c r="BP293" s="186">
        <v>0</v>
      </c>
      <c r="BQ293" s="186">
        <v>0</v>
      </c>
      <c r="BR293" s="186">
        <v>0</v>
      </c>
      <c r="BS293" s="186">
        <v>0</v>
      </c>
      <c r="BT293" s="186">
        <v>0</v>
      </c>
      <c r="BU293" s="186">
        <v>0</v>
      </c>
      <c r="BV293" s="186">
        <v>0</v>
      </c>
      <c r="BW293" s="186">
        <v>0</v>
      </c>
      <c r="BX293" s="186">
        <v>0</v>
      </c>
      <c r="BY293" s="186">
        <v>0</v>
      </c>
      <c r="BZ293" s="186">
        <v>0</v>
      </c>
      <c r="CA293" s="186">
        <v>0</v>
      </c>
      <c r="CB293" s="186">
        <v>0</v>
      </c>
      <c r="CC293" s="186">
        <v>0</v>
      </c>
      <c r="CD293" s="186">
        <v>0</v>
      </c>
      <c r="CE293" s="186">
        <v>0</v>
      </c>
      <c r="CF293" s="186">
        <v>0</v>
      </c>
      <c r="CG293" s="186">
        <v>0</v>
      </c>
      <c r="CH293" s="186">
        <v>0</v>
      </c>
      <c r="CI293" s="186">
        <v>0</v>
      </c>
      <c r="CJ293" s="186">
        <v>0</v>
      </c>
      <c r="CK293" s="186">
        <v>0</v>
      </c>
      <c r="CL293" s="186">
        <v>0</v>
      </c>
      <c r="CM293" s="186">
        <v>0</v>
      </c>
      <c r="CN293" s="186">
        <v>0</v>
      </c>
      <c r="CO293" s="186">
        <v>0</v>
      </c>
      <c r="CP293" s="186">
        <v>0</v>
      </c>
      <c r="CQ293" s="186">
        <v>0</v>
      </c>
      <c r="CR293" s="186">
        <v>0</v>
      </c>
      <c r="CS293" s="186">
        <v>0</v>
      </c>
      <c r="CT293" s="186">
        <v>0</v>
      </c>
      <c r="CU293" s="186">
        <v>0</v>
      </c>
      <c r="CV293" s="186">
        <v>0</v>
      </c>
    </row>
    <row r="294" spans="1:100">
      <c r="A294" s="541" t="str">
        <f t="shared" si="4"/>
        <v>2520000</v>
      </c>
      <c r="B294" s="541" t="s">
        <v>1670</v>
      </c>
      <c r="C294" s="463" t="s">
        <v>809</v>
      </c>
      <c r="D294" s="397">
        <v>-7564144.2999999998</v>
      </c>
      <c r="E294" s="397">
        <v>-7714348.2999999998</v>
      </c>
      <c r="F294" s="397">
        <v>-7764979.2999999998</v>
      </c>
      <c r="G294" s="397">
        <v>-7827894.2999999998</v>
      </c>
      <c r="H294" s="397">
        <v>-7873622.2999999998</v>
      </c>
      <c r="I294" s="397">
        <v>-7945592.2999999998</v>
      </c>
      <c r="J294" s="397">
        <v>-8035636.5800000001</v>
      </c>
      <c r="K294" s="397">
        <v>-8825586.5800000001</v>
      </c>
      <c r="L294" s="397">
        <v>-8912566.5800000001</v>
      </c>
      <c r="M294" s="397">
        <v>-8955974.0800000001</v>
      </c>
      <c r="N294" s="397">
        <v>-9024982</v>
      </c>
      <c r="O294" s="397">
        <v>-9822978</v>
      </c>
      <c r="P294" s="398">
        <v>-9842365</v>
      </c>
      <c r="Q294" s="186">
        <v>-9944960.2400000002</v>
      </c>
      <c r="R294" s="186">
        <v>-10017496.24</v>
      </c>
      <c r="S294" s="186">
        <v>-10092194.59</v>
      </c>
      <c r="T294" s="186">
        <v>-10903349.59</v>
      </c>
      <c r="U294" s="186">
        <v>-11184513.59</v>
      </c>
      <c r="V294" s="186">
        <v>-11269305.109999999</v>
      </c>
      <c r="W294" s="186">
        <v>-11293093.109999999</v>
      </c>
      <c r="X294" s="186">
        <v>-11468225.109999999</v>
      </c>
      <c r="Y294" s="186">
        <v>-11498118.130000001</v>
      </c>
      <c r="Z294" s="186">
        <v>-11549763.130000001</v>
      </c>
      <c r="AA294" s="186">
        <v>-11593557.449999999</v>
      </c>
      <c r="AB294" s="186">
        <v>-11625385.449999999</v>
      </c>
      <c r="AC294" s="186">
        <v>-11656524.449999999</v>
      </c>
      <c r="AD294" s="186">
        <v>-11952660.460000001</v>
      </c>
      <c r="AE294" s="186">
        <v>-11992238.460000001</v>
      </c>
      <c r="AF294" s="186">
        <v>-12090722.460000001</v>
      </c>
      <c r="AG294" s="186">
        <v>-12161249.460000001</v>
      </c>
      <c r="AH294" s="186">
        <v>-12372744.460000001</v>
      </c>
      <c r="AI294" s="186">
        <v>-12480523.460000001</v>
      </c>
      <c r="AJ294" s="186">
        <v>-12590723.460000001</v>
      </c>
      <c r="AK294" s="186">
        <v>-12662933.039999999</v>
      </c>
      <c r="AL294" s="186">
        <v>-12745836.039999999</v>
      </c>
      <c r="AM294" s="186">
        <v>-12438231.640000001</v>
      </c>
      <c r="AN294" s="186">
        <v>-12639677.640000001</v>
      </c>
      <c r="AO294" s="186">
        <v>-12165105.75</v>
      </c>
      <c r="AP294" s="186">
        <v>-12044118.57</v>
      </c>
      <c r="AQ294" s="186">
        <v>-12174977.210000001</v>
      </c>
      <c r="AR294" s="186">
        <v>-12309216.210000001</v>
      </c>
      <c r="AS294" s="186">
        <v>-12446195.210000001</v>
      </c>
      <c r="AT294" s="186">
        <v>-11296197.34</v>
      </c>
      <c r="AU294" s="186">
        <v>-9914451.8699999992</v>
      </c>
      <c r="AV294" s="186">
        <v>-9831064.5199999996</v>
      </c>
      <c r="AW294" s="186">
        <v>-9936897.5199999996</v>
      </c>
      <c r="AX294" s="186">
        <v>-10007435.52</v>
      </c>
      <c r="AY294" s="186">
        <v>-10047282.52</v>
      </c>
      <c r="AZ294" s="186">
        <v>-9607066.0800000001</v>
      </c>
      <c r="BA294" s="186">
        <v>-9573848.2899999991</v>
      </c>
      <c r="BB294" s="186">
        <v>-9728965.2899999991</v>
      </c>
      <c r="BC294" s="186">
        <v>-9807070.2899999991</v>
      </c>
      <c r="BD294" s="186">
        <v>-9950721.1799999997</v>
      </c>
      <c r="BE294" s="186">
        <v>-10073247.18</v>
      </c>
      <c r="BF294" s="186">
        <v>-10218869.18</v>
      </c>
      <c r="BG294" s="186">
        <v>-9921752.1600000001</v>
      </c>
      <c r="BH294" s="186">
        <v>-10073764.16</v>
      </c>
      <c r="BI294" s="186">
        <v>-10228447.51</v>
      </c>
      <c r="BJ294" s="186">
        <v>-10362898.27</v>
      </c>
      <c r="BK294" s="186">
        <v>-10539340.27</v>
      </c>
      <c r="BL294" s="186">
        <v>-10634955.27</v>
      </c>
      <c r="BM294" s="186">
        <v>-10826694.27</v>
      </c>
      <c r="BN294" s="186">
        <v>-11003766.27</v>
      </c>
      <c r="BO294" s="186">
        <v>-11120203.27</v>
      </c>
      <c r="BP294" s="186">
        <v>-11325462.27</v>
      </c>
      <c r="BQ294" s="186">
        <v>-11511792.27</v>
      </c>
      <c r="BR294" s="186">
        <v>-11785480.27</v>
      </c>
      <c r="BS294" s="186">
        <v>-11862644.27</v>
      </c>
      <c r="BT294" s="186">
        <v>-12925400.09</v>
      </c>
      <c r="BU294" s="186">
        <v>-12405990.039999999</v>
      </c>
      <c r="BV294" s="186">
        <v>-12710800.039999999</v>
      </c>
      <c r="BW294" s="186">
        <v>-12794821.32</v>
      </c>
      <c r="BX294" s="186">
        <v>-12952701.32</v>
      </c>
      <c r="BY294" s="186">
        <v>-13089078.98</v>
      </c>
      <c r="BZ294" s="186">
        <v>-13337566.98</v>
      </c>
      <c r="CA294" s="186">
        <v>-13479083.98</v>
      </c>
      <c r="CB294" s="186">
        <v>-13776579.98</v>
      </c>
      <c r="CC294" s="186">
        <v>-13915894.98</v>
      </c>
      <c r="CD294" s="186">
        <v>-14332008.98</v>
      </c>
      <c r="CE294" s="186">
        <v>-14545070.98</v>
      </c>
      <c r="CF294" s="186">
        <v>-14664981.98</v>
      </c>
      <c r="CG294" s="186">
        <v>-14788227.98</v>
      </c>
      <c r="CH294" s="186">
        <v>-14958396.98</v>
      </c>
      <c r="CI294" s="186">
        <v>-15370480.98</v>
      </c>
      <c r="CJ294" s="186">
        <v>-15681265.48</v>
      </c>
      <c r="CK294" s="186">
        <v>-15814281.48</v>
      </c>
      <c r="CL294" s="186">
        <v>-15923750.48</v>
      </c>
      <c r="CM294" s="186">
        <v>-16390079.48</v>
      </c>
      <c r="CN294" s="186">
        <v>-16722185.960000001</v>
      </c>
      <c r="CO294" s="186">
        <v>-16873568.960000001</v>
      </c>
      <c r="CP294" s="186">
        <v>-17005221.239999998</v>
      </c>
      <c r="CQ294" s="186">
        <v>-17164304.239999998</v>
      </c>
      <c r="CR294" s="186">
        <v>-17243754.239999998</v>
      </c>
      <c r="CS294" s="186">
        <v>-17573631.640000001</v>
      </c>
      <c r="CT294" s="186">
        <v>-17895821.640000001</v>
      </c>
      <c r="CU294" s="186">
        <v>-18117211.640000001</v>
      </c>
      <c r="CV294" s="186">
        <v>-18210107.640000001</v>
      </c>
    </row>
    <row r="295" spans="1:100">
      <c r="A295" s="541" t="str">
        <f>+B295</f>
        <v>2530110</v>
      </c>
      <c r="B295" s="541" t="s">
        <v>2235</v>
      </c>
      <c r="C295" s="463" t="s">
        <v>2236</v>
      </c>
      <c r="D295" s="397"/>
      <c r="E295" s="397"/>
      <c r="F295" s="397"/>
      <c r="G295" s="397"/>
      <c r="H295" s="397"/>
      <c r="I295" s="397"/>
      <c r="J295" s="397"/>
      <c r="K295" s="397"/>
      <c r="L295" s="397"/>
      <c r="M295" s="397"/>
      <c r="N295" s="397"/>
      <c r="O295" s="397"/>
      <c r="P295" s="398"/>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v>0</v>
      </c>
      <c r="BE295" s="186">
        <v>-10000</v>
      </c>
      <c r="BF295" s="186">
        <v>-10000</v>
      </c>
      <c r="BG295" s="186">
        <v>-10000</v>
      </c>
      <c r="BH295" s="186">
        <v>-10000</v>
      </c>
      <c r="BI295" s="186">
        <v>-10000</v>
      </c>
      <c r="BJ295" s="186">
        <v>-10000</v>
      </c>
      <c r="BK295" s="186">
        <v>-10000</v>
      </c>
      <c r="BL295" s="186">
        <v>-10000</v>
      </c>
      <c r="BM295" s="186">
        <v>-10000</v>
      </c>
      <c r="BN295" s="186">
        <v>-10000</v>
      </c>
      <c r="BO295" s="186">
        <v>-10000</v>
      </c>
      <c r="BP295" s="186">
        <v>0</v>
      </c>
      <c r="BQ295" s="186">
        <v>0</v>
      </c>
      <c r="BR295" s="186">
        <v>0</v>
      </c>
      <c r="BS295" s="186">
        <v>0</v>
      </c>
      <c r="BT295" s="186">
        <v>0</v>
      </c>
      <c r="BU295" s="186">
        <v>0</v>
      </c>
      <c r="BV295" s="186">
        <v>0</v>
      </c>
      <c r="BW295" s="186">
        <v>0</v>
      </c>
      <c r="BX295" s="186">
        <v>0</v>
      </c>
      <c r="BY295" s="186">
        <v>0</v>
      </c>
      <c r="BZ295" s="186">
        <v>0</v>
      </c>
      <c r="CA295" s="186">
        <v>0</v>
      </c>
      <c r="CB295" s="186">
        <v>0</v>
      </c>
      <c r="CC295" s="186">
        <v>0</v>
      </c>
      <c r="CD295" s="186">
        <v>0</v>
      </c>
      <c r="CE295" s="186">
        <v>0</v>
      </c>
      <c r="CF295" s="186">
        <v>0</v>
      </c>
      <c r="CG295" s="186">
        <v>0</v>
      </c>
      <c r="CH295" s="186">
        <v>0</v>
      </c>
      <c r="CI295" s="186">
        <v>0</v>
      </c>
      <c r="CJ295" s="186">
        <v>0</v>
      </c>
      <c r="CK295" s="186">
        <v>0</v>
      </c>
      <c r="CL295" s="186">
        <v>0</v>
      </c>
      <c r="CM295" s="186">
        <v>0</v>
      </c>
      <c r="CN295" s="186">
        <v>0</v>
      </c>
      <c r="CO295" s="186">
        <v>0</v>
      </c>
      <c r="CP295" s="186">
        <v>0</v>
      </c>
      <c r="CQ295" s="186">
        <v>0</v>
      </c>
      <c r="CR295" s="186">
        <v>0</v>
      </c>
      <c r="CS295" s="186">
        <v>0</v>
      </c>
      <c r="CT295" s="186">
        <v>0</v>
      </c>
      <c r="CU295" s="186">
        <v>0</v>
      </c>
      <c r="CV295" s="186">
        <v>0</v>
      </c>
    </row>
    <row r="296" spans="1:100">
      <c r="A296" s="541" t="str">
        <f t="shared" si="4"/>
        <v>2530299</v>
      </c>
      <c r="B296" s="541" t="s">
        <v>1671</v>
      </c>
      <c r="C296" s="463" t="s">
        <v>810</v>
      </c>
      <c r="D296" s="397">
        <v>-566504.38</v>
      </c>
      <c r="E296" s="397">
        <v>-531508.85</v>
      </c>
      <c r="F296" s="397">
        <v>-605474.18999999994</v>
      </c>
      <c r="G296" s="397">
        <v>-678091.78</v>
      </c>
      <c r="H296" s="397">
        <v>-607676.19999999995</v>
      </c>
      <c r="I296" s="397">
        <v>-710262.8</v>
      </c>
      <c r="J296" s="397">
        <v>-636622.56000000006</v>
      </c>
      <c r="K296" s="397">
        <v>-629608.51</v>
      </c>
      <c r="L296" s="397">
        <v>-723921.05</v>
      </c>
      <c r="M296" s="397">
        <v>-661942.4</v>
      </c>
      <c r="N296" s="397">
        <v>-773942.63</v>
      </c>
      <c r="O296" s="397">
        <v>-764450.2</v>
      </c>
      <c r="P296" s="398">
        <v>-878830.62</v>
      </c>
      <c r="Q296" s="186">
        <v>-965539.05</v>
      </c>
      <c r="R296" s="186">
        <v>-721521.15</v>
      </c>
      <c r="S296" s="186">
        <v>-683352.77</v>
      </c>
      <c r="T296" s="186">
        <v>-579249.14</v>
      </c>
      <c r="U296" s="186">
        <v>-536674.63</v>
      </c>
      <c r="V296" s="186">
        <v>-490485.7</v>
      </c>
      <c r="W296" s="186">
        <v>-368982.24</v>
      </c>
      <c r="X296" s="186">
        <v>-309693.28999999998</v>
      </c>
      <c r="Y296" s="186">
        <v>-352621.57</v>
      </c>
      <c r="Z296" s="186">
        <v>-355956.31</v>
      </c>
      <c r="AA296" s="186">
        <v>-440762.27</v>
      </c>
      <c r="AB296" s="186">
        <v>-550781.76</v>
      </c>
      <c r="AC296" s="186">
        <v>-572406.91</v>
      </c>
      <c r="AD296" s="186">
        <v>-621317.74</v>
      </c>
      <c r="AE296" s="186">
        <v>-570152.56000000006</v>
      </c>
      <c r="AF296" s="186">
        <v>-549891.73</v>
      </c>
      <c r="AG296" s="186">
        <v>-630787.83999999997</v>
      </c>
      <c r="AH296" s="186">
        <v>-279075.18</v>
      </c>
      <c r="AI296" s="186">
        <v>-491475.68</v>
      </c>
      <c r="AJ296" s="186">
        <v>-531213.67000000004</v>
      </c>
      <c r="AK296" s="186">
        <v>-646068.31000000006</v>
      </c>
      <c r="AL296" s="186">
        <v>-721704.56</v>
      </c>
      <c r="AM296" s="186">
        <v>-912506.33</v>
      </c>
      <c r="AN296" s="186">
        <v>-983590.64</v>
      </c>
      <c r="AO296" s="186">
        <v>-660001.98</v>
      </c>
      <c r="AP296" s="186">
        <v>-709601.74</v>
      </c>
      <c r="AQ296" s="186">
        <v>-540045.82999999996</v>
      </c>
      <c r="AR296" s="186">
        <v>-596321.55000000005</v>
      </c>
      <c r="AS296" s="186">
        <v>-605881.39</v>
      </c>
      <c r="AT296" s="186">
        <v>-638425.19999999995</v>
      </c>
      <c r="AU296" s="186">
        <v>-655217.18000000005</v>
      </c>
      <c r="AV296" s="186">
        <v>-829330.28</v>
      </c>
      <c r="AW296" s="186">
        <v>-911909.67</v>
      </c>
      <c r="AX296" s="186">
        <v>-1098851.5900000001</v>
      </c>
      <c r="AY296" s="186">
        <v>-1123652.3999999999</v>
      </c>
      <c r="AZ296" s="186">
        <v>-951948.11</v>
      </c>
      <c r="BA296" s="186">
        <v>-813743.18</v>
      </c>
      <c r="BB296" s="186">
        <v>-954802.42</v>
      </c>
      <c r="BC296" s="186">
        <v>-1111840.8799999999</v>
      </c>
      <c r="BD296" s="186">
        <v>-1132525.3400000001</v>
      </c>
      <c r="BE296" s="186">
        <v>-1258288.58</v>
      </c>
      <c r="BF296" s="186">
        <v>-1355438.56</v>
      </c>
      <c r="BG296" s="186">
        <v>-1489591.78</v>
      </c>
      <c r="BH296" s="186">
        <v>-1684526.11</v>
      </c>
      <c r="BI296" s="186">
        <v>-1763745.79</v>
      </c>
      <c r="BJ296" s="186">
        <v>-1991467.62</v>
      </c>
      <c r="BK296" s="186">
        <v>-2291831.2400000002</v>
      </c>
      <c r="BL296" s="186">
        <v>-2421306.73</v>
      </c>
      <c r="BM296" s="186">
        <v>-2234225.41</v>
      </c>
      <c r="BN296" s="186">
        <v>-2259302.14</v>
      </c>
      <c r="BO296" s="186">
        <v>-2535685.15</v>
      </c>
      <c r="BP296" s="186">
        <v>-2642939.81</v>
      </c>
      <c r="BQ296" s="186">
        <v>-2208946.2400000002</v>
      </c>
      <c r="BR296" s="186">
        <v>-2655898.4900000002</v>
      </c>
      <c r="BS296" s="186">
        <v>-3000384.84</v>
      </c>
      <c r="BT296" s="186">
        <v>-3386955.84</v>
      </c>
      <c r="BU296" s="186">
        <v>-3647167.5</v>
      </c>
      <c r="BV296" s="186">
        <v>-3874714.76</v>
      </c>
      <c r="BW296" s="186">
        <v>-3828292.2</v>
      </c>
      <c r="BX296" s="186">
        <v>-4133004.11</v>
      </c>
      <c r="BY296" s="186">
        <v>-4483609.68</v>
      </c>
      <c r="BZ296" s="186">
        <v>-4189045.62</v>
      </c>
      <c r="CA296" s="186">
        <v>-4493992.13</v>
      </c>
      <c r="CB296" s="186">
        <v>-5561285.6399999997</v>
      </c>
      <c r="CC296" s="186">
        <v>-6435470.4400000004</v>
      </c>
      <c r="CD296" s="186">
        <v>-6601226.0199999996</v>
      </c>
      <c r="CE296" s="186">
        <v>-6637965.6600000001</v>
      </c>
      <c r="CF296" s="186">
        <v>-6410533.4000000004</v>
      </c>
      <c r="CG296" s="186">
        <v>-6307697</v>
      </c>
      <c r="CH296" s="186">
        <v>-6187298.9000000004</v>
      </c>
      <c r="CI296" s="186">
        <v>-6136493.46</v>
      </c>
      <c r="CJ296" s="186">
        <v>-5957945</v>
      </c>
      <c r="CK296" s="186">
        <v>-6184140.5</v>
      </c>
      <c r="CL296" s="186">
        <v>-4482287.63</v>
      </c>
      <c r="CM296" s="186">
        <v>-1499384.26</v>
      </c>
      <c r="CN296" s="186">
        <v>-1474945.08</v>
      </c>
      <c r="CO296" s="186">
        <v>-1357732.57</v>
      </c>
      <c r="CP296" s="186">
        <v>-1234663.7</v>
      </c>
      <c r="CQ296" s="186">
        <v>-1447917.51</v>
      </c>
      <c r="CR296" s="186">
        <v>-1450144.64</v>
      </c>
      <c r="CS296" s="186">
        <v>-1517093.89</v>
      </c>
      <c r="CT296" s="186">
        <v>-1590949.62</v>
      </c>
      <c r="CU296" s="186">
        <v>-1409523.56</v>
      </c>
      <c r="CV296" s="186">
        <v>-1514945.05</v>
      </c>
    </row>
    <row r="297" spans="1:100">
      <c r="A297" s="541" t="str">
        <f t="shared" si="4"/>
        <v>2530310</v>
      </c>
      <c r="B297" s="541" t="s">
        <v>1819</v>
      </c>
      <c r="C297" s="463" t="s">
        <v>1818</v>
      </c>
      <c r="D297" s="397"/>
      <c r="E297" s="397"/>
      <c r="F297" s="397"/>
      <c r="G297" s="397"/>
      <c r="H297" s="397"/>
      <c r="I297" s="397"/>
      <c r="J297" s="397"/>
      <c r="K297" s="397"/>
      <c r="L297" s="397"/>
      <c r="M297" s="397"/>
      <c r="N297" s="397"/>
      <c r="O297" s="397"/>
      <c r="P297" s="398"/>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v>0</v>
      </c>
      <c r="AS297" s="186">
        <v>560</v>
      </c>
      <c r="AT297" s="186">
        <v>560</v>
      </c>
      <c r="AU297" s="186">
        <v>560</v>
      </c>
      <c r="AV297" s="186">
        <v>560</v>
      </c>
      <c r="AW297" s="186">
        <v>560</v>
      </c>
      <c r="AX297" s="186">
        <v>560</v>
      </c>
      <c r="AY297" s="186">
        <v>560</v>
      </c>
      <c r="AZ297" s="186">
        <v>794.71</v>
      </c>
      <c r="BA297" s="186">
        <v>-6.9</v>
      </c>
      <c r="BB297" s="186">
        <v>-684.22</v>
      </c>
      <c r="BC297" s="186">
        <v>-1992.55</v>
      </c>
      <c r="BD297" s="186">
        <v>-2387.06</v>
      </c>
      <c r="BE297" s="186">
        <v>-2947.83</v>
      </c>
      <c r="BF297" s="186">
        <v>-2084.63</v>
      </c>
      <c r="BG297" s="186">
        <v>-2578</v>
      </c>
      <c r="BH297" s="186">
        <v>-2995.38</v>
      </c>
      <c r="BI297" s="186">
        <v>-3521.16</v>
      </c>
      <c r="BJ297" s="186">
        <v>10670.22</v>
      </c>
      <c r="BK297" s="186">
        <v>9662.39</v>
      </c>
      <c r="BL297" s="186">
        <v>8926.85</v>
      </c>
      <c r="BM297" s="186">
        <v>7966.41</v>
      </c>
      <c r="BN297" s="186">
        <v>7675.51</v>
      </c>
      <c r="BO297" s="186">
        <v>5668.29</v>
      </c>
      <c r="BP297" s="186">
        <v>13637.95</v>
      </c>
      <c r="BQ297" s="186">
        <v>12141.57</v>
      </c>
      <c r="BR297" s="186">
        <v>11614.51</v>
      </c>
      <c r="BS297" s="186">
        <v>11420.15</v>
      </c>
      <c r="BT297" s="186">
        <v>-5697.03</v>
      </c>
      <c r="BU297" s="186">
        <v>-6372.74</v>
      </c>
      <c r="BV297" s="186">
        <v>-6549.54</v>
      </c>
      <c r="BW297" s="186">
        <v>-6612.54</v>
      </c>
      <c r="BX297" s="186">
        <v>-7134.38</v>
      </c>
      <c r="BY297" s="186">
        <v>-8593.31</v>
      </c>
      <c r="BZ297" s="186">
        <v>-9621.27</v>
      </c>
      <c r="CA297" s="186">
        <v>-10092.73</v>
      </c>
      <c r="CB297" s="186">
        <v>-10453.32</v>
      </c>
      <c r="CC297" s="186">
        <v>-10725.63</v>
      </c>
      <c r="CD297" s="186">
        <v>-10858.95</v>
      </c>
      <c r="CE297" s="186">
        <v>-11280.85</v>
      </c>
      <c r="CF297" s="186">
        <v>-11735.65</v>
      </c>
      <c r="CG297" s="186">
        <v>-12218.78</v>
      </c>
      <c r="CH297" s="186">
        <v>-12556.22</v>
      </c>
      <c r="CI297" s="186">
        <v>-12661.37</v>
      </c>
      <c r="CJ297" s="186">
        <v>-12821.19</v>
      </c>
      <c r="CK297" s="186">
        <v>-12821.19</v>
      </c>
      <c r="CL297" s="186">
        <v>-13258.38</v>
      </c>
      <c r="CM297" s="186">
        <v>-13722.57</v>
      </c>
      <c r="CN297" s="186">
        <v>-8918.6200000000008</v>
      </c>
      <c r="CO297" s="186">
        <v>-9148.0499999999993</v>
      </c>
      <c r="CP297" s="186">
        <v>-9258.23</v>
      </c>
      <c r="CQ297" s="186">
        <v>-9263.75</v>
      </c>
      <c r="CR297" s="186">
        <v>-9973.94</v>
      </c>
      <c r="CS297" s="186">
        <v>-10261.18</v>
      </c>
      <c r="CT297" s="186">
        <v>-10660.51</v>
      </c>
      <c r="CU297" s="186">
        <v>-10890.45</v>
      </c>
      <c r="CV297" s="186">
        <v>-11313.15</v>
      </c>
    </row>
    <row r="298" spans="1:100">
      <c r="A298" s="541" t="str">
        <f t="shared" si="4"/>
        <v>2530340</v>
      </c>
      <c r="B298" s="541" t="s">
        <v>1811</v>
      </c>
      <c r="C298" s="463" t="s">
        <v>1810</v>
      </c>
      <c r="D298" s="397"/>
      <c r="E298" s="397"/>
      <c r="F298" s="397"/>
      <c r="G298" s="397"/>
      <c r="H298" s="397"/>
      <c r="I298" s="397"/>
      <c r="J298" s="397"/>
      <c r="K298" s="397"/>
      <c r="L298" s="397"/>
      <c r="M298" s="397"/>
      <c r="N298" s="397"/>
      <c r="O298" s="397"/>
      <c r="P298" s="398"/>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v>0</v>
      </c>
      <c r="AP298" s="186">
        <v>0</v>
      </c>
      <c r="AQ298" s="186">
        <v>-92170.3</v>
      </c>
      <c r="AR298" s="186">
        <v>-90931.839999999997</v>
      </c>
      <c r="AS298" s="186">
        <v>-90931.839999999997</v>
      </c>
      <c r="AT298" s="186">
        <v>-186527.55</v>
      </c>
      <c r="AU298" s="186">
        <v>-187661.93</v>
      </c>
      <c r="AV298" s="186">
        <v>-187661.93</v>
      </c>
      <c r="AW298" s="186">
        <v>-282432.31</v>
      </c>
      <c r="AX298" s="186">
        <v>-283672.33</v>
      </c>
      <c r="AY298" s="186">
        <v>-283672.33</v>
      </c>
      <c r="AZ298" s="186">
        <v>-381454.88</v>
      </c>
      <c r="BA298" s="186">
        <v>-381454.88</v>
      </c>
      <c r="BB298" s="186">
        <v>-381454.88</v>
      </c>
      <c r="BC298" s="186">
        <v>-497930.43</v>
      </c>
      <c r="BD298" s="186">
        <v>-497930.43</v>
      </c>
      <c r="BE298" s="186">
        <v>-497930.43</v>
      </c>
      <c r="BF298" s="186">
        <v>-705114.91</v>
      </c>
      <c r="BG298" s="186">
        <v>-705114.91</v>
      </c>
      <c r="BH298" s="186">
        <v>-705114.91</v>
      </c>
      <c r="BI298" s="186">
        <v>-849190.94</v>
      </c>
      <c r="BJ298" s="186">
        <v>-849190.94</v>
      </c>
      <c r="BK298" s="186">
        <v>-849190.94</v>
      </c>
      <c r="BL298" s="186">
        <v>-1142930.5</v>
      </c>
      <c r="BM298" s="186">
        <v>-1142930.5</v>
      </c>
      <c r="BN298" s="186">
        <v>-1142930.5</v>
      </c>
      <c r="BO298" s="186">
        <v>-643955.44999999995</v>
      </c>
      <c r="BP298" s="186">
        <v>-643955.44999999995</v>
      </c>
      <c r="BQ298" s="186">
        <v>-643955.44999999995</v>
      </c>
      <c r="BR298" s="186">
        <v>-937288.89</v>
      </c>
      <c r="BS298" s="186">
        <v>-1382974.27</v>
      </c>
      <c r="BT298" s="186">
        <v>-1382974.27</v>
      </c>
      <c r="BU298" s="186">
        <v>-1285811.81</v>
      </c>
      <c r="BV298" s="186">
        <v>-1285811.81</v>
      </c>
      <c r="BW298" s="186">
        <v>-1285811.81</v>
      </c>
      <c r="BX298" s="186">
        <v>-1484104.87</v>
      </c>
      <c r="BY298" s="186">
        <v>-1484104.87</v>
      </c>
      <c r="BZ298" s="186">
        <v>-1484104.87</v>
      </c>
      <c r="CA298" s="186">
        <v>-778623.7</v>
      </c>
      <c r="CB298" s="186">
        <v>-778623.7</v>
      </c>
      <c r="CC298" s="186">
        <v>-778623.7</v>
      </c>
      <c r="CD298" s="186">
        <v>-971140.39</v>
      </c>
      <c r="CE298" s="186">
        <v>-971140.39</v>
      </c>
      <c r="CF298" s="186">
        <v>-971140.39</v>
      </c>
      <c r="CG298" s="186">
        <v>-1217827.74</v>
      </c>
      <c r="CH298" s="186">
        <v>-1217827.74</v>
      </c>
      <c r="CI298" s="186">
        <v>-1217827.74</v>
      </c>
      <c r="CJ298" s="186">
        <v>-1484863.36</v>
      </c>
      <c r="CK298" s="186">
        <v>-1484863.36</v>
      </c>
      <c r="CL298" s="186">
        <v>-1484863.36</v>
      </c>
      <c r="CM298" s="186">
        <v>-540134.69999999995</v>
      </c>
      <c r="CN298" s="186">
        <v>-540134.69999999995</v>
      </c>
      <c r="CO298" s="186">
        <v>-540134.69999999995</v>
      </c>
      <c r="CP298" s="186">
        <v>-805016.86</v>
      </c>
      <c r="CQ298" s="186">
        <v>-805016.86</v>
      </c>
      <c r="CR298" s="186">
        <v>-805016.86</v>
      </c>
      <c r="CS298" s="186">
        <v>-1078545.71</v>
      </c>
      <c r="CT298" s="186">
        <v>-1078545.71</v>
      </c>
      <c r="CU298" s="186">
        <v>-1078545.71</v>
      </c>
      <c r="CV298" s="186">
        <v>-1333899.8899999999</v>
      </c>
    </row>
    <row r="299" spans="1:100">
      <c r="A299" s="541" t="str">
        <f t="shared" si="4"/>
        <v>2530360</v>
      </c>
      <c r="B299" s="541" t="s">
        <v>1672</v>
      </c>
      <c r="C299" s="463" t="s">
        <v>1474</v>
      </c>
      <c r="D299" s="397"/>
      <c r="E299" s="397"/>
      <c r="F299" s="397"/>
      <c r="G299" s="397"/>
      <c r="H299" s="397"/>
      <c r="I299" s="397"/>
      <c r="J299" s="397"/>
      <c r="K299" s="397"/>
      <c r="L299" s="397"/>
      <c r="M299" s="397"/>
      <c r="N299" s="397"/>
      <c r="O299" s="397"/>
      <c r="P299" s="398"/>
      <c r="Q299" s="186"/>
      <c r="R299" s="186"/>
      <c r="S299" s="186"/>
      <c r="T299" s="186"/>
      <c r="U299" s="186"/>
      <c r="V299" s="186"/>
      <c r="W299" s="186"/>
      <c r="X299" s="186"/>
      <c r="Y299" s="186"/>
      <c r="Z299" s="186"/>
      <c r="AA299" s="186"/>
      <c r="AB299" s="186"/>
      <c r="AC299" s="186"/>
      <c r="AD299" s="186"/>
      <c r="AE299" s="186"/>
      <c r="AF299" s="186">
        <v>0</v>
      </c>
      <c r="AG299" s="186">
        <v>0</v>
      </c>
      <c r="AH299" s="186">
        <v>-199683</v>
      </c>
      <c r="AI299" s="186">
        <v>-266805</v>
      </c>
      <c r="AJ299" s="186">
        <v>-334211</v>
      </c>
      <c r="AK299" s="186">
        <v>-401904</v>
      </c>
      <c r="AL299" s="186">
        <v>-469886</v>
      </c>
      <c r="AM299" s="186">
        <v>-584616</v>
      </c>
      <c r="AN299" s="186">
        <v>-676558</v>
      </c>
      <c r="AO299" s="186">
        <v>-768483</v>
      </c>
      <c r="AP299" s="186">
        <v>-860804</v>
      </c>
      <c r="AQ299" s="186">
        <v>-953523</v>
      </c>
      <c r="AR299" s="186">
        <v>-989835</v>
      </c>
      <c r="AS299" s="186">
        <v>-1026083</v>
      </c>
      <c r="AT299" s="186">
        <v>-1062266</v>
      </c>
      <c r="AU299" s="186">
        <v>-1098383</v>
      </c>
      <c r="AV299" s="186">
        <v>-1134433</v>
      </c>
      <c r="AW299" s="186">
        <v>-1170416</v>
      </c>
      <c r="AX299" s="186">
        <v>-1186465</v>
      </c>
      <c r="AY299" s="186">
        <v>-1202281</v>
      </c>
      <c r="AZ299" s="186">
        <v>-1217864</v>
      </c>
      <c r="BA299" s="186">
        <v>-1232548</v>
      </c>
      <c r="BB299" s="186">
        <v>-1246988</v>
      </c>
      <c r="BC299" s="186">
        <v>-1261182</v>
      </c>
      <c r="BD299" s="186">
        <v>-1275129</v>
      </c>
      <c r="BE299" s="186">
        <v>-1288826</v>
      </c>
      <c r="BF299" s="186">
        <v>-1302272</v>
      </c>
      <c r="BG299" s="186">
        <v>-1315464</v>
      </c>
      <c r="BH299" s="186">
        <v>-1328401</v>
      </c>
      <c r="BI299" s="186">
        <v>-1341080</v>
      </c>
      <c r="BJ299" s="186">
        <v>-1353499</v>
      </c>
      <c r="BK299" s="186">
        <v>-1365656</v>
      </c>
      <c r="BL299" s="186">
        <v>-1377549</v>
      </c>
      <c r="BM299" s="186">
        <v>-1388511</v>
      </c>
      <c r="BN299" s="186">
        <v>-1399199</v>
      </c>
      <c r="BO299" s="186">
        <v>-1409611</v>
      </c>
      <c r="BP299" s="186">
        <v>-1419744</v>
      </c>
      <c r="BQ299" s="186">
        <v>-1429596</v>
      </c>
      <c r="BR299" s="186">
        <v>-1439164</v>
      </c>
      <c r="BS299" s="186">
        <v>-1448447</v>
      </c>
      <c r="BT299" s="186">
        <v>-1457442</v>
      </c>
      <c r="BU299" s="186">
        <v>-1466146</v>
      </c>
      <c r="BV299" s="186">
        <v>-1474556</v>
      </c>
      <c r="BW299" s="186">
        <v>-1482671</v>
      </c>
      <c r="BX299" s="186">
        <v>-1490489</v>
      </c>
      <c r="BY299" s="186">
        <v>-1497343</v>
      </c>
      <c r="BZ299" s="186">
        <v>-1503890</v>
      </c>
      <c r="CA299" s="186">
        <v>-1510126</v>
      </c>
      <c r="CB299" s="186">
        <v>-1531726</v>
      </c>
      <c r="CC299" s="186">
        <v>-1553140</v>
      </c>
      <c r="CD299" s="186">
        <v>-1574365</v>
      </c>
      <c r="CE299" s="186">
        <v>-1595402</v>
      </c>
      <c r="CF299" s="186">
        <v>-1616247</v>
      </c>
      <c r="CG299" s="186">
        <v>-1636899</v>
      </c>
      <c r="CH299" s="186">
        <v>-1662840</v>
      </c>
      <c r="CI299" s="186">
        <v>-1688631</v>
      </c>
      <c r="CJ299" s="186">
        <v>-1714384</v>
      </c>
      <c r="CK299" s="186">
        <v>-1739094</v>
      </c>
      <c r="CL299" s="186">
        <v>-1763758</v>
      </c>
      <c r="CM299" s="186">
        <v>-1788261</v>
      </c>
      <c r="CN299" s="186">
        <v>-1812602</v>
      </c>
      <c r="CO299" s="186">
        <v>-1836779</v>
      </c>
      <c r="CP299" s="186">
        <v>-1860791</v>
      </c>
      <c r="CQ299" s="186">
        <v>-1884637</v>
      </c>
      <c r="CR299" s="186">
        <v>-1908315</v>
      </c>
      <c r="CS299" s="186">
        <v>-1931824</v>
      </c>
      <c r="CT299" s="186">
        <v>-1955162</v>
      </c>
      <c r="CU299" s="186">
        <v>-1978329</v>
      </c>
      <c r="CV299" s="186">
        <v>-2001321</v>
      </c>
    </row>
    <row r="300" spans="1:100">
      <c r="A300" s="541" t="str">
        <f t="shared" si="4"/>
        <v>2530800</v>
      </c>
      <c r="B300" s="541" t="s">
        <v>1673</v>
      </c>
      <c r="C300" s="463" t="s">
        <v>811</v>
      </c>
      <c r="D300" s="397">
        <v>-1970998.12</v>
      </c>
      <c r="E300" s="397">
        <v>-1959598.13</v>
      </c>
      <c r="F300" s="397">
        <v>-1956588.25</v>
      </c>
      <c r="G300" s="397">
        <v>-1956588.25</v>
      </c>
      <c r="H300" s="397">
        <v>-1950393.29</v>
      </c>
      <c r="I300" s="397">
        <v>-2719893.29</v>
      </c>
      <c r="J300" s="397">
        <v>-2634393.29</v>
      </c>
      <c r="K300" s="397">
        <v>-2791523.29</v>
      </c>
      <c r="L300" s="397">
        <v>-2595023.29</v>
      </c>
      <c r="M300" s="397">
        <v>-2535189.96</v>
      </c>
      <c r="N300" s="397">
        <v>-2475356.63</v>
      </c>
      <c r="O300" s="397">
        <v>-2415523.29</v>
      </c>
      <c r="P300" s="398">
        <v>-2550374.9500000002</v>
      </c>
      <c r="Q300" s="186">
        <v>-2490541.61</v>
      </c>
      <c r="R300" s="186">
        <v>-2430708.27</v>
      </c>
      <c r="S300" s="186">
        <v>-2370874.9300000002</v>
      </c>
      <c r="T300" s="186">
        <v>-573717.93999999994</v>
      </c>
      <c r="U300" s="186">
        <v>-503559.6</v>
      </c>
      <c r="V300" s="186">
        <v>-443726.26</v>
      </c>
      <c r="W300" s="186">
        <v>-383892.92</v>
      </c>
      <c r="X300" s="186">
        <v>-321994.58</v>
      </c>
      <c r="Y300" s="186">
        <v>-262161.24</v>
      </c>
      <c r="Z300" s="186">
        <v>-202327.9</v>
      </c>
      <c r="AA300" s="186">
        <v>-532808.56000000006</v>
      </c>
      <c r="AB300" s="186">
        <v>-703161.22</v>
      </c>
      <c r="AC300" s="186">
        <v>-936077.88</v>
      </c>
      <c r="AD300" s="186">
        <v>-1062649.54</v>
      </c>
      <c r="AE300" s="186">
        <v>-1045566.2</v>
      </c>
      <c r="AF300" s="186">
        <v>-1016045.36</v>
      </c>
      <c r="AG300" s="186">
        <v>-669162.02</v>
      </c>
      <c r="AH300" s="186">
        <v>-652078.68000000005</v>
      </c>
      <c r="AI300" s="186">
        <v>-682648.34</v>
      </c>
      <c r="AJ300" s="186">
        <v>-713218</v>
      </c>
      <c r="AK300" s="186">
        <v>-743982.66</v>
      </c>
      <c r="AL300" s="186">
        <v>-774747.32</v>
      </c>
      <c r="AM300" s="186">
        <v>-805511.98</v>
      </c>
      <c r="AN300" s="186">
        <v>-1028466.64</v>
      </c>
      <c r="AO300" s="186">
        <v>-1059231.3</v>
      </c>
      <c r="AP300" s="186">
        <v>-1130973.96</v>
      </c>
      <c r="AQ300" s="186">
        <v>-1115888.6200000001</v>
      </c>
      <c r="AR300" s="186">
        <v>-1144544.28</v>
      </c>
      <c r="AS300" s="186">
        <v>-1158591.94</v>
      </c>
      <c r="AT300" s="186">
        <v>-1187106.6000000001</v>
      </c>
      <c r="AU300" s="186">
        <v>-1198357.26</v>
      </c>
      <c r="AV300" s="186">
        <v>-795338.72</v>
      </c>
      <c r="AW300" s="186">
        <v>-823712.38</v>
      </c>
      <c r="AX300" s="186">
        <v>-852086.04</v>
      </c>
      <c r="AY300" s="186">
        <v>-880459.7</v>
      </c>
      <c r="AZ300" s="186">
        <v>-1108595.3600000001</v>
      </c>
      <c r="BA300" s="186">
        <v>-1114416.02</v>
      </c>
      <c r="BB300" s="186">
        <v>-1141602.68</v>
      </c>
      <c r="BC300" s="186">
        <v>-1168789.3400000001</v>
      </c>
      <c r="BD300" s="186">
        <v>-1195976</v>
      </c>
      <c r="BE300" s="186">
        <v>-1223162.6599999999</v>
      </c>
      <c r="BF300" s="186">
        <v>-1250349.32</v>
      </c>
      <c r="BG300" s="186">
        <v>-1244463.98</v>
      </c>
      <c r="BH300" s="186">
        <v>-1271746.6399999999</v>
      </c>
      <c r="BI300" s="186">
        <v>-1244705.8999999999</v>
      </c>
      <c r="BJ300" s="186">
        <v>-1271092.56</v>
      </c>
      <c r="BK300" s="186">
        <v>-1297479.22</v>
      </c>
      <c r="BL300" s="186">
        <v>-265207.92</v>
      </c>
      <c r="BM300" s="186">
        <v>-401554.9</v>
      </c>
      <c r="BN300" s="186">
        <v>-231041.24</v>
      </c>
      <c r="BO300" s="186">
        <v>-213957.9</v>
      </c>
      <c r="BP300" s="186">
        <v>-196874.56</v>
      </c>
      <c r="BQ300" s="186">
        <v>-179791.22</v>
      </c>
      <c r="BR300" s="186">
        <v>-162707.88</v>
      </c>
      <c r="BS300" s="186">
        <v>-145624.54</v>
      </c>
      <c r="BT300" s="186">
        <v>-114414.35</v>
      </c>
      <c r="BU300" s="186">
        <v>-97331.01</v>
      </c>
      <c r="BV300" s="186">
        <v>-80247.67</v>
      </c>
      <c r="BW300" s="186">
        <v>-63164.33</v>
      </c>
      <c r="BX300" s="186">
        <v>-372234.4</v>
      </c>
      <c r="BY300" s="186">
        <v>-355151.06</v>
      </c>
      <c r="BZ300" s="186">
        <v>-338067.72</v>
      </c>
      <c r="CA300" s="186">
        <v>-522053.38</v>
      </c>
      <c r="CB300" s="186">
        <v>-504970.04</v>
      </c>
      <c r="CC300" s="186">
        <v>-479413.43</v>
      </c>
      <c r="CD300" s="186">
        <v>-962330.09</v>
      </c>
      <c r="CE300" s="186">
        <v>-936770.64</v>
      </c>
      <c r="CF300" s="186">
        <v>-919687.3</v>
      </c>
      <c r="CG300" s="186">
        <v>-902603.96</v>
      </c>
      <c r="CH300" s="186">
        <v>-885520.62</v>
      </c>
      <c r="CI300" s="186">
        <v>-868437.28</v>
      </c>
      <c r="CJ300" s="186">
        <v>-806353.94</v>
      </c>
      <c r="CK300" s="186">
        <v>-789270.6</v>
      </c>
      <c r="CL300" s="186">
        <v>-752415.15</v>
      </c>
      <c r="CM300" s="186">
        <v>-735331.81</v>
      </c>
      <c r="CN300" s="186">
        <v>-718248.47</v>
      </c>
      <c r="CO300" s="186">
        <v>-701165.13</v>
      </c>
      <c r="CP300" s="186">
        <v>-184081.79</v>
      </c>
      <c r="CQ300" s="186">
        <v>-166998.45000000001</v>
      </c>
      <c r="CR300" s="186">
        <v>-143254.94</v>
      </c>
      <c r="CS300" s="186">
        <v>-1126171.6000000001</v>
      </c>
      <c r="CT300" s="186">
        <v>-1109088.26</v>
      </c>
      <c r="CU300" s="186">
        <v>-1092004.92</v>
      </c>
      <c r="CV300" s="186">
        <v>-1279921.58</v>
      </c>
    </row>
    <row r="301" spans="1:100">
      <c r="A301" s="541" t="str">
        <f t="shared" si="4"/>
        <v>2540040</v>
      </c>
      <c r="B301" s="541" t="s">
        <v>900</v>
      </c>
      <c r="C301" s="463" t="s">
        <v>812</v>
      </c>
      <c r="D301" s="397">
        <v>0</v>
      </c>
      <c r="E301" s="397">
        <v>0</v>
      </c>
      <c r="F301" s="397">
        <v>0</v>
      </c>
      <c r="G301" s="397">
        <v>-241576</v>
      </c>
      <c r="H301" s="397">
        <v>-601932</v>
      </c>
      <c r="I301" s="397">
        <v>-738652</v>
      </c>
      <c r="J301" s="397">
        <v>-841461</v>
      </c>
      <c r="K301" s="397">
        <v>-329479</v>
      </c>
      <c r="L301" s="397">
        <v>-126566</v>
      </c>
      <c r="M301" s="397">
        <v>0</v>
      </c>
      <c r="N301" s="397">
        <v>0</v>
      </c>
      <c r="O301" s="397">
        <v>0</v>
      </c>
      <c r="P301" s="398">
        <v>-309544</v>
      </c>
      <c r="Q301" s="186">
        <v>-659480</v>
      </c>
      <c r="R301" s="186">
        <v>-1475794</v>
      </c>
      <c r="S301" s="186">
        <v>-2041769</v>
      </c>
      <c r="T301" s="186">
        <v>-2465779</v>
      </c>
      <c r="U301" s="186">
        <v>-2375088</v>
      </c>
      <c r="V301" s="186">
        <v>-2413828</v>
      </c>
      <c r="W301" s="186">
        <v>-2368427</v>
      </c>
      <c r="X301" s="186">
        <v>-2133861</v>
      </c>
      <c r="Y301" s="186">
        <v>-2017772</v>
      </c>
      <c r="Z301" s="186">
        <v>-1611765</v>
      </c>
      <c r="AA301" s="186">
        <v>-1765382</v>
      </c>
      <c r="AB301" s="186">
        <v>-2136461</v>
      </c>
      <c r="AC301" s="186">
        <v>-2294592</v>
      </c>
      <c r="AD301" s="186">
        <v>-2703966</v>
      </c>
      <c r="AE301" s="186">
        <v>-2839127</v>
      </c>
      <c r="AF301" s="186">
        <v>-2933478</v>
      </c>
      <c r="AG301" s="186">
        <v>-2612138</v>
      </c>
      <c r="AH301" s="186">
        <v>-2239911</v>
      </c>
      <c r="AI301" s="186">
        <v>-1934399</v>
      </c>
      <c r="AJ301" s="186">
        <v>-1137091</v>
      </c>
      <c r="AK301" s="186">
        <v>-917669</v>
      </c>
      <c r="AL301" s="186">
        <v>-312194</v>
      </c>
      <c r="AM301" s="186">
        <v>-290647</v>
      </c>
      <c r="AN301" s="186">
        <v>0</v>
      </c>
      <c r="AO301" s="186">
        <v>-771853</v>
      </c>
      <c r="AP301" s="186">
        <v>-1322874</v>
      </c>
      <c r="AQ301" s="186">
        <v>-1614664</v>
      </c>
      <c r="AR301" s="186">
        <v>-1899218</v>
      </c>
      <c r="AS301" s="186">
        <v>-1462185</v>
      </c>
      <c r="AT301" s="186">
        <v>-838539</v>
      </c>
      <c r="AU301" s="186">
        <v>-182620</v>
      </c>
      <c r="AV301" s="186">
        <v>0</v>
      </c>
      <c r="AW301" s="186">
        <v>0</v>
      </c>
      <c r="AX301" s="186">
        <v>0</v>
      </c>
      <c r="AY301" s="186">
        <v>0</v>
      </c>
      <c r="AZ301" s="186">
        <v>0</v>
      </c>
      <c r="BA301" s="186">
        <v>0</v>
      </c>
      <c r="BB301" s="186">
        <v>0</v>
      </c>
      <c r="BC301" s="186">
        <v>0</v>
      </c>
      <c r="BD301" s="186">
        <v>0</v>
      </c>
      <c r="BE301" s="186">
        <v>0</v>
      </c>
      <c r="BF301" s="186">
        <v>0</v>
      </c>
      <c r="BG301" s="186">
        <v>0</v>
      </c>
      <c r="BH301" s="186">
        <v>0</v>
      </c>
      <c r="BI301" s="186">
        <v>0</v>
      </c>
      <c r="BJ301" s="186">
        <v>0</v>
      </c>
      <c r="BK301" s="186">
        <v>0</v>
      </c>
      <c r="BL301" s="186">
        <v>0</v>
      </c>
      <c r="BM301" s="186">
        <v>0</v>
      </c>
      <c r="BN301" s="186">
        <v>0</v>
      </c>
      <c r="BO301" s="186">
        <v>0</v>
      </c>
      <c r="BP301" s="186">
        <v>0</v>
      </c>
      <c r="BQ301" s="186">
        <v>0</v>
      </c>
      <c r="BR301" s="186">
        <v>0</v>
      </c>
      <c r="BS301" s="186">
        <v>0</v>
      </c>
      <c r="BT301" s="186">
        <v>0</v>
      </c>
      <c r="BU301" s="186">
        <v>0</v>
      </c>
      <c r="BV301" s="186">
        <v>0</v>
      </c>
      <c r="BW301" s="186">
        <v>0</v>
      </c>
      <c r="BX301" s="186">
        <v>0</v>
      </c>
      <c r="BY301" s="186">
        <v>0</v>
      </c>
      <c r="BZ301" s="186">
        <v>0</v>
      </c>
      <c r="CA301" s="186">
        <v>0</v>
      </c>
      <c r="CB301" s="186">
        <v>0</v>
      </c>
      <c r="CC301" s="186">
        <v>0</v>
      </c>
      <c r="CD301" s="186">
        <v>0</v>
      </c>
      <c r="CE301" s="186">
        <v>0</v>
      </c>
      <c r="CF301" s="186">
        <v>0</v>
      </c>
      <c r="CG301" s="186">
        <v>0</v>
      </c>
      <c r="CH301" s="186">
        <v>0</v>
      </c>
      <c r="CI301" s="186">
        <v>0</v>
      </c>
      <c r="CJ301" s="186">
        <v>0</v>
      </c>
      <c r="CK301" s="186">
        <v>0</v>
      </c>
      <c r="CL301" s="186">
        <v>0</v>
      </c>
      <c r="CM301" s="186">
        <v>0</v>
      </c>
      <c r="CN301" s="186">
        <v>0</v>
      </c>
      <c r="CO301" s="186">
        <v>0</v>
      </c>
      <c r="CP301" s="186">
        <v>0</v>
      </c>
      <c r="CQ301" s="186">
        <v>0</v>
      </c>
      <c r="CR301" s="186">
        <v>0</v>
      </c>
      <c r="CS301" s="186">
        <v>0</v>
      </c>
      <c r="CT301" s="186">
        <v>0</v>
      </c>
      <c r="CU301" s="186">
        <v>0</v>
      </c>
      <c r="CV301" s="186">
        <v>0</v>
      </c>
    </row>
    <row r="302" spans="1:100">
      <c r="A302" s="541" t="str">
        <f t="shared" si="4"/>
        <v>2540071</v>
      </c>
      <c r="B302" s="541" t="s">
        <v>938</v>
      </c>
      <c r="C302" s="463" t="s">
        <v>813</v>
      </c>
      <c r="D302" s="397">
        <v>-34014</v>
      </c>
      <c r="E302" s="397">
        <v>-168819</v>
      </c>
      <c r="F302" s="397">
        <v>-294770</v>
      </c>
      <c r="G302" s="397">
        <v>-362064</v>
      </c>
      <c r="H302" s="397">
        <v>-407133</v>
      </c>
      <c r="I302" s="397">
        <v>-408590</v>
      </c>
      <c r="J302" s="397">
        <v>-391918</v>
      </c>
      <c r="K302" s="397">
        <v>-352611</v>
      </c>
      <c r="L302" s="397">
        <v>-287689</v>
      </c>
      <c r="M302" s="397">
        <v>-217781</v>
      </c>
      <c r="N302" s="397">
        <v>-138936</v>
      </c>
      <c r="O302" s="397">
        <v>-66999</v>
      </c>
      <c r="P302" s="398">
        <v>-36525</v>
      </c>
      <c r="Q302" s="186">
        <v>-247652</v>
      </c>
      <c r="R302" s="186">
        <v>-396516.45</v>
      </c>
      <c r="S302" s="186">
        <v>-519555.86</v>
      </c>
      <c r="T302" s="186">
        <v>-533813.54</v>
      </c>
      <c r="U302" s="186">
        <v>-485261.18</v>
      </c>
      <c r="V302" s="186">
        <v>-432287.55</v>
      </c>
      <c r="W302" s="186">
        <v>-347269.86</v>
      </c>
      <c r="X302" s="186">
        <v>-259001.34</v>
      </c>
      <c r="Y302" s="186">
        <v>-156849.62</v>
      </c>
      <c r="Z302" s="186">
        <v>-53799.71</v>
      </c>
      <c r="AA302" s="186">
        <v>0</v>
      </c>
      <c r="AB302" s="186">
        <v>0</v>
      </c>
      <c r="AC302" s="186">
        <v>-26878</v>
      </c>
      <c r="AD302" s="186">
        <v>-203108</v>
      </c>
      <c r="AE302" s="186">
        <v>-305204</v>
      </c>
      <c r="AF302" s="186">
        <v>-337180</v>
      </c>
      <c r="AG302" s="186">
        <v>-309654</v>
      </c>
      <c r="AH302" s="186">
        <v>-2235258</v>
      </c>
      <c r="AI302" s="186">
        <v>-2133680</v>
      </c>
      <c r="AJ302" s="186">
        <v>-1996856</v>
      </c>
      <c r="AK302" s="186">
        <v>-1873234</v>
      </c>
      <c r="AL302" s="186">
        <v>-1697504</v>
      </c>
      <c r="AM302" s="186">
        <v>-1569649</v>
      </c>
      <c r="AN302" s="186">
        <v>-1709368</v>
      </c>
      <c r="AO302" s="186">
        <v>-1651070</v>
      </c>
      <c r="AP302" s="186">
        <v>-1606776</v>
      </c>
      <c r="AQ302" s="186">
        <v>-1497895</v>
      </c>
      <c r="AR302" s="186">
        <v>-1361048</v>
      </c>
      <c r="AS302" s="186">
        <v>-1147256</v>
      </c>
      <c r="AT302" s="186">
        <v>-888871</v>
      </c>
      <c r="AU302" s="186">
        <v>-593554</v>
      </c>
      <c r="AV302" s="186">
        <v>-277240</v>
      </c>
      <c r="AW302" s="186">
        <v>0</v>
      </c>
      <c r="AX302" s="186">
        <v>0</v>
      </c>
      <c r="AY302" s="186">
        <v>0</v>
      </c>
      <c r="AZ302" s="186">
        <v>0</v>
      </c>
      <c r="BA302" s="186">
        <v>0</v>
      </c>
      <c r="BB302" s="186">
        <v>-48914</v>
      </c>
      <c r="BC302" s="186">
        <v>-265833</v>
      </c>
      <c r="BD302" s="186">
        <v>-496094</v>
      </c>
      <c r="BE302" s="186">
        <v>-872137</v>
      </c>
      <c r="BF302" s="186">
        <v>-800059</v>
      </c>
      <c r="BG302" s="186">
        <v>-704927</v>
      </c>
      <c r="BH302" s="186">
        <v>-566853</v>
      </c>
      <c r="BI302" s="186">
        <v>-459268</v>
      </c>
      <c r="BJ302" s="186">
        <v>-240150</v>
      </c>
      <c r="BK302" s="186">
        <v>-63302</v>
      </c>
      <c r="BL302" s="186">
        <v>-102065</v>
      </c>
      <c r="BM302" s="186">
        <v>-349910</v>
      </c>
      <c r="BN302" s="186">
        <v>-466300</v>
      </c>
      <c r="BO302" s="186">
        <v>-451730</v>
      </c>
      <c r="BP302" s="186">
        <v>-335091</v>
      </c>
      <c r="BQ302" s="186">
        <v>-98514</v>
      </c>
      <c r="BR302" s="186">
        <v>0</v>
      </c>
      <c r="BS302" s="186">
        <v>0</v>
      </c>
      <c r="BT302" s="186">
        <v>0</v>
      </c>
      <c r="BU302" s="186">
        <v>0</v>
      </c>
      <c r="BV302" s="186">
        <v>0</v>
      </c>
      <c r="BW302" s="186">
        <v>0</v>
      </c>
      <c r="BX302" s="186">
        <v>0</v>
      </c>
      <c r="BY302" s="186">
        <v>0</v>
      </c>
      <c r="BZ302" s="186">
        <v>0</v>
      </c>
      <c r="CA302" s="186">
        <v>0</v>
      </c>
      <c r="CB302" s="186">
        <v>0</v>
      </c>
      <c r="CC302" s="186">
        <v>0</v>
      </c>
      <c r="CD302" s="186">
        <v>0</v>
      </c>
      <c r="CE302" s="186">
        <v>0</v>
      </c>
      <c r="CF302" s="186">
        <v>0</v>
      </c>
      <c r="CG302" s="186">
        <v>0</v>
      </c>
      <c r="CH302" s="186">
        <v>0</v>
      </c>
      <c r="CI302" s="186">
        <v>0</v>
      </c>
      <c r="CJ302" s="186">
        <v>0</v>
      </c>
      <c r="CK302" s="186">
        <v>0</v>
      </c>
      <c r="CL302" s="186">
        <v>0</v>
      </c>
      <c r="CM302" s="186">
        <v>0</v>
      </c>
      <c r="CN302" s="186">
        <v>0</v>
      </c>
      <c r="CO302" s="186">
        <v>0</v>
      </c>
      <c r="CP302" s="186">
        <v>0</v>
      </c>
      <c r="CQ302" s="186">
        <v>0</v>
      </c>
      <c r="CR302" s="186">
        <v>0</v>
      </c>
      <c r="CS302" s="186">
        <v>0</v>
      </c>
      <c r="CT302" s="186">
        <v>0</v>
      </c>
      <c r="CU302" s="186">
        <v>0</v>
      </c>
      <c r="CV302" s="186">
        <v>0</v>
      </c>
    </row>
    <row r="303" spans="1:100">
      <c r="A303" s="541" t="str">
        <f t="shared" si="4"/>
        <v>2540105</v>
      </c>
      <c r="B303" s="541" t="s">
        <v>929</v>
      </c>
      <c r="C303" s="463" t="s">
        <v>2200</v>
      </c>
      <c r="D303" s="397">
        <v>-1083910</v>
      </c>
      <c r="E303" s="397">
        <v>-3450680</v>
      </c>
      <c r="F303" s="397">
        <v>-2417910</v>
      </c>
      <c r="G303" s="397">
        <v>-1479840</v>
      </c>
      <c r="H303" s="397">
        <v>-2608310</v>
      </c>
      <c r="I303" s="397">
        <v>-1045615</v>
      </c>
      <c r="J303" s="397">
        <v>-579510</v>
      </c>
      <c r="K303" s="397">
        <v>0</v>
      </c>
      <c r="L303" s="397">
        <v>-4975</v>
      </c>
      <c r="M303" s="397">
        <v>0</v>
      </c>
      <c r="N303" s="397">
        <v>0</v>
      </c>
      <c r="O303" s="397">
        <v>0</v>
      </c>
      <c r="P303" s="398">
        <v>0</v>
      </c>
      <c r="Q303" s="186">
        <v>0</v>
      </c>
      <c r="R303" s="186">
        <v>0</v>
      </c>
      <c r="S303" s="186">
        <v>0</v>
      </c>
      <c r="T303" s="186">
        <v>0</v>
      </c>
      <c r="U303" s="186">
        <v>0</v>
      </c>
      <c r="V303" s="186">
        <v>0</v>
      </c>
      <c r="W303" s="186">
        <v>0</v>
      </c>
      <c r="X303" s="186">
        <v>0</v>
      </c>
      <c r="Y303" s="186">
        <v>0</v>
      </c>
      <c r="Z303" s="186">
        <v>0</v>
      </c>
      <c r="AA303" s="186">
        <v>0</v>
      </c>
      <c r="AB303" s="186">
        <v>0</v>
      </c>
      <c r="AC303" s="186">
        <v>-2520</v>
      </c>
      <c r="AD303" s="186">
        <v>0</v>
      </c>
      <c r="AE303" s="186">
        <v>0</v>
      </c>
      <c r="AF303" s="186">
        <v>0</v>
      </c>
      <c r="AG303" s="186">
        <v>-3720</v>
      </c>
      <c r="AH303" s="186">
        <v>-235290</v>
      </c>
      <c r="AI303" s="186">
        <v>-215630</v>
      </c>
      <c r="AJ303" s="186">
        <v>-103720</v>
      </c>
      <c r="AK303" s="186">
        <v>-63240</v>
      </c>
      <c r="AL303" s="186">
        <v>-24520</v>
      </c>
      <c r="AM303" s="186">
        <v>-382970</v>
      </c>
      <c r="AN303" s="186">
        <v>-1721815</v>
      </c>
      <c r="AO303" s="186">
        <v>-428585</v>
      </c>
      <c r="AP303" s="186">
        <v>-31520</v>
      </c>
      <c r="AQ303" s="186">
        <v>-481000</v>
      </c>
      <c r="AR303" s="186">
        <v>-504425</v>
      </c>
      <c r="AS303" s="186">
        <v>-161805</v>
      </c>
      <c r="AT303" s="186">
        <v>-86755</v>
      </c>
      <c r="AU303" s="186">
        <v>-8450</v>
      </c>
      <c r="AV303" s="186">
        <v>-94105</v>
      </c>
      <c r="AW303" s="186">
        <v>-72175</v>
      </c>
      <c r="AX303" s="186">
        <v>0</v>
      </c>
      <c r="AY303" s="186">
        <v>-7230</v>
      </c>
      <c r="AZ303" s="186">
        <v>0</v>
      </c>
      <c r="BA303" s="186">
        <v>-77895</v>
      </c>
      <c r="BB303" s="186">
        <v>0</v>
      </c>
      <c r="BC303" s="186">
        <v>0</v>
      </c>
      <c r="BD303" s="186">
        <v>-2040</v>
      </c>
      <c r="BE303" s="186">
        <v>-20020</v>
      </c>
      <c r="BF303" s="186">
        <v>-15330</v>
      </c>
      <c r="BG303" s="186">
        <v>0</v>
      </c>
      <c r="BH303" s="186">
        <v>-3500</v>
      </c>
      <c r="BI303" s="186">
        <v>-10040</v>
      </c>
      <c r="BJ303" s="186">
        <v>-14650</v>
      </c>
      <c r="BK303" s="186">
        <v>0</v>
      </c>
      <c r="BL303" s="186">
        <v>0</v>
      </c>
      <c r="BM303" s="186">
        <v>0</v>
      </c>
      <c r="BN303" s="186">
        <v>0</v>
      </c>
      <c r="BO303" s="186">
        <v>0</v>
      </c>
      <c r="BP303" s="186">
        <v>0</v>
      </c>
      <c r="BQ303" s="186">
        <v>0</v>
      </c>
      <c r="BR303" s="186">
        <v>0</v>
      </c>
      <c r="BS303" s="186">
        <v>0</v>
      </c>
      <c r="BT303" s="186">
        <v>0</v>
      </c>
      <c r="BU303" s="186">
        <v>0</v>
      </c>
      <c r="BV303" s="186">
        <v>0</v>
      </c>
      <c r="BW303" s="186">
        <v>0</v>
      </c>
      <c r="BX303" s="186">
        <v>0</v>
      </c>
      <c r="BY303" s="186">
        <v>0</v>
      </c>
      <c r="BZ303" s="186">
        <v>0</v>
      </c>
      <c r="CA303" s="186">
        <v>0</v>
      </c>
      <c r="CB303" s="186">
        <v>0</v>
      </c>
      <c r="CC303" s="186">
        <v>0</v>
      </c>
      <c r="CD303" s="186">
        <v>0</v>
      </c>
      <c r="CE303" s="186">
        <v>0</v>
      </c>
      <c r="CF303" s="186">
        <v>0</v>
      </c>
      <c r="CG303" s="186">
        <v>0</v>
      </c>
      <c r="CH303" s="186">
        <v>0</v>
      </c>
      <c r="CI303" s="186">
        <v>0</v>
      </c>
      <c r="CJ303" s="186">
        <v>0</v>
      </c>
      <c r="CK303" s="186">
        <v>0</v>
      </c>
      <c r="CL303" s="186">
        <v>0</v>
      </c>
      <c r="CM303" s="186">
        <v>0</v>
      </c>
      <c r="CN303" s="186">
        <v>0</v>
      </c>
      <c r="CO303" s="186">
        <v>0</v>
      </c>
      <c r="CP303" s="186">
        <v>0</v>
      </c>
      <c r="CQ303" s="186">
        <v>0</v>
      </c>
      <c r="CR303" s="186">
        <v>0</v>
      </c>
      <c r="CS303" s="186">
        <v>0</v>
      </c>
      <c r="CT303" s="186">
        <v>0</v>
      </c>
      <c r="CU303" s="186">
        <v>0</v>
      </c>
      <c r="CV303" s="186">
        <v>0</v>
      </c>
    </row>
    <row r="304" spans="1:100">
      <c r="A304" s="541" t="str">
        <f t="shared" si="4"/>
        <v>2540205</v>
      </c>
      <c r="B304" s="541" t="s">
        <v>930</v>
      </c>
      <c r="C304" s="542" t="s">
        <v>2201</v>
      </c>
      <c r="D304" s="397">
        <v>-51235</v>
      </c>
      <c r="E304" s="397">
        <v>-113765</v>
      </c>
      <c r="F304" s="397">
        <v>-71605</v>
      </c>
      <c r="G304" s="397">
        <v>-25205</v>
      </c>
      <c r="H304" s="397">
        <v>-481885</v>
      </c>
      <c r="I304" s="397">
        <v>-134995</v>
      </c>
      <c r="J304" s="397">
        <v>-98245</v>
      </c>
      <c r="K304" s="397">
        <v>0</v>
      </c>
      <c r="L304" s="397">
        <v>0</v>
      </c>
      <c r="M304" s="397">
        <v>0</v>
      </c>
      <c r="N304" s="397">
        <v>0</v>
      </c>
      <c r="O304" s="397">
        <v>0</v>
      </c>
      <c r="P304" s="398">
        <v>0</v>
      </c>
      <c r="Q304" s="186">
        <v>0</v>
      </c>
      <c r="R304" s="186">
        <v>0</v>
      </c>
      <c r="S304" s="186">
        <v>0</v>
      </c>
      <c r="T304" s="186">
        <v>0</v>
      </c>
      <c r="U304" s="186">
        <v>0</v>
      </c>
      <c r="V304" s="186">
        <v>-360</v>
      </c>
      <c r="W304" s="186">
        <v>0</v>
      </c>
      <c r="X304" s="186">
        <v>0</v>
      </c>
      <c r="Y304" s="186">
        <v>0</v>
      </c>
      <c r="Z304" s="186">
        <v>0</v>
      </c>
      <c r="AA304" s="186">
        <v>0</v>
      </c>
      <c r="AB304" s="186">
        <v>0</v>
      </c>
      <c r="AC304" s="186">
        <v>0</v>
      </c>
      <c r="AD304" s="186">
        <v>0</v>
      </c>
      <c r="AE304" s="186">
        <v>-2790</v>
      </c>
      <c r="AF304" s="186">
        <v>-56285</v>
      </c>
      <c r="AG304" s="186">
        <v>-74965</v>
      </c>
      <c r="AH304" s="186">
        <v>-123345</v>
      </c>
      <c r="AI304" s="186">
        <v>-136115</v>
      </c>
      <c r="AJ304" s="186">
        <v>-97905</v>
      </c>
      <c r="AK304" s="186">
        <v>-55055</v>
      </c>
      <c r="AL304" s="186">
        <v>-128885</v>
      </c>
      <c r="AM304" s="186">
        <v>-149175</v>
      </c>
      <c r="AN304" s="186">
        <v>-267425</v>
      </c>
      <c r="AO304" s="186">
        <v>-106815</v>
      </c>
      <c r="AP304" s="186">
        <v>0</v>
      </c>
      <c r="AQ304" s="186">
        <v>-1880</v>
      </c>
      <c r="AR304" s="186">
        <v>-34420</v>
      </c>
      <c r="AS304" s="186">
        <v>-7720</v>
      </c>
      <c r="AT304" s="186">
        <v>-1520</v>
      </c>
      <c r="AU304" s="186">
        <v>0</v>
      </c>
      <c r="AV304" s="186">
        <v>-7090</v>
      </c>
      <c r="AW304" s="186">
        <v>-7570</v>
      </c>
      <c r="AX304" s="186">
        <v>-4800</v>
      </c>
      <c r="AY304" s="186">
        <v>0</v>
      </c>
      <c r="AZ304" s="186">
        <v>0</v>
      </c>
      <c r="BA304" s="186">
        <v>0</v>
      </c>
      <c r="BB304" s="186">
        <v>0</v>
      </c>
      <c r="BC304" s="186">
        <v>0</v>
      </c>
      <c r="BD304" s="186">
        <v>0</v>
      </c>
      <c r="BE304" s="186">
        <v>0</v>
      </c>
      <c r="BF304" s="186">
        <v>0</v>
      </c>
      <c r="BG304" s="186">
        <v>0</v>
      </c>
      <c r="BH304" s="186">
        <v>0</v>
      </c>
      <c r="BI304" s="186">
        <v>0</v>
      </c>
      <c r="BJ304" s="186">
        <v>0</v>
      </c>
      <c r="BK304" s="186">
        <v>0</v>
      </c>
      <c r="BL304" s="186">
        <v>0</v>
      </c>
      <c r="BM304" s="186">
        <v>0</v>
      </c>
      <c r="BN304" s="186">
        <v>0</v>
      </c>
      <c r="BO304" s="186">
        <v>0</v>
      </c>
      <c r="BP304" s="186">
        <v>0</v>
      </c>
      <c r="BQ304" s="186">
        <v>0</v>
      </c>
      <c r="BR304" s="186">
        <v>0</v>
      </c>
      <c r="BS304" s="186">
        <v>0</v>
      </c>
      <c r="BT304" s="186">
        <v>0</v>
      </c>
      <c r="BU304" s="186">
        <v>0</v>
      </c>
      <c r="BV304" s="186">
        <v>0</v>
      </c>
      <c r="BW304" s="186">
        <v>0</v>
      </c>
      <c r="BX304" s="186">
        <v>0</v>
      </c>
      <c r="BY304" s="186">
        <v>0</v>
      </c>
      <c r="BZ304" s="186">
        <v>0</v>
      </c>
      <c r="CA304" s="186">
        <v>0</v>
      </c>
      <c r="CB304" s="186">
        <v>0</v>
      </c>
      <c r="CC304" s="186">
        <v>0</v>
      </c>
      <c r="CD304" s="186">
        <v>0</v>
      </c>
      <c r="CE304" s="186">
        <v>0</v>
      </c>
      <c r="CF304" s="186">
        <v>0</v>
      </c>
      <c r="CG304" s="186">
        <v>0</v>
      </c>
      <c r="CH304" s="186">
        <v>0</v>
      </c>
      <c r="CI304" s="186">
        <v>0</v>
      </c>
      <c r="CJ304" s="186">
        <v>0</v>
      </c>
      <c r="CK304" s="186">
        <v>0</v>
      </c>
      <c r="CL304" s="186">
        <v>0</v>
      </c>
      <c r="CM304" s="186">
        <v>0</v>
      </c>
      <c r="CN304" s="186">
        <v>0</v>
      </c>
      <c r="CO304" s="186">
        <v>0</v>
      </c>
      <c r="CP304" s="186">
        <v>0</v>
      </c>
      <c r="CQ304" s="186">
        <v>0</v>
      </c>
      <c r="CR304" s="186">
        <v>0</v>
      </c>
      <c r="CS304" s="186">
        <v>0</v>
      </c>
      <c r="CT304" s="186">
        <v>0</v>
      </c>
      <c r="CU304" s="186">
        <v>0</v>
      </c>
      <c r="CV304" s="186">
        <v>0</v>
      </c>
    </row>
    <row r="305" spans="1:100">
      <c r="A305" s="541" t="str">
        <f t="shared" si="4"/>
        <v>2540280</v>
      </c>
      <c r="B305" s="541" t="s">
        <v>1674</v>
      </c>
      <c r="C305" s="463" t="s">
        <v>1475</v>
      </c>
      <c r="D305" s="397"/>
      <c r="E305" s="397"/>
      <c r="F305" s="397"/>
      <c r="G305" s="397"/>
      <c r="H305" s="397"/>
      <c r="I305" s="397"/>
      <c r="J305" s="397"/>
      <c r="K305" s="397"/>
      <c r="L305" s="397"/>
      <c r="M305" s="397"/>
      <c r="N305" s="397"/>
      <c r="O305" s="397"/>
      <c r="P305" s="398"/>
      <c r="Q305" s="186"/>
      <c r="R305" s="186"/>
      <c r="S305" s="186"/>
      <c r="T305" s="186"/>
      <c r="U305" s="186"/>
      <c r="V305" s="186"/>
      <c r="W305" s="186"/>
      <c r="X305" s="186"/>
      <c r="Y305" s="186"/>
      <c r="Z305" s="186"/>
      <c r="AA305" s="186"/>
      <c r="AB305" s="186"/>
      <c r="AC305" s="186"/>
      <c r="AD305" s="186"/>
      <c r="AE305" s="186"/>
      <c r="AF305" s="186">
        <v>0</v>
      </c>
      <c r="AG305" s="186">
        <v>0</v>
      </c>
      <c r="AH305" s="186">
        <v>-8562342.1899999995</v>
      </c>
      <c r="AI305" s="186">
        <v>-8428522.9900000002</v>
      </c>
      <c r="AJ305" s="186">
        <v>-8205577.9299999997</v>
      </c>
      <c r="AK305" s="186">
        <v>-8027195.7999999998</v>
      </c>
      <c r="AL305" s="186">
        <v>-7848813.6699999999</v>
      </c>
      <c r="AM305" s="186">
        <v>-7670431.54</v>
      </c>
      <c r="AN305" s="186">
        <v>-7492049.4100000001</v>
      </c>
      <c r="AO305" s="186">
        <v>-7313667.2800000003</v>
      </c>
      <c r="AP305" s="186">
        <v>-7135285.1500000004</v>
      </c>
      <c r="AQ305" s="186">
        <v>-6956903.0199999996</v>
      </c>
      <c r="AR305" s="186">
        <v>-6778520.8899999997</v>
      </c>
      <c r="AS305" s="186">
        <v>-6600138.7599999998</v>
      </c>
      <c r="AT305" s="186">
        <v>-6421756.6299999999</v>
      </c>
      <c r="AU305" s="186">
        <v>-6243374.5</v>
      </c>
      <c r="AV305" s="186">
        <v>-6064992.3700000001</v>
      </c>
      <c r="AW305" s="186">
        <v>-5886610.2400000002</v>
      </c>
      <c r="AX305" s="186">
        <v>-5708228.1100000003</v>
      </c>
      <c r="AY305" s="186">
        <v>-5529845.9800000004</v>
      </c>
      <c r="AZ305" s="186">
        <v>-5351463.8499999996</v>
      </c>
      <c r="BA305" s="186">
        <v>-5173081.72</v>
      </c>
      <c r="BB305" s="186">
        <v>-4994699.59</v>
      </c>
      <c r="BC305" s="186">
        <v>-4816317.46</v>
      </c>
      <c r="BD305" s="186">
        <v>-4637935.33</v>
      </c>
      <c r="BE305" s="186">
        <v>-4459553.2</v>
      </c>
      <c r="BF305" s="186">
        <v>-4281171.07</v>
      </c>
      <c r="BG305" s="186">
        <v>-4102788.94</v>
      </c>
      <c r="BH305" s="186">
        <v>-3924406.81</v>
      </c>
      <c r="BI305" s="186">
        <v>-3746024.68</v>
      </c>
      <c r="BJ305" s="186">
        <v>-3567642.55</v>
      </c>
      <c r="BK305" s="186">
        <v>-3389260.42</v>
      </c>
      <c r="BL305" s="186">
        <v>-3210878.29</v>
      </c>
      <c r="BM305" s="186">
        <v>-3032496.16</v>
      </c>
      <c r="BN305" s="186">
        <v>-2854114.03</v>
      </c>
      <c r="BO305" s="186">
        <v>-2675731.9</v>
      </c>
      <c r="BP305" s="186">
        <v>-2497349.77</v>
      </c>
      <c r="BQ305" s="186">
        <v>-2318967.64</v>
      </c>
      <c r="BR305" s="186">
        <v>-2140585.5099999998</v>
      </c>
      <c r="BS305" s="186">
        <v>-1962203.38</v>
      </c>
      <c r="BT305" s="186">
        <v>-1783821.25</v>
      </c>
      <c r="BU305" s="186">
        <v>-1605439.12</v>
      </c>
      <c r="BV305" s="186">
        <v>-1427056.99</v>
      </c>
      <c r="BW305" s="186">
        <v>-1248674.8600000001</v>
      </c>
      <c r="BX305" s="186">
        <v>-1070292.73</v>
      </c>
      <c r="BY305" s="186">
        <v>-891910.6</v>
      </c>
      <c r="BZ305" s="186">
        <v>-713528.47</v>
      </c>
      <c r="CA305" s="186">
        <v>-535146.34</v>
      </c>
      <c r="CB305" s="186">
        <v>-356764.21</v>
      </c>
      <c r="CC305" s="186">
        <v>-177449.58</v>
      </c>
      <c r="CD305" s="186">
        <v>-21447.55</v>
      </c>
      <c r="CE305" s="186">
        <v>0</v>
      </c>
      <c r="CF305" s="186">
        <v>0</v>
      </c>
      <c r="CG305" s="186">
        <v>0</v>
      </c>
      <c r="CH305" s="186">
        <v>0</v>
      </c>
      <c r="CI305" s="186">
        <v>0</v>
      </c>
      <c r="CJ305" s="186">
        <v>0</v>
      </c>
      <c r="CK305" s="186">
        <v>0</v>
      </c>
      <c r="CL305" s="186">
        <v>0</v>
      </c>
      <c r="CM305" s="186">
        <v>0</v>
      </c>
      <c r="CN305" s="186">
        <v>0</v>
      </c>
      <c r="CO305" s="186">
        <v>0</v>
      </c>
      <c r="CP305" s="186">
        <v>0</v>
      </c>
      <c r="CQ305" s="186">
        <v>0</v>
      </c>
      <c r="CR305" s="186">
        <v>0</v>
      </c>
      <c r="CS305" s="186">
        <v>0</v>
      </c>
      <c r="CT305" s="186">
        <v>0</v>
      </c>
      <c r="CU305" s="186">
        <v>0</v>
      </c>
      <c r="CV305" s="186">
        <v>0</v>
      </c>
    </row>
    <row r="306" spans="1:100">
      <c r="A306" s="541" t="str">
        <f t="shared" si="4"/>
        <v>2540281</v>
      </c>
      <c r="B306" s="541" t="s">
        <v>904</v>
      </c>
      <c r="C306" s="463" t="s">
        <v>814</v>
      </c>
      <c r="D306" s="397">
        <v>0</v>
      </c>
      <c r="E306" s="397">
        <v>0</v>
      </c>
      <c r="F306" s="397">
        <v>0</v>
      </c>
      <c r="G306" s="397">
        <v>0</v>
      </c>
      <c r="H306" s="397">
        <v>0</v>
      </c>
      <c r="I306" s="397">
        <v>0</v>
      </c>
      <c r="J306" s="397">
        <v>0</v>
      </c>
      <c r="K306" s="397">
        <v>0</v>
      </c>
      <c r="L306" s="397">
        <v>0</v>
      </c>
      <c r="M306" s="397">
        <v>0</v>
      </c>
      <c r="N306" s="397">
        <v>0</v>
      </c>
      <c r="O306" s="397">
        <v>0</v>
      </c>
      <c r="P306" s="398">
        <v>0</v>
      </c>
      <c r="Q306" s="186">
        <v>0</v>
      </c>
      <c r="R306" s="186">
        <v>0</v>
      </c>
      <c r="S306" s="186">
        <v>0</v>
      </c>
      <c r="T306" s="186">
        <v>0</v>
      </c>
      <c r="U306" s="186">
        <v>0</v>
      </c>
      <c r="V306" s="186">
        <v>0</v>
      </c>
      <c r="W306" s="186">
        <v>0</v>
      </c>
      <c r="X306" s="186">
        <v>0</v>
      </c>
      <c r="Y306" s="186">
        <v>0</v>
      </c>
      <c r="Z306" s="186">
        <v>0</v>
      </c>
      <c r="AA306" s="186">
        <v>0</v>
      </c>
      <c r="AB306" s="186">
        <v>0</v>
      </c>
      <c r="AC306" s="186">
        <v>0</v>
      </c>
      <c r="AD306" s="186">
        <v>0</v>
      </c>
      <c r="AE306" s="186">
        <v>0</v>
      </c>
      <c r="AF306" s="186">
        <v>0</v>
      </c>
      <c r="AG306" s="186">
        <v>0</v>
      </c>
      <c r="AH306" s="186">
        <v>0</v>
      </c>
      <c r="AI306" s="186">
        <v>0</v>
      </c>
      <c r="AJ306" s="186">
        <v>0</v>
      </c>
      <c r="AK306" s="186">
        <v>0</v>
      </c>
      <c r="AL306" s="186">
        <v>0</v>
      </c>
      <c r="AM306" s="186">
        <v>0</v>
      </c>
      <c r="AN306" s="186">
        <v>0</v>
      </c>
      <c r="AO306" s="186">
        <v>0</v>
      </c>
      <c r="AP306" s="186">
        <v>0</v>
      </c>
      <c r="AQ306" s="186">
        <v>0</v>
      </c>
      <c r="AR306" s="186">
        <v>0</v>
      </c>
      <c r="AS306" s="186">
        <v>0</v>
      </c>
      <c r="AT306" s="186">
        <v>0</v>
      </c>
      <c r="AU306" s="186">
        <v>0</v>
      </c>
      <c r="AV306" s="186">
        <v>0</v>
      </c>
      <c r="AW306" s="186">
        <v>0</v>
      </c>
      <c r="AX306" s="186">
        <v>0</v>
      </c>
      <c r="AY306" s="186">
        <v>0</v>
      </c>
      <c r="AZ306" s="186">
        <v>0</v>
      </c>
      <c r="BA306" s="186">
        <v>0</v>
      </c>
      <c r="BB306" s="186">
        <v>0</v>
      </c>
      <c r="BC306" s="186">
        <v>0</v>
      </c>
      <c r="BD306" s="186">
        <v>0</v>
      </c>
      <c r="BE306" s="186">
        <v>0</v>
      </c>
      <c r="BF306" s="186">
        <v>0</v>
      </c>
      <c r="BG306" s="186">
        <v>0</v>
      </c>
      <c r="BH306" s="186">
        <v>0</v>
      </c>
      <c r="BI306" s="186">
        <v>0</v>
      </c>
      <c r="BJ306" s="186">
        <v>0</v>
      </c>
      <c r="BK306" s="186">
        <v>0</v>
      </c>
      <c r="BL306" s="186">
        <v>0</v>
      </c>
      <c r="BM306" s="186">
        <v>0</v>
      </c>
      <c r="BN306" s="186">
        <v>0</v>
      </c>
      <c r="BO306" s="186">
        <v>0</v>
      </c>
      <c r="BP306" s="186">
        <v>0</v>
      </c>
      <c r="BQ306" s="186">
        <v>0</v>
      </c>
      <c r="BR306" s="186">
        <v>0</v>
      </c>
      <c r="BS306" s="186">
        <v>0</v>
      </c>
      <c r="BT306" s="186">
        <v>0</v>
      </c>
      <c r="BU306" s="186">
        <v>0</v>
      </c>
      <c r="BV306" s="186">
        <v>0</v>
      </c>
      <c r="BW306" s="186">
        <v>0</v>
      </c>
      <c r="BX306" s="186">
        <v>0</v>
      </c>
      <c r="BY306" s="186">
        <v>0</v>
      </c>
      <c r="BZ306" s="186">
        <v>0</v>
      </c>
      <c r="CA306" s="186">
        <v>0</v>
      </c>
      <c r="CB306" s="186">
        <v>0</v>
      </c>
      <c r="CC306" s="186">
        <v>0</v>
      </c>
      <c r="CD306" s="186">
        <v>0</v>
      </c>
      <c r="CE306" s="186">
        <v>0</v>
      </c>
      <c r="CF306" s="186">
        <v>0</v>
      </c>
      <c r="CG306" s="186">
        <v>0</v>
      </c>
      <c r="CH306" s="186">
        <v>0</v>
      </c>
      <c r="CI306" s="186">
        <v>0</v>
      </c>
      <c r="CJ306" s="186">
        <v>0</v>
      </c>
      <c r="CK306" s="186">
        <v>0</v>
      </c>
      <c r="CL306" s="186">
        <v>0</v>
      </c>
      <c r="CM306" s="186">
        <v>0</v>
      </c>
      <c r="CN306" s="186">
        <v>0</v>
      </c>
      <c r="CO306" s="186">
        <v>0</v>
      </c>
      <c r="CP306" s="186">
        <v>0</v>
      </c>
      <c r="CQ306" s="186">
        <v>0</v>
      </c>
      <c r="CR306" s="186">
        <v>0</v>
      </c>
      <c r="CS306" s="186">
        <v>0</v>
      </c>
      <c r="CT306" s="186">
        <v>0</v>
      </c>
      <c r="CU306" s="186">
        <v>0</v>
      </c>
      <c r="CV306" s="186">
        <v>0</v>
      </c>
    </row>
    <row r="307" spans="1:100">
      <c r="A307" s="541" t="str">
        <f t="shared" si="4"/>
        <v>2540330</v>
      </c>
      <c r="B307" s="541" t="s">
        <v>905</v>
      </c>
      <c r="C307" s="463" t="s">
        <v>815</v>
      </c>
      <c r="D307" s="397">
        <v>-676678.04</v>
      </c>
      <c r="E307" s="397">
        <v>-718344.71</v>
      </c>
      <c r="F307" s="397">
        <v>-760011.38</v>
      </c>
      <c r="G307" s="397">
        <v>-662078.05000000005</v>
      </c>
      <c r="H307" s="397">
        <v>-690244.72</v>
      </c>
      <c r="I307" s="397">
        <v>-731911.39</v>
      </c>
      <c r="J307" s="397">
        <v>-773578.06</v>
      </c>
      <c r="K307" s="397">
        <v>-815244.73</v>
      </c>
      <c r="L307" s="397">
        <v>-776159.91</v>
      </c>
      <c r="M307" s="397">
        <v>-817826.58</v>
      </c>
      <c r="N307" s="397">
        <v>-859493.25</v>
      </c>
      <c r="O307" s="397">
        <v>-887659.92</v>
      </c>
      <c r="P307" s="398">
        <v>-929326.59</v>
      </c>
      <c r="Q307" s="186">
        <v>-764326.59</v>
      </c>
      <c r="R307" s="186">
        <v>-764326.59</v>
      </c>
      <c r="S307" s="186">
        <v>-609963.93999999994</v>
      </c>
      <c r="T307" s="186">
        <v>-565119.14</v>
      </c>
      <c r="U307" s="186">
        <v>-547299.71</v>
      </c>
      <c r="V307" s="186">
        <v>-560293.04</v>
      </c>
      <c r="W307" s="186">
        <v>-546255.09</v>
      </c>
      <c r="X307" s="186">
        <v>-546255.09</v>
      </c>
      <c r="Y307" s="186">
        <v>-507492.84</v>
      </c>
      <c r="Z307" s="186">
        <v>-507492.84</v>
      </c>
      <c r="AA307" s="186">
        <v>-507492.84</v>
      </c>
      <c r="AB307" s="186">
        <v>-482492.84</v>
      </c>
      <c r="AC307" s="186">
        <v>-458983.96</v>
      </c>
      <c r="AD307" s="186">
        <v>-458983.96</v>
      </c>
      <c r="AE307" s="186">
        <v>-293983.96000000002</v>
      </c>
      <c r="AF307" s="186">
        <v>-160383.96</v>
      </c>
      <c r="AG307" s="186">
        <v>-160383.96</v>
      </c>
      <c r="AH307" s="186">
        <v>-160383.96</v>
      </c>
      <c r="AI307" s="186">
        <v>-160383.96</v>
      </c>
      <c r="AJ307" s="186">
        <v>-157883.96</v>
      </c>
      <c r="AK307" s="186">
        <v>-157883.96</v>
      </c>
      <c r="AL307" s="186">
        <v>-157883.96</v>
      </c>
      <c r="AM307" s="186">
        <v>-157883.96</v>
      </c>
      <c r="AN307" s="186">
        <v>0</v>
      </c>
      <c r="AO307" s="186">
        <v>-41666.67</v>
      </c>
      <c r="AP307" s="186">
        <v>-58333.32</v>
      </c>
      <c r="AQ307" s="186">
        <v>-77489.259999999995</v>
      </c>
      <c r="AR307" s="186">
        <v>37495.919999999998</v>
      </c>
      <c r="AS307" s="186">
        <v>9411.5</v>
      </c>
      <c r="AT307" s="186">
        <v>-6875.26</v>
      </c>
      <c r="AU307" s="186">
        <v>-36041.919999999998</v>
      </c>
      <c r="AV307" s="186">
        <v>-64645.82</v>
      </c>
      <c r="AW307" s="186">
        <v>-93812.479999999996</v>
      </c>
      <c r="AX307" s="186">
        <v>-122979.14</v>
      </c>
      <c r="AY307" s="186">
        <v>-145357.69</v>
      </c>
      <c r="AZ307" s="186">
        <v>-0.63</v>
      </c>
      <c r="BA307" s="186">
        <v>-33333.96</v>
      </c>
      <c r="BB307" s="186">
        <v>-66667.289999999994</v>
      </c>
      <c r="BC307" s="186">
        <v>-100000.62</v>
      </c>
      <c r="BD307" s="186">
        <v>-133333.95000000001</v>
      </c>
      <c r="BE307" s="186">
        <v>-148862.35999999999</v>
      </c>
      <c r="BF307" s="186">
        <v>304.31</v>
      </c>
      <c r="BG307" s="186">
        <v>-30483.02</v>
      </c>
      <c r="BH307" s="186">
        <v>-63816.35</v>
      </c>
      <c r="BI307" s="186">
        <v>-97149.68</v>
      </c>
      <c r="BJ307" s="186">
        <v>-109048.24</v>
      </c>
      <c r="BK307" s="186">
        <v>-142381.57</v>
      </c>
      <c r="BL307" s="186">
        <v>-10714.9</v>
      </c>
      <c r="BM307" s="186">
        <v>-52381.57</v>
      </c>
      <c r="BN307" s="186">
        <v>-94048.24</v>
      </c>
      <c r="BO307" s="186">
        <v>46785.09</v>
      </c>
      <c r="BP307" s="186">
        <v>6073.35</v>
      </c>
      <c r="BQ307" s="186">
        <v>-34592.800000000003</v>
      </c>
      <c r="BR307" s="186">
        <v>-76259.47</v>
      </c>
      <c r="BS307" s="186">
        <v>-91582.51</v>
      </c>
      <c r="BT307" s="186">
        <v>-133249.18</v>
      </c>
      <c r="BU307" s="186">
        <v>-174915.85</v>
      </c>
      <c r="BV307" s="186">
        <v>-216582.52</v>
      </c>
      <c r="BW307" s="186">
        <v>-258249.19</v>
      </c>
      <c r="BX307" s="186">
        <v>-128515.18</v>
      </c>
      <c r="BY307" s="186">
        <v>-170181.85</v>
      </c>
      <c r="BZ307" s="186">
        <v>-211848.52</v>
      </c>
      <c r="CA307" s="186">
        <v>-53515.19</v>
      </c>
      <c r="CB307" s="186">
        <v>-95181.86</v>
      </c>
      <c r="CC307" s="186">
        <v>-111848.53</v>
      </c>
      <c r="CD307" s="186">
        <v>-153515.20000000001</v>
      </c>
      <c r="CE307" s="186">
        <v>-195181.87</v>
      </c>
      <c r="CF307" s="186">
        <v>-172788.87</v>
      </c>
      <c r="CG307" s="186">
        <v>-172788.87</v>
      </c>
      <c r="CH307" s="186">
        <v>-172788.87</v>
      </c>
      <c r="CI307" s="186">
        <v>-172788.87</v>
      </c>
      <c r="CJ307" s="186">
        <v>-372788.87</v>
      </c>
      <c r="CK307" s="186">
        <v>-182788.87</v>
      </c>
      <c r="CL307" s="186">
        <v>-182788.87</v>
      </c>
      <c r="CM307" s="186">
        <v>17211.13</v>
      </c>
      <c r="CN307" s="186">
        <v>17211.13</v>
      </c>
      <c r="CO307" s="186">
        <v>17211.13</v>
      </c>
      <c r="CP307" s="186">
        <v>0</v>
      </c>
      <c r="CQ307" s="186">
        <v>0</v>
      </c>
      <c r="CR307" s="186">
        <v>0</v>
      </c>
      <c r="CS307" s="186">
        <v>0</v>
      </c>
      <c r="CT307" s="186">
        <v>0</v>
      </c>
      <c r="CU307" s="186">
        <v>0</v>
      </c>
      <c r="CV307" s="186">
        <v>0</v>
      </c>
    </row>
    <row r="308" spans="1:100">
      <c r="A308" s="541" t="str">
        <f t="shared" si="4"/>
        <v>2540340</v>
      </c>
      <c r="B308" s="541" t="s">
        <v>906</v>
      </c>
      <c r="C308" s="463" t="s">
        <v>816</v>
      </c>
      <c r="D308" s="397">
        <v>0</v>
      </c>
      <c r="E308" s="397">
        <v>0</v>
      </c>
      <c r="F308" s="397">
        <v>0</v>
      </c>
      <c r="G308" s="397">
        <v>0</v>
      </c>
      <c r="H308" s="397">
        <v>0</v>
      </c>
      <c r="I308" s="397">
        <v>0</v>
      </c>
      <c r="J308" s="397">
        <v>0</v>
      </c>
      <c r="K308" s="397">
        <v>0</v>
      </c>
      <c r="L308" s="397">
        <v>0</v>
      </c>
      <c r="M308" s="397">
        <v>0</v>
      </c>
      <c r="N308" s="397">
        <v>0</v>
      </c>
      <c r="O308" s="397">
        <v>0</v>
      </c>
      <c r="P308" s="398">
        <v>0</v>
      </c>
      <c r="Q308" s="186">
        <v>0</v>
      </c>
      <c r="R308" s="186">
        <v>0</v>
      </c>
      <c r="S308" s="186">
        <v>0</v>
      </c>
      <c r="T308" s="186">
        <v>0</v>
      </c>
      <c r="U308" s="186">
        <v>0</v>
      </c>
      <c r="V308" s="186">
        <v>0</v>
      </c>
      <c r="W308" s="186">
        <v>0</v>
      </c>
      <c r="X308" s="186">
        <v>0</v>
      </c>
      <c r="Y308" s="186">
        <v>0</v>
      </c>
      <c r="Z308" s="186">
        <v>0</v>
      </c>
      <c r="AA308" s="186">
        <v>0</v>
      </c>
      <c r="AB308" s="186">
        <v>0</v>
      </c>
      <c r="AC308" s="186">
        <v>0</v>
      </c>
      <c r="AD308" s="186">
        <v>0</v>
      </c>
      <c r="AE308" s="186">
        <v>0</v>
      </c>
      <c r="AF308" s="186">
        <v>0</v>
      </c>
      <c r="AG308" s="186">
        <v>0</v>
      </c>
      <c r="AH308" s="186">
        <v>0</v>
      </c>
      <c r="AI308" s="186">
        <v>0</v>
      </c>
      <c r="AJ308" s="186">
        <v>0</v>
      </c>
      <c r="AK308" s="186">
        <v>0</v>
      </c>
      <c r="AL308" s="186">
        <v>0</v>
      </c>
      <c r="AM308" s="186">
        <v>0</v>
      </c>
      <c r="AN308" s="186">
        <v>0</v>
      </c>
      <c r="AO308" s="186">
        <v>0</v>
      </c>
      <c r="AP308" s="186">
        <v>0</v>
      </c>
      <c r="AQ308" s="186">
        <v>0</v>
      </c>
      <c r="AR308" s="186">
        <v>0</v>
      </c>
      <c r="AS308" s="186">
        <v>0</v>
      </c>
      <c r="AT308" s="186">
        <v>0</v>
      </c>
      <c r="AU308" s="186">
        <v>0</v>
      </c>
      <c r="AV308" s="186">
        <v>0</v>
      </c>
      <c r="AW308" s="186">
        <v>0</v>
      </c>
      <c r="AX308" s="186">
        <v>0</v>
      </c>
      <c r="AY308" s="186">
        <v>0</v>
      </c>
      <c r="AZ308" s="186">
        <v>0</v>
      </c>
      <c r="BA308" s="186">
        <v>0</v>
      </c>
      <c r="BB308" s="186">
        <v>0</v>
      </c>
      <c r="BC308" s="186">
        <v>0</v>
      </c>
      <c r="BD308" s="186">
        <v>0</v>
      </c>
      <c r="BE308" s="186">
        <v>0</v>
      </c>
      <c r="BF308" s="186">
        <v>0</v>
      </c>
      <c r="BG308" s="186">
        <v>0</v>
      </c>
      <c r="BH308" s="186">
        <v>0</v>
      </c>
      <c r="BI308" s="186">
        <v>0</v>
      </c>
      <c r="BJ308" s="186">
        <v>0</v>
      </c>
      <c r="BK308" s="186">
        <v>0</v>
      </c>
      <c r="BL308" s="186">
        <v>0</v>
      </c>
      <c r="BM308" s="186">
        <v>0</v>
      </c>
      <c r="BN308" s="186">
        <v>0</v>
      </c>
      <c r="BO308" s="186">
        <v>0</v>
      </c>
      <c r="BP308" s="186">
        <v>0</v>
      </c>
      <c r="BQ308" s="186">
        <v>0</v>
      </c>
      <c r="BR308" s="186">
        <v>0</v>
      </c>
      <c r="BS308" s="186">
        <v>0</v>
      </c>
      <c r="BT308" s="186">
        <v>0</v>
      </c>
      <c r="BU308" s="186">
        <v>0</v>
      </c>
      <c r="BV308" s="186">
        <v>0</v>
      </c>
      <c r="BW308" s="186">
        <v>0</v>
      </c>
      <c r="BX308" s="186">
        <v>0</v>
      </c>
      <c r="BY308" s="186">
        <v>0</v>
      </c>
      <c r="BZ308" s="186">
        <v>0</v>
      </c>
      <c r="CA308" s="186">
        <v>0</v>
      </c>
      <c r="CB308" s="186">
        <v>0</v>
      </c>
      <c r="CC308" s="186">
        <v>0</v>
      </c>
      <c r="CD308" s="186">
        <v>0</v>
      </c>
      <c r="CE308" s="186">
        <v>0</v>
      </c>
      <c r="CF308" s="186">
        <v>0</v>
      </c>
      <c r="CG308" s="186">
        <v>0</v>
      </c>
      <c r="CH308" s="186">
        <v>0</v>
      </c>
      <c r="CI308" s="186">
        <v>0</v>
      </c>
      <c r="CJ308" s="186">
        <v>0</v>
      </c>
      <c r="CK308" s="186">
        <v>0</v>
      </c>
      <c r="CL308" s="186">
        <v>0</v>
      </c>
      <c r="CM308" s="186">
        <v>0</v>
      </c>
      <c r="CN308" s="186">
        <v>0</v>
      </c>
      <c r="CO308" s="186">
        <v>0</v>
      </c>
      <c r="CP308" s="186">
        <v>0</v>
      </c>
      <c r="CQ308" s="186">
        <v>0</v>
      </c>
      <c r="CR308" s="186">
        <v>0</v>
      </c>
      <c r="CS308" s="186">
        <v>0</v>
      </c>
      <c r="CT308" s="186">
        <v>0</v>
      </c>
      <c r="CU308" s="186">
        <v>0</v>
      </c>
      <c r="CV308" s="186">
        <v>0</v>
      </c>
    </row>
    <row r="309" spans="1:100">
      <c r="A309" s="541" t="str">
        <f t="shared" si="4"/>
        <v>2540610</v>
      </c>
      <c r="B309" s="541" t="s">
        <v>1846</v>
      </c>
      <c r="C309" s="463" t="s">
        <v>1848</v>
      </c>
      <c r="D309" s="397"/>
      <c r="E309" s="397"/>
      <c r="F309" s="397"/>
      <c r="G309" s="397"/>
      <c r="H309" s="397"/>
      <c r="I309" s="397"/>
      <c r="J309" s="397"/>
      <c r="K309" s="397"/>
      <c r="L309" s="397"/>
      <c r="M309" s="397"/>
      <c r="N309" s="397"/>
      <c r="O309" s="397"/>
      <c r="P309" s="398"/>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v>0</v>
      </c>
      <c r="AP309" s="186">
        <v>0</v>
      </c>
      <c r="AQ309" s="186">
        <v>0</v>
      </c>
      <c r="AR309" s="186">
        <v>0</v>
      </c>
      <c r="AS309" s="186">
        <v>0</v>
      </c>
      <c r="AT309" s="186">
        <v>0</v>
      </c>
      <c r="AU309" s="186">
        <v>0</v>
      </c>
      <c r="AV309" s="186">
        <v>0</v>
      </c>
      <c r="AW309" s="186">
        <v>0</v>
      </c>
      <c r="AX309" s="186">
        <v>0</v>
      </c>
      <c r="AY309" s="186">
        <v>0</v>
      </c>
      <c r="AZ309" s="186">
        <v>-89215247.840000004</v>
      </c>
      <c r="BA309" s="186">
        <v>-88993618.829999998</v>
      </c>
      <c r="BB309" s="186">
        <v>-88772694.959999993</v>
      </c>
      <c r="BC309" s="186">
        <v>-88827824.640000001</v>
      </c>
      <c r="BD309" s="186">
        <v>-88698688.569999993</v>
      </c>
      <c r="BE309" s="186">
        <v>-89028647.75</v>
      </c>
      <c r="BF309" s="186">
        <v>-88991326.840000004</v>
      </c>
      <c r="BG309" s="186">
        <v>-88954005.790000007</v>
      </c>
      <c r="BH309" s="186">
        <v>-88929436.260000005</v>
      </c>
      <c r="BI309" s="186">
        <v>-88893709.109999999</v>
      </c>
      <c r="BJ309" s="186">
        <v>-88857982.060000002</v>
      </c>
      <c r="BK309" s="186">
        <v>-90723707.120000005</v>
      </c>
      <c r="BL309" s="186">
        <v>-90687980.010000005</v>
      </c>
      <c r="BM309" s="186">
        <v>-90707229.579999998</v>
      </c>
      <c r="BN309" s="186">
        <v>-90773562.260000005</v>
      </c>
      <c r="BO309" s="186">
        <v>-90817020.25</v>
      </c>
      <c r="BP309" s="186">
        <v>-90859144.519999996</v>
      </c>
      <c r="BQ309" s="186">
        <v>-90901935.640000001</v>
      </c>
      <c r="BR309" s="186">
        <v>-90944726.75</v>
      </c>
      <c r="BS309" s="186">
        <v>-90987517.769999996</v>
      </c>
      <c r="BT309" s="186">
        <v>-91073669.359999999</v>
      </c>
      <c r="BU309" s="186">
        <v>-89875621.409999996</v>
      </c>
      <c r="BV309" s="186">
        <v>-89923023.269999996</v>
      </c>
      <c r="BW309" s="186">
        <v>-89970425.319999993</v>
      </c>
      <c r="BX309" s="186">
        <v>-90472776.099999994</v>
      </c>
      <c r="BY309" s="186">
        <v>-90499955.489999995</v>
      </c>
      <c r="BZ309" s="186">
        <v>-90518828.609999999</v>
      </c>
      <c r="CA309" s="186">
        <v>-90372737.219999999</v>
      </c>
      <c r="CB309" s="186">
        <v>-90395169.049999997</v>
      </c>
      <c r="CC309" s="186">
        <v>-90417623.329999998</v>
      </c>
      <c r="CD309" s="186">
        <v>-90530783.329999998</v>
      </c>
      <c r="CE309" s="186">
        <v>-90553345.189999998</v>
      </c>
      <c r="CF309" s="186">
        <v>-90531840.560000002</v>
      </c>
      <c r="CG309" s="186">
        <v>-90637383.310000002</v>
      </c>
      <c r="CH309" s="186">
        <v>-93142210.879999995</v>
      </c>
      <c r="CI309" s="186">
        <v>-93187157.530000001</v>
      </c>
      <c r="CJ309" s="186">
        <v>-93201281.370000005</v>
      </c>
      <c r="CK309" s="186">
        <v>-93223383.650000006</v>
      </c>
      <c r="CL309" s="186">
        <v>-93198140.409999996</v>
      </c>
      <c r="CM309" s="186">
        <v>-93042872.780000001</v>
      </c>
      <c r="CN309" s="186">
        <v>-93138408.629999995</v>
      </c>
      <c r="CO309" s="186">
        <v>-93162182.030000001</v>
      </c>
      <c r="CP309" s="186">
        <v>-92987853.989999995</v>
      </c>
      <c r="CQ309" s="186">
        <v>-93010829.170000002</v>
      </c>
      <c r="CR309" s="186">
        <v>-93034141.939999998</v>
      </c>
      <c r="CS309" s="186">
        <v>-92792742.819999993</v>
      </c>
      <c r="CT309" s="186">
        <v>-92761579.930000007</v>
      </c>
      <c r="CU309" s="186">
        <v>-93212284.239999995</v>
      </c>
      <c r="CV309" s="186">
        <v>-88446090.120000005</v>
      </c>
    </row>
    <row r="310" spans="1:100">
      <c r="A310" s="541" t="str">
        <f>+B310</f>
        <v>2540612</v>
      </c>
      <c r="B310" s="541" t="s">
        <v>2223</v>
      </c>
      <c r="C310" s="463" t="s">
        <v>2222</v>
      </c>
      <c r="D310" s="397"/>
      <c r="E310" s="397"/>
      <c r="F310" s="397"/>
      <c r="G310" s="397"/>
      <c r="H310" s="397"/>
      <c r="I310" s="397"/>
      <c r="J310" s="397"/>
      <c r="K310" s="397"/>
      <c r="L310" s="397"/>
      <c r="M310" s="397"/>
      <c r="N310" s="397"/>
      <c r="O310" s="397"/>
      <c r="P310" s="398"/>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v>0</v>
      </c>
      <c r="BB310" s="186">
        <v>-1338154</v>
      </c>
      <c r="BC310" s="186">
        <v>-2469709</v>
      </c>
      <c r="BD310" s="186">
        <v>-3636944</v>
      </c>
      <c r="BE310" s="186">
        <v>-3920470</v>
      </c>
      <c r="BF310" s="186">
        <v>-4641906</v>
      </c>
      <c r="BG310" s="186">
        <v>-5353653</v>
      </c>
      <c r="BH310" s="186">
        <v>-6054063</v>
      </c>
      <c r="BI310" s="186">
        <v>0</v>
      </c>
      <c r="BJ310" s="186">
        <v>0</v>
      </c>
      <c r="BK310" s="186">
        <v>0</v>
      </c>
      <c r="BL310" s="186">
        <v>0</v>
      </c>
      <c r="BM310" s="186">
        <v>0</v>
      </c>
      <c r="BN310" s="186">
        <v>0</v>
      </c>
      <c r="BO310" s="186">
        <v>0</v>
      </c>
      <c r="BP310" s="186">
        <v>0</v>
      </c>
      <c r="BQ310" s="186">
        <v>0</v>
      </c>
      <c r="BR310" s="186">
        <v>0</v>
      </c>
      <c r="BS310" s="186">
        <v>0</v>
      </c>
      <c r="BT310" s="186">
        <v>0</v>
      </c>
      <c r="BU310" s="186">
        <v>0</v>
      </c>
      <c r="BV310" s="186">
        <v>0</v>
      </c>
      <c r="BW310" s="186">
        <v>0</v>
      </c>
      <c r="BX310" s="186">
        <v>0</v>
      </c>
      <c r="BY310" s="186">
        <v>0</v>
      </c>
      <c r="BZ310" s="186">
        <v>0</v>
      </c>
      <c r="CA310" s="186">
        <v>0</v>
      </c>
      <c r="CB310" s="186">
        <v>0</v>
      </c>
      <c r="CC310" s="186">
        <v>0</v>
      </c>
      <c r="CD310" s="186">
        <v>0</v>
      </c>
      <c r="CE310" s="186">
        <v>0</v>
      </c>
      <c r="CF310" s="186">
        <v>0</v>
      </c>
      <c r="CG310" s="186">
        <v>0</v>
      </c>
      <c r="CH310" s="186">
        <v>0</v>
      </c>
      <c r="CI310" s="186">
        <v>0</v>
      </c>
      <c r="CJ310" s="186">
        <v>0</v>
      </c>
      <c r="CK310" s="186">
        <v>0</v>
      </c>
      <c r="CL310" s="186">
        <v>0</v>
      </c>
      <c r="CM310" s="186">
        <v>0</v>
      </c>
      <c r="CN310" s="186">
        <v>0</v>
      </c>
      <c r="CO310" s="186">
        <v>0</v>
      </c>
      <c r="CP310" s="186">
        <v>0</v>
      </c>
      <c r="CQ310" s="186">
        <v>0</v>
      </c>
      <c r="CR310" s="186">
        <v>0</v>
      </c>
      <c r="CS310" s="186">
        <v>-720499.67</v>
      </c>
      <c r="CT310" s="186">
        <v>-689096.16</v>
      </c>
      <c r="CU310" s="186">
        <v>-755581.77</v>
      </c>
      <c r="CV310" s="186">
        <v>-851583.89</v>
      </c>
    </row>
    <row r="311" spans="1:100">
      <c r="A311" s="541" t="str">
        <f t="shared" si="4"/>
        <v>2550000</v>
      </c>
      <c r="B311" s="541" t="s">
        <v>1675</v>
      </c>
      <c r="C311" s="463" t="s">
        <v>817</v>
      </c>
      <c r="D311" s="397"/>
      <c r="E311" s="397">
        <v>0</v>
      </c>
      <c r="F311" s="397">
        <v>0</v>
      </c>
      <c r="G311" s="397">
        <v>0</v>
      </c>
      <c r="H311" s="397">
        <v>0</v>
      </c>
      <c r="I311" s="397">
        <v>0</v>
      </c>
      <c r="J311" s="397">
        <v>0</v>
      </c>
      <c r="K311" s="397">
        <v>0</v>
      </c>
      <c r="L311" s="397">
        <v>0</v>
      </c>
      <c r="M311" s="397">
        <v>0</v>
      </c>
      <c r="N311" s="397">
        <v>0</v>
      </c>
      <c r="O311" s="397">
        <v>0</v>
      </c>
      <c r="P311" s="398">
        <v>0</v>
      </c>
      <c r="Q311" s="186">
        <v>0</v>
      </c>
      <c r="R311" s="186">
        <v>0</v>
      </c>
      <c r="S311" s="186">
        <v>0</v>
      </c>
      <c r="T311" s="186">
        <v>0</v>
      </c>
      <c r="U311" s="186">
        <v>0</v>
      </c>
      <c r="V311" s="186">
        <v>0</v>
      </c>
      <c r="W311" s="186">
        <v>0</v>
      </c>
      <c r="X311" s="186">
        <v>0</v>
      </c>
      <c r="Y311" s="186">
        <v>0</v>
      </c>
      <c r="Z311" s="186">
        <v>0</v>
      </c>
      <c r="AA311" s="186">
        <v>0</v>
      </c>
      <c r="AB311" s="186">
        <v>0</v>
      </c>
      <c r="AC311" s="186">
        <v>0</v>
      </c>
      <c r="AD311" s="186">
        <v>0</v>
      </c>
      <c r="AE311" s="186">
        <v>0</v>
      </c>
      <c r="AF311" s="186">
        <v>0</v>
      </c>
      <c r="AG311" s="186">
        <v>0</v>
      </c>
      <c r="AH311" s="186">
        <v>0</v>
      </c>
      <c r="AI311" s="186">
        <v>0</v>
      </c>
      <c r="AJ311" s="186">
        <v>0</v>
      </c>
      <c r="AK311" s="186">
        <v>0</v>
      </c>
      <c r="AL311" s="186">
        <v>0</v>
      </c>
      <c r="AM311" s="186">
        <v>0</v>
      </c>
      <c r="AN311" s="186">
        <v>0</v>
      </c>
      <c r="AO311" s="186">
        <v>0</v>
      </c>
      <c r="AP311" s="186">
        <v>0</v>
      </c>
      <c r="AQ311" s="186">
        <v>0</v>
      </c>
      <c r="AR311" s="186">
        <v>0</v>
      </c>
      <c r="AS311" s="186">
        <v>0</v>
      </c>
      <c r="AT311" s="186">
        <v>0</v>
      </c>
      <c r="AU311" s="186">
        <v>0</v>
      </c>
      <c r="AV311" s="186">
        <v>0</v>
      </c>
      <c r="AW311" s="186">
        <v>0</v>
      </c>
      <c r="AX311" s="186">
        <v>0</v>
      </c>
      <c r="AY311" s="186">
        <v>0</v>
      </c>
      <c r="AZ311" s="186">
        <v>0</v>
      </c>
      <c r="BA311" s="186">
        <v>0</v>
      </c>
      <c r="BB311" s="186">
        <v>0</v>
      </c>
      <c r="BC311" s="186">
        <v>0</v>
      </c>
      <c r="BD311" s="186">
        <v>0</v>
      </c>
      <c r="BE311" s="186">
        <v>0</v>
      </c>
      <c r="BF311" s="186">
        <v>0</v>
      </c>
      <c r="BG311" s="186">
        <v>0</v>
      </c>
      <c r="BH311" s="186">
        <v>0</v>
      </c>
      <c r="BI311" s="186">
        <v>0</v>
      </c>
      <c r="BJ311" s="186">
        <v>0</v>
      </c>
      <c r="BK311" s="186">
        <v>0</v>
      </c>
      <c r="BL311" s="186">
        <v>0</v>
      </c>
      <c r="BM311" s="186">
        <v>0</v>
      </c>
      <c r="BN311" s="186">
        <v>0</v>
      </c>
      <c r="BO311" s="186">
        <v>0</v>
      </c>
      <c r="BP311" s="186">
        <v>0</v>
      </c>
      <c r="BQ311" s="186">
        <v>0</v>
      </c>
      <c r="BR311" s="186">
        <v>0</v>
      </c>
      <c r="BS311" s="186">
        <v>0</v>
      </c>
      <c r="BT311" s="186">
        <v>0</v>
      </c>
      <c r="BU311" s="186">
        <v>0</v>
      </c>
      <c r="BV311" s="186">
        <v>0</v>
      </c>
      <c r="BW311" s="186">
        <v>0</v>
      </c>
      <c r="BX311" s="186">
        <v>0</v>
      </c>
      <c r="BY311" s="186">
        <v>0</v>
      </c>
      <c r="BZ311" s="186">
        <v>0</v>
      </c>
      <c r="CA311" s="186">
        <v>0</v>
      </c>
      <c r="CB311" s="186">
        <v>0</v>
      </c>
      <c r="CC311" s="186">
        <v>0</v>
      </c>
      <c r="CD311" s="186">
        <v>0</v>
      </c>
      <c r="CE311" s="186">
        <v>0</v>
      </c>
      <c r="CF311" s="186">
        <v>0</v>
      </c>
      <c r="CG311" s="186">
        <v>0</v>
      </c>
      <c r="CH311" s="186">
        <v>0</v>
      </c>
      <c r="CI311" s="186">
        <v>0</v>
      </c>
      <c r="CJ311" s="186">
        <v>0</v>
      </c>
      <c r="CK311" s="186">
        <v>0</v>
      </c>
      <c r="CL311" s="186">
        <v>0</v>
      </c>
      <c r="CM311" s="186">
        <v>0</v>
      </c>
      <c r="CN311" s="186">
        <v>0</v>
      </c>
      <c r="CO311" s="186">
        <v>0</v>
      </c>
      <c r="CP311" s="186">
        <v>0</v>
      </c>
      <c r="CQ311" s="186">
        <v>0</v>
      </c>
      <c r="CR311" s="186">
        <v>0</v>
      </c>
      <c r="CS311" s="186">
        <v>0</v>
      </c>
      <c r="CT311" s="186">
        <v>0</v>
      </c>
      <c r="CU311" s="186">
        <v>0</v>
      </c>
      <c r="CV311" s="186">
        <v>0</v>
      </c>
    </row>
    <row r="312" spans="1:100">
      <c r="A312" s="541" t="str">
        <f t="shared" si="4"/>
        <v>2820300</v>
      </c>
      <c r="B312" s="541" t="s">
        <v>1676</v>
      </c>
      <c r="C312" s="463" t="s">
        <v>818</v>
      </c>
      <c r="D312" s="397">
        <v>-122615853.91</v>
      </c>
      <c r="E312" s="397">
        <v>-123076186.52</v>
      </c>
      <c r="F312" s="397">
        <v>-123327926.92</v>
      </c>
      <c r="G312" s="397">
        <v>-123565413.86</v>
      </c>
      <c r="H312" s="397">
        <v>-123799389.37</v>
      </c>
      <c r="I312" s="397">
        <v>-124039382.19</v>
      </c>
      <c r="J312" s="397">
        <v>-124210045.81</v>
      </c>
      <c r="K312" s="397">
        <v>-124421950.09</v>
      </c>
      <c r="L312" s="397">
        <v>-124666991.66</v>
      </c>
      <c r="M312" s="397">
        <v>-126254397.84</v>
      </c>
      <c r="N312" s="397">
        <v>-126024681.02</v>
      </c>
      <c r="O312" s="397">
        <v>-125344402.18000001</v>
      </c>
      <c r="P312" s="398">
        <v>-133327472.54000001</v>
      </c>
      <c r="Q312" s="186">
        <v>-133675559.31</v>
      </c>
      <c r="R312" s="186">
        <v>-134052424.42</v>
      </c>
      <c r="S312" s="186">
        <v>-134448704.25999999</v>
      </c>
      <c r="T312" s="186">
        <v>-134826672.28999999</v>
      </c>
      <c r="U312" s="186">
        <v>-135100341.31999999</v>
      </c>
      <c r="V312" s="186">
        <v>-135486377.36000001</v>
      </c>
      <c r="W312" s="186">
        <v>-135370609.62</v>
      </c>
      <c r="X312" s="186">
        <v>-135680190.96000001</v>
      </c>
      <c r="Y312" s="186">
        <v>-137237134.41</v>
      </c>
      <c r="Z312" s="186">
        <v>-137816724.06</v>
      </c>
      <c r="AA312" s="186">
        <v>-138275761.22999999</v>
      </c>
      <c r="AB312" s="186">
        <v>-147756175.68000001</v>
      </c>
      <c r="AC312" s="186">
        <v>-149187291</v>
      </c>
      <c r="AD312" s="186">
        <v>-150392501.62</v>
      </c>
      <c r="AE312" s="186">
        <v>-151606018.81</v>
      </c>
      <c r="AF312" s="186">
        <v>-152854706.46000001</v>
      </c>
      <c r="AG312" s="186">
        <v>-154128594.28999999</v>
      </c>
      <c r="AH312" s="186">
        <v>-154864776.68000001</v>
      </c>
      <c r="AI312" s="186">
        <v>-156022321.74000001</v>
      </c>
      <c r="AJ312" s="186">
        <v>-157598733.38999999</v>
      </c>
      <c r="AK312" s="186">
        <v>-157639277.90000001</v>
      </c>
      <c r="AL312" s="186">
        <v>-159096807.59999999</v>
      </c>
      <c r="AM312" s="186">
        <v>-160685015.93000001</v>
      </c>
      <c r="AN312" s="186">
        <v>-169921088.58000001</v>
      </c>
      <c r="AO312" s="186">
        <v>-171565743.47</v>
      </c>
      <c r="AP312" s="186">
        <v>-173167388.58000001</v>
      </c>
      <c r="AQ312" s="186">
        <v>-175913638.03999999</v>
      </c>
      <c r="AR312" s="186">
        <v>-177720347.08000001</v>
      </c>
      <c r="AS312" s="186">
        <v>-180342713.16999999</v>
      </c>
      <c r="AT312" s="186">
        <v>-182827155.59</v>
      </c>
      <c r="AU312" s="186">
        <v>-185170703.41</v>
      </c>
      <c r="AV312" s="186">
        <v>-187263114.53999999</v>
      </c>
      <c r="AW312" s="186">
        <v>-189281970.77000001</v>
      </c>
      <c r="AX312" s="186">
        <v>-191379135.31</v>
      </c>
      <c r="AY312" s="186">
        <v>-193643590.25</v>
      </c>
      <c r="AZ312" s="186">
        <v>-188795000.62</v>
      </c>
      <c r="BA312" s="186">
        <v>-189363634.58000001</v>
      </c>
      <c r="BB312" s="186">
        <v>-189971729.88</v>
      </c>
      <c r="BC312" s="186">
        <v>-190805639.31</v>
      </c>
      <c r="BD312" s="186">
        <v>-191365827.52000001</v>
      </c>
      <c r="BE312" s="186">
        <v>-192348755.31999999</v>
      </c>
      <c r="BF312" s="186">
        <v>-192979269.93000001</v>
      </c>
      <c r="BG312" s="186">
        <v>-193661245.62</v>
      </c>
      <c r="BH312" s="186">
        <v>-195222890.97999999</v>
      </c>
      <c r="BI312" s="186">
        <v>-196003401.43000001</v>
      </c>
      <c r="BJ312" s="186">
        <v>-196840666.52000001</v>
      </c>
      <c r="BK312" s="186">
        <v>-201608567.28999999</v>
      </c>
      <c r="BL312" s="186">
        <v>-200049128.27000001</v>
      </c>
      <c r="BM312" s="186">
        <v>-200665758.78</v>
      </c>
      <c r="BN312" s="186">
        <v>-201755829.72</v>
      </c>
      <c r="BO312" s="186">
        <v>-202560232.31999999</v>
      </c>
      <c r="BP312" s="186">
        <v>-203394896.88999999</v>
      </c>
      <c r="BQ312" s="186">
        <v>-204230000.27000001</v>
      </c>
      <c r="BR312" s="186">
        <v>-205101326.43000001</v>
      </c>
      <c r="BS312" s="186">
        <v>-205950878.00999999</v>
      </c>
      <c r="BT312" s="186">
        <v>-206814258.53999999</v>
      </c>
      <c r="BU312" s="186">
        <v>-207613971.40000001</v>
      </c>
      <c r="BV312" s="186">
        <v>-208303128.11000001</v>
      </c>
      <c r="BW312" s="186">
        <v>-209137200.27000001</v>
      </c>
      <c r="BX312" s="186">
        <v>-210576181.94999999</v>
      </c>
      <c r="BY312" s="186">
        <v>-210367766.71000001</v>
      </c>
      <c r="BZ312" s="186">
        <v>-212616296.28999999</v>
      </c>
      <c r="CA312" s="186">
        <v>-213769224.31999999</v>
      </c>
      <c r="CB312" s="186">
        <v>-214568854.36000001</v>
      </c>
      <c r="CC312" s="186">
        <v>-215642926.15000001</v>
      </c>
      <c r="CD312" s="186">
        <v>-216611495.66999999</v>
      </c>
      <c r="CE312" s="186">
        <v>-217659597.24000001</v>
      </c>
      <c r="CF312" s="186">
        <v>-218084746.78</v>
      </c>
      <c r="CG312" s="186">
        <v>-219157462.41999999</v>
      </c>
      <c r="CH312" s="186">
        <v>-221209750.56</v>
      </c>
      <c r="CI312" s="186">
        <v>-222049281.22999999</v>
      </c>
      <c r="CJ312" s="186">
        <v>-223534163.84999999</v>
      </c>
      <c r="CK312" s="186">
        <v>-224520933.09</v>
      </c>
      <c r="CL312" s="186">
        <v>-225664292.99000001</v>
      </c>
      <c r="CM312" s="186">
        <v>-226608890.53</v>
      </c>
      <c r="CN312" s="186">
        <v>-227992510.74000001</v>
      </c>
      <c r="CO312" s="186">
        <v>-229401809.71000001</v>
      </c>
      <c r="CP312" s="186">
        <v>-229390954.59</v>
      </c>
      <c r="CQ312" s="186">
        <v>-230599723.44999999</v>
      </c>
      <c r="CR312" s="186">
        <v>-231348744</v>
      </c>
      <c r="CS312" s="186">
        <v>-232161745.74000001</v>
      </c>
      <c r="CT312" s="186">
        <v>-233043165.18000001</v>
      </c>
      <c r="CU312" s="186">
        <v>-235254948.59999999</v>
      </c>
      <c r="CV312" s="186">
        <v>-233873540.72</v>
      </c>
    </row>
    <row r="313" spans="1:100">
      <c r="A313" s="541" t="str">
        <f t="shared" si="4"/>
        <v>2820400</v>
      </c>
      <c r="B313" s="541" t="s">
        <v>1677</v>
      </c>
      <c r="C313" s="463" t="s">
        <v>819</v>
      </c>
      <c r="D313" s="397">
        <v>-13402682.039999999</v>
      </c>
      <c r="E313" s="397">
        <v>-13575578.130000001</v>
      </c>
      <c r="F313" s="397">
        <v>-13713787.68</v>
      </c>
      <c r="G313" s="397">
        <v>-13849627.039999999</v>
      </c>
      <c r="H313" s="397">
        <v>-13984882.49</v>
      </c>
      <c r="I313" s="397">
        <v>-14121138.550000001</v>
      </c>
      <c r="J313" s="397">
        <v>-14245865.939999999</v>
      </c>
      <c r="K313" s="397">
        <v>-14377451.17</v>
      </c>
      <c r="L313" s="397">
        <v>-14514546.789999999</v>
      </c>
      <c r="M313" s="397">
        <v>-14632061.550000001</v>
      </c>
      <c r="N313" s="397">
        <v>-14831581.42</v>
      </c>
      <c r="O313" s="397">
        <v>-14956177.869999999</v>
      </c>
      <c r="P313" s="398">
        <v>-15386861.289999999</v>
      </c>
      <c r="Q313" s="186">
        <v>-15539731.439999999</v>
      </c>
      <c r="R313" s="186">
        <v>-15697387.1</v>
      </c>
      <c r="S313" s="186">
        <v>-15858271.210000001</v>
      </c>
      <c r="T313" s="186">
        <v>-16016110.27</v>
      </c>
      <c r="U313" s="186">
        <v>-16156605.59</v>
      </c>
      <c r="V313" s="186">
        <v>-16315786.279999999</v>
      </c>
      <c r="W313" s="186">
        <v>-16391522.65</v>
      </c>
      <c r="X313" s="186">
        <v>-16537989.77</v>
      </c>
      <c r="Y313" s="186">
        <v>-16704561.199999999</v>
      </c>
      <c r="Z313" s="186">
        <v>-16894278.73</v>
      </c>
      <c r="AA313" s="186">
        <v>-17063949.739999998</v>
      </c>
      <c r="AB313" s="186">
        <v>-17381543.600000001</v>
      </c>
      <c r="AC313" s="186">
        <v>-17598742.010000002</v>
      </c>
      <c r="AD313" s="186">
        <v>-17778375.010000002</v>
      </c>
      <c r="AE313" s="186">
        <v>-17959389.32</v>
      </c>
      <c r="AF313" s="186">
        <v>-18146252.059999999</v>
      </c>
      <c r="AG313" s="186">
        <v>-18337305.329999998</v>
      </c>
      <c r="AH313" s="186">
        <v>-18274447.27</v>
      </c>
      <c r="AI313" s="186">
        <v>-18446154.030000001</v>
      </c>
      <c r="AJ313" s="186">
        <v>-18707365</v>
      </c>
      <c r="AK313" s="186">
        <v>-18897051.82</v>
      </c>
      <c r="AL313" s="186">
        <v>-19138494.07</v>
      </c>
      <c r="AM313" s="186">
        <v>-19401666.670000002</v>
      </c>
      <c r="AN313" s="186">
        <v>-20737319.989999998</v>
      </c>
      <c r="AO313" s="186">
        <v>-21010411.5</v>
      </c>
      <c r="AP313" s="186">
        <v>-21276350.949999999</v>
      </c>
      <c r="AQ313" s="186">
        <v>-21584637.98</v>
      </c>
      <c r="AR313" s="186">
        <v>-21835348.210000001</v>
      </c>
      <c r="AS313" s="186">
        <v>-22292037.050000001</v>
      </c>
      <c r="AT313" s="186">
        <v>-22669515.48</v>
      </c>
      <c r="AU313" s="186">
        <v>-23023564.719999999</v>
      </c>
      <c r="AV313" s="186">
        <v>-23335852.789999999</v>
      </c>
      <c r="AW313" s="186">
        <v>-23635909.5</v>
      </c>
      <c r="AX313" s="186">
        <v>-23948987.98</v>
      </c>
      <c r="AY313" s="186">
        <v>-24289884.969999999</v>
      </c>
      <c r="AZ313" s="186">
        <v>-24319752.199999999</v>
      </c>
      <c r="BA313" s="186">
        <v>-24641444.02</v>
      </c>
      <c r="BB313" s="186">
        <v>-24973834.41</v>
      </c>
      <c r="BC313" s="186">
        <v>-25320046.27</v>
      </c>
      <c r="BD313" s="186">
        <v>-25622980.530000001</v>
      </c>
      <c r="BE313" s="186">
        <v>-25948088.809999999</v>
      </c>
      <c r="BF313" s="186">
        <v>-26251519.59</v>
      </c>
      <c r="BG313" s="186">
        <v>-26569212.73</v>
      </c>
      <c r="BH313" s="186">
        <v>-26724419.920000002</v>
      </c>
      <c r="BI313" s="186">
        <v>-27018636.129999999</v>
      </c>
      <c r="BJ313" s="186">
        <v>-27328581.84</v>
      </c>
      <c r="BK313" s="186">
        <v>-27745441.219999999</v>
      </c>
      <c r="BL313" s="186">
        <v>-28398693.719999999</v>
      </c>
      <c r="BM313" s="186">
        <v>-28728328.359999999</v>
      </c>
      <c r="BN313" s="186">
        <v>-29150518.579999998</v>
      </c>
      <c r="BO313" s="186">
        <v>-29512865.129999999</v>
      </c>
      <c r="BP313" s="186">
        <v>-29883598.739999998</v>
      </c>
      <c r="BQ313" s="186">
        <v>-30254453.960000001</v>
      </c>
      <c r="BR313" s="186">
        <v>-30635348.23</v>
      </c>
      <c r="BS313" s="186">
        <v>-31010207.739999998</v>
      </c>
      <c r="BT313" s="186">
        <v>-31379928.420000002</v>
      </c>
      <c r="BU313" s="186">
        <v>-31077454.34</v>
      </c>
      <c r="BV313" s="186">
        <v>-31341578.190000001</v>
      </c>
      <c r="BW313" s="186">
        <v>-31637900.949999999</v>
      </c>
      <c r="BX313" s="186">
        <v>-32014203.829999998</v>
      </c>
      <c r="BY313" s="186">
        <v>-32061646.57</v>
      </c>
      <c r="BZ313" s="186">
        <v>-32656328.550000001</v>
      </c>
      <c r="CA313" s="186">
        <v>-33006758.989999998</v>
      </c>
      <c r="CB313" s="186">
        <v>-33279031.73</v>
      </c>
      <c r="CC313" s="186">
        <v>-33612268.350000001</v>
      </c>
      <c r="CD313" s="186">
        <v>-33921729.619999997</v>
      </c>
      <c r="CE313" s="186">
        <v>-34249125.43</v>
      </c>
      <c r="CF313" s="186">
        <v>-34379553.640000001</v>
      </c>
      <c r="CG313" s="186">
        <v>-34778994.710000001</v>
      </c>
      <c r="CH313" s="186">
        <v>-35343431.18</v>
      </c>
      <c r="CI313" s="186">
        <v>-35620809.350000001</v>
      </c>
      <c r="CJ313" s="186">
        <v>-36178539.149999999</v>
      </c>
      <c r="CK313" s="186">
        <v>-36475516.869999997</v>
      </c>
      <c r="CL313" s="186">
        <v>-36815282.32</v>
      </c>
      <c r="CM313" s="186">
        <v>-37025139.780000001</v>
      </c>
      <c r="CN313" s="186">
        <v>-37398334.32</v>
      </c>
      <c r="CO313" s="186">
        <v>-37788931.399999999</v>
      </c>
      <c r="CP313" s="186">
        <v>-37781239.310000002</v>
      </c>
      <c r="CQ313" s="186">
        <v>-38127633.829999998</v>
      </c>
      <c r="CR313" s="186">
        <v>-38371655.57</v>
      </c>
      <c r="CS313" s="186">
        <v>-37959760.520000003</v>
      </c>
      <c r="CT313" s="186">
        <v>-38220423.310000002</v>
      </c>
      <c r="CU313" s="186">
        <v>-38641248.5</v>
      </c>
      <c r="CV313" s="186">
        <v>-38597245.740000002</v>
      </c>
    </row>
    <row r="314" spans="1:100">
      <c r="A314" s="541" t="str">
        <f t="shared" si="4"/>
        <v>2820610</v>
      </c>
      <c r="B314" s="541" t="s">
        <v>1845</v>
      </c>
      <c r="C314" s="463" t="s">
        <v>1849</v>
      </c>
      <c r="D314" s="397"/>
      <c r="E314" s="397"/>
      <c r="F314" s="397"/>
      <c r="G314" s="397"/>
      <c r="H314" s="397"/>
      <c r="I314" s="397"/>
      <c r="J314" s="397"/>
      <c r="K314" s="397"/>
      <c r="L314" s="397"/>
      <c r="M314" s="397"/>
      <c r="N314" s="397"/>
      <c r="O314" s="397"/>
      <c r="P314" s="398"/>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v>0</v>
      </c>
      <c r="AP314" s="186">
        <v>0</v>
      </c>
      <c r="AQ314" s="186">
        <v>0</v>
      </c>
      <c r="AR314" s="186">
        <v>0</v>
      </c>
      <c r="AS314" s="186">
        <v>0</v>
      </c>
      <c r="AT314" s="186">
        <v>0</v>
      </c>
      <c r="AU314" s="186">
        <v>0</v>
      </c>
      <c r="AV314" s="186">
        <v>0</v>
      </c>
      <c r="AW314" s="186">
        <v>0</v>
      </c>
      <c r="AX314" s="186">
        <v>0</v>
      </c>
      <c r="AY314" s="186">
        <v>0</v>
      </c>
      <c r="AZ314" s="186">
        <v>66603643.789999999</v>
      </c>
      <c r="BA314" s="186">
        <v>66438207.350000001</v>
      </c>
      <c r="BB314" s="186">
        <v>66273184.460000001</v>
      </c>
      <c r="BC314" s="186">
        <v>66314413.969999999</v>
      </c>
      <c r="BD314" s="186">
        <v>66218004.109999999</v>
      </c>
      <c r="BE314" s="186">
        <v>66464333.859999999</v>
      </c>
      <c r="BF314" s="186">
        <v>66436471.899999999</v>
      </c>
      <c r="BG314" s="186">
        <v>66408609.890000001</v>
      </c>
      <c r="BH314" s="186">
        <v>66390267.490000002</v>
      </c>
      <c r="BI314" s="186">
        <v>66363595.409999996</v>
      </c>
      <c r="BJ314" s="186">
        <v>66336923.359999999</v>
      </c>
      <c r="BK314" s="186">
        <v>67729780.390000001</v>
      </c>
      <c r="BL314" s="186">
        <v>67703108.329999998</v>
      </c>
      <c r="BM314" s="186">
        <v>67717479.090000004</v>
      </c>
      <c r="BN314" s="186">
        <v>67766999.730000004</v>
      </c>
      <c r="BO314" s="186">
        <v>67799612.310000002</v>
      </c>
      <c r="BP314" s="186">
        <v>67830891.189999998</v>
      </c>
      <c r="BQ314" s="186">
        <v>67862836.870000005</v>
      </c>
      <c r="BR314" s="186">
        <v>67894782.579999998</v>
      </c>
      <c r="BS314" s="186">
        <v>67926728.25</v>
      </c>
      <c r="BT314" s="186">
        <v>67957026.379999995</v>
      </c>
      <c r="BU314" s="186">
        <v>67030268.359999999</v>
      </c>
      <c r="BV314" s="186">
        <v>67048168.899999999</v>
      </c>
      <c r="BW314" s="186">
        <v>67063963.649999999</v>
      </c>
      <c r="BX314" s="186">
        <v>67414055.829999998</v>
      </c>
      <c r="BY314" s="186">
        <v>67402787.359999999</v>
      </c>
      <c r="BZ314" s="186">
        <v>67376760.959999993</v>
      </c>
      <c r="CA314" s="186">
        <v>67220743.090000004</v>
      </c>
      <c r="CB314" s="186">
        <v>67184385.180000007</v>
      </c>
      <c r="CC314" s="186">
        <v>67136565.090000004</v>
      </c>
      <c r="CD314" s="186">
        <v>67146695.810000002</v>
      </c>
      <c r="CE314" s="186">
        <v>67083821.729999997</v>
      </c>
      <c r="CF314" s="186">
        <v>66978922.25</v>
      </c>
      <c r="CG314" s="186">
        <v>66957690.899999999</v>
      </c>
      <c r="CH314" s="186">
        <v>68769455.629999995</v>
      </c>
      <c r="CI314" s="186">
        <v>68745377.370000005</v>
      </c>
      <c r="CJ314" s="186">
        <v>68688893.790000007</v>
      </c>
      <c r="CK314" s="186">
        <v>68629664.010000005</v>
      </c>
      <c r="CL314" s="186">
        <v>68518748.469999999</v>
      </c>
      <c r="CM314" s="186">
        <v>68304064.670000002</v>
      </c>
      <c r="CN314" s="186">
        <v>68294490.719999999</v>
      </c>
      <c r="CO314" s="186">
        <v>68257468.159999996</v>
      </c>
      <c r="CP314" s="186">
        <v>68069118.400000006</v>
      </c>
      <c r="CQ314" s="186">
        <v>68024936.659999996</v>
      </c>
      <c r="CR314" s="186">
        <v>67972978.989999995</v>
      </c>
      <c r="CS314" s="186">
        <v>67715514.319999993</v>
      </c>
      <c r="CT314" s="186">
        <v>67610790.930000007</v>
      </c>
      <c r="CU314" s="186">
        <v>67919529.030000001</v>
      </c>
      <c r="CV314" s="186">
        <v>64288813.350000001</v>
      </c>
    </row>
    <row r="315" spans="1:100">
      <c r="A315" s="541" t="str">
        <f t="shared" si="4"/>
        <v>2830300</v>
      </c>
      <c r="B315" s="541" t="s">
        <v>1678</v>
      </c>
      <c r="C315" s="463" t="s">
        <v>820</v>
      </c>
      <c r="D315" s="397">
        <v>-7598250</v>
      </c>
      <c r="E315" s="397">
        <v>-7368565.4000000004</v>
      </c>
      <c r="F315" s="397">
        <v>-6597921.8300000001</v>
      </c>
      <c r="G315" s="397">
        <v>-6608417.6900000004</v>
      </c>
      <c r="H315" s="397">
        <v>-6634895.46</v>
      </c>
      <c r="I315" s="397">
        <v>-6120355.3200000003</v>
      </c>
      <c r="J315" s="397">
        <v>-6107511.8200000003</v>
      </c>
      <c r="K315" s="397">
        <v>-6058184.1799999997</v>
      </c>
      <c r="L315" s="397">
        <v>-6008574.1699999999</v>
      </c>
      <c r="M315" s="397">
        <v>-7098441.0800000001</v>
      </c>
      <c r="N315" s="397">
        <v>-7160734.5499999998</v>
      </c>
      <c r="O315" s="397">
        <v>-8219791.2000000002</v>
      </c>
      <c r="P315" s="398">
        <v>-8387745.9299999997</v>
      </c>
      <c r="Q315" s="186">
        <v>-8125154.9000000004</v>
      </c>
      <c r="R315" s="186">
        <v>-8285972.5999999996</v>
      </c>
      <c r="S315" s="186">
        <v>-8066823.9800000004</v>
      </c>
      <c r="T315" s="186">
        <v>-8159385.6200000001</v>
      </c>
      <c r="U315" s="186">
        <v>-8108756.7400000002</v>
      </c>
      <c r="V315" s="186">
        <v>-7695572.29</v>
      </c>
      <c r="W315" s="186">
        <v>-7732556.4699999997</v>
      </c>
      <c r="X315" s="186">
        <v>-7961328.7000000002</v>
      </c>
      <c r="Y315" s="186">
        <v>-7693371.71</v>
      </c>
      <c r="Z315" s="186">
        <v>-8462527.9100000001</v>
      </c>
      <c r="AA315" s="186">
        <v>-9175806.3000000007</v>
      </c>
      <c r="AB315" s="186">
        <v>-10312232.27</v>
      </c>
      <c r="AC315" s="186">
        <v>-9950417.7400000002</v>
      </c>
      <c r="AD315" s="186">
        <v>-8646949.5999999996</v>
      </c>
      <c r="AE315" s="186">
        <v>-8617419.4600000009</v>
      </c>
      <c r="AF315" s="186">
        <v>-8580565.8000000007</v>
      </c>
      <c r="AG315" s="186">
        <v>-8586991.3100000005</v>
      </c>
      <c r="AH315" s="186">
        <v>-8292606.9100000001</v>
      </c>
      <c r="AI315" s="186">
        <v>-8267190.3700000001</v>
      </c>
      <c r="AJ315" s="186">
        <v>-8253263.8899999997</v>
      </c>
      <c r="AK315" s="186">
        <v>-8088926.4900000002</v>
      </c>
      <c r="AL315" s="186">
        <v>-8127587.4699999997</v>
      </c>
      <c r="AM315" s="186">
        <v>-8107987.4900000002</v>
      </c>
      <c r="AN315" s="186">
        <v>-8084675.5999999996</v>
      </c>
      <c r="AO315" s="186">
        <v>-8082692.6299999999</v>
      </c>
      <c r="AP315" s="186">
        <v>-8042208.0499999998</v>
      </c>
      <c r="AQ315" s="186">
        <v>-8079996.1200000001</v>
      </c>
      <c r="AR315" s="186">
        <v>-8079350.8899999997</v>
      </c>
      <c r="AS315" s="186">
        <v>-8084586.5700000003</v>
      </c>
      <c r="AT315" s="186">
        <v>-8061125.0099999998</v>
      </c>
      <c r="AU315" s="186">
        <v>-8059910.1600000001</v>
      </c>
      <c r="AV315" s="186">
        <v>-8083237.0099999998</v>
      </c>
      <c r="AW315" s="186">
        <v>-8049029.96</v>
      </c>
      <c r="AX315" s="186">
        <v>-8872246.0199999996</v>
      </c>
      <c r="AY315" s="186">
        <v>-9272056.0199999996</v>
      </c>
      <c r="AZ315" s="186">
        <v>-9866169.7699999996</v>
      </c>
      <c r="BA315" s="186">
        <v>-9318516.9299999997</v>
      </c>
      <c r="BB315" s="186">
        <v>-8967194.8000000007</v>
      </c>
      <c r="BC315" s="186">
        <v>-8729085.1500000004</v>
      </c>
      <c r="BD315" s="186">
        <v>-8475904.8100000005</v>
      </c>
      <c r="BE315" s="186">
        <v>-8376431.1299999999</v>
      </c>
      <c r="BF315" s="186">
        <v>-8209153.2699999996</v>
      </c>
      <c r="BG315" s="186">
        <v>-8045429.6500000004</v>
      </c>
      <c r="BH315" s="186">
        <v>-7999460.54</v>
      </c>
      <c r="BI315" s="186">
        <v>-9189275.7699999996</v>
      </c>
      <c r="BJ315" s="186">
        <v>-9258815.3599999994</v>
      </c>
      <c r="BK315" s="186">
        <v>-9092737.8399999999</v>
      </c>
      <c r="BL315" s="186">
        <v>-9598032.25</v>
      </c>
      <c r="BM315" s="186">
        <v>-9231843.3200000003</v>
      </c>
      <c r="BN315" s="186">
        <v>-9012518.6699999999</v>
      </c>
      <c r="BO315" s="186">
        <v>-9094590.6899999995</v>
      </c>
      <c r="BP315" s="186">
        <v>-9091064.4100000001</v>
      </c>
      <c r="BQ315" s="186">
        <v>-9097480.8900000006</v>
      </c>
      <c r="BR315" s="186">
        <v>-9113215.2400000002</v>
      </c>
      <c r="BS315" s="186">
        <v>-9122357.5800000001</v>
      </c>
      <c r="BT315" s="186">
        <v>-9151554.5</v>
      </c>
      <c r="BU315" s="186">
        <v>-9175849.1400000006</v>
      </c>
      <c r="BV315" s="186">
        <v>-9240099.9000000004</v>
      </c>
      <c r="BW315" s="186">
        <v>-9250870.4700000007</v>
      </c>
      <c r="BX315" s="186">
        <v>-9390729.25</v>
      </c>
      <c r="BY315" s="186">
        <v>-9424642.9600000009</v>
      </c>
      <c r="BZ315" s="186">
        <v>-9432042.6400000006</v>
      </c>
      <c r="CA315" s="186">
        <v>-9243575.3499999996</v>
      </c>
      <c r="CB315" s="186">
        <v>-9258149.4900000002</v>
      </c>
      <c r="CC315" s="186">
        <v>-9276982.4399999995</v>
      </c>
      <c r="CD315" s="186">
        <v>-9336603.25</v>
      </c>
      <c r="CE315" s="186">
        <v>-9340878.3699999992</v>
      </c>
      <c r="CF315" s="186">
        <v>-9675292.75</v>
      </c>
      <c r="CG315" s="186">
        <v>-9781277.0099999998</v>
      </c>
      <c r="CH315" s="186">
        <v>-9561163.1099999994</v>
      </c>
      <c r="CI315" s="186">
        <v>-9571528.4299999997</v>
      </c>
      <c r="CJ315" s="186">
        <v>-9816614.6999999993</v>
      </c>
      <c r="CK315" s="186">
        <v>-9857527.9199999999</v>
      </c>
      <c r="CL315" s="186">
        <v>-9896208.6899999995</v>
      </c>
      <c r="CM315" s="186">
        <v>-9888442.9800000004</v>
      </c>
      <c r="CN315" s="186">
        <v>-9914566.2100000009</v>
      </c>
      <c r="CO315" s="186">
        <v>-9954538.7100000009</v>
      </c>
      <c r="CP315" s="186">
        <v>-9987465.1899999995</v>
      </c>
      <c r="CQ315" s="186">
        <v>-10130848.93</v>
      </c>
      <c r="CR315" s="186">
        <v>-10145797.689999999</v>
      </c>
      <c r="CS315" s="186">
        <v>-9901202.7300000004</v>
      </c>
      <c r="CT315" s="186">
        <v>-10967088.34</v>
      </c>
      <c r="CU315" s="186">
        <v>-12545326.9</v>
      </c>
      <c r="CV315" s="186">
        <v>-12303000.25</v>
      </c>
    </row>
    <row r="316" spans="1:100">
      <c r="A316" s="541" t="str">
        <f t="shared" si="4"/>
        <v>2830330</v>
      </c>
      <c r="B316" s="541" t="s">
        <v>1679</v>
      </c>
      <c r="C316" s="463" t="s">
        <v>821</v>
      </c>
      <c r="D316" s="397">
        <v>-5715079.0599999996</v>
      </c>
      <c r="E316" s="397">
        <v>-5715079.0599999996</v>
      </c>
      <c r="F316" s="397">
        <v>-5715079.0599999996</v>
      </c>
      <c r="G316" s="397">
        <v>-5589363.6399999997</v>
      </c>
      <c r="H316" s="397">
        <v>-5589363.6399999997</v>
      </c>
      <c r="I316" s="397">
        <v>-5589363.6399999997</v>
      </c>
      <c r="J316" s="397">
        <v>-5459970.9199999999</v>
      </c>
      <c r="K316" s="397">
        <v>-5459970.9199999999</v>
      </c>
      <c r="L316" s="397">
        <v>-5459970.9199999999</v>
      </c>
      <c r="M316" s="397">
        <v>-5391773.9100000001</v>
      </c>
      <c r="N316" s="397">
        <v>-5391773.9100000001</v>
      </c>
      <c r="O316" s="397">
        <v>-5391773.9100000001</v>
      </c>
      <c r="P316" s="398">
        <v>-6394086.6500000004</v>
      </c>
      <c r="Q316" s="186">
        <v>-6394086.6500000004</v>
      </c>
      <c r="R316" s="186">
        <v>-6394086.6500000004</v>
      </c>
      <c r="S316" s="186">
        <v>-6514031.8099999996</v>
      </c>
      <c r="T316" s="186">
        <v>-6514031.8099999996</v>
      </c>
      <c r="U316" s="186">
        <v>-6514031.8099999996</v>
      </c>
      <c r="V316" s="186">
        <v>-6120175.3700000001</v>
      </c>
      <c r="W316" s="186">
        <v>-6120175.3700000001</v>
      </c>
      <c r="X316" s="186">
        <v>-6018792.9000000004</v>
      </c>
      <c r="Y316" s="186">
        <v>-5881836.9299999997</v>
      </c>
      <c r="Z316" s="186">
        <v>-5881836.9299999997</v>
      </c>
      <c r="AA316" s="186">
        <v>-5881836.9299999997</v>
      </c>
      <c r="AB316" s="186">
        <v>-8305232.25</v>
      </c>
      <c r="AC316" s="186">
        <v>-8305232.25</v>
      </c>
      <c r="AD316" s="186">
        <v>-8305232.25</v>
      </c>
      <c r="AE316" s="186">
        <v>-8188206.9500000002</v>
      </c>
      <c r="AF316" s="186">
        <v>-8188206.9500000002</v>
      </c>
      <c r="AG316" s="186">
        <v>-8191274.6600000001</v>
      </c>
      <c r="AH316" s="186">
        <v>-8035212.9100000001</v>
      </c>
      <c r="AI316" s="186">
        <v>-8035212.9100000001</v>
      </c>
      <c r="AJ316" s="186">
        <v>-8035212.9100000001</v>
      </c>
      <c r="AK316" s="186">
        <v>-10827023.060000001</v>
      </c>
      <c r="AL316" s="186">
        <v>-10827023.060000001</v>
      </c>
      <c r="AM316" s="186">
        <v>-10827023.060000001</v>
      </c>
      <c r="AN316" s="186">
        <v>-9370067.3300000001</v>
      </c>
      <c r="AO316" s="186">
        <v>-9370067.3300000001</v>
      </c>
      <c r="AP316" s="186">
        <v>-9370067.3300000001</v>
      </c>
      <c r="AQ316" s="186">
        <v>-9229979.1500000004</v>
      </c>
      <c r="AR316" s="186">
        <v>-9229979.1500000004</v>
      </c>
      <c r="AS316" s="186">
        <v>-9229979.1500000004</v>
      </c>
      <c r="AT316" s="186">
        <v>-9483106.1099999994</v>
      </c>
      <c r="AU316" s="186">
        <v>-9483106.1099999994</v>
      </c>
      <c r="AV316" s="186">
        <v>-9483106.1099999994</v>
      </c>
      <c r="AW316" s="186">
        <v>-9331117.5399999991</v>
      </c>
      <c r="AX316" s="186">
        <v>-9331117.5399999991</v>
      </c>
      <c r="AY316" s="186">
        <v>-9331117.5399999991</v>
      </c>
      <c r="AZ316" s="186">
        <v>-8964453.3800000008</v>
      </c>
      <c r="BA316" s="186">
        <v>-8964453.3800000008</v>
      </c>
      <c r="BB316" s="186">
        <v>-8964453.3800000008</v>
      </c>
      <c r="BC316" s="186">
        <v>-8868570.4700000007</v>
      </c>
      <c r="BD316" s="186">
        <v>-8868570.4700000007</v>
      </c>
      <c r="BE316" s="186">
        <v>-8868570.4700000007</v>
      </c>
      <c r="BF316" s="186">
        <v>-8761820.6600000001</v>
      </c>
      <c r="BG316" s="186">
        <v>-8761820.6600000001</v>
      </c>
      <c r="BH316" s="186">
        <v>-8761820.6600000001</v>
      </c>
      <c r="BI316" s="186">
        <v>-8665127.0800000001</v>
      </c>
      <c r="BJ316" s="186">
        <v>-8665127.0800000001</v>
      </c>
      <c r="BK316" s="186">
        <v>-8665127.0800000001</v>
      </c>
      <c r="BL316" s="186">
        <v>-9847866.0700000003</v>
      </c>
      <c r="BM316" s="186">
        <v>-9847866.0700000003</v>
      </c>
      <c r="BN316" s="186">
        <v>-9847866.0700000003</v>
      </c>
      <c r="BO316" s="186">
        <v>-9769162.5999999996</v>
      </c>
      <c r="BP316" s="186">
        <v>-9769162.5999999996</v>
      </c>
      <c r="BQ316" s="186">
        <v>-9769162.5999999996</v>
      </c>
      <c r="BR316" s="186">
        <v>-9682850.7300000004</v>
      </c>
      <c r="BS316" s="186">
        <v>-9682850.7300000004</v>
      </c>
      <c r="BT316" s="186">
        <v>-9682850.7300000004</v>
      </c>
      <c r="BU316" s="186">
        <v>-9600342.9700000007</v>
      </c>
      <c r="BV316" s="186">
        <v>-9600342.9700000007</v>
      </c>
      <c r="BW316" s="186">
        <v>-9600342.9700000007</v>
      </c>
      <c r="BX316" s="186">
        <v>-9643018.0399999991</v>
      </c>
      <c r="BY316" s="186">
        <v>-9643018.0399999991</v>
      </c>
      <c r="BZ316" s="186">
        <v>-9643018.0399999991</v>
      </c>
      <c r="CA316" s="186">
        <v>-9539837.5299999993</v>
      </c>
      <c r="CB316" s="186">
        <v>-9539837.5299999993</v>
      </c>
      <c r="CC316" s="186">
        <v>-9539837.5299999993</v>
      </c>
      <c r="CD316" s="186">
        <v>-9430925.1999999993</v>
      </c>
      <c r="CE316" s="186">
        <v>-9430925.1999999993</v>
      </c>
      <c r="CF316" s="186">
        <v>-9430925.1999999993</v>
      </c>
      <c r="CG316" s="186">
        <v>-9324878.6799999997</v>
      </c>
      <c r="CH316" s="186">
        <v>-9324878.6799999997</v>
      </c>
      <c r="CI316" s="186">
        <v>-9324878.6799999997</v>
      </c>
      <c r="CJ316" s="186">
        <v>-10561199.359999999</v>
      </c>
      <c r="CK316" s="186">
        <v>-10561199.359999999</v>
      </c>
      <c r="CL316" s="186">
        <v>-10561199.359999999</v>
      </c>
      <c r="CM316" s="186">
        <v>-10423095.82</v>
      </c>
      <c r="CN316" s="186">
        <v>-10423095.82</v>
      </c>
      <c r="CO316" s="186">
        <v>-10423095.82</v>
      </c>
      <c r="CP316" s="186">
        <v>-10284992.279999999</v>
      </c>
      <c r="CQ316" s="186">
        <v>-10284992.279999999</v>
      </c>
      <c r="CR316" s="186">
        <v>-10284992.279999999</v>
      </c>
      <c r="CS316" s="186">
        <v>-10070721.060000001</v>
      </c>
      <c r="CT316" s="186">
        <v>-10070721.060000001</v>
      </c>
      <c r="CU316" s="186">
        <v>-10070721.060000001</v>
      </c>
      <c r="CV316" s="186">
        <v>-8799943.1199999992</v>
      </c>
    </row>
    <row r="317" spans="1:100">
      <c r="A317" s="541" t="str">
        <f t="shared" si="4"/>
        <v>2830331</v>
      </c>
      <c r="B317" s="541" t="s">
        <v>1680</v>
      </c>
      <c r="C317" s="463" t="s">
        <v>822</v>
      </c>
      <c r="D317" s="397">
        <v>-31991</v>
      </c>
      <c r="E317" s="397">
        <v>-31991</v>
      </c>
      <c r="F317" s="397">
        <v>-31991</v>
      </c>
      <c r="G317" s="397">
        <v>-31991</v>
      </c>
      <c r="H317" s="397">
        <v>-31991</v>
      </c>
      <c r="I317" s="397">
        <v>-31991</v>
      </c>
      <c r="J317" s="397">
        <v>-31991</v>
      </c>
      <c r="K317" s="397">
        <v>-31991</v>
      </c>
      <c r="L317" s="397">
        <v>-31991</v>
      </c>
      <c r="M317" s="397">
        <v>-31991</v>
      </c>
      <c r="N317" s="397">
        <v>-31991</v>
      </c>
      <c r="O317" s="397">
        <v>-31991</v>
      </c>
      <c r="P317" s="398">
        <v>-31991</v>
      </c>
      <c r="Q317" s="186">
        <v>-31991</v>
      </c>
      <c r="R317" s="186">
        <v>-31991</v>
      </c>
      <c r="S317" s="186">
        <v>-31991</v>
      </c>
      <c r="T317" s="186">
        <v>-31991</v>
      </c>
      <c r="U317" s="186">
        <v>-31991</v>
      </c>
      <c r="V317" s="186">
        <v>-31991</v>
      </c>
      <c r="W317" s="186">
        <v>-31991</v>
      </c>
      <c r="X317" s="186">
        <v>-31991</v>
      </c>
      <c r="Y317" s="186">
        <v>-31991</v>
      </c>
      <c r="Z317" s="186">
        <v>-31991</v>
      </c>
      <c r="AA317" s="186">
        <v>-31991</v>
      </c>
      <c r="AB317" s="186">
        <v>-31991</v>
      </c>
      <c r="AC317" s="186">
        <v>-31991</v>
      </c>
      <c r="AD317" s="186">
        <v>-31991</v>
      </c>
      <c r="AE317" s="186">
        <v>-31991</v>
      </c>
      <c r="AF317" s="186">
        <v>-31991</v>
      </c>
      <c r="AG317" s="186">
        <v>-31991</v>
      </c>
      <c r="AH317" s="186">
        <v>-31991</v>
      </c>
      <c r="AI317" s="186">
        <v>-31991</v>
      </c>
      <c r="AJ317" s="186">
        <v>-31991</v>
      </c>
      <c r="AK317" s="186">
        <v>-31991</v>
      </c>
      <c r="AL317" s="186">
        <v>-31991</v>
      </c>
      <c r="AM317" s="186">
        <v>-31991</v>
      </c>
      <c r="AN317" s="186">
        <v>-31991</v>
      </c>
      <c r="AO317" s="186">
        <v>-31991</v>
      </c>
      <c r="AP317" s="186">
        <v>-31991</v>
      </c>
      <c r="AQ317" s="186">
        <v>-31991</v>
      </c>
      <c r="AR317" s="186">
        <v>-31991</v>
      </c>
      <c r="AS317" s="186">
        <v>-31991</v>
      </c>
      <c r="AT317" s="186">
        <v>-31991</v>
      </c>
      <c r="AU317" s="186">
        <v>-31991</v>
      </c>
      <c r="AV317" s="186">
        <v>-31991</v>
      </c>
      <c r="AW317" s="186">
        <v>-31991</v>
      </c>
      <c r="AX317" s="186">
        <v>-31991</v>
      </c>
      <c r="AY317" s="186">
        <v>-31991</v>
      </c>
      <c r="AZ317" s="186">
        <v>-31991</v>
      </c>
      <c r="BA317" s="186">
        <v>-31991</v>
      </c>
      <c r="BB317" s="186">
        <v>-31991</v>
      </c>
      <c r="BC317" s="186">
        <v>-31991</v>
      </c>
      <c r="BD317" s="186">
        <v>-31991</v>
      </c>
      <c r="BE317" s="186">
        <v>-31991</v>
      </c>
      <c r="BF317" s="186">
        <v>-31991</v>
      </c>
      <c r="BG317" s="186">
        <v>-31991</v>
      </c>
      <c r="BH317" s="186">
        <v>-31991</v>
      </c>
      <c r="BI317" s="186">
        <v>-31991</v>
      </c>
      <c r="BJ317" s="186">
        <v>-31991</v>
      </c>
      <c r="BK317" s="186">
        <v>-31991</v>
      </c>
      <c r="BL317" s="186">
        <v>-31991</v>
      </c>
      <c r="BM317" s="186">
        <v>-31991</v>
      </c>
      <c r="BN317" s="186">
        <v>-31991</v>
      </c>
      <c r="BO317" s="186">
        <v>-31991</v>
      </c>
      <c r="BP317" s="186">
        <v>-31991</v>
      </c>
      <c r="BQ317" s="186">
        <v>-31991</v>
      </c>
      <c r="BR317" s="186">
        <v>-31991</v>
      </c>
      <c r="BS317" s="186">
        <v>-31991</v>
      </c>
      <c r="BT317" s="186">
        <v>-31991</v>
      </c>
      <c r="BU317" s="186">
        <v>-31991</v>
      </c>
      <c r="BV317" s="186">
        <v>-31991</v>
      </c>
      <c r="BW317" s="186">
        <v>-31991</v>
      </c>
      <c r="BX317" s="186">
        <v>-31991</v>
      </c>
      <c r="BY317" s="186">
        <v>-31991</v>
      </c>
      <c r="BZ317" s="186">
        <v>-31991</v>
      </c>
      <c r="CA317" s="186">
        <v>-31991</v>
      </c>
      <c r="CB317" s="186">
        <v>-31991</v>
      </c>
      <c r="CC317" s="186">
        <v>-31991</v>
      </c>
      <c r="CD317" s="186">
        <v>-31991</v>
      </c>
      <c r="CE317" s="186">
        <v>-31991</v>
      </c>
      <c r="CF317" s="186">
        <v>-31991</v>
      </c>
      <c r="CG317" s="186">
        <v>-31991</v>
      </c>
      <c r="CH317" s="186">
        <v>-31991</v>
      </c>
      <c r="CI317" s="186">
        <v>-31991</v>
      </c>
      <c r="CJ317" s="186">
        <v>-31991</v>
      </c>
      <c r="CK317" s="186">
        <v>-31991</v>
      </c>
      <c r="CL317" s="186">
        <v>-31991</v>
      </c>
      <c r="CM317" s="186">
        <v>-31991</v>
      </c>
      <c r="CN317" s="186">
        <v>-31991</v>
      </c>
      <c r="CO317" s="186">
        <v>-31991</v>
      </c>
      <c r="CP317" s="186">
        <v>-31991</v>
      </c>
      <c r="CQ317" s="186">
        <v>-31991</v>
      </c>
      <c r="CR317" s="186">
        <v>-31991</v>
      </c>
      <c r="CS317" s="186">
        <v>-31991</v>
      </c>
      <c r="CT317" s="186">
        <v>-31991</v>
      </c>
      <c r="CU317" s="186">
        <v>-31991</v>
      </c>
      <c r="CV317" s="186">
        <v>-31991</v>
      </c>
    </row>
    <row r="318" spans="1:100">
      <c r="A318" s="541" t="str">
        <f t="shared" si="4"/>
        <v>2830340</v>
      </c>
      <c r="B318" s="541" t="s">
        <v>1681</v>
      </c>
      <c r="C318" s="463" t="s">
        <v>823</v>
      </c>
      <c r="D318" s="397">
        <v>-387252.06</v>
      </c>
      <c r="E318" s="397">
        <v>-1184508.3999999999</v>
      </c>
      <c r="F318" s="397">
        <v>-827106.56</v>
      </c>
      <c r="G318" s="397">
        <v>-503909.24</v>
      </c>
      <c r="H318" s="397">
        <v>-1023135.04</v>
      </c>
      <c r="I318" s="397">
        <v>-419490.27</v>
      </c>
      <c r="J318" s="397">
        <v>-286229.44</v>
      </c>
      <c r="K318" s="397">
        <v>-1074482.76</v>
      </c>
      <c r="L318" s="397">
        <v>-506303.87</v>
      </c>
      <c r="M318" s="397">
        <v>-535103.92000000004</v>
      </c>
      <c r="N318" s="397">
        <v>-1210181.22</v>
      </c>
      <c r="O318" s="397">
        <v>-894056.98</v>
      </c>
      <c r="P318" s="398">
        <v>-2971950.86</v>
      </c>
      <c r="Q318" s="186">
        <v>-2998230.6</v>
      </c>
      <c r="R318" s="186">
        <v>-2456701.89</v>
      </c>
      <c r="S318" s="186">
        <v>-2397791.65</v>
      </c>
      <c r="T318" s="186">
        <v>-2081246.07</v>
      </c>
      <c r="U318" s="186">
        <v>-2024242</v>
      </c>
      <c r="V318" s="186">
        <v>-1718145.41</v>
      </c>
      <c r="W318" s="186">
        <v>-1726000.72</v>
      </c>
      <c r="X318" s="186">
        <v>-1835551.73</v>
      </c>
      <c r="Y318" s="186">
        <v>-2094429.76</v>
      </c>
      <c r="Z318" s="186">
        <v>-2660564.62</v>
      </c>
      <c r="AA318" s="186">
        <v>-2667675.7400000002</v>
      </c>
      <c r="AB318" s="186">
        <v>-2098924.66</v>
      </c>
      <c r="AC318" s="186">
        <v>-1615930.43</v>
      </c>
      <c r="AD318" s="186">
        <v>-1796318.17</v>
      </c>
      <c r="AE318" s="186">
        <v>-1142853.74</v>
      </c>
      <c r="AF318" s="186">
        <v>-670785.84</v>
      </c>
      <c r="AG318" s="186">
        <v>-584534.52</v>
      </c>
      <c r="AH318" s="186">
        <v>-232265.92</v>
      </c>
      <c r="AI318" s="186">
        <v>-227132.68</v>
      </c>
      <c r="AJ318" s="186">
        <v>-173660.33</v>
      </c>
      <c r="AK318" s="186">
        <v>-172836.76</v>
      </c>
      <c r="AL318" s="186">
        <v>-185855.08</v>
      </c>
      <c r="AM318" s="186">
        <v>-201403.64</v>
      </c>
      <c r="AN318" s="186">
        <v>-657941.17000000004</v>
      </c>
      <c r="AO318" s="186">
        <v>-195622.13</v>
      </c>
      <c r="AP318" s="186">
        <v>-139252.41</v>
      </c>
      <c r="AQ318" s="186">
        <v>-161113.32999999999</v>
      </c>
      <c r="AR318" s="186">
        <v>-178223.02</v>
      </c>
      <c r="AS318" s="186">
        <v>-57366.97</v>
      </c>
      <c r="AT318" s="186">
        <v>-36566.1</v>
      </c>
      <c r="AU318" s="186">
        <v>-49108.14</v>
      </c>
      <c r="AV318" s="186">
        <v>-35018.199999999997</v>
      </c>
      <c r="AW318" s="186">
        <v>-29428.52</v>
      </c>
      <c r="AX318" s="186">
        <v>-47305.56</v>
      </c>
      <c r="AY318" s="186">
        <v>-22419.93</v>
      </c>
      <c r="AZ318" s="186">
        <v>-299108.84000000003</v>
      </c>
      <c r="BA318" s="186">
        <v>-278987.99</v>
      </c>
      <c r="BB318" s="186">
        <v>-285626.15000000002</v>
      </c>
      <c r="BC318" s="186">
        <v>-269654.89</v>
      </c>
      <c r="BD318" s="186">
        <v>-268679.51</v>
      </c>
      <c r="BE318" s="186">
        <v>-267149.46000000002</v>
      </c>
      <c r="BF318" s="186">
        <v>-266274.3</v>
      </c>
      <c r="BG318" s="186">
        <v>-265502.32</v>
      </c>
      <c r="BH318" s="186">
        <v>-263871.07</v>
      </c>
      <c r="BI318" s="186">
        <v>-265168.93</v>
      </c>
      <c r="BJ318" s="186">
        <v>-266083.78000000003</v>
      </c>
      <c r="BK318" s="186">
        <v>-263176.49</v>
      </c>
      <c r="BL318" s="186">
        <v>-263176.49</v>
      </c>
      <c r="BM318" s="186">
        <v>-263176.49</v>
      </c>
      <c r="BN318" s="186">
        <v>-263176.49</v>
      </c>
      <c r="BO318" s="186">
        <v>-263176.49</v>
      </c>
      <c r="BP318" s="186">
        <v>-263176.49</v>
      </c>
      <c r="BQ318" s="186">
        <v>-263176.49</v>
      </c>
      <c r="BR318" s="186">
        <v>-263176.49</v>
      </c>
      <c r="BS318" s="186">
        <v>-263176.49</v>
      </c>
      <c r="BT318" s="186">
        <v>-263176.49</v>
      </c>
      <c r="BU318" s="186">
        <v>-263176.49</v>
      </c>
      <c r="BV318" s="186">
        <v>-263176.49</v>
      </c>
      <c r="BW318" s="186">
        <v>-263176.49</v>
      </c>
      <c r="BX318" s="186">
        <v>-263176.49</v>
      </c>
      <c r="BY318" s="186">
        <v>-263176.49</v>
      </c>
      <c r="BZ318" s="186">
        <v>-263176.49</v>
      </c>
      <c r="CA318" s="186">
        <v>-263176.49</v>
      </c>
      <c r="CB318" s="186">
        <v>-263176.49</v>
      </c>
      <c r="CC318" s="186">
        <v>-263176.49</v>
      </c>
      <c r="CD318" s="186">
        <v>-263176.49</v>
      </c>
      <c r="CE318" s="186">
        <v>-263176.49</v>
      </c>
      <c r="CF318" s="186">
        <v>-263176.49</v>
      </c>
      <c r="CG318" s="186">
        <v>-263176.49</v>
      </c>
      <c r="CH318" s="186">
        <v>-263176.49</v>
      </c>
      <c r="CI318" s="186">
        <v>-263176.49</v>
      </c>
      <c r="CJ318" s="186">
        <v>-263176.49</v>
      </c>
      <c r="CK318" s="186">
        <v>-263176.49</v>
      </c>
      <c r="CL318" s="186">
        <v>-263176.49</v>
      </c>
      <c r="CM318" s="186">
        <v>-263176.49</v>
      </c>
      <c r="CN318" s="186">
        <v>-263176.49</v>
      </c>
      <c r="CO318" s="186">
        <v>-263176.49</v>
      </c>
      <c r="CP318" s="186">
        <v>-263176.49</v>
      </c>
      <c r="CQ318" s="186">
        <v>-263176.49</v>
      </c>
      <c r="CR318" s="186">
        <v>-263176.49</v>
      </c>
      <c r="CS318" s="186">
        <v>-263176.49</v>
      </c>
      <c r="CT318" s="186">
        <v>-263176.49</v>
      </c>
      <c r="CU318" s="186">
        <v>-263176.49</v>
      </c>
      <c r="CV318" s="186">
        <v>-263176.49</v>
      </c>
    </row>
    <row r="319" spans="1:100">
      <c r="A319" s="541" t="str">
        <f t="shared" si="4"/>
        <v>2830400</v>
      </c>
      <c r="B319" s="541" t="s">
        <v>1682</v>
      </c>
      <c r="C319" s="463" t="s">
        <v>824</v>
      </c>
      <c r="D319" s="397">
        <v>-1263502.78</v>
      </c>
      <c r="E319" s="397">
        <v>-1225308.8400000001</v>
      </c>
      <c r="F319" s="397">
        <v>-1097159.49</v>
      </c>
      <c r="G319" s="397">
        <v>-1098904.83</v>
      </c>
      <c r="H319" s="397">
        <v>-1103307.79</v>
      </c>
      <c r="I319" s="397">
        <v>-1017745.56</v>
      </c>
      <c r="J319" s="397">
        <v>-1015609.83</v>
      </c>
      <c r="K319" s="397">
        <v>-1007407.2</v>
      </c>
      <c r="L319" s="397">
        <v>-999157.62</v>
      </c>
      <c r="M319" s="397">
        <v>-1180390.2</v>
      </c>
      <c r="N319" s="397">
        <v>-1190748.9099999999</v>
      </c>
      <c r="O319" s="397">
        <v>-1366858.1</v>
      </c>
      <c r="P319" s="398">
        <v>-1394787.08</v>
      </c>
      <c r="Q319" s="186">
        <v>-1351121.14</v>
      </c>
      <c r="R319" s="186">
        <v>-1377863.32</v>
      </c>
      <c r="S319" s="186">
        <v>-1341421.3700000001</v>
      </c>
      <c r="T319" s="186">
        <v>-1356813.32</v>
      </c>
      <c r="U319" s="186">
        <v>-1348394.31</v>
      </c>
      <c r="V319" s="186">
        <v>-1279686.3999999999</v>
      </c>
      <c r="W319" s="186">
        <v>-1285836.44</v>
      </c>
      <c r="X319" s="186">
        <v>-1278105.48</v>
      </c>
      <c r="Y319" s="186">
        <v>-1233547.24</v>
      </c>
      <c r="Z319" s="186">
        <v>-1361449.27</v>
      </c>
      <c r="AA319" s="186">
        <v>-1480059.42</v>
      </c>
      <c r="AB319" s="186">
        <v>-1669034.27</v>
      </c>
      <c r="AC319" s="186">
        <v>-1608868.58</v>
      </c>
      <c r="AD319" s="186">
        <v>-1392116.51</v>
      </c>
      <c r="AE319" s="186">
        <v>-1387205.98</v>
      </c>
      <c r="AF319" s="186">
        <v>-1381077.63</v>
      </c>
      <c r="AG319" s="186">
        <v>-1382146.12</v>
      </c>
      <c r="AH319" s="186">
        <v>-1378966.53</v>
      </c>
      <c r="AI319" s="186">
        <v>-1374740.04</v>
      </c>
      <c r="AJ319" s="186">
        <v>-1372424.22</v>
      </c>
      <c r="AK319" s="186">
        <v>-1345096.76</v>
      </c>
      <c r="AL319" s="186">
        <v>-1351525.65</v>
      </c>
      <c r="AM319" s="186">
        <v>-1348266.39</v>
      </c>
      <c r="AN319" s="186">
        <v>-1344389.89</v>
      </c>
      <c r="AO319" s="186">
        <v>-1344060.14</v>
      </c>
      <c r="AP319" s="186">
        <v>-1337328.01</v>
      </c>
      <c r="AQ319" s="186">
        <v>-1343611.74</v>
      </c>
      <c r="AR319" s="186">
        <v>-1343504.45</v>
      </c>
      <c r="AS319" s="186">
        <v>-1344375.08</v>
      </c>
      <c r="AT319" s="186">
        <v>-1340473.69</v>
      </c>
      <c r="AU319" s="186">
        <v>-1340271.67</v>
      </c>
      <c r="AV319" s="186">
        <v>-1344150.67</v>
      </c>
      <c r="AW319" s="186">
        <v>-1338462.42</v>
      </c>
      <c r="AX319" s="186">
        <v>-1475353.99</v>
      </c>
      <c r="AY319" s="186">
        <v>-1541837.87</v>
      </c>
      <c r="AZ319" s="186">
        <v>-1640632.28</v>
      </c>
      <c r="BA319" s="186">
        <v>-1488851.44</v>
      </c>
      <c r="BB319" s="186">
        <v>-1391483.26</v>
      </c>
      <c r="BC319" s="186">
        <v>-1325491.6599999999</v>
      </c>
      <c r="BD319" s="186">
        <v>-1255323.28</v>
      </c>
      <c r="BE319" s="186">
        <v>-1227754.3500000001</v>
      </c>
      <c r="BF319" s="186">
        <v>-1181393.6499999999</v>
      </c>
      <c r="BG319" s="186">
        <v>-1136017.98</v>
      </c>
      <c r="BH319" s="186">
        <v>-1123277.74</v>
      </c>
      <c r="BI319" s="186">
        <v>-1453032.53</v>
      </c>
      <c r="BJ319" s="186">
        <v>-1472305.28</v>
      </c>
      <c r="BK319" s="186">
        <v>-1443478.24</v>
      </c>
      <c r="BL319" s="186">
        <v>-1583519.52</v>
      </c>
      <c r="BM319" s="186">
        <v>-1482031.03</v>
      </c>
      <c r="BN319" s="186">
        <v>-1421245.66</v>
      </c>
      <c r="BO319" s="186">
        <v>-1443991.75</v>
      </c>
      <c r="BP319" s="186">
        <v>-1443014.46</v>
      </c>
      <c r="BQ319" s="186">
        <v>-1444792.76</v>
      </c>
      <c r="BR319" s="186">
        <v>-1449153.51</v>
      </c>
      <c r="BS319" s="186">
        <v>-1451687.29</v>
      </c>
      <c r="BT319" s="186">
        <v>-1459779.16</v>
      </c>
      <c r="BU319" s="186">
        <v>-1489714.24</v>
      </c>
      <c r="BV319" s="186">
        <v>-1503990.19</v>
      </c>
      <c r="BW319" s="186">
        <v>-1506383.31</v>
      </c>
      <c r="BX319" s="186">
        <v>-1544319.94</v>
      </c>
      <c r="BY319" s="186">
        <v>-1551855.26</v>
      </c>
      <c r="BZ319" s="186">
        <v>-1553499.4</v>
      </c>
      <c r="CA319" s="186">
        <v>-1539670.37</v>
      </c>
      <c r="CB319" s="186">
        <v>-1542908.62</v>
      </c>
      <c r="CC319" s="186">
        <v>-1547093.13</v>
      </c>
      <c r="CD319" s="186">
        <v>-1545374.55</v>
      </c>
      <c r="CE319" s="186">
        <v>-1546324.43</v>
      </c>
      <c r="CF319" s="186">
        <v>-1620628.31</v>
      </c>
      <c r="CG319" s="186">
        <v>-1629633.05</v>
      </c>
      <c r="CH319" s="186">
        <v>-1580725.73</v>
      </c>
      <c r="CI319" s="186">
        <v>-1583028.81</v>
      </c>
      <c r="CJ319" s="186">
        <v>-1638974.89</v>
      </c>
      <c r="CK319" s="186">
        <v>-1648065.44</v>
      </c>
      <c r="CL319" s="186">
        <v>-1656659.96</v>
      </c>
      <c r="CM319" s="186">
        <v>-1656919.9</v>
      </c>
      <c r="CN319" s="186">
        <v>-1661426.97</v>
      </c>
      <c r="CO319" s="186">
        <v>-1669118.69</v>
      </c>
      <c r="CP319" s="186">
        <v>-1688640.73</v>
      </c>
      <c r="CQ319" s="186">
        <v>-1724796.47</v>
      </c>
      <c r="CR319" s="186">
        <v>-1728426.52</v>
      </c>
      <c r="CS319" s="186">
        <v>-1662292.73</v>
      </c>
      <c r="CT319" s="186">
        <v>-1848291.89</v>
      </c>
      <c r="CU319" s="186">
        <v>-2123697.63</v>
      </c>
      <c r="CV319" s="186">
        <v>-2074684.03</v>
      </c>
    </row>
    <row r="320" spans="1:100">
      <c r="A320" s="541" t="str">
        <f t="shared" si="4"/>
        <v>2830430</v>
      </c>
      <c r="B320" s="541" t="s">
        <v>1683</v>
      </c>
      <c r="C320" s="463" t="s">
        <v>825</v>
      </c>
      <c r="D320" s="397">
        <v>-950350.38</v>
      </c>
      <c r="E320" s="397">
        <v>-950350.38</v>
      </c>
      <c r="F320" s="397">
        <v>-950350.38</v>
      </c>
      <c r="G320" s="397">
        <v>-929445.33</v>
      </c>
      <c r="H320" s="397">
        <v>-929445.33</v>
      </c>
      <c r="I320" s="397">
        <v>-929445.33</v>
      </c>
      <c r="J320" s="397">
        <v>-907928.77</v>
      </c>
      <c r="K320" s="397">
        <v>-907928.77</v>
      </c>
      <c r="L320" s="397">
        <v>-907928.77</v>
      </c>
      <c r="M320" s="397">
        <v>-896588.37</v>
      </c>
      <c r="N320" s="397">
        <v>-896588.37</v>
      </c>
      <c r="O320" s="397">
        <v>-896588.37</v>
      </c>
      <c r="P320" s="398">
        <v>-1063261.7</v>
      </c>
      <c r="Q320" s="186">
        <v>-1063261.7</v>
      </c>
      <c r="R320" s="186">
        <v>-1063261.7</v>
      </c>
      <c r="S320" s="186">
        <v>-1083207.22</v>
      </c>
      <c r="T320" s="186">
        <v>-1083207.22</v>
      </c>
      <c r="U320" s="186">
        <v>-1083207.22</v>
      </c>
      <c r="V320" s="186">
        <v>-1017713.34</v>
      </c>
      <c r="W320" s="186">
        <v>-1017713.34</v>
      </c>
      <c r="X320" s="186">
        <v>-1000854.58</v>
      </c>
      <c r="Y320" s="186">
        <v>-978080.34</v>
      </c>
      <c r="Z320" s="186">
        <v>-978080.34</v>
      </c>
      <c r="AA320" s="186">
        <v>-978080.34</v>
      </c>
      <c r="AB320" s="186">
        <v>-1381063.69</v>
      </c>
      <c r="AC320" s="186">
        <v>-1381063.69</v>
      </c>
      <c r="AD320" s="186">
        <v>-1381063.69</v>
      </c>
      <c r="AE320" s="186">
        <v>-1361603.7</v>
      </c>
      <c r="AF320" s="186">
        <v>-1361603.7</v>
      </c>
      <c r="AG320" s="186">
        <v>-1362113.83</v>
      </c>
      <c r="AH320" s="186">
        <v>-1336162.52</v>
      </c>
      <c r="AI320" s="186">
        <v>-1336162.52</v>
      </c>
      <c r="AJ320" s="186">
        <v>-1336162.52</v>
      </c>
      <c r="AK320" s="186">
        <v>-1800409.1</v>
      </c>
      <c r="AL320" s="186">
        <v>-1800409.1</v>
      </c>
      <c r="AM320" s="186">
        <v>-1800409.1</v>
      </c>
      <c r="AN320" s="186">
        <v>-1558133.78</v>
      </c>
      <c r="AO320" s="186">
        <v>-1558133.78</v>
      </c>
      <c r="AP320" s="186">
        <v>-1558133.78</v>
      </c>
      <c r="AQ320" s="186">
        <v>-1534838.69</v>
      </c>
      <c r="AR320" s="186">
        <v>-1534838.69</v>
      </c>
      <c r="AS320" s="186">
        <v>-1534838.69</v>
      </c>
      <c r="AT320" s="186">
        <v>-1576930.85</v>
      </c>
      <c r="AU320" s="186">
        <v>-1576930.85</v>
      </c>
      <c r="AV320" s="186">
        <v>-1576930.85</v>
      </c>
      <c r="AW320" s="186">
        <v>-1551656.86</v>
      </c>
      <c r="AX320" s="186">
        <v>-1551656.86</v>
      </c>
      <c r="AY320" s="186">
        <v>-1551656.86</v>
      </c>
      <c r="AZ320" s="186">
        <v>-1445718.72</v>
      </c>
      <c r="BA320" s="186">
        <v>-1445718.72</v>
      </c>
      <c r="BB320" s="186">
        <v>-1445718.72</v>
      </c>
      <c r="BC320" s="186">
        <v>-1419144.98</v>
      </c>
      <c r="BD320" s="186">
        <v>-1419144.98</v>
      </c>
      <c r="BE320" s="186">
        <v>-1419144.98</v>
      </c>
      <c r="BF320" s="186">
        <v>-1389559.47</v>
      </c>
      <c r="BG320" s="186">
        <v>-1389559.47</v>
      </c>
      <c r="BH320" s="186">
        <v>-1389559.47</v>
      </c>
      <c r="BI320" s="186">
        <v>-1362761.05</v>
      </c>
      <c r="BJ320" s="186">
        <v>-1362761.05</v>
      </c>
      <c r="BK320" s="186">
        <v>-1362761.05</v>
      </c>
      <c r="BL320" s="186">
        <v>-1690554.69</v>
      </c>
      <c r="BM320" s="186">
        <v>-1690554.69</v>
      </c>
      <c r="BN320" s="186">
        <v>-1690554.69</v>
      </c>
      <c r="BO320" s="186">
        <v>-1668742.19</v>
      </c>
      <c r="BP320" s="186">
        <v>-1668742.19</v>
      </c>
      <c r="BQ320" s="186">
        <v>-1668742.19</v>
      </c>
      <c r="BR320" s="186">
        <v>-1644821.03</v>
      </c>
      <c r="BS320" s="186">
        <v>-1644821.03</v>
      </c>
      <c r="BT320" s="186">
        <v>-1644821.03</v>
      </c>
      <c r="BU320" s="186">
        <v>-1621954.17</v>
      </c>
      <c r="BV320" s="186">
        <v>-1621954.17</v>
      </c>
      <c r="BW320" s="186">
        <v>-1621954.17</v>
      </c>
      <c r="BX320" s="186">
        <v>-1633781.48</v>
      </c>
      <c r="BY320" s="186">
        <v>-1633781.48</v>
      </c>
      <c r="BZ320" s="186">
        <v>-1633781.48</v>
      </c>
      <c r="CA320" s="186">
        <v>-1605185.21</v>
      </c>
      <c r="CB320" s="186">
        <v>-1605185.21</v>
      </c>
      <c r="CC320" s="186">
        <v>-1605185.21</v>
      </c>
      <c r="CD320" s="186">
        <v>-1575000.39</v>
      </c>
      <c r="CE320" s="186">
        <v>-1575000.39</v>
      </c>
      <c r="CF320" s="186">
        <v>-1575000.39</v>
      </c>
      <c r="CG320" s="186">
        <v>-1545609.82</v>
      </c>
      <c r="CH320" s="186">
        <v>-1545609.82</v>
      </c>
      <c r="CI320" s="186">
        <v>-1545609.82</v>
      </c>
      <c r="CJ320" s="186">
        <v>-1888253.51</v>
      </c>
      <c r="CK320" s="186">
        <v>-1888253.51</v>
      </c>
      <c r="CL320" s="186">
        <v>-1888253.51</v>
      </c>
      <c r="CM320" s="186">
        <v>-1849978.39</v>
      </c>
      <c r="CN320" s="186">
        <v>-1849978.39</v>
      </c>
      <c r="CO320" s="186">
        <v>-1849978.39</v>
      </c>
      <c r="CP320" s="186">
        <v>-1811703.3</v>
      </c>
      <c r="CQ320" s="186">
        <v>-1811703.3</v>
      </c>
      <c r="CR320" s="186">
        <v>-1811703.3</v>
      </c>
      <c r="CS320" s="186">
        <v>-1752318.47</v>
      </c>
      <c r="CT320" s="186">
        <v>-1752318.47</v>
      </c>
      <c r="CU320" s="186">
        <v>-1752318.47</v>
      </c>
      <c r="CV320" s="186">
        <v>-1400125.04</v>
      </c>
    </row>
    <row r="321" spans="1:100">
      <c r="A321" s="541" t="str">
        <f t="shared" si="4"/>
        <v>2830431</v>
      </c>
      <c r="B321" s="541" t="s">
        <v>1684</v>
      </c>
      <c r="C321" s="463" t="s">
        <v>826</v>
      </c>
      <c r="D321" s="397">
        <v>-5320</v>
      </c>
      <c r="E321" s="397">
        <v>-5320</v>
      </c>
      <c r="F321" s="397">
        <v>-5320</v>
      </c>
      <c r="G321" s="397">
        <v>-5320</v>
      </c>
      <c r="H321" s="397">
        <v>-5320</v>
      </c>
      <c r="I321" s="397">
        <v>-5320</v>
      </c>
      <c r="J321" s="397">
        <v>-5320</v>
      </c>
      <c r="K321" s="397">
        <v>-5320</v>
      </c>
      <c r="L321" s="397">
        <v>-5320</v>
      </c>
      <c r="M321" s="397">
        <v>-5320</v>
      </c>
      <c r="N321" s="397">
        <v>-5320</v>
      </c>
      <c r="O321" s="397">
        <v>-5320</v>
      </c>
      <c r="P321" s="398">
        <v>-5320</v>
      </c>
      <c r="Q321" s="186">
        <v>-5320</v>
      </c>
      <c r="R321" s="186">
        <v>-5320</v>
      </c>
      <c r="S321" s="186">
        <v>-5320</v>
      </c>
      <c r="T321" s="186">
        <v>-5320</v>
      </c>
      <c r="U321" s="186">
        <v>-5320</v>
      </c>
      <c r="V321" s="186">
        <v>-5320</v>
      </c>
      <c r="W321" s="186">
        <v>-5320</v>
      </c>
      <c r="X321" s="186">
        <v>-5320</v>
      </c>
      <c r="Y321" s="186">
        <v>-5320</v>
      </c>
      <c r="Z321" s="186">
        <v>-5320</v>
      </c>
      <c r="AA321" s="186">
        <v>-5320</v>
      </c>
      <c r="AB321" s="186">
        <v>-5320</v>
      </c>
      <c r="AC321" s="186">
        <v>-5320</v>
      </c>
      <c r="AD321" s="186">
        <v>-5320</v>
      </c>
      <c r="AE321" s="186">
        <v>-5320</v>
      </c>
      <c r="AF321" s="186">
        <v>-5320</v>
      </c>
      <c r="AG321" s="186">
        <v>-5320</v>
      </c>
      <c r="AH321" s="186">
        <v>-5320</v>
      </c>
      <c r="AI321" s="186">
        <v>-5320</v>
      </c>
      <c r="AJ321" s="186">
        <v>-5320</v>
      </c>
      <c r="AK321" s="186">
        <v>-5320</v>
      </c>
      <c r="AL321" s="186">
        <v>-5320</v>
      </c>
      <c r="AM321" s="186">
        <v>-5320</v>
      </c>
      <c r="AN321" s="186">
        <v>-5320</v>
      </c>
      <c r="AO321" s="186">
        <v>-5320</v>
      </c>
      <c r="AP321" s="186">
        <v>-5320</v>
      </c>
      <c r="AQ321" s="186">
        <v>-5320</v>
      </c>
      <c r="AR321" s="186">
        <v>-5320</v>
      </c>
      <c r="AS321" s="186">
        <v>-5320</v>
      </c>
      <c r="AT321" s="186">
        <v>-5320</v>
      </c>
      <c r="AU321" s="186">
        <v>-5320</v>
      </c>
      <c r="AV321" s="186">
        <v>-5320</v>
      </c>
      <c r="AW321" s="186">
        <v>-5320</v>
      </c>
      <c r="AX321" s="186">
        <v>-5320</v>
      </c>
      <c r="AY321" s="186">
        <v>-5320</v>
      </c>
      <c r="AZ321" s="186">
        <v>-5320</v>
      </c>
      <c r="BA321" s="186">
        <v>-5320</v>
      </c>
      <c r="BB321" s="186">
        <v>-5320</v>
      </c>
      <c r="BC321" s="186">
        <v>-5320</v>
      </c>
      <c r="BD321" s="186">
        <v>-5320</v>
      </c>
      <c r="BE321" s="186">
        <v>-5320</v>
      </c>
      <c r="BF321" s="186">
        <v>-5320</v>
      </c>
      <c r="BG321" s="186">
        <v>-5320</v>
      </c>
      <c r="BH321" s="186">
        <v>-5320</v>
      </c>
      <c r="BI321" s="186">
        <v>-5320</v>
      </c>
      <c r="BJ321" s="186">
        <v>-5320</v>
      </c>
      <c r="BK321" s="186">
        <v>-5320</v>
      </c>
      <c r="BL321" s="186">
        <v>-5320</v>
      </c>
      <c r="BM321" s="186">
        <v>-5320</v>
      </c>
      <c r="BN321" s="186">
        <v>-5320</v>
      </c>
      <c r="BO321" s="186">
        <v>-5320</v>
      </c>
      <c r="BP321" s="186">
        <v>-5320</v>
      </c>
      <c r="BQ321" s="186">
        <v>-5320</v>
      </c>
      <c r="BR321" s="186">
        <v>-5320</v>
      </c>
      <c r="BS321" s="186">
        <v>-5320</v>
      </c>
      <c r="BT321" s="186">
        <v>-5320</v>
      </c>
      <c r="BU321" s="186">
        <v>-5320</v>
      </c>
      <c r="BV321" s="186">
        <v>-5320</v>
      </c>
      <c r="BW321" s="186">
        <v>-5320</v>
      </c>
      <c r="BX321" s="186">
        <v>-5320</v>
      </c>
      <c r="BY321" s="186">
        <v>-5320</v>
      </c>
      <c r="BZ321" s="186">
        <v>-5320</v>
      </c>
      <c r="CA321" s="186">
        <v>-5320</v>
      </c>
      <c r="CB321" s="186">
        <v>-5320</v>
      </c>
      <c r="CC321" s="186">
        <v>-5320</v>
      </c>
      <c r="CD321" s="186">
        <v>-5320</v>
      </c>
      <c r="CE321" s="186">
        <v>-5320</v>
      </c>
      <c r="CF321" s="186">
        <v>-5320</v>
      </c>
      <c r="CG321" s="186">
        <v>-5320</v>
      </c>
      <c r="CH321" s="186">
        <v>-5320</v>
      </c>
      <c r="CI321" s="186">
        <v>-5320</v>
      </c>
      <c r="CJ321" s="186">
        <v>-5320</v>
      </c>
      <c r="CK321" s="186">
        <v>-5320</v>
      </c>
      <c r="CL321" s="186">
        <v>-5320</v>
      </c>
      <c r="CM321" s="186">
        <v>-5320</v>
      </c>
      <c r="CN321" s="186">
        <v>-5320</v>
      </c>
      <c r="CO321" s="186">
        <v>-5320</v>
      </c>
      <c r="CP321" s="186">
        <v>-5320</v>
      </c>
      <c r="CQ321" s="186">
        <v>-5320</v>
      </c>
      <c r="CR321" s="186">
        <v>-5320</v>
      </c>
      <c r="CS321" s="186">
        <v>-5320</v>
      </c>
      <c r="CT321" s="186">
        <v>-5320</v>
      </c>
      <c r="CU321" s="186">
        <v>-5320</v>
      </c>
      <c r="CV321" s="186">
        <v>-5320</v>
      </c>
    </row>
    <row r="322" spans="1:100">
      <c r="A322" s="541" t="str">
        <f t="shared" si="4"/>
        <v>2830440</v>
      </c>
      <c r="B322" s="541" t="s">
        <v>1685</v>
      </c>
      <c r="C322" s="463" t="s">
        <v>827</v>
      </c>
      <c r="D322" s="397">
        <v>-64395.26</v>
      </c>
      <c r="E322" s="397">
        <v>-196970.01</v>
      </c>
      <c r="F322" s="397">
        <v>-137538.10999999999</v>
      </c>
      <c r="G322" s="397">
        <v>-83794.039999999994</v>
      </c>
      <c r="H322" s="397">
        <v>-170135.44</v>
      </c>
      <c r="I322" s="397">
        <v>-69756.11</v>
      </c>
      <c r="J322" s="397">
        <v>-47596.34</v>
      </c>
      <c r="K322" s="397">
        <v>-178673.99</v>
      </c>
      <c r="L322" s="397">
        <v>-84192.24</v>
      </c>
      <c r="M322" s="397">
        <v>-88981.36</v>
      </c>
      <c r="N322" s="397">
        <v>-201239.11</v>
      </c>
      <c r="O322" s="397">
        <v>-148671.21</v>
      </c>
      <c r="P322" s="398">
        <v>-494201.56</v>
      </c>
      <c r="Q322" s="186">
        <v>-498571.59</v>
      </c>
      <c r="R322" s="186">
        <v>-408521.46</v>
      </c>
      <c r="S322" s="186">
        <v>-398725.36</v>
      </c>
      <c r="T322" s="186">
        <v>-346087.39</v>
      </c>
      <c r="U322" s="186">
        <v>-336608.25</v>
      </c>
      <c r="V322" s="186">
        <v>-285707.84000000003</v>
      </c>
      <c r="W322" s="186">
        <v>-287014.09000000003</v>
      </c>
      <c r="X322" s="186">
        <v>-305231.19</v>
      </c>
      <c r="Y322" s="186">
        <v>-348279.69</v>
      </c>
      <c r="Z322" s="186">
        <v>-442421.54</v>
      </c>
      <c r="AA322" s="186">
        <v>-443604.04</v>
      </c>
      <c r="AB322" s="186">
        <v>-349027.14</v>
      </c>
      <c r="AC322" s="186">
        <v>-268710.64</v>
      </c>
      <c r="AD322" s="186">
        <v>-298707.09000000003</v>
      </c>
      <c r="AE322" s="186">
        <v>-190043.31</v>
      </c>
      <c r="AF322" s="186">
        <v>-111543.74</v>
      </c>
      <c r="AG322" s="186">
        <v>-97201.12</v>
      </c>
      <c r="AH322" s="186">
        <v>-38622.82</v>
      </c>
      <c r="AI322" s="186">
        <v>-37769.22</v>
      </c>
      <c r="AJ322" s="186">
        <v>-28877.37</v>
      </c>
      <c r="AK322" s="186">
        <v>-28740.42</v>
      </c>
      <c r="AL322" s="186">
        <v>-30905.22</v>
      </c>
      <c r="AM322" s="186">
        <v>-33490.769999999997</v>
      </c>
      <c r="AN322" s="186">
        <v>-109407.82</v>
      </c>
      <c r="AO322" s="186">
        <v>-32529.37</v>
      </c>
      <c r="AP322" s="186">
        <v>-23155.72</v>
      </c>
      <c r="AQ322" s="186">
        <v>-26790.94</v>
      </c>
      <c r="AR322" s="186">
        <v>-29636.09</v>
      </c>
      <c r="AS322" s="186">
        <v>-9539.09</v>
      </c>
      <c r="AT322" s="186">
        <v>-6080.14</v>
      </c>
      <c r="AU322" s="186">
        <v>-8165.74</v>
      </c>
      <c r="AV322" s="186">
        <v>-5822.74</v>
      </c>
      <c r="AW322" s="186">
        <v>-4893.24</v>
      </c>
      <c r="AX322" s="186">
        <v>-7865.99</v>
      </c>
      <c r="AY322" s="186">
        <v>-3727.79</v>
      </c>
      <c r="AZ322" s="186">
        <v>-9958.19</v>
      </c>
      <c r="BA322" s="186">
        <v>-4381.74</v>
      </c>
      <c r="BB322" s="186">
        <v>-6221.49</v>
      </c>
      <c r="BC322" s="186">
        <v>-1795.09</v>
      </c>
      <c r="BD322" s="186">
        <v>-1524.76</v>
      </c>
      <c r="BE322" s="186">
        <v>-1100.71</v>
      </c>
      <c r="BF322" s="186">
        <v>-858.16</v>
      </c>
      <c r="BG322" s="186">
        <v>-644.21</v>
      </c>
      <c r="BH322" s="186">
        <v>-192.11</v>
      </c>
      <c r="BI322" s="186">
        <v>-551.80999999999995</v>
      </c>
      <c r="BJ322" s="186">
        <v>-805.36</v>
      </c>
      <c r="BK322" s="186">
        <v>0.39</v>
      </c>
      <c r="BL322" s="186">
        <v>0.39</v>
      </c>
      <c r="BM322" s="186">
        <v>0.39</v>
      </c>
      <c r="BN322" s="186">
        <v>0.39</v>
      </c>
      <c r="BO322" s="186">
        <v>0.39</v>
      </c>
      <c r="BP322" s="186">
        <v>0.39</v>
      </c>
      <c r="BQ322" s="186">
        <v>0.39</v>
      </c>
      <c r="BR322" s="186">
        <v>0.39</v>
      </c>
      <c r="BS322" s="186">
        <v>0.39</v>
      </c>
      <c r="BT322" s="186">
        <v>0.39</v>
      </c>
      <c r="BU322" s="186">
        <v>0.39</v>
      </c>
      <c r="BV322" s="186">
        <v>0.39</v>
      </c>
      <c r="BW322" s="186">
        <v>0.39</v>
      </c>
      <c r="BX322" s="186">
        <v>0.39</v>
      </c>
      <c r="BY322" s="186">
        <v>0.39</v>
      </c>
      <c r="BZ322" s="186">
        <v>0.39</v>
      </c>
      <c r="CA322" s="186">
        <v>0.39</v>
      </c>
      <c r="CB322" s="186">
        <v>0.39</v>
      </c>
      <c r="CC322" s="186">
        <v>0.39</v>
      </c>
      <c r="CD322" s="186">
        <v>0.39</v>
      </c>
      <c r="CE322" s="186">
        <v>0.39</v>
      </c>
      <c r="CF322" s="186">
        <v>0.39</v>
      </c>
      <c r="CG322" s="186">
        <v>0.39</v>
      </c>
      <c r="CH322" s="186">
        <v>0.39</v>
      </c>
      <c r="CI322" s="186">
        <v>0.39</v>
      </c>
      <c r="CJ322" s="186">
        <v>0.39</v>
      </c>
      <c r="CK322" s="186">
        <v>0.39</v>
      </c>
      <c r="CL322" s="186">
        <v>0.39</v>
      </c>
      <c r="CM322" s="186">
        <v>0.39</v>
      </c>
      <c r="CN322" s="186">
        <v>0.39</v>
      </c>
      <c r="CO322" s="186">
        <v>0.39</v>
      </c>
      <c r="CP322" s="186">
        <v>0.39</v>
      </c>
      <c r="CQ322" s="186">
        <v>0.39</v>
      </c>
      <c r="CR322" s="186">
        <v>0.39</v>
      </c>
      <c r="CS322" s="186">
        <v>0.39</v>
      </c>
      <c r="CT322" s="186">
        <v>0.39</v>
      </c>
      <c r="CU322" s="186">
        <v>0.39</v>
      </c>
      <c r="CV322" s="186">
        <v>0.39</v>
      </c>
    </row>
    <row r="323" spans="1:100">
      <c r="A323" s="541" t="str">
        <f t="shared" si="4"/>
        <v>2830610</v>
      </c>
      <c r="B323" s="541" t="s">
        <v>1844</v>
      </c>
      <c r="C323" s="463" t="s">
        <v>1850</v>
      </c>
      <c r="D323" s="397"/>
      <c r="E323" s="397"/>
      <c r="F323" s="397"/>
      <c r="G323" s="397"/>
      <c r="H323" s="397"/>
      <c r="I323" s="397"/>
      <c r="J323" s="397"/>
      <c r="K323" s="397"/>
      <c r="L323" s="397"/>
      <c r="M323" s="397"/>
      <c r="N323" s="397"/>
      <c r="O323" s="397"/>
      <c r="P323" s="398"/>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v>0</v>
      </c>
      <c r="AP323" s="186">
        <v>0</v>
      </c>
      <c r="AQ323" s="186">
        <v>0</v>
      </c>
      <c r="AR323" s="186">
        <v>0</v>
      </c>
      <c r="AS323" s="186">
        <v>0</v>
      </c>
      <c r="AT323" s="186">
        <v>0</v>
      </c>
      <c r="AU323" s="186">
        <v>0</v>
      </c>
      <c r="AV323" s="186">
        <v>0</v>
      </c>
      <c r="AW323" s="186">
        <v>0</v>
      </c>
      <c r="AX323" s="186">
        <v>0</v>
      </c>
      <c r="AY323" s="186">
        <v>0</v>
      </c>
      <c r="AZ323" s="186">
        <v>22611604.050000001</v>
      </c>
      <c r="BA323" s="186">
        <v>22555411.48</v>
      </c>
      <c r="BB323" s="186">
        <v>22499510.5</v>
      </c>
      <c r="BC323" s="186">
        <v>22513410.670000002</v>
      </c>
      <c r="BD323" s="186">
        <v>22480684.460000001</v>
      </c>
      <c r="BE323" s="186">
        <v>22564313.890000001</v>
      </c>
      <c r="BF323" s="186">
        <v>22554854.940000001</v>
      </c>
      <c r="BG323" s="186">
        <v>22545395.899999999</v>
      </c>
      <c r="BH323" s="186">
        <v>22539168.77</v>
      </c>
      <c r="BI323" s="186">
        <v>22530113.699999999</v>
      </c>
      <c r="BJ323" s="186">
        <v>22521058.699999999</v>
      </c>
      <c r="BK323" s="186">
        <v>22993926.73</v>
      </c>
      <c r="BL323" s="186">
        <v>22984871.68</v>
      </c>
      <c r="BM323" s="186">
        <v>22989750.489999998</v>
      </c>
      <c r="BN323" s="186">
        <v>23006562.530000001</v>
      </c>
      <c r="BO323" s="186">
        <v>23017407.940000001</v>
      </c>
      <c r="BP323" s="186">
        <v>23028253.329999998</v>
      </c>
      <c r="BQ323" s="186">
        <v>23039098.77</v>
      </c>
      <c r="BR323" s="186">
        <v>23049944.170000002</v>
      </c>
      <c r="BS323" s="186">
        <v>23060789.52</v>
      </c>
      <c r="BT323" s="186">
        <v>23071075.559999999</v>
      </c>
      <c r="BU323" s="186">
        <v>22770178.739999998</v>
      </c>
      <c r="BV323" s="186">
        <v>22776255.84</v>
      </c>
      <c r="BW323" s="186">
        <v>22781617.969999999</v>
      </c>
      <c r="BX323" s="186">
        <v>22900328.359999999</v>
      </c>
      <c r="BY323" s="186">
        <v>22896434.140000001</v>
      </c>
      <c r="BZ323" s="186">
        <v>22887665.559999999</v>
      </c>
      <c r="CA323" s="186">
        <v>22835005.579999998</v>
      </c>
      <c r="CB323" s="186">
        <v>22822459.399999999</v>
      </c>
      <c r="CC323" s="186">
        <v>22806044.07</v>
      </c>
      <c r="CD323" s="186">
        <v>22809821.710000001</v>
      </c>
      <c r="CE323" s="186">
        <v>22788403.359999999</v>
      </c>
      <c r="CF323" s="186">
        <v>22752625.309999999</v>
      </c>
      <c r="CG323" s="186">
        <v>22745581</v>
      </c>
      <c r="CH323" s="186">
        <v>23333203.09</v>
      </c>
      <c r="CI323" s="186">
        <v>23324881.32</v>
      </c>
      <c r="CJ323" s="186">
        <v>23305660.690000001</v>
      </c>
      <c r="CK323" s="186">
        <v>23285754.050000001</v>
      </c>
      <c r="CL323" s="186">
        <v>23248011.530000001</v>
      </c>
      <c r="CM323" s="186">
        <v>23176857.739999998</v>
      </c>
      <c r="CN323" s="186">
        <v>23173356.699999999</v>
      </c>
      <c r="CO323" s="186">
        <v>23160960.140000001</v>
      </c>
      <c r="CP323" s="186">
        <v>23099041.129999999</v>
      </c>
      <c r="CQ323" s="186">
        <v>23083761.77</v>
      </c>
      <c r="CR323" s="186">
        <v>23066179.890000001</v>
      </c>
      <c r="CS323" s="186">
        <v>22980610.82</v>
      </c>
      <c r="CT323" s="186">
        <v>22944886.280000001</v>
      </c>
      <c r="CU323" s="186">
        <v>23049971.539999999</v>
      </c>
      <c r="CV323" s="186">
        <v>21862346.489999998</v>
      </c>
    </row>
    <row r="324" spans="1:100">
      <c r="A324" s="785"/>
      <c r="B324" s="56"/>
    </row>
    <row r="325" spans="1:100">
      <c r="AH325" s="430">
        <f t="shared" ref="AH325:AQ325" si="5">SUM(AH5:AH168)</f>
        <v>960112796.65000021</v>
      </c>
      <c r="AI325" s="430">
        <f t="shared" si="5"/>
        <v>966844695.15999985</v>
      </c>
      <c r="AJ325" s="430">
        <f t="shared" si="5"/>
        <v>967683433.84000015</v>
      </c>
      <c r="AK325" s="430">
        <f t="shared" si="5"/>
        <v>983992949.63999975</v>
      </c>
      <c r="AL325" s="430">
        <f t="shared" si="5"/>
        <v>993654532.77999949</v>
      </c>
      <c r="AM325" s="430">
        <f t="shared" si="5"/>
        <v>996694415.33999979</v>
      </c>
      <c r="AN325" s="430">
        <f t="shared" si="5"/>
        <v>1019762560.6499999</v>
      </c>
      <c r="AO325" s="430">
        <f t="shared" si="5"/>
        <v>1028205820.95</v>
      </c>
      <c r="AP325" s="430">
        <f t="shared" si="5"/>
        <v>1036605895.4099998</v>
      </c>
      <c r="AQ325" s="430">
        <f t="shared" si="5"/>
        <v>1037286041.9800001</v>
      </c>
      <c r="AR325" s="430">
        <v>1047973195.5999998</v>
      </c>
      <c r="AS325" s="430">
        <v>1053161039.7799999</v>
      </c>
      <c r="AT325" s="430">
        <v>1048613874.0800003</v>
      </c>
      <c r="AU325" s="430">
        <f t="shared" ref="AU325:BX325" si="6">SUM(AU5:AU168)</f>
        <v>1057460529.1500002</v>
      </c>
      <c r="AV325" s="430">
        <f t="shared" si="6"/>
        <v>1076761555.8799996</v>
      </c>
      <c r="AW325" s="430">
        <f t="shared" si="6"/>
        <v>1078630857.2999997</v>
      </c>
      <c r="AX325" s="430">
        <f t="shared" si="6"/>
        <v>1082847591.9999998</v>
      </c>
      <c r="AY325" s="430">
        <f t="shared" si="6"/>
        <v>1093441044.03</v>
      </c>
      <c r="AZ325" s="430">
        <f t="shared" si="6"/>
        <v>1110304091.0699997</v>
      </c>
      <c r="BA325" s="430">
        <f t="shared" si="6"/>
        <v>1125453008.2700005</v>
      </c>
      <c r="BB325" s="430">
        <f t="shared" si="6"/>
        <v>1118450851.4000003</v>
      </c>
      <c r="BC325" s="430">
        <f t="shared" si="6"/>
        <v>1116155056.3900001</v>
      </c>
      <c r="BD325" s="430">
        <f t="shared" si="6"/>
        <v>1119947657.9199998</v>
      </c>
      <c r="BE325" s="430">
        <f t="shared" si="6"/>
        <v>1127682195.3500004</v>
      </c>
      <c r="BF325" s="430">
        <f t="shared" si="6"/>
        <v>1134835694.5200002</v>
      </c>
      <c r="BG325" s="430">
        <f t="shared" si="6"/>
        <v>1142151907.7099998</v>
      </c>
      <c r="BH325" s="430">
        <f t="shared" si="6"/>
        <v>1149094391.02</v>
      </c>
      <c r="BI325" s="430">
        <f t="shared" si="6"/>
        <v>1162175175.2500007</v>
      </c>
      <c r="BJ325" s="430">
        <f t="shared" si="6"/>
        <v>1182288767.4399993</v>
      </c>
      <c r="BK325" s="430">
        <f t="shared" si="6"/>
        <v>1202725304.1099997</v>
      </c>
      <c r="BL325" s="430">
        <f t="shared" si="6"/>
        <v>1226063436.0099995</v>
      </c>
      <c r="BM325" s="430">
        <f t="shared" si="6"/>
        <v>1247240436.2299993</v>
      </c>
      <c r="BN325" s="430">
        <f t="shared" si="6"/>
        <v>1247808108.2299993</v>
      </c>
      <c r="BO325" s="430">
        <f t="shared" si="6"/>
        <v>1259003258.8700006</v>
      </c>
      <c r="BP325" s="430">
        <f t="shared" si="6"/>
        <v>1262871735.4099998</v>
      </c>
      <c r="BQ325" s="430">
        <f t="shared" si="6"/>
        <v>1275354403.7199991</v>
      </c>
      <c r="BR325" s="430">
        <f t="shared" si="6"/>
        <v>1286690558.0599999</v>
      </c>
      <c r="BS325" s="430">
        <f t="shared" si="6"/>
        <v>1300347264.21</v>
      </c>
      <c r="BT325" s="430">
        <f t="shared" si="6"/>
        <v>1319239804.8100002</v>
      </c>
      <c r="BU325" s="430">
        <f t="shared" si="6"/>
        <v>1342230484.6000004</v>
      </c>
      <c r="BV325" s="430">
        <f t="shared" si="6"/>
        <v>1358664856.23</v>
      </c>
      <c r="BW325" s="430">
        <f t="shared" si="6"/>
        <v>1383623030.9400001</v>
      </c>
      <c r="BX325" s="430">
        <f t="shared" si="6"/>
        <v>1408247684.1299992</v>
      </c>
      <c r="BY325" s="430">
        <f t="shared" ref="BY325:CD325" si="7">SUM(BY5:BY168)</f>
        <v>1430100919.7199993</v>
      </c>
      <c r="BZ325" s="430">
        <f t="shared" si="7"/>
        <v>1442160893.7799993</v>
      </c>
      <c r="CA325" s="430">
        <f t="shared" si="7"/>
        <v>1453225242.9099991</v>
      </c>
      <c r="CB325" s="430">
        <f t="shared" si="7"/>
        <v>1471552455.1400001</v>
      </c>
      <c r="CC325" s="430">
        <f t="shared" si="7"/>
        <v>1494766345.5600007</v>
      </c>
      <c r="CD325" s="430">
        <f t="shared" si="7"/>
        <v>1516746180.7800002</v>
      </c>
      <c r="CE325" s="430">
        <f t="shared" ref="CE325:CJ325" si="8">SUM(CE5:CE168)</f>
        <v>1537467570.4999995</v>
      </c>
      <c r="CF325" s="430">
        <f t="shared" si="8"/>
        <v>1576643202.9699996</v>
      </c>
      <c r="CG325" s="430">
        <f t="shared" si="8"/>
        <v>1605318201.7300005</v>
      </c>
      <c r="CH325" s="430">
        <f t="shared" si="8"/>
        <v>1631707897.9200001</v>
      </c>
      <c r="CI325" s="430">
        <f t="shared" si="8"/>
        <v>1666187288.7899997</v>
      </c>
      <c r="CJ325" s="430">
        <f t="shared" si="8"/>
        <v>1713802281.6099992</v>
      </c>
      <c r="CK325" s="430">
        <f t="shared" ref="CK325:CP325" si="9">SUM(CK5:CK168)</f>
        <v>1744349619.9999998</v>
      </c>
      <c r="CL325" s="430">
        <f t="shared" si="9"/>
        <v>1767183758.3699994</v>
      </c>
      <c r="CM325" s="430">
        <f t="shared" si="9"/>
        <v>1783156794.6599987</v>
      </c>
      <c r="CN325" s="430">
        <f t="shared" si="9"/>
        <v>1799578255.9400001</v>
      </c>
      <c r="CO325" s="430">
        <f t="shared" si="9"/>
        <v>1807990937.48</v>
      </c>
      <c r="CP325" s="430">
        <f t="shared" si="9"/>
        <v>1827442303.2899992</v>
      </c>
      <c r="CQ325" s="430">
        <v>1853524136.4399991</v>
      </c>
      <c r="CR325" s="430">
        <v>1871610200.3399994</v>
      </c>
      <c r="CS325" s="430">
        <v>1894780635.76</v>
      </c>
      <c r="CT325" s="430">
        <f>SUM(CT5:CT168)</f>
        <v>1929460870.0899997</v>
      </c>
      <c r="CU325" s="430">
        <f>SUM(CU5:CU168)</f>
        <v>1960889789.7199998</v>
      </c>
      <c r="CV325" s="430">
        <f>SUM(CV5:CV168)</f>
        <v>1992226698.3999994</v>
      </c>
    </row>
    <row r="326" spans="1:100">
      <c r="AH326" s="430">
        <f t="shared" ref="AH326:AQ326" si="10">SUM(AH169:AH323)</f>
        <v>-960112796.64999962</v>
      </c>
      <c r="AI326" s="430">
        <f t="shared" si="10"/>
        <v>-966844695.15999985</v>
      </c>
      <c r="AJ326" s="430">
        <f t="shared" si="10"/>
        <v>-967683433.83999991</v>
      </c>
      <c r="AK326" s="430">
        <f t="shared" si="10"/>
        <v>-983992949.63999999</v>
      </c>
      <c r="AL326" s="430">
        <f t="shared" si="10"/>
        <v>-993654532.77999997</v>
      </c>
      <c r="AM326" s="430">
        <f t="shared" si="10"/>
        <v>-996694415.33999968</v>
      </c>
      <c r="AN326" s="430">
        <f t="shared" si="10"/>
        <v>-1019762560.6500001</v>
      </c>
      <c r="AO326" s="430">
        <f t="shared" si="10"/>
        <v>-1028205820.9499995</v>
      </c>
      <c r="AP326" s="430">
        <f t="shared" si="10"/>
        <v>-1036605895.4099997</v>
      </c>
      <c r="AQ326" s="430">
        <f t="shared" si="10"/>
        <v>-1037286041.98</v>
      </c>
      <c r="AR326" s="430">
        <v>-1047973195.6</v>
      </c>
      <c r="AS326" s="430">
        <v>-1053161039.7800002</v>
      </c>
      <c r="AT326" s="430">
        <v>-1048613874.08</v>
      </c>
      <c r="AU326" s="430">
        <f t="shared" ref="AU326:BX326" si="11">SUM(AU169:AU323)</f>
        <v>-1057460529.1500005</v>
      </c>
      <c r="AV326" s="430">
        <f t="shared" si="11"/>
        <v>-1076761555.8800001</v>
      </c>
      <c r="AW326" s="430">
        <f t="shared" si="11"/>
        <v>-1078630857.3</v>
      </c>
      <c r="AX326" s="430">
        <f t="shared" si="11"/>
        <v>-1082847591.9999998</v>
      </c>
      <c r="AY326" s="430">
        <f t="shared" si="11"/>
        <v>-1093441044.0299997</v>
      </c>
      <c r="AZ326" s="430">
        <f t="shared" si="11"/>
        <v>-1110304091.0699997</v>
      </c>
      <c r="BA326" s="430">
        <f t="shared" si="11"/>
        <v>-1125453008.2699997</v>
      </c>
      <c r="BB326" s="430">
        <f t="shared" si="11"/>
        <v>-1118450851.4000003</v>
      </c>
      <c r="BC326" s="430">
        <f t="shared" si="11"/>
        <v>-1116155056.3899999</v>
      </c>
      <c r="BD326" s="430">
        <f t="shared" si="11"/>
        <v>-1119947657.9199996</v>
      </c>
      <c r="BE326" s="430">
        <f t="shared" si="11"/>
        <v>-1127682195.3500004</v>
      </c>
      <c r="BF326" s="430">
        <f t="shared" si="11"/>
        <v>-1134835694.5199997</v>
      </c>
      <c r="BG326" s="430">
        <f t="shared" si="11"/>
        <v>-1142151907.7099998</v>
      </c>
      <c r="BH326" s="430">
        <f t="shared" si="11"/>
        <v>-1149094391.0199995</v>
      </c>
      <c r="BI326" s="430">
        <f t="shared" si="11"/>
        <v>-1162175175.2499993</v>
      </c>
      <c r="BJ326" s="430">
        <f t="shared" si="11"/>
        <v>-1182288767.4399993</v>
      </c>
      <c r="BK326" s="430">
        <f t="shared" si="11"/>
        <v>-1202725304.1099994</v>
      </c>
      <c r="BL326" s="430">
        <f t="shared" si="11"/>
        <v>-1226063436.0099998</v>
      </c>
      <c r="BM326" s="430">
        <f t="shared" si="11"/>
        <v>-1247240436.2299998</v>
      </c>
      <c r="BN326" s="430">
        <f t="shared" si="11"/>
        <v>-1247808108.23</v>
      </c>
      <c r="BO326" s="430">
        <f t="shared" si="11"/>
        <v>-1259003258.8700001</v>
      </c>
      <c r="BP326" s="430">
        <f t="shared" si="11"/>
        <v>-1262871735.4099998</v>
      </c>
      <c r="BQ326" s="430">
        <f t="shared" si="11"/>
        <v>-1275354403.7199998</v>
      </c>
      <c r="BR326" s="430">
        <f t="shared" si="11"/>
        <v>-1286690558.0599999</v>
      </c>
      <c r="BS326" s="430">
        <f t="shared" si="11"/>
        <v>-1300347264.2099998</v>
      </c>
      <c r="BT326" s="430">
        <f t="shared" si="11"/>
        <v>-1319239804.8099999</v>
      </c>
      <c r="BU326" s="430">
        <f t="shared" si="11"/>
        <v>-1342230484.5999997</v>
      </c>
      <c r="BV326" s="430">
        <f t="shared" si="11"/>
        <v>-1358664856.23</v>
      </c>
      <c r="BW326" s="430">
        <f t="shared" si="11"/>
        <v>-1383623030.9399993</v>
      </c>
      <c r="BX326" s="430">
        <f t="shared" si="11"/>
        <v>-1408247684.1299996</v>
      </c>
      <c r="BY326" s="430">
        <f t="shared" ref="BY326:CD326" si="12">SUM(BY169:BY323)</f>
        <v>-1430100919.7200003</v>
      </c>
      <c r="BZ326" s="430">
        <f t="shared" si="12"/>
        <v>-1442160893.7799997</v>
      </c>
      <c r="CA326" s="430">
        <f t="shared" si="12"/>
        <v>-1453225242.9100013</v>
      </c>
      <c r="CB326" s="430">
        <f t="shared" si="12"/>
        <v>-1471552455.1400001</v>
      </c>
      <c r="CC326" s="430">
        <f t="shared" si="12"/>
        <v>-1494766345.5600004</v>
      </c>
      <c r="CD326" s="430">
        <f t="shared" si="12"/>
        <v>-1516746180.7800012</v>
      </c>
      <c r="CE326" s="430">
        <f t="shared" ref="CE326:CJ326" si="13">SUM(CE169:CE323)</f>
        <v>-1537467570.5000012</v>
      </c>
      <c r="CF326" s="430">
        <f t="shared" si="13"/>
        <v>-1574439470.970001</v>
      </c>
      <c r="CG326" s="430">
        <f t="shared" si="13"/>
        <v>-1599775397.73</v>
      </c>
      <c r="CH326" s="430">
        <f t="shared" si="13"/>
        <v>-1631707897.9200001</v>
      </c>
      <c r="CI326" s="430">
        <f t="shared" si="13"/>
        <v>-1666187288.79</v>
      </c>
      <c r="CJ326" s="430">
        <f t="shared" si="13"/>
        <v>-1713802281.6100001</v>
      </c>
      <c r="CK326" s="430">
        <f t="shared" ref="CK326:CP326" si="14">SUM(CK169:CK323)</f>
        <v>-1744349619.9999998</v>
      </c>
      <c r="CL326" s="430">
        <f t="shared" si="14"/>
        <v>-1767183758.3700006</v>
      </c>
      <c r="CM326" s="430">
        <f t="shared" si="14"/>
        <v>-1783156794.6600006</v>
      </c>
      <c r="CN326" s="430">
        <f t="shared" si="14"/>
        <v>-1799578255.9399998</v>
      </c>
      <c r="CO326" s="430">
        <f t="shared" si="14"/>
        <v>-1807990937.48</v>
      </c>
      <c r="CP326" s="430">
        <f t="shared" si="14"/>
        <v>-1827442303.2899997</v>
      </c>
      <c r="CQ326" s="430">
        <v>-1853524136.4400001</v>
      </c>
      <c r="CR326" s="430">
        <v>-1871610200.3399994</v>
      </c>
      <c r="CS326" s="430">
        <v>-1894780635.7599995</v>
      </c>
      <c r="CT326" s="430">
        <f>SUM(CT169:CT323)</f>
        <v>-1929460870.0899994</v>
      </c>
      <c r="CU326" s="430">
        <f>SUM(CU169:CU323)</f>
        <v>-1960889789.7200007</v>
      </c>
      <c r="CV326" s="430">
        <f>SUM(CV169:CV323)</f>
        <v>-1992226698.3999994</v>
      </c>
    </row>
    <row r="327" spans="1:100">
      <c r="AH327" s="430">
        <f t="shared" ref="AH327:AM327" si="15">+AH325+AH326</f>
        <v>0</v>
      </c>
      <c r="AI327" s="430">
        <f t="shared" si="15"/>
        <v>0</v>
      </c>
      <c r="AJ327" s="430">
        <f t="shared" si="15"/>
        <v>0</v>
      </c>
      <c r="AK327" s="430">
        <f t="shared" si="15"/>
        <v>0</v>
      </c>
      <c r="AL327" s="430">
        <f t="shared" si="15"/>
        <v>0</v>
      </c>
      <c r="AM327" s="430">
        <f t="shared" si="15"/>
        <v>0</v>
      </c>
      <c r="AN327" s="430">
        <f>+AN325+AN326</f>
        <v>0</v>
      </c>
      <c r="AO327" s="430">
        <f>+AO325+AO326</f>
        <v>0</v>
      </c>
      <c r="AP327" s="430">
        <f>+AP325+AP326</f>
        <v>0</v>
      </c>
      <c r="AQ327" s="430">
        <f>+AQ325+AQ326</f>
        <v>0</v>
      </c>
      <c r="AR327" s="430">
        <v>0</v>
      </c>
      <c r="AS327" s="430">
        <v>0</v>
      </c>
      <c r="AT327" s="430">
        <v>0</v>
      </c>
      <c r="AU327" s="430">
        <f t="shared" ref="AU327:AZ327" si="16">+AU325+AU326</f>
        <v>0</v>
      </c>
      <c r="AV327" s="430">
        <f t="shared" si="16"/>
        <v>0</v>
      </c>
      <c r="AW327" s="430">
        <f t="shared" si="16"/>
        <v>0</v>
      </c>
      <c r="AX327" s="430">
        <f t="shared" si="16"/>
        <v>0</v>
      </c>
      <c r="AY327" s="430">
        <f t="shared" si="16"/>
        <v>0</v>
      </c>
      <c r="AZ327" s="430">
        <f t="shared" si="16"/>
        <v>0</v>
      </c>
      <c r="BA327" s="430">
        <f t="shared" ref="BA327:BF327" si="17">+BA325+BA326</f>
        <v>0</v>
      </c>
      <c r="BB327" s="430">
        <f t="shared" si="17"/>
        <v>0</v>
      </c>
      <c r="BC327" s="430">
        <f t="shared" si="17"/>
        <v>0</v>
      </c>
      <c r="BD327" s="430">
        <f t="shared" si="17"/>
        <v>0</v>
      </c>
      <c r="BE327" s="430">
        <f t="shared" si="17"/>
        <v>0</v>
      </c>
      <c r="BF327" s="430">
        <f t="shared" si="17"/>
        <v>0</v>
      </c>
      <c r="BG327" s="430">
        <f t="shared" ref="BG327:BL327" si="18">+BG325+BG326</f>
        <v>0</v>
      </c>
      <c r="BH327" s="430">
        <f t="shared" si="18"/>
        <v>0</v>
      </c>
      <c r="BI327" s="430">
        <f t="shared" si="18"/>
        <v>0</v>
      </c>
      <c r="BJ327" s="430">
        <f t="shared" si="18"/>
        <v>0</v>
      </c>
      <c r="BK327" s="430">
        <f t="shared" si="18"/>
        <v>0</v>
      </c>
      <c r="BL327" s="430">
        <f t="shared" si="18"/>
        <v>0</v>
      </c>
      <c r="BM327" s="430">
        <f t="shared" ref="BM327:BR327" si="19">+BM325+BM326</f>
        <v>0</v>
      </c>
      <c r="BN327" s="430">
        <f t="shared" si="19"/>
        <v>0</v>
      </c>
      <c r="BO327" s="430">
        <f t="shared" si="19"/>
        <v>0</v>
      </c>
      <c r="BP327" s="430">
        <f t="shared" si="19"/>
        <v>0</v>
      </c>
      <c r="BQ327" s="430">
        <f t="shared" si="19"/>
        <v>0</v>
      </c>
      <c r="BR327" s="430">
        <f t="shared" si="19"/>
        <v>0</v>
      </c>
      <c r="BS327" s="430">
        <f t="shared" ref="BS327:BX327" si="20">+BS325+BS326</f>
        <v>0</v>
      </c>
      <c r="BT327" s="430">
        <f t="shared" si="20"/>
        <v>0</v>
      </c>
      <c r="BU327" s="430">
        <f t="shared" si="20"/>
        <v>0</v>
      </c>
      <c r="BV327" s="430">
        <f t="shared" si="20"/>
        <v>0</v>
      </c>
      <c r="BW327" s="430">
        <f t="shared" si="20"/>
        <v>0</v>
      </c>
      <c r="BX327" s="430">
        <f t="shared" si="20"/>
        <v>0</v>
      </c>
      <c r="BY327" s="430">
        <f t="shared" ref="BY327:CD327" si="21">+BY325+BY326</f>
        <v>0</v>
      </c>
      <c r="BZ327" s="430">
        <f t="shared" si="21"/>
        <v>0</v>
      </c>
      <c r="CA327" s="430">
        <f t="shared" si="21"/>
        <v>-2.1457672119140625E-6</v>
      </c>
      <c r="CB327" s="430">
        <f t="shared" si="21"/>
        <v>0</v>
      </c>
      <c r="CC327" s="430">
        <f t="shared" si="21"/>
        <v>0</v>
      </c>
      <c r="CD327" s="430">
        <f t="shared" si="21"/>
        <v>0</v>
      </c>
      <c r="CE327" s="430">
        <f t="shared" ref="CE327:CJ327" si="22">+CE325+CE326</f>
        <v>0</v>
      </c>
      <c r="CF327" s="430">
        <f t="shared" si="22"/>
        <v>2203731.9999985695</v>
      </c>
      <c r="CG327" s="430">
        <f t="shared" si="22"/>
        <v>5542804.0000004768</v>
      </c>
      <c r="CH327" s="430">
        <f t="shared" si="22"/>
        <v>0</v>
      </c>
      <c r="CI327" s="430">
        <f t="shared" si="22"/>
        <v>0</v>
      </c>
      <c r="CJ327" s="430">
        <f t="shared" si="22"/>
        <v>0</v>
      </c>
      <c r="CK327" s="430">
        <f t="shared" ref="CK327:CP327" si="23">+CK325+CK326</f>
        <v>0</v>
      </c>
      <c r="CL327" s="430">
        <f t="shared" si="23"/>
        <v>0</v>
      </c>
      <c r="CM327" s="430">
        <f t="shared" si="23"/>
        <v>-1.9073486328125E-6</v>
      </c>
      <c r="CN327" s="430">
        <f t="shared" si="23"/>
        <v>0</v>
      </c>
      <c r="CO327" s="430">
        <f t="shared" si="23"/>
        <v>0</v>
      </c>
      <c r="CP327" s="430">
        <f t="shared" si="23"/>
        <v>0</v>
      </c>
      <c r="CQ327" s="430">
        <v>0</v>
      </c>
      <c r="CR327" s="430">
        <v>0</v>
      </c>
      <c r="CS327" s="430">
        <v>0</v>
      </c>
      <c r="CT327" s="430">
        <f>+CT325+CT326</f>
        <v>0</v>
      </c>
      <c r="CU327" s="430">
        <f>+CU325+CU326</f>
        <v>0</v>
      </c>
      <c r="CV327" s="430">
        <f>+CV325+CV326</f>
        <v>0</v>
      </c>
    </row>
    <row r="328" spans="1:100">
      <c r="A328" s="1161" t="s">
        <v>573</v>
      </c>
      <c r="B328" s="1161"/>
      <c r="C328" s="1161"/>
      <c r="D328" s="401" t="str">
        <f>+D$4</f>
        <v>DEC 2013  Cumulative  Balance</v>
      </c>
      <c r="E328" s="401" t="str">
        <f>+E$4</f>
        <v>JAN 2014  Cumulative  Balance</v>
      </c>
      <c r="F328" s="401" t="str">
        <f t="shared" ref="F328:BV328" si="24">+F$4</f>
        <v>FEB 2014  Cumulative  Balance</v>
      </c>
      <c r="G328" s="401" t="str">
        <f t="shared" si="24"/>
        <v>MAR 2014  Cumulative  Balance</v>
      </c>
      <c r="H328" s="401" t="str">
        <f t="shared" si="24"/>
        <v>APR 2014  Cumulative  Balance</v>
      </c>
      <c r="I328" s="401" t="str">
        <f>+I$4</f>
        <v>MAY 2014  Cumulative  Balance</v>
      </c>
      <c r="J328" s="401" t="str">
        <f t="shared" si="24"/>
        <v>JUN 2014  Cumulative  Balance</v>
      </c>
      <c r="K328" s="401" t="str">
        <f t="shared" si="24"/>
        <v>JUL 2014  Cumulative  Balance</v>
      </c>
      <c r="L328" s="401" t="str">
        <f t="shared" si="24"/>
        <v>AUG 2014  Cumulative  Balance</v>
      </c>
      <c r="M328" s="401" t="str">
        <f t="shared" si="24"/>
        <v>SEP 2014  Cumulative  Balance</v>
      </c>
      <c r="N328" s="401" t="str">
        <f t="shared" si="24"/>
        <v>OCT 2014  Cumulative  Balance</v>
      </c>
      <c r="O328" s="401" t="str">
        <f t="shared" si="24"/>
        <v>NOV 2014  Cumulative  Balance</v>
      </c>
      <c r="P328" s="401" t="str">
        <f t="shared" si="24"/>
        <v>DEC 2014  Cumulative  Balance</v>
      </c>
      <c r="Q328" s="401" t="str">
        <f t="shared" si="24"/>
        <v>JAN 2015  Cumulative  Balance</v>
      </c>
      <c r="R328" s="401" t="str">
        <f t="shared" si="24"/>
        <v>FEB 2015  Cumulative  Balance</v>
      </c>
      <c r="S328" s="401" t="str">
        <f t="shared" si="24"/>
        <v>MAR 2015  Cumulative  Balance</v>
      </c>
      <c r="T328" s="401" t="s">
        <v>1383</v>
      </c>
      <c r="U328" s="401" t="s">
        <v>1384</v>
      </c>
      <c r="V328" s="401" t="s">
        <v>1388</v>
      </c>
      <c r="W328" s="401" t="s">
        <v>1403</v>
      </c>
      <c r="X328" s="401" t="s">
        <v>1404</v>
      </c>
      <c r="Y328" s="401" t="s">
        <v>1405</v>
      </c>
      <c r="Z328" s="401" t="s">
        <v>1412</v>
      </c>
      <c r="AA328" s="401" t="s">
        <v>1413</v>
      </c>
      <c r="AB328" s="401" t="s">
        <v>1414</v>
      </c>
      <c r="AC328" s="401" t="s">
        <v>1420</v>
      </c>
      <c r="AD328" s="401" t="s">
        <v>1421</v>
      </c>
      <c r="AE328" s="401" t="s">
        <v>1422</v>
      </c>
      <c r="AF328" s="401" t="str">
        <f t="shared" si="24"/>
        <v>APR 2016  Cumulative  Balance</v>
      </c>
      <c r="AG328" s="401" t="str">
        <f t="shared" si="24"/>
        <v>MAY 2016  Cumulative  Balance</v>
      </c>
      <c r="AH328" s="401" t="str">
        <f t="shared" si="24"/>
        <v>JUN 2016  Cumulative  Balance</v>
      </c>
      <c r="AI328" s="401" t="str">
        <f t="shared" si="24"/>
        <v>JUL 2016  Cumulative  Balance</v>
      </c>
      <c r="AJ328" s="401" t="str">
        <f t="shared" si="24"/>
        <v>AUG 2016  Cumulative  Balance</v>
      </c>
      <c r="AK328" s="401" t="str">
        <f t="shared" si="24"/>
        <v>SEP 2016  Cumulative  Balance</v>
      </c>
      <c r="AL328" s="401" t="s">
        <v>1708</v>
      </c>
      <c r="AM328" s="401" t="s">
        <v>1709</v>
      </c>
      <c r="AN328" s="401" t="s">
        <v>1710</v>
      </c>
      <c r="AO328" s="401" t="str">
        <f t="shared" si="24"/>
        <v>JAN 2017  Cumulative  Balance</v>
      </c>
      <c r="AP328" s="401" t="str">
        <f t="shared" si="24"/>
        <v>FEB 2017  Cumulative  Balance</v>
      </c>
      <c r="AQ328" s="401" t="str">
        <f t="shared" si="24"/>
        <v>MAR 2017  Cumulative  Balance</v>
      </c>
      <c r="AR328" s="401" t="s">
        <v>1812</v>
      </c>
      <c r="AS328" s="401" t="s">
        <v>1813</v>
      </c>
      <c r="AT328" s="401" t="s">
        <v>1814</v>
      </c>
      <c r="AU328" s="401" t="str">
        <f t="shared" si="24"/>
        <v>JUL 2017  Cumulative  Balance</v>
      </c>
      <c r="AV328" s="401" t="str">
        <f t="shared" si="24"/>
        <v>AUG 2017  Cumulative  Balance</v>
      </c>
      <c r="AW328" s="401" t="str">
        <f t="shared" si="24"/>
        <v>SEP 2017  Cumulative  Balance</v>
      </c>
      <c r="AX328" s="401" t="str">
        <f t="shared" si="24"/>
        <v>OCT 2017  Cumulative  Balance</v>
      </c>
      <c r="AY328" s="401" t="str">
        <f t="shared" si="24"/>
        <v>NOV 2017  Cumulative  Balance</v>
      </c>
      <c r="AZ328" s="401" t="str">
        <f t="shared" si="24"/>
        <v>DEC 2017  Cumulative  Balance</v>
      </c>
      <c r="BA328" s="401" t="str">
        <f t="shared" si="24"/>
        <v>JAN 2018  Cumulative  Balance</v>
      </c>
      <c r="BB328" s="401" t="str">
        <f t="shared" si="24"/>
        <v>FEB 2018  Cumulative  Balance</v>
      </c>
      <c r="BC328" s="401" t="str">
        <f t="shared" si="24"/>
        <v>MAR 2018  Cumulative  Balance</v>
      </c>
      <c r="BD328" s="401" t="str">
        <f t="shared" si="24"/>
        <v>APR 2018  Cumulative  Balance</v>
      </c>
      <c r="BE328" s="401" t="str">
        <f t="shared" si="24"/>
        <v>MAY 2018  Cumulative  Balance</v>
      </c>
      <c r="BF328" s="401" t="str">
        <f t="shared" si="24"/>
        <v>JUN 2018  Cumulative  Balance</v>
      </c>
      <c r="BG328" s="401" t="str">
        <f t="shared" si="24"/>
        <v>JUL 2018  Cumulative  Balance</v>
      </c>
      <c r="BH328" s="401" t="str">
        <f t="shared" si="24"/>
        <v>AUG 2018  Cumulative  Balance</v>
      </c>
      <c r="BI328" s="401" t="str">
        <f t="shared" si="24"/>
        <v>SEP 2018  Cumulative  Balance</v>
      </c>
      <c r="BJ328" s="401" t="str">
        <f t="shared" si="24"/>
        <v>OCT 2018  Cumulative  Balance</v>
      </c>
      <c r="BK328" s="401" t="str">
        <f t="shared" si="24"/>
        <v>NOV 2018  Cumulative  Balance</v>
      </c>
      <c r="BL328" s="401" t="str">
        <f t="shared" si="24"/>
        <v>DEC 2018  Cumulative  Balance</v>
      </c>
      <c r="BM328" s="401" t="str">
        <f t="shared" si="24"/>
        <v>JAN 2019  Cumulative  Balance</v>
      </c>
      <c r="BN328" s="401" t="str">
        <f t="shared" si="24"/>
        <v>FEB 2019  Cumulative  Balance</v>
      </c>
      <c r="BO328" s="401" t="str">
        <f t="shared" si="24"/>
        <v>MAR 2019  Cumulative  Balance</v>
      </c>
      <c r="BP328" s="401" t="str">
        <f t="shared" si="24"/>
        <v>APR 2019  Cumulative  Balance</v>
      </c>
      <c r="BQ328" s="401" t="str">
        <f t="shared" si="24"/>
        <v>MAY 2019  Cumulative  Balance</v>
      </c>
      <c r="BR328" s="401" t="str">
        <f t="shared" si="24"/>
        <v>JUN 2019  Cumulative  Balance</v>
      </c>
      <c r="BS328" s="401" t="str">
        <f t="shared" si="24"/>
        <v>JUL 2019  Cumulative  Balance</v>
      </c>
      <c r="BT328" s="401" t="str">
        <f t="shared" si="24"/>
        <v>AUG 2019  Cumulative  Balance</v>
      </c>
      <c r="BU328" s="401" t="str">
        <f t="shared" si="24"/>
        <v>SEP 2019  Cumulative  Balance</v>
      </c>
      <c r="BV328" s="401" t="str">
        <f t="shared" si="24"/>
        <v>OCT 2019  Cumulative  Balance</v>
      </c>
      <c r="BW328" s="401" t="str">
        <f t="shared" ref="BW328:CV328" si="25">+BW$4</f>
        <v>NOV 2019  Cumulative  Balance</v>
      </c>
      <c r="BX328" s="401" t="str">
        <f t="shared" si="25"/>
        <v>DEC 2019  Cumulative  Balance</v>
      </c>
      <c r="BY328" s="401" t="str">
        <f t="shared" si="25"/>
        <v>JAN 2020  Cumulative  Balance</v>
      </c>
      <c r="BZ328" s="401" t="str">
        <f t="shared" si="25"/>
        <v>FEB 2020  Cumulative  Balance</v>
      </c>
      <c r="CA328" s="401" t="str">
        <f t="shared" si="25"/>
        <v>MAR 2020  Cumulative  Balance</v>
      </c>
      <c r="CB328" s="401" t="str">
        <f t="shared" si="25"/>
        <v>APR 2020  Cumulative  Balance</v>
      </c>
      <c r="CC328" s="401" t="str">
        <f t="shared" si="25"/>
        <v>MAY 2020  Cumulative  Balance</v>
      </c>
      <c r="CD328" s="1168" t="str">
        <f t="shared" si="25"/>
        <v>JUN 2020  Cumulative  Balance</v>
      </c>
      <c r="CE328" s="1168" t="str">
        <f t="shared" si="25"/>
        <v>JUL 2020  Cumulative  Balance</v>
      </c>
      <c r="CF328" s="1168" t="str">
        <f t="shared" si="25"/>
        <v>AUG 2020  Cumulative  Balance</v>
      </c>
      <c r="CG328" s="1168" t="str">
        <f t="shared" si="25"/>
        <v>SEP 2020  Cumulative  Balance</v>
      </c>
      <c r="CH328" s="1168" t="str">
        <f t="shared" si="25"/>
        <v>OCT 2020  Cumulative  Balance</v>
      </c>
      <c r="CI328" s="1168" t="str">
        <f t="shared" si="25"/>
        <v>NOV 2020  Cumulative  Balance</v>
      </c>
      <c r="CJ328" s="1168" t="str">
        <f t="shared" si="25"/>
        <v>DEC 2020  Cumulative  Balance</v>
      </c>
      <c r="CK328" s="1168" t="str">
        <f t="shared" si="25"/>
        <v>JAN 2021  Cumulative  Balance</v>
      </c>
      <c r="CL328" s="1168" t="str">
        <f t="shared" si="25"/>
        <v>FEB 2021  Cumulative  Balance</v>
      </c>
      <c r="CM328" s="1168" t="str">
        <f t="shared" si="25"/>
        <v>MAR 2021  Cumulative  Balance</v>
      </c>
      <c r="CN328" s="1168" t="str">
        <f t="shared" si="25"/>
        <v>APR 2021  Cumulative  Balance</v>
      </c>
      <c r="CO328" s="1168" t="str">
        <f t="shared" si="25"/>
        <v>MAY 2021  Cumulative  Balance</v>
      </c>
      <c r="CP328" s="1168" t="str">
        <f t="shared" si="25"/>
        <v>JUN 2021  Cumulative  Balance</v>
      </c>
      <c r="CQ328" s="1168" t="s">
        <v>2711</v>
      </c>
      <c r="CR328" s="1168" t="s">
        <v>2712</v>
      </c>
      <c r="CS328" s="1168" t="s">
        <v>2713</v>
      </c>
      <c r="CT328" s="1168" t="str">
        <f t="shared" si="25"/>
        <v>OCT 2021  Cumulative  Balance</v>
      </c>
      <c r="CU328" s="1168" t="str">
        <f t="shared" si="25"/>
        <v>NOV 2021  Cumulative  Balance</v>
      </c>
      <c r="CV328" s="1168" t="str">
        <f t="shared" si="25"/>
        <v>DEC 2021  Cumulative  Balance</v>
      </c>
    </row>
    <row r="329" spans="1:100">
      <c r="A329" t="s">
        <v>828</v>
      </c>
      <c r="D329" s="402">
        <v>1188438144.46</v>
      </c>
      <c r="E329" s="402">
        <v>1181375109.0899999</v>
      </c>
      <c r="F329" s="402">
        <v>1183669611.1700001</v>
      </c>
      <c r="G329" s="402">
        <v>1187818086.28</v>
      </c>
      <c r="H329" s="402">
        <v>1193444141.6099999</v>
      </c>
      <c r="I329" s="402">
        <v>1196718822.3299999</v>
      </c>
      <c r="J329" s="402">
        <v>1205461196.28</v>
      </c>
      <c r="K329" s="402">
        <v>1217215082.8699999</v>
      </c>
      <c r="L329" s="402">
        <v>1219768821.8399999</v>
      </c>
      <c r="M329" s="402">
        <v>1221185968.05</v>
      </c>
      <c r="N329" s="402">
        <v>1226654487.26</v>
      </c>
      <c r="O329" s="402">
        <v>1230602459.26</v>
      </c>
      <c r="P329" s="402">
        <v>1237774817.28</v>
      </c>
      <c r="Q329" s="186">
        <v>1243453386.9300001</v>
      </c>
      <c r="R329" s="186">
        <v>1239784853.5699999</v>
      </c>
      <c r="S329" s="186">
        <v>1247743088.6099999</v>
      </c>
      <c r="T329" s="186">
        <v>1255789698.6700001</v>
      </c>
      <c r="U329" s="186">
        <v>1263521357.9300001</v>
      </c>
      <c r="V329" s="186">
        <v>1273021195.1500001</v>
      </c>
      <c r="W329" s="186">
        <v>1278370429.4000001</v>
      </c>
      <c r="X329" s="186">
        <v>1280724126.74</v>
      </c>
      <c r="Y329" s="186">
        <v>1284361394.1199999</v>
      </c>
      <c r="Z329" s="186">
        <v>1285704724.3900001</v>
      </c>
      <c r="AA329" s="186">
        <v>1290505400.77</v>
      </c>
      <c r="AB329" s="186">
        <v>1306055752.6700001</v>
      </c>
      <c r="AC329" s="186">
        <v>1307925714.0699999</v>
      </c>
      <c r="AD329" s="186">
        <v>1312431109.54</v>
      </c>
      <c r="AE329" s="186">
        <v>1322755935.72</v>
      </c>
      <c r="AF329" s="186">
        <v>1329266317.1900001</v>
      </c>
      <c r="AG329" s="186">
        <v>1334332726.99</v>
      </c>
      <c r="AH329" s="186">
        <v>1337224990.6500001</v>
      </c>
      <c r="AI329" s="186">
        <v>1347244874.27</v>
      </c>
      <c r="AJ329" s="186">
        <v>1356728799.3099999</v>
      </c>
      <c r="AK329" s="186">
        <v>1360597866.1900001</v>
      </c>
      <c r="AL329" s="186">
        <v>1365895871.6199999</v>
      </c>
      <c r="AM329" s="186">
        <v>1376010821.8299999</v>
      </c>
      <c r="AN329" s="186">
        <v>1379384662.24</v>
      </c>
      <c r="AO329" s="186">
        <v>1380967784.3299999</v>
      </c>
      <c r="AP329" s="186">
        <v>1387344814.55</v>
      </c>
      <c r="AQ329" s="186">
        <v>1399295449.5</v>
      </c>
      <c r="AR329" s="186">
        <v>1399609417.1800001</v>
      </c>
      <c r="AS329" s="186">
        <v>1402003841.02</v>
      </c>
      <c r="AT329" s="186">
        <v>1414377121.22</v>
      </c>
      <c r="AU329" s="186">
        <v>1419403427.1700001</v>
      </c>
      <c r="AV329" s="186">
        <v>1419263811.6700001</v>
      </c>
      <c r="AW329" s="186">
        <v>1434909742.95</v>
      </c>
      <c r="AX329" s="186">
        <v>1443639091.9200001</v>
      </c>
      <c r="AY329" s="186">
        <v>1445030153.6500001</v>
      </c>
      <c r="AZ329" s="186">
        <v>1454809795</v>
      </c>
      <c r="BA329" s="186">
        <v>1456901142.1099999</v>
      </c>
      <c r="BB329" s="186">
        <v>1485655069.6199999</v>
      </c>
      <c r="BC329" s="186">
        <v>1498293140.1800001</v>
      </c>
      <c r="BD329" s="186">
        <v>1505702373.5699999</v>
      </c>
      <c r="BE329" s="186">
        <v>1508978962.3499999</v>
      </c>
      <c r="BF329" s="186">
        <v>1521219901.6900001</v>
      </c>
      <c r="BG329" s="186">
        <v>1523942752.9100001</v>
      </c>
      <c r="BH329" s="186">
        <v>1541525532.6400001</v>
      </c>
      <c r="BI329" s="186">
        <v>1550361331.8800001</v>
      </c>
      <c r="BJ329" s="186">
        <v>1553271404.5599999</v>
      </c>
      <c r="BK329" s="186">
        <v>1556639342.23</v>
      </c>
      <c r="BL329" s="186">
        <v>1571168666.03</v>
      </c>
      <c r="BM329" s="186">
        <v>1574185211.3099999</v>
      </c>
      <c r="BN329" s="186">
        <v>1578994550.5899999</v>
      </c>
      <c r="BO329" s="186">
        <v>1592070662.9200001</v>
      </c>
      <c r="BP329" s="186">
        <v>1601334072.53</v>
      </c>
      <c r="BQ329" s="186">
        <v>1612685331.8900001</v>
      </c>
      <c r="BR329" s="186">
        <v>1638034321.6099999</v>
      </c>
      <c r="BS329" s="186">
        <v>1641548263.23</v>
      </c>
      <c r="BT329" s="186">
        <v>1645419289.0699999</v>
      </c>
      <c r="BU329" s="186">
        <v>1659929375.55</v>
      </c>
      <c r="BV329" s="186">
        <v>1675381568.55</v>
      </c>
      <c r="BW329" s="186">
        <v>1685840446.9200001</v>
      </c>
      <c r="BX329" s="186">
        <v>1719277611.5699999</v>
      </c>
      <c r="BY329" s="186">
        <v>1722370602.3900001</v>
      </c>
      <c r="BZ329" s="186">
        <v>1717543335.01</v>
      </c>
      <c r="CA329" s="186">
        <v>1733113857.9100001</v>
      </c>
      <c r="CB329" s="186">
        <v>1737708178.29</v>
      </c>
      <c r="CC329" s="186">
        <v>1752095483.46</v>
      </c>
      <c r="CD329" s="186">
        <v>1770287739.9200001</v>
      </c>
      <c r="CE329" s="186">
        <v>1775799561.4200001</v>
      </c>
      <c r="CF329" s="186">
        <v>1777592586.3900001</v>
      </c>
      <c r="CG329" s="186">
        <v>1800710566.9400001</v>
      </c>
      <c r="CH329" s="186">
        <v>1803688689.6700001</v>
      </c>
      <c r="CI329" s="186">
        <v>1805576868.5799999</v>
      </c>
      <c r="CJ329" s="186">
        <v>1869700333.79</v>
      </c>
      <c r="CK329" s="186">
        <v>1870076642.52</v>
      </c>
      <c r="CL329" s="186">
        <v>1884351946.8599999</v>
      </c>
      <c r="CM329" s="186">
        <v>1890043797.6800001</v>
      </c>
      <c r="CN329" s="186">
        <v>1901225432.47</v>
      </c>
      <c r="CO329" s="186">
        <v>1942744871.3299999</v>
      </c>
      <c r="CP329" s="186">
        <v>1968537429.01</v>
      </c>
      <c r="CQ329" s="186">
        <v>2043575655.5799999</v>
      </c>
      <c r="CR329" s="186">
        <v>2044747650.0799999</v>
      </c>
      <c r="CS329" s="186">
        <v>2110173824.8399999</v>
      </c>
      <c r="CT329" s="186">
        <v>2124604509.2</v>
      </c>
      <c r="CU329" s="186">
        <v>2142216450.3199999</v>
      </c>
      <c r="CV329" s="186">
        <v>2168081826.3699999</v>
      </c>
    </row>
    <row r="330" spans="1:100">
      <c r="A330" s="506" t="s">
        <v>1477</v>
      </c>
      <c r="D330" s="402"/>
      <c r="E330" s="402"/>
      <c r="F330" s="402"/>
      <c r="G330" s="402"/>
      <c r="H330" s="402"/>
      <c r="I330" s="402"/>
      <c r="J330" s="402"/>
      <c r="K330" s="402"/>
      <c r="L330" s="402"/>
      <c r="M330" s="402"/>
      <c r="N330" s="402"/>
      <c r="O330" s="402"/>
      <c r="P330" s="402"/>
      <c r="Q330" s="186"/>
      <c r="R330" s="186"/>
      <c r="S330" s="186"/>
      <c r="T330" s="186"/>
      <c r="U330" s="186"/>
      <c r="V330" s="186"/>
      <c r="W330" s="186"/>
      <c r="X330" s="186"/>
      <c r="Y330" s="186"/>
      <c r="Z330" s="186"/>
      <c r="AA330" s="186"/>
      <c r="AB330" s="186"/>
      <c r="AC330" s="186"/>
      <c r="AD330" s="186"/>
      <c r="AE330" s="186"/>
      <c r="AF330" s="186">
        <v>0</v>
      </c>
      <c r="AG330" s="186">
        <v>0</v>
      </c>
      <c r="AH330" s="186">
        <v>9286155.6300000008</v>
      </c>
      <c r="AI330" s="186">
        <v>11734138</v>
      </c>
      <c r="AJ330" s="186">
        <v>11832383.210000001</v>
      </c>
      <c r="AK330" s="186">
        <v>12032563.85</v>
      </c>
      <c r="AL330" s="186">
        <v>12032563.85</v>
      </c>
      <c r="AM330" s="186">
        <v>12032563.85</v>
      </c>
      <c r="AN330" s="186">
        <v>12033286.029999999</v>
      </c>
      <c r="AO330" s="186">
        <v>12033286.029999999</v>
      </c>
      <c r="AP330" s="186">
        <v>12033286.029999999</v>
      </c>
      <c r="AQ330" s="186">
        <v>12033286.029999999</v>
      </c>
      <c r="AR330" s="186">
        <v>12033286.029999999</v>
      </c>
      <c r="AS330" s="186">
        <v>12033286.029999999</v>
      </c>
      <c r="AT330" s="186">
        <v>12033286.029999999</v>
      </c>
      <c r="AU330" s="186">
        <v>12033286.029999999</v>
      </c>
      <c r="AV330" s="186">
        <v>12033286.029999999</v>
      </c>
      <c r="AW330" s="186">
        <v>12033286.029999999</v>
      </c>
      <c r="AX330" s="186">
        <v>12033286.029999999</v>
      </c>
      <c r="AY330" s="186">
        <v>12033286.029999999</v>
      </c>
      <c r="AZ330" s="186">
        <v>12033286.029999999</v>
      </c>
      <c r="BA330" s="186">
        <v>12033286.029999999</v>
      </c>
      <c r="BB330" s="186">
        <v>12033286.029999999</v>
      </c>
      <c r="BC330" s="186">
        <v>12033286.029999999</v>
      </c>
      <c r="BD330" s="186">
        <v>12033286.029999999</v>
      </c>
      <c r="BE330" s="186">
        <v>12033286.029999999</v>
      </c>
      <c r="BF330" s="186">
        <v>12033286.029999999</v>
      </c>
      <c r="BG330" s="186">
        <v>12033286.029999999</v>
      </c>
      <c r="BH330" s="186">
        <v>12033286.029999999</v>
      </c>
      <c r="BI330" s="186">
        <v>12033286.029999999</v>
      </c>
      <c r="BJ330" s="186">
        <v>12033286.029999999</v>
      </c>
      <c r="BK330" s="186">
        <v>12033286.029999999</v>
      </c>
      <c r="BL330" s="186">
        <v>12033286.029999999</v>
      </c>
      <c r="BM330" s="186">
        <v>12033286.029999999</v>
      </c>
      <c r="BN330" s="186">
        <v>12033286.029999999</v>
      </c>
      <c r="BO330" s="186">
        <v>12033286.029999999</v>
      </c>
      <c r="BP330" s="186">
        <v>13128442.310000001</v>
      </c>
      <c r="BQ330" s="186">
        <v>13128442.310000001</v>
      </c>
      <c r="BR330" s="186">
        <v>13128442.310000001</v>
      </c>
      <c r="BS330" s="186">
        <v>13128442.310000001</v>
      </c>
      <c r="BT330" s="186">
        <v>13128442.310000001</v>
      </c>
      <c r="BU330" s="186">
        <v>13128442.310000001</v>
      </c>
      <c r="BV330" s="186">
        <v>13128442.310000001</v>
      </c>
      <c r="BW330" s="186">
        <v>13128442.310000001</v>
      </c>
      <c r="BX330" s="186">
        <v>13128442.310000001</v>
      </c>
      <c r="BY330" s="186">
        <v>13128442.310000001</v>
      </c>
      <c r="BZ330" s="186">
        <v>13128442.310000001</v>
      </c>
      <c r="CA330" s="186">
        <v>13128442.310000001</v>
      </c>
      <c r="CB330" s="186">
        <v>13128442.310000001</v>
      </c>
      <c r="CC330" s="186">
        <v>13128442.310000001</v>
      </c>
      <c r="CD330" s="186">
        <v>13128442.310000001</v>
      </c>
      <c r="CE330" s="186">
        <v>13128442.310000001</v>
      </c>
      <c r="CF330" s="186">
        <v>13128442.310000001</v>
      </c>
      <c r="CG330" s="186">
        <v>13128442.310000001</v>
      </c>
      <c r="CH330" s="186">
        <v>13128442.310000001</v>
      </c>
      <c r="CI330" s="186">
        <v>13128442.310000001</v>
      </c>
      <c r="CJ330" s="186">
        <v>13128442.310000001</v>
      </c>
      <c r="CK330" s="186">
        <v>13128442.310000001</v>
      </c>
      <c r="CL330" s="186">
        <v>13128442.310000001</v>
      </c>
      <c r="CM330" s="186">
        <v>13128442.310000001</v>
      </c>
      <c r="CN330" s="186">
        <v>13128442.310000001</v>
      </c>
      <c r="CO330" s="186">
        <v>13128442.310000001</v>
      </c>
      <c r="CP330" s="186">
        <v>13128442.310000001</v>
      </c>
      <c r="CQ330" s="186">
        <v>13128442.310000001</v>
      </c>
      <c r="CR330" s="186">
        <v>13128442.310000001</v>
      </c>
      <c r="CS330" s="186">
        <v>13128442.310000001</v>
      </c>
      <c r="CT330" s="186">
        <v>13128442.310000001</v>
      </c>
      <c r="CU330" s="186">
        <v>13128442.310000001</v>
      </c>
      <c r="CV330" s="186">
        <v>13128442.310000001</v>
      </c>
    </row>
    <row r="331" spans="1:100">
      <c r="A331" t="s">
        <v>829</v>
      </c>
      <c r="D331" s="402">
        <v>1937574.45</v>
      </c>
      <c r="E331" s="402">
        <v>1939551.55</v>
      </c>
      <c r="F331" s="402">
        <v>1939551.55</v>
      </c>
      <c r="G331" s="402">
        <v>2983016.36</v>
      </c>
      <c r="H331" s="402">
        <v>2983016.36</v>
      </c>
      <c r="I331" s="402">
        <v>2983016.36</v>
      </c>
      <c r="J331" s="402">
        <v>2983016.36</v>
      </c>
      <c r="K331" s="402">
        <v>2983016.36</v>
      </c>
      <c r="L331" s="402">
        <v>2983016.36</v>
      </c>
      <c r="M331" s="402">
        <v>2983016.36</v>
      </c>
      <c r="N331" s="402">
        <v>2983066.99</v>
      </c>
      <c r="O331" s="402">
        <v>2983066.99</v>
      </c>
      <c r="P331" s="402">
        <v>2984633.79</v>
      </c>
      <c r="Q331" s="186">
        <v>2984633.79</v>
      </c>
      <c r="R331" s="186">
        <v>2984633.79</v>
      </c>
      <c r="S331" s="186">
        <v>2984633.79</v>
      </c>
      <c r="T331" s="186">
        <v>2984633.79</v>
      </c>
      <c r="U331" s="186">
        <v>2984633.79</v>
      </c>
      <c r="V331" s="186">
        <v>1939551.55</v>
      </c>
      <c r="W331" s="186">
        <v>1939551.55</v>
      </c>
      <c r="X331" s="186">
        <v>1939551.55</v>
      </c>
      <c r="Y331" s="186">
        <v>1939551.55</v>
      </c>
      <c r="Z331" s="186">
        <v>1939551.55</v>
      </c>
      <c r="AA331" s="186">
        <v>1939551.55</v>
      </c>
      <c r="AB331" s="186">
        <v>1939551.55</v>
      </c>
      <c r="AC331" s="186">
        <v>1939551.55</v>
      </c>
      <c r="AD331" s="186">
        <v>1939551.55</v>
      </c>
      <c r="AE331" s="186">
        <v>1939551.55</v>
      </c>
      <c r="AF331" s="186">
        <v>1939551.55</v>
      </c>
      <c r="AG331" s="186">
        <v>1939551.55</v>
      </c>
      <c r="AH331" s="186">
        <v>1939551.55</v>
      </c>
      <c r="AI331" s="186">
        <v>1939551.55</v>
      </c>
      <c r="AJ331" s="186">
        <v>1939551.55</v>
      </c>
      <c r="AK331" s="186">
        <v>1939551.55</v>
      </c>
      <c r="AL331" s="186">
        <v>1939551.55</v>
      </c>
      <c r="AM331" s="186">
        <v>1939551.55</v>
      </c>
      <c r="AN331" s="186">
        <v>1939551.55</v>
      </c>
      <c r="AO331" s="186">
        <v>1939551.55</v>
      </c>
      <c r="AP331" s="186">
        <v>1939551.55</v>
      </c>
      <c r="AQ331" s="186">
        <v>1939551.55</v>
      </c>
      <c r="AR331" s="186">
        <v>1939551.55</v>
      </c>
      <c r="AS331" s="186">
        <v>1939551.55</v>
      </c>
      <c r="AT331" s="186">
        <v>1939551.55</v>
      </c>
      <c r="AU331" s="186">
        <v>1939551.55</v>
      </c>
      <c r="AV331" s="186">
        <v>1939551.55</v>
      </c>
      <c r="AW331" s="186">
        <v>1939551.55</v>
      </c>
      <c r="AX331" s="186">
        <v>1939551.55</v>
      </c>
      <c r="AY331" s="186">
        <v>1939551.55</v>
      </c>
      <c r="AZ331" s="186">
        <v>1939551.55</v>
      </c>
      <c r="BA331" s="186">
        <v>1939551.55</v>
      </c>
      <c r="BB331" s="186">
        <v>1939551.55</v>
      </c>
      <c r="BC331" s="186">
        <v>1939551.55</v>
      </c>
      <c r="BD331" s="186">
        <v>1939551.55</v>
      </c>
      <c r="BE331" s="186">
        <v>1939551.55</v>
      </c>
      <c r="BF331" s="186">
        <v>1939551.55</v>
      </c>
      <c r="BG331" s="186">
        <v>1939551.55</v>
      </c>
      <c r="BH331" s="186">
        <v>1939551.55</v>
      </c>
      <c r="BI331" s="186">
        <v>1939551.55</v>
      </c>
      <c r="BJ331" s="186">
        <v>1939551.55</v>
      </c>
      <c r="BK331" s="186">
        <v>1939551.55</v>
      </c>
      <c r="BL331" s="186">
        <v>1939551.55</v>
      </c>
      <c r="BM331" s="186">
        <v>1939551.55</v>
      </c>
      <c r="BN331" s="186">
        <v>1939551.55</v>
      </c>
      <c r="BO331" s="186">
        <v>1939551.55</v>
      </c>
      <c r="BP331" s="186">
        <v>1939551.55</v>
      </c>
      <c r="BQ331" s="186">
        <v>1939551.55</v>
      </c>
      <c r="BR331" s="186">
        <v>1939551.55</v>
      </c>
      <c r="BS331" s="186">
        <v>1939551.55</v>
      </c>
      <c r="BT331" s="186">
        <v>1939551.55</v>
      </c>
      <c r="BU331" s="186">
        <v>1939551.55</v>
      </c>
      <c r="BV331" s="186">
        <v>1939551.55</v>
      </c>
      <c r="BW331" s="186">
        <v>1939551.55</v>
      </c>
      <c r="BX331" s="186">
        <v>1939551.55</v>
      </c>
      <c r="BY331" s="186">
        <v>1939551.55</v>
      </c>
      <c r="BZ331" s="186">
        <v>1939551.55</v>
      </c>
      <c r="CA331" s="186">
        <v>1939551.55</v>
      </c>
      <c r="CB331" s="186">
        <v>1939551.55</v>
      </c>
      <c r="CC331" s="186">
        <v>1939551.55</v>
      </c>
      <c r="CD331" s="186">
        <v>1939551.55</v>
      </c>
      <c r="CE331" s="186">
        <v>1939551.55</v>
      </c>
      <c r="CF331" s="186">
        <v>1939551.55</v>
      </c>
      <c r="CG331" s="186">
        <v>1939551.55</v>
      </c>
      <c r="CH331" s="186">
        <v>1939551.55</v>
      </c>
      <c r="CI331" s="186">
        <v>1939551.55</v>
      </c>
      <c r="CJ331" s="186">
        <v>1939551.55</v>
      </c>
      <c r="CK331" s="186">
        <v>1939551.55</v>
      </c>
      <c r="CL331" s="186">
        <v>1939551.55</v>
      </c>
      <c r="CM331" s="186">
        <v>1939551.55</v>
      </c>
      <c r="CN331" s="186">
        <v>1939551.55</v>
      </c>
      <c r="CO331" s="186">
        <v>1939551.55</v>
      </c>
      <c r="CP331" s="186">
        <v>1939551.55</v>
      </c>
      <c r="CQ331" s="186">
        <v>1939551.55</v>
      </c>
      <c r="CR331" s="186">
        <v>1939551.55</v>
      </c>
      <c r="CS331" s="186">
        <v>1939551.55</v>
      </c>
      <c r="CT331" s="186">
        <v>1939551.55</v>
      </c>
      <c r="CU331" s="186">
        <v>1939551.55</v>
      </c>
      <c r="CV331" s="186">
        <v>1939551.55</v>
      </c>
    </row>
    <row r="332" spans="1:100">
      <c r="A332" t="s">
        <v>830</v>
      </c>
      <c r="D332" s="402">
        <v>55155772.07</v>
      </c>
      <c r="E332" s="402">
        <v>59777134.939999998</v>
      </c>
      <c r="F332" s="402">
        <v>59522741.600000001</v>
      </c>
      <c r="G332" s="402">
        <v>59811525.289999999</v>
      </c>
      <c r="H332" s="402">
        <v>60269073.789999999</v>
      </c>
      <c r="I332" s="402">
        <v>60378387.729999997</v>
      </c>
      <c r="J332" s="402">
        <v>54234691.420000002</v>
      </c>
      <c r="K332" s="402">
        <v>53319052.539999999</v>
      </c>
      <c r="L332" s="402">
        <v>55502445.530000001</v>
      </c>
      <c r="M332" s="402">
        <v>59575230</v>
      </c>
      <c r="N332" s="402">
        <v>63821406.780000001</v>
      </c>
      <c r="O332" s="402">
        <v>65705035.090000004</v>
      </c>
      <c r="P332" s="402">
        <v>65158239.32</v>
      </c>
      <c r="Q332" s="186">
        <v>64389407.079999998</v>
      </c>
      <c r="R332" s="186">
        <v>68828252.959999993</v>
      </c>
      <c r="S332" s="186">
        <v>64965719.759999998</v>
      </c>
      <c r="T332" s="186">
        <v>72489418</v>
      </c>
      <c r="U332" s="186">
        <v>72631177.180000007</v>
      </c>
      <c r="V332" s="186">
        <v>80039720.680000007</v>
      </c>
      <c r="W332" s="186">
        <v>78249525.939999998</v>
      </c>
      <c r="X332" s="186">
        <v>79646995.340000004</v>
      </c>
      <c r="Y332" s="186">
        <v>83186059.040000007</v>
      </c>
      <c r="Z332" s="186">
        <v>87491897.939999998</v>
      </c>
      <c r="AA332" s="186">
        <v>91246711.870000005</v>
      </c>
      <c r="AB332" s="186">
        <v>86192242.730000004</v>
      </c>
      <c r="AC332" s="186">
        <v>94491003.510000005</v>
      </c>
      <c r="AD332" s="186">
        <v>95210306.680000007</v>
      </c>
      <c r="AE332" s="186">
        <v>90134370.25</v>
      </c>
      <c r="AF332" s="186">
        <v>89673217.290000007</v>
      </c>
      <c r="AG332" s="186">
        <v>88170581.299999997</v>
      </c>
      <c r="AH332" s="186">
        <v>101902285.98</v>
      </c>
      <c r="AI332" s="186">
        <v>97464103.069999993</v>
      </c>
      <c r="AJ332" s="186">
        <v>94939397.230000004</v>
      </c>
      <c r="AK332" s="186">
        <v>94936476.810000002</v>
      </c>
      <c r="AL332" s="186">
        <v>106629096.68000001</v>
      </c>
      <c r="AM332" s="186">
        <v>103796910.95</v>
      </c>
      <c r="AN332" s="186">
        <v>116017760.18000001</v>
      </c>
      <c r="AO332" s="186">
        <v>123478325.7</v>
      </c>
      <c r="AP332" s="186">
        <v>123104497.54000001</v>
      </c>
      <c r="AQ332" s="186">
        <v>121594992.75</v>
      </c>
      <c r="AR332" s="186">
        <v>126843059.06</v>
      </c>
      <c r="AS332" s="186">
        <v>130438687.8</v>
      </c>
      <c r="AT332" s="186">
        <v>124575686.33</v>
      </c>
      <c r="AU332" s="186">
        <v>126774655.27</v>
      </c>
      <c r="AV332" s="186">
        <v>137418686.12</v>
      </c>
      <c r="AW332" s="186">
        <v>137030683.94</v>
      </c>
      <c r="AX332" s="186">
        <v>139217028.97</v>
      </c>
      <c r="AY332" s="186">
        <v>145683536.13999999</v>
      </c>
      <c r="AZ332" s="186">
        <v>146308565.94</v>
      </c>
      <c r="BA332" s="186">
        <v>157102252.53999999</v>
      </c>
      <c r="BB332" s="186">
        <v>135334145.16999999</v>
      </c>
      <c r="BC332" s="186">
        <v>134638092.81</v>
      </c>
      <c r="BD332" s="186">
        <v>134348672.25</v>
      </c>
      <c r="BE332" s="186">
        <v>147286293.41999999</v>
      </c>
      <c r="BF332" s="186">
        <v>142572224.63</v>
      </c>
      <c r="BG332" s="186">
        <v>148353060.91999999</v>
      </c>
      <c r="BH332" s="186">
        <v>140643217.83000001</v>
      </c>
      <c r="BI332" s="186">
        <v>138692376.77000001</v>
      </c>
      <c r="BJ332" s="186">
        <v>147018174.91</v>
      </c>
      <c r="BK332" s="186">
        <v>170081630.19999999</v>
      </c>
      <c r="BL332" s="186">
        <v>178863957</v>
      </c>
      <c r="BM332" s="186">
        <v>187836788.50999999</v>
      </c>
      <c r="BN332" s="186">
        <v>201744680.5</v>
      </c>
      <c r="BO332" s="186">
        <v>205080951.90000001</v>
      </c>
      <c r="BP332" s="186">
        <v>206811472.78999999</v>
      </c>
      <c r="BQ332" s="186">
        <v>208625228.19</v>
      </c>
      <c r="BR332" s="186">
        <v>198920933.38999999</v>
      </c>
      <c r="BS332" s="186">
        <v>207592067.80000001</v>
      </c>
      <c r="BT332" s="186">
        <v>212178321.44</v>
      </c>
      <c r="BU332" s="186">
        <v>216700510.66999999</v>
      </c>
      <c r="BV332" s="186">
        <v>212255031.72999999</v>
      </c>
      <c r="BW332" s="186">
        <v>225486245.28999999</v>
      </c>
      <c r="BX332" s="186">
        <v>208469489.09</v>
      </c>
      <c r="BY332" s="186">
        <v>214740525.37</v>
      </c>
      <c r="BZ332" s="186">
        <v>233879588.15000001</v>
      </c>
      <c r="CA332" s="186">
        <v>236630022.56</v>
      </c>
      <c r="CB332" s="186">
        <v>245175601.69999999</v>
      </c>
      <c r="CC332" s="186">
        <v>243003938.44</v>
      </c>
      <c r="CD332" s="186">
        <v>239387266.99000001</v>
      </c>
      <c r="CE332" s="186">
        <v>244937641.88</v>
      </c>
      <c r="CF332" s="186">
        <v>262835663.27000001</v>
      </c>
      <c r="CG332" s="186">
        <v>255783925.18000001</v>
      </c>
      <c r="CH332" s="186">
        <v>331089860.20999998</v>
      </c>
      <c r="CI332" s="186">
        <v>349864270.37</v>
      </c>
      <c r="CJ332" s="186">
        <v>307437320.20999998</v>
      </c>
      <c r="CK332" s="186">
        <v>327435776.81</v>
      </c>
      <c r="CL332" s="186">
        <v>320782810.11000001</v>
      </c>
      <c r="CM332" s="186">
        <v>334363018.18000001</v>
      </c>
      <c r="CN332" s="186">
        <v>398104794.31999999</v>
      </c>
      <c r="CO332" s="186">
        <v>370986194.32999998</v>
      </c>
      <c r="CP332" s="186">
        <v>357640735.67000002</v>
      </c>
      <c r="CQ332" s="186">
        <v>292578511.06</v>
      </c>
      <c r="CR332" s="186">
        <v>302547183.81999999</v>
      </c>
      <c r="CS332" s="186">
        <v>247163875.91999999</v>
      </c>
      <c r="CT332" s="186">
        <v>243388959.18000001</v>
      </c>
      <c r="CU332" s="186">
        <v>300047316.99000001</v>
      </c>
      <c r="CV332" s="186">
        <v>297505685.51999998</v>
      </c>
    </row>
    <row r="333" spans="1:100">
      <c r="A333" t="s">
        <v>831</v>
      </c>
      <c r="D333" s="402">
        <v>37999178.799999997</v>
      </c>
      <c r="E333" s="402">
        <v>35807420.920000002</v>
      </c>
      <c r="F333" s="402">
        <v>39501441.969999999</v>
      </c>
      <c r="G333" s="402">
        <v>40111903.259999998</v>
      </c>
      <c r="H333" s="402">
        <v>40338458.479999997</v>
      </c>
      <c r="I333" s="402">
        <v>42218897.460000001</v>
      </c>
      <c r="J333" s="402">
        <v>45750443.969999999</v>
      </c>
      <c r="K333" s="402">
        <v>40929057.259999998</v>
      </c>
      <c r="L333" s="402">
        <v>43483994.240000002</v>
      </c>
      <c r="M333" s="402">
        <v>44285914.039999999</v>
      </c>
      <c r="N333" s="402">
        <v>40392561.509999998</v>
      </c>
      <c r="O333" s="402">
        <v>40115222.409999996</v>
      </c>
      <c r="P333" s="402">
        <v>46635954.68</v>
      </c>
      <c r="Q333" s="186">
        <v>46972143.590000004</v>
      </c>
      <c r="R333" s="186">
        <v>42466526.619999997</v>
      </c>
      <c r="S333" s="186">
        <v>44747851.289999999</v>
      </c>
      <c r="T333" s="186">
        <v>34317936.780000001</v>
      </c>
      <c r="U333" s="186">
        <v>31350733.390000001</v>
      </c>
      <c r="V333" s="186">
        <v>23330873.239999998</v>
      </c>
      <c r="W333" s="186">
        <v>26918285.91</v>
      </c>
      <c r="X333" s="186">
        <v>28581241</v>
      </c>
      <c r="Y333" s="186">
        <v>27609368.649999999</v>
      </c>
      <c r="Z333" s="186">
        <v>30037295.84</v>
      </c>
      <c r="AA333" s="186">
        <v>31116400.140000001</v>
      </c>
      <c r="AB333" s="186">
        <v>32173444.620000001</v>
      </c>
      <c r="AC333" s="186">
        <v>26347085.84</v>
      </c>
      <c r="AD333" s="186">
        <v>34957213.460000001</v>
      </c>
      <c r="AE333" s="186">
        <v>38950809.469999999</v>
      </c>
      <c r="AF333" s="186">
        <v>40408048.75</v>
      </c>
      <c r="AG333" s="186">
        <v>47638018.75</v>
      </c>
      <c r="AH333" s="186">
        <v>31292455.239999998</v>
      </c>
      <c r="AI333" s="186">
        <v>31457023.140000001</v>
      </c>
      <c r="AJ333" s="186">
        <v>32878080.420000002</v>
      </c>
      <c r="AK333" s="186">
        <v>39114341.969999999</v>
      </c>
      <c r="AL333" s="186">
        <v>30953975.800000001</v>
      </c>
      <c r="AM333" s="186">
        <v>33838173.210000001</v>
      </c>
      <c r="AN333" s="186">
        <v>27484714.870000001</v>
      </c>
      <c r="AO333" s="186">
        <v>23589092.920000002</v>
      </c>
      <c r="AP333" s="186">
        <v>25860519.969999999</v>
      </c>
      <c r="AQ333" s="186">
        <v>22431305.52</v>
      </c>
      <c r="AR333" s="186">
        <v>19601495.550000001</v>
      </c>
      <c r="AS333" s="186">
        <v>22896680.879999999</v>
      </c>
      <c r="AT333" s="186">
        <v>23021023.920000002</v>
      </c>
      <c r="AU333" s="186">
        <v>24466916.82</v>
      </c>
      <c r="AV333" s="186">
        <v>26444168.329999998</v>
      </c>
      <c r="AW333" s="186">
        <v>19059484.760000002</v>
      </c>
      <c r="AX333" s="186">
        <v>18962145</v>
      </c>
      <c r="AY333" s="186">
        <v>20898478.719999999</v>
      </c>
      <c r="AZ333" s="186">
        <v>22182235.109999999</v>
      </c>
      <c r="BA333" s="186">
        <v>18556747.960000001</v>
      </c>
      <c r="BB333" s="186">
        <v>20715951.399999999</v>
      </c>
      <c r="BC333" s="186">
        <v>22686371.66</v>
      </c>
      <c r="BD333" s="186">
        <v>24764408.57</v>
      </c>
      <c r="BE333" s="186">
        <v>22852997.649999999</v>
      </c>
      <c r="BF333" s="186">
        <v>25749403.039999999</v>
      </c>
      <c r="BG333" s="186">
        <v>27787371.550000001</v>
      </c>
      <c r="BH333" s="186">
        <v>32937378.98</v>
      </c>
      <c r="BI333" s="186">
        <v>42024779.399999999</v>
      </c>
      <c r="BJ333" s="186">
        <v>49273450.009999998</v>
      </c>
      <c r="BK333" s="186">
        <v>40575117.020000003</v>
      </c>
      <c r="BL333" s="186">
        <v>32694180.890000001</v>
      </c>
      <c r="BM333" s="186">
        <v>37233262.219999999</v>
      </c>
      <c r="BN333" s="186">
        <v>30935389.949999999</v>
      </c>
      <c r="BO333" s="186">
        <v>31118917.460000001</v>
      </c>
      <c r="BP333" s="186">
        <v>32041115.710000001</v>
      </c>
      <c r="BQ333" s="186">
        <v>37503290.119999997</v>
      </c>
      <c r="BR333" s="186">
        <v>39013136.270000003</v>
      </c>
      <c r="BS333" s="186">
        <v>43393050.829999998</v>
      </c>
      <c r="BT333" s="186">
        <v>55128154.759999998</v>
      </c>
      <c r="BU333" s="186">
        <v>55798695.200000003</v>
      </c>
      <c r="BV333" s="186">
        <v>62985742.700000003</v>
      </c>
      <c r="BW333" s="186">
        <v>59495069.460000001</v>
      </c>
      <c r="BX333" s="186">
        <v>71222206.430000007</v>
      </c>
      <c r="BY333" s="186">
        <v>87383269.209999993</v>
      </c>
      <c r="BZ333" s="186">
        <v>89788572.590000004</v>
      </c>
      <c r="CA333" s="186">
        <v>92714028.870000005</v>
      </c>
      <c r="CB333" s="186">
        <v>105186283.93000001</v>
      </c>
      <c r="CC333" s="186">
        <v>119487898.45</v>
      </c>
      <c r="CD333" s="186">
        <v>129123895.42</v>
      </c>
      <c r="CE333" s="186">
        <v>142981953.91999999</v>
      </c>
      <c r="CF333" s="186">
        <v>160185910.00999999</v>
      </c>
      <c r="CG333" s="186">
        <v>169862754.34</v>
      </c>
      <c r="CH333" s="186">
        <v>123028338.83</v>
      </c>
      <c r="CI333" s="186">
        <v>131449528.66</v>
      </c>
      <c r="CJ333" s="186">
        <v>140807877.94999999</v>
      </c>
      <c r="CK333" s="186">
        <v>142689499.03</v>
      </c>
      <c r="CL333" s="186">
        <v>158270839.91</v>
      </c>
      <c r="CM333" s="186">
        <v>168655143.25</v>
      </c>
      <c r="CN333" s="186">
        <v>116700530.19</v>
      </c>
      <c r="CO333" s="186">
        <v>118593709.79000001</v>
      </c>
      <c r="CP333" s="186">
        <v>130442949.62</v>
      </c>
      <c r="CQ333" s="186">
        <v>145786057.19</v>
      </c>
      <c r="CR333" s="186">
        <v>159472172.24000001</v>
      </c>
      <c r="CS333" s="186">
        <v>174423907.46000001</v>
      </c>
      <c r="CT333" s="186">
        <v>191413442.62</v>
      </c>
      <c r="CU333" s="186">
        <v>142092425.80000001</v>
      </c>
      <c r="CV333" s="186">
        <v>147483849.61000001</v>
      </c>
    </row>
    <row r="334" spans="1:100">
      <c r="A334" t="s">
        <v>832</v>
      </c>
      <c r="D334" s="402">
        <v>-591732868.38</v>
      </c>
      <c r="E334" s="402">
        <v>-586438818.78999996</v>
      </c>
      <c r="F334" s="402">
        <v>-589714267.12</v>
      </c>
      <c r="G334" s="402">
        <v>-593393723.83000004</v>
      </c>
      <c r="H334" s="402">
        <v>-597195509.63999999</v>
      </c>
      <c r="I334" s="402">
        <v>-600813568.86000001</v>
      </c>
      <c r="J334" s="402">
        <v>-604258867.55999994</v>
      </c>
      <c r="K334" s="402">
        <v>-608066002.65999997</v>
      </c>
      <c r="L334" s="402">
        <v>-611666579.42999995</v>
      </c>
      <c r="M334" s="402">
        <v>-615192145.04999995</v>
      </c>
      <c r="N334" s="402">
        <v>-618696989.74000001</v>
      </c>
      <c r="O334" s="402">
        <v>-622798749.75</v>
      </c>
      <c r="P334" s="402">
        <v>-626414223.22000003</v>
      </c>
      <c r="Q334" s="186">
        <v>-630297320.54999995</v>
      </c>
      <c r="R334" s="186">
        <v>-626026462.19000006</v>
      </c>
      <c r="S334" s="186">
        <v>-629481787.77999997</v>
      </c>
      <c r="T334" s="186">
        <v>-633407694.87</v>
      </c>
      <c r="U334" s="186">
        <v>-637113261.25</v>
      </c>
      <c r="V334" s="186">
        <v>-640997847.29999995</v>
      </c>
      <c r="W334" s="186">
        <v>-645031433.07000005</v>
      </c>
      <c r="X334" s="186">
        <v>-649212312.63999999</v>
      </c>
      <c r="Y334" s="186">
        <v>-652925758.14999998</v>
      </c>
      <c r="Z334" s="186">
        <v>-656937250.03999996</v>
      </c>
      <c r="AA334" s="186">
        <v>-661219178.77999997</v>
      </c>
      <c r="AB334" s="186">
        <v>-664335974.89999998</v>
      </c>
      <c r="AC334" s="186">
        <v>-667989386.65999997</v>
      </c>
      <c r="AD334" s="186">
        <v>-672306115</v>
      </c>
      <c r="AE334" s="186">
        <v>-676277049.35000002</v>
      </c>
      <c r="AF334" s="186">
        <v>-680505885.42999995</v>
      </c>
      <c r="AG334" s="186">
        <v>-684834510.82000005</v>
      </c>
      <c r="AH334" s="186">
        <v>-684675508.84000003</v>
      </c>
      <c r="AI334" s="186">
        <v>-688653882.73000002</v>
      </c>
      <c r="AJ334" s="186">
        <v>-691884393.03999996</v>
      </c>
      <c r="AK334" s="186">
        <v>-696374970.34000003</v>
      </c>
      <c r="AL334" s="186">
        <v>-700644431.88999999</v>
      </c>
      <c r="AM334" s="186">
        <v>-704927856.59000003</v>
      </c>
      <c r="AN334" s="186">
        <v>-687208168.71000004</v>
      </c>
      <c r="AO334" s="186">
        <v>-690169834.59000003</v>
      </c>
      <c r="AP334" s="186">
        <v>-693153573.80999994</v>
      </c>
      <c r="AQ334" s="186">
        <v>-694271995.13</v>
      </c>
      <c r="AR334" s="186">
        <v>-693184465.02999997</v>
      </c>
      <c r="AS334" s="186">
        <v>-695973381.70000005</v>
      </c>
      <c r="AT334" s="186">
        <v>-698534833.57000005</v>
      </c>
      <c r="AU334" s="186">
        <v>-701315186.72000003</v>
      </c>
      <c r="AV334" s="186">
        <v>-703914969.53999996</v>
      </c>
      <c r="AW334" s="186">
        <v>-706721435.25</v>
      </c>
      <c r="AX334" s="186">
        <v>-709443426.14999998</v>
      </c>
      <c r="AY334" s="186">
        <v>-712123791.53999996</v>
      </c>
      <c r="AZ334" s="186">
        <v>-714503895.71000004</v>
      </c>
      <c r="BA334" s="186">
        <v>-717952437.62</v>
      </c>
      <c r="BB334" s="186">
        <v>-720656875.60000002</v>
      </c>
      <c r="BC334" s="186">
        <v>-723782502.20000005</v>
      </c>
      <c r="BD334" s="186">
        <v>-727366333.71000004</v>
      </c>
      <c r="BE334" s="186">
        <v>-730787864.12</v>
      </c>
      <c r="BF334" s="186">
        <v>-733638285.32000005</v>
      </c>
      <c r="BG334" s="186">
        <v>-737472788.20000005</v>
      </c>
      <c r="BH334" s="186">
        <v>-740968301.04999995</v>
      </c>
      <c r="BI334" s="186">
        <v>-744211194.49000001</v>
      </c>
      <c r="BJ334" s="186">
        <v>-747000982.42999995</v>
      </c>
      <c r="BK334" s="186">
        <v>-750770490.00999999</v>
      </c>
      <c r="BL334" s="186">
        <v>-753420911.94000006</v>
      </c>
      <c r="BM334" s="186">
        <v>-755706931.53999996</v>
      </c>
      <c r="BN334" s="186">
        <v>-757908542.75</v>
      </c>
      <c r="BO334" s="186">
        <v>-760609162.13999999</v>
      </c>
      <c r="BP334" s="186">
        <v>-762994092.24000001</v>
      </c>
      <c r="BQ334" s="186">
        <v>-764941372.60000002</v>
      </c>
      <c r="BR334" s="186">
        <v>-766137111.20000005</v>
      </c>
      <c r="BS334" s="186">
        <v>-768151293.82000005</v>
      </c>
      <c r="BT334" s="186">
        <v>-770595065.63</v>
      </c>
      <c r="BU334" s="186">
        <v>-773316731.99000001</v>
      </c>
      <c r="BV334" s="186">
        <v>-775447937.87</v>
      </c>
      <c r="BW334" s="186">
        <v>-778339907.90999997</v>
      </c>
      <c r="BX334" s="186">
        <v>-779592931.48000002</v>
      </c>
      <c r="BY334" s="186">
        <v>-787561490.44000006</v>
      </c>
      <c r="BZ334" s="186">
        <v>-784003538.62</v>
      </c>
      <c r="CA334" s="186">
        <v>-786728230.58000004</v>
      </c>
      <c r="CB334" s="186">
        <v>-789502238.74000001</v>
      </c>
      <c r="CC334" s="186">
        <v>-792523585.24000001</v>
      </c>
      <c r="CD334" s="186">
        <v>-795307920.09000003</v>
      </c>
      <c r="CE334" s="186">
        <v>-797766058.53999996</v>
      </c>
      <c r="CF334" s="186">
        <v>-800835996.24000001</v>
      </c>
      <c r="CG334" s="186">
        <v>-803672762.35000002</v>
      </c>
      <c r="CH334" s="186">
        <v>-806734300.20000005</v>
      </c>
      <c r="CI334" s="186">
        <v>-809930321.29999995</v>
      </c>
      <c r="CJ334" s="186">
        <v>-809884064.34000003</v>
      </c>
      <c r="CK334" s="186">
        <v>-814807614.39999998</v>
      </c>
      <c r="CL334" s="186">
        <v>-814722203.86000001</v>
      </c>
      <c r="CM334" s="186">
        <v>-818252605.88</v>
      </c>
      <c r="CN334" s="186">
        <v>-821587436.40999997</v>
      </c>
      <c r="CO334" s="186">
        <v>-825008671.97000003</v>
      </c>
      <c r="CP334" s="186">
        <v>-827883017.86000001</v>
      </c>
      <c r="CQ334" s="186">
        <v>-830732101.87</v>
      </c>
      <c r="CR334" s="186">
        <v>-834604786.10000002</v>
      </c>
      <c r="CS334" s="186">
        <v>-837679167.07000005</v>
      </c>
      <c r="CT334" s="186">
        <v>-839246062</v>
      </c>
      <c r="CU334" s="186">
        <v>-840967516.52999997</v>
      </c>
      <c r="CV334" s="186">
        <v>-849619392.89999998</v>
      </c>
    </row>
    <row r="335" spans="1:100">
      <c r="A335" t="s">
        <v>833</v>
      </c>
      <c r="D335" s="402">
        <v>5031897.24</v>
      </c>
      <c r="E335" s="402">
        <v>5031897.24</v>
      </c>
      <c r="F335" s="402">
        <v>5031897.24</v>
      </c>
      <c r="G335" s="402">
        <v>5031897.24</v>
      </c>
      <c r="H335" s="402">
        <v>5031897.24</v>
      </c>
      <c r="I335" s="402">
        <v>5031897.24</v>
      </c>
      <c r="J335" s="402">
        <v>5031897.24</v>
      </c>
      <c r="K335" s="402">
        <v>5031897.24</v>
      </c>
      <c r="L335" s="402">
        <v>5031897.24</v>
      </c>
      <c r="M335" s="402">
        <v>5031897.24</v>
      </c>
      <c r="N335" s="402">
        <v>5031897.24</v>
      </c>
      <c r="O335" s="402">
        <v>5031897.24</v>
      </c>
      <c r="P335" s="402">
        <v>5031897.24</v>
      </c>
      <c r="Q335" s="186">
        <v>5031897.24</v>
      </c>
      <c r="R335" s="186">
        <v>5031897.24</v>
      </c>
      <c r="S335" s="186">
        <v>5031897.24</v>
      </c>
      <c r="T335" s="186">
        <v>5031897.24</v>
      </c>
      <c r="U335" s="186">
        <v>5031897.24</v>
      </c>
      <c r="V335" s="186">
        <v>5031897.24</v>
      </c>
      <c r="W335" s="186">
        <v>5031897.24</v>
      </c>
      <c r="X335" s="186">
        <v>5031897.24</v>
      </c>
      <c r="Y335" s="186">
        <v>5031897.24</v>
      </c>
      <c r="Z335" s="186">
        <v>5031897.24</v>
      </c>
      <c r="AA335" s="186">
        <v>5031897.24</v>
      </c>
      <c r="AB335" s="186">
        <v>5031897.24</v>
      </c>
      <c r="AC335" s="186">
        <v>5031897.24</v>
      </c>
      <c r="AD335" s="186">
        <v>5031897.24</v>
      </c>
      <c r="AE335" s="186">
        <v>5031897.24</v>
      </c>
      <c r="AF335" s="186">
        <v>5031897.24</v>
      </c>
      <c r="AG335" s="186">
        <v>5031897.24</v>
      </c>
      <c r="AH335" s="186">
        <v>5031897.24</v>
      </c>
      <c r="AI335" s="186">
        <v>5031897.24</v>
      </c>
      <c r="AJ335" s="186">
        <v>5031897.24</v>
      </c>
      <c r="AK335" s="186">
        <v>5031897.24</v>
      </c>
      <c r="AL335" s="186">
        <v>5031897.24</v>
      </c>
      <c r="AM335" s="186">
        <v>5031897.24</v>
      </c>
      <c r="AN335" s="186">
        <v>5031897.24</v>
      </c>
      <c r="AO335" s="186">
        <v>5031897.24</v>
      </c>
      <c r="AP335" s="186">
        <v>5031897.24</v>
      </c>
      <c r="AQ335" s="186">
        <v>5031897.24</v>
      </c>
      <c r="AR335" s="186">
        <v>5031897.24</v>
      </c>
      <c r="AS335" s="186">
        <v>5031897.24</v>
      </c>
      <c r="AT335" s="186">
        <v>5031897.24</v>
      </c>
      <c r="AU335" s="186">
        <v>5031897.24</v>
      </c>
      <c r="AV335" s="186">
        <v>5031897.24</v>
      </c>
      <c r="AW335" s="186">
        <v>5031897.24</v>
      </c>
      <c r="AX335" s="186">
        <v>5031897.24</v>
      </c>
      <c r="AY335" s="186">
        <v>5031897.24</v>
      </c>
      <c r="AZ335" s="186">
        <v>5031897.24</v>
      </c>
      <c r="BA335" s="186">
        <v>5031897.24</v>
      </c>
      <c r="BB335" s="186">
        <v>5031897.24</v>
      </c>
      <c r="BC335" s="186">
        <v>5031897.24</v>
      </c>
      <c r="BD335" s="186">
        <v>5031897.24</v>
      </c>
      <c r="BE335" s="186">
        <v>5031897.24</v>
      </c>
      <c r="BF335" s="186">
        <v>5031897.24</v>
      </c>
      <c r="BG335" s="186">
        <v>5031897.24</v>
      </c>
      <c r="BH335" s="186">
        <v>5031897.24</v>
      </c>
      <c r="BI335" s="186">
        <v>5031897.24</v>
      </c>
      <c r="BJ335" s="186">
        <v>5031897.24</v>
      </c>
      <c r="BK335" s="186">
        <v>5031897.24</v>
      </c>
      <c r="BL335" s="186">
        <v>5031897.24</v>
      </c>
      <c r="BM335" s="186">
        <v>5031897.24</v>
      </c>
      <c r="BN335" s="186">
        <v>5031897.24</v>
      </c>
      <c r="BO335" s="186">
        <v>5031897.24</v>
      </c>
      <c r="BP335" s="186">
        <v>5031897.24</v>
      </c>
      <c r="BQ335" s="186">
        <v>5031897.24</v>
      </c>
      <c r="BR335" s="186">
        <v>5031897.24</v>
      </c>
      <c r="BS335" s="186">
        <v>5031897.24</v>
      </c>
      <c r="BT335" s="186">
        <v>5031897.24</v>
      </c>
      <c r="BU335" s="186">
        <v>5031897.24</v>
      </c>
      <c r="BV335" s="186">
        <v>5031897.24</v>
      </c>
      <c r="BW335" s="186">
        <v>5031897.24</v>
      </c>
      <c r="BX335" s="186">
        <v>5031897.24</v>
      </c>
      <c r="BY335" s="186">
        <v>5031897.24</v>
      </c>
      <c r="BZ335" s="186">
        <v>5031897.24</v>
      </c>
      <c r="CA335" s="186">
        <v>5031897.24</v>
      </c>
      <c r="CB335" s="186">
        <v>5031897.24</v>
      </c>
      <c r="CC335" s="186">
        <v>5031897.24</v>
      </c>
      <c r="CD335" s="186">
        <v>5031897.24</v>
      </c>
      <c r="CE335" s="186">
        <v>5031897.24</v>
      </c>
      <c r="CF335" s="186">
        <v>5031897.24</v>
      </c>
      <c r="CG335" s="186">
        <v>5031897.24</v>
      </c>
      <c r="CH335" s="186">
        <v>5031897.24</v>
      </c>
      <c r="CI335" s="186">
        <v>5031897.24</v>
      </c>
      <c r="CJ335" s="186">
        <v>5031897.24</v>
      </c>
      <c r="CK335" s="186">
        <v>5031897.24</v>
      </c>
      <c r="CL335" s="186">
        <v>5031897.24</v>
      </c>
      <c r="CM335" s="186">
        <v>5031897.24</v>
      </c>
      <c r="CN335" s="186">
        <v>5031897.24</v>
      </c>
      <c r="CO335" s="186">
        <v>5031897.24</v>
      </c>
      <c r="CP335" s="186">
        <v>5031897.24</v>
      </c>
      <c r="CQ335" s="186">
        <v>5031897.24</v>
      </c>
      <c r="CR335" s="186">
        <v>5031897.24</v>
      </c>
      <c r="CS335" s="186">
        <v>5031897.24</v>
      </c>
      <c r="CT335" s="186">
        <v>5031897.24</v>
      </c>
      <c r="CU335" s="186">
        <v>5031897.24</v>
      </c>
      <c r="CV335" s="186">
        <v>5031897.24</v>
      </c>
    </row>
    <row r="336" spans="1:100">
      <c r="A336" t="s">
        <v>834</v>
      </c>
      <c r="D336" s="402">
        <v>-3962608.63</v>
      </c>
      <c r="E336" s="402">
        <v>-3975037.45</v>
      </c>
      <c r="F336" s="402">
        <v>-3987466.27</v>
      </c>
      <c r="G336" s="402">
        <v>-3999895.09</v>
      </c>
      <c r="H336" s="402">
        <v>-4012323.91</v>
      </c>
      <c r="I336" s="402">
        <v>-4024752.73</v>
      </c>
      <c r="J336" s="402">
        <v>-4037181.55</v>
      </c>
      <c r="K336" s="402">
        <v>-4049610.37</v>
      </c>
      <c r="L336" s="402">
        <v>-4062039.19</v>
      </c>
      <c r="M336" s="402">
        <v>-4074468.01</v>
      </c>
      <c r="N336" s="402">
        <v>-4086896.83</v>
      </c>
      <c r="O336" s="402">
        <v>-4099325.65</v>
      </c>
      <c r="P336" s="402">
        <v>-4111754.47</v>
      </c>
      <c r="Q336" s="186">
        <v>-4124183.29</v>
      </c>
      <c r="R336" s="186">
        <v>-4136612.11</v>
      </c>
      <c r="S336" s="186">
        <v>-4149040.93</v>
      </c>
      <c r="T336" s="186">
        <v>-4161469.75</v>
      </c>
      <c r="U336" s="186">
        <v>-4173898.57</v>
      </c>
      <c r="V336" s="186">
        <v>-4186327.39</v>
      </c>
      <c r="W336" s="186">
        <v>-4198756.21</v>
      </c>
      <c r="X336" s="186">
        <v>-4211185.03</v>
      </c>
      <c r="Y336" s="186">
        <v>-4223613.8499999996</v>
      </c>
      <c r="Z336" s="186">
        <v>-4236042.67</v>
      </c>
      <c r="AA336" s="186">
        <v>-4248471.49</v>
      </c>
      <c r="AB336" s="186">
        <v>-4260900.3099999996</v>
      </c>
      <c r="AC336" s="186">
        <v>-4273329.13</v>
      </c>
      <c r="AD336" s="186">
        <v>-4285757.95</v>
      </c>
      <c r="AE336" s="186">
        <v>-4298186.7699999996</v>
      </c>
      <c r="AF336" s="186">
        <v>-4310615.59</v>
      </c>
      <c r="AG336" s="186">
        <v>-4323044.41</v>
      </c>
      <c r="AH336" s="186">
        <v>-4335473.2300000004</v>
      </c>
      <c r="AI336" s="186">
        <v>-4347902.05</v>
      </c>
      <c r="AJ336" s="186">
        <v>-4360330.87</v>
      </c>
      <c r="AK336" s="186">
        <v>-4372759.6900000004</v>
      </c>
      <c r="AL336" s="186">
        <v>-4385188.51</v>
      </c>
      <c r="AM336" s="186">
        <v>-4397617.33</v>
      </c>
      <c r="AN336" s="186">
        <v>-4410046.1500000004</v>
      </c>
      <c r="AO336" s="186">
        <v>-4422474.97</v>
      </c>
      <c r="AP336" s="186">
        <v>-4434903.79</v>
      </c>
      <c r="AQ336" s="186">
        <v>-4447332.6100000003</v>
      </c>
      <c r="AR336" s="186">
        <v>-4459761.43</v>
      </c>
      <c r="AS336" s="186">
        <v>-4472190.25</v>
      </c>
      <c r="AT336" s="186">
        <v>-4484619.07</v>
      </c>
      <c r="AU336" s="186">
        <v>-4497047.8899999997</v>
      </c>
      <c r="AV336" s="186">
        <v>-4509476.71</v>
      </c>
      <c r="AW336" s="186">
        <v>-4521905.53</v>
      </c>
      <c r="AX336" s="186">
        <v>-4534334.3499999996</v>
      </c>
      <c r="AY336" s="186">
        <v>-4546763.17</v>
      </c>
      <c r="AZ336" s="186">
        <v>-4559191.99</v>
      </c>
      <c r="BA336" s="186">
        <v>-4571620.8099999996</v>
      </c>
      <c r="BB336" s="186">
        <v>-4584049.63</v>
      </c>
      <c r="BC336" s="186">
        <v>-4596478.45</v>
      </c>
      <c r="BD336" s="186">
        <v>-4608907.2699999996</v>
      </c>
      <c r="BE336" s="186">
        <v>-4621336.09</v>
      </c>
      <c r="BF336" s="186">
        <v>-4633764.91</v>
      </c>
      <c r="BG336" s="186">
        <v>-4646193.7300000004</v>
      </c>
      <c r="BH336" s="186">
        <v>-4658622.55</v>
      </c>
      <c r="BI336" s="186">
        <v>-4671051.37</v>
      </c>
      <c r="BJ336" s="186">
        <v>-4683480.1900000004</v>
      </c>
      <c r="BK336" s="186">
        <v>-4695909.01</v>
      </c>
      <c r="BL336" s="186">
        <v>-4708337.83</v>
      </c>
      <c r="BM336" s="186">
        <v>-4720766.6500000004</v>
      </c>
      <c r="BN336" s="186">
        <v>-4733195.47</v>
      </c>
      <c r="BO336" s="186">
        <v>-4745624.29</v>
      </c>
      <c r="BP336" s="186">
        <v>-4758053.1100000003</v>
      </c>
      <c r="BQ336" s="186">
        <v>-4770481.93</v>
      </c>
      <c r="BR336" s="186">
        <v>-4782910.75</v>
      </c>
      <c r="BS336" s="186">
        <v>-4795339.57</v>
      </c>
      <c r="BT336" s="186">
        <v>-4807768.3899999997</v>
      </c>
      <c r="BU336" s="186">
        <v>-4820197.21</v>
      </c>
      <c r="BV336" s="186">
        <v>-4832626.03</v>
      </c>
      <c r="BW336" s="186">
        <v>-4845054.8499999996</v>
      </c>
      <c r="BX336" s="186">
        <v>-4857483.67</v>
      </c>
      <c r="BY336" s="186">
        <v>-4869912.49</v>
      </c>
      <c r="BZ336" s="186">
        <v>-4882341.3099999996</v>
      </c>
      <c r="CA336" s="186">
        <v>-4894770.13</v>
      </c>
      <c r="CB336" s="186">
        <v>-4907198.95</v>
      </c>
      <c r="CC336" s="186">
        <v>-4919627.7699999996</v>
      </c>
      <c r="CD336" s="186">
        <v>-4932056.59</v>
      </c>
      <c r="CE336" s="186">
        <v>-4944485.41</v>
      </c>
      <c r="CF336" s="186">
        <v>-4956914.2300000004</v>
      </c>
      <c r="CG336" s="186">
        <v>-4969343.05</v>
      </c>
      <c r="CH336" s="186">
        <v>-4975292.78</v>
      </c>
      <c r="CI336" s="186">
        <v>-4981242.51</v>
      </c>
      <c r="CJ336" s="186">
        <v>-4987192.24</v>
      </c>
      <c r="CK336" s="186">
        <v>-4993141.97</v>
      </c>
      <c r="CL336" s="186">
        <v>-4999091.7</v>
      </c>
      <c r="CM336" s="186">
        <v>-5005041.43</v>
      </c>
      <c r="CN336" s="186">
        <v>-5010991.16</v>
      </c>
      <c r="CO336" s="186">
        <v>-5016940.8899999997</v>
      </c>
      <c r="CP336" s="186">
        <v>-5022890.62</v>
      </c>
      <c r="CQ336" s="186">
        <v>-5028840.3499999996</v>
      </c>
      <c r="CR336" s="186">
        <v>-5028152.9800000004</v>
      </c>
      <c r="CS336" s="186">
        <v>-5028152.9800000004</v>
      </c>
      <c r="CT336" s="186">
        <v>-5028152.9800000004</v>
      </c>
      <c r="CU336" s="186">
        <v>-5028152.9800000004</v>
      </c>
      <c r="CV336" s="186">
        <v>-5028152.9800000004</v>
      </c>
    </row>
    <row r="337" spans="1:100">
      <c r="A337" t="s">
        <v>835</v>
      </c>
      <c r="D337" s="402">
        <v>0</v>
      </c>
      <c r="E337" s="402">
        <v>0</v>
      </c>
      <c r="F337" s="402">
        <v>0</v>
      </c>
      <c r="G337" s="402">
        <v>0</v>
      </c>
      <c r="H337" s="402">
        <v>0</v>
      </c>
      <c r="I337" s="402">
        <v>0</v>
      </c>
      <c r="J337" s="402">
        <v>0</v>
      </c>
      <c r="K337" s="402">
        <v>0</v>
      </c>
      <c r="L337" s="402">
        <v>0</v>
      </c>
      <c r="M337" s="402">
        <v>0</v>
      </c>
      <c r="N337" s="402">
        <v>0</v>
      </c>
      <c r="O337" s="402">
        <v>0</v>
      </c>
      <c r="P337" s="402">
        <v>0</v>
      </c>
      <c r="Q337" s="186">
        <v>0</v>
      </c>
      <c r="R337" s="186">
        <v>0</v>
      </c>
      <c r="S337" s="186">
        <v>0</v>
      </c>
      <c r="T337" s="186">
        <v>0</v>
      </c>
      <c r="U337" s="186">
        <v>0</v>
      </c>
      <c r="V337" s="186">
        <v>0</v>
      </c>
      <c r="W337" s="186">
        <v>0</v>
      </c>
      <c r="X337" s="186">
        <v>0</v>
      </c>
      <c r="Y337" s="186">
        <v>0</v>
      </c>
      <c r="Z337" s="186">
        <v>0</v>
      </c>
      <c r="AA337" s="186">
        <v>0</v>
      </c>
      <c r="AB337" s="186">
        <v>0</v>
      </c>
      <c r="AC337" s="186">
        <v>0</v>
      </c>
      <c r="AD337" s="186">
        <v>0</v>
      </c>
      <c r="AE337" s="186">
        <v>0</v>
      </c>
      <c r="AF337" s="186">
        <v>0</v>
      </c>
      <c r="AG337" s="186">
        <v>0</v>
      </c>
      <c r="AH337" s="186">
        <v>0</v>
      </c>
      <c r="AI337" s="186">
        <v>0</v>
      </c>
      <c r="AJ337" s="186">
        <v>0</v>
      </c>
      <c r="AK337" s="186">
        <v>0</v>
      </c>
      <c r="AL337" s="186">
        <v>0</v>
      </c>
      <c r="AM337" s="186">
        <v>0</v>
      </c>
      <c r="AN337" s="186">
        <v>0</v>
      </c>
      <c r="AO337" s="186">
        <v>0</v>
      </c>
      <c r="AP337" s="186">
        <v>0</v>
      </c>
      <c r="AQ337" s="186">
        <v>0</v>
      </c>
      <c r="AR337" s="186">
        <v>0</v>
      </c>
      <c r="AS337" s="186">
        <v>0</v>
      </c>
      <c r="AT337" s="186">
        <v>0</v>
      </c>
      <c r="AU337" s="186">
        <v>0</v>
      </c>
      <c r="AV337" s="186">
        <v>0</v>
      </c>
      <c r="AW337" s="186">
        <v>0</v>
      </c>
      <c r="AX337" s="186">
        <v>0</v>
      </c>
      <c r="AY337" s="186">
        <v>0</v>
      </c>
      <c r="AZ337" s="186">
        <v>0</v>
      </c>
      <c r="BA337" s="186">
        <v>0</v>
      </c>
      <c r="BB337" s="186">
        <v>0</v>
      </c>
      <c r="BC337" s="186">
        <v>0</v>
      </c>
      <c r="BD337" s="186">
        <v>0</v>
      </c>
      <c r="BE337" s="186">
        <v>0</v>
      </c>
      <c r="BF337" s="186">
        <v>0</v>
      </c>
      <c r="BG337" s="186">
        <v>0</v>
      </c>
      <c r="BH337" s="186">
        <v>0</v>
      </c>
      <c r="BI337" s="186">
        <v>0</v>
      </c>
      <c r="BJ337" s="186">
        <v>0</v>
      </c>
      <c r="BK337" s="186">
        <v>0</v>
      </c>
      <c r="BL337" s="186">
        <v>0</v>
      </c>
      <c r="BM337" s="186">
        <v>0</v>
      </c>
      <c r="BN337" s="186">
        <v>0</v>
      </c>
      <c r="BO337" s="186">
        <v>0</v>
      </c>
      <c r="BP337" s="186">
        <v>0</v>
      </c>
      <c r="BQ337" s="186">
        <v>0</v>
      </c>
      <c r="BR337" s="186">
        <v>0</v>
      </c>
      <c r="BS337" s="186">
        <v>0</v>
      </c>
      <c r="BT337" s="186">
        <v>0</v>
      </c>
      <c r="BU337" s="186">
        <v>0</v>
      </c>
      <c r="BV337" s="186">
        <v>0</v>
      </c>
      <c r="BW337" s="186">
        <v>0</v>
      </c>
      <c r="BX337" s="186">
        <v>0</v>
      </c>
      <c r="BY337" s="186">
        <v>0</v>
      </c>
      <c r="BZ337" s="186">
        <v>0</v>
      </c>
      <c r="CA337" s="186">
        <v>0</v>
      </c>
      <c r="CB337" s="186">
        <v>0</v>
      </c>
      <c r="CC337" s="186">
        <v>0</v>
      </c>
      <c r="CD337" s="186">
        <v>0</v>
      </c>
      <c r="CE337" s="186">
        <v>0</v>
      </c>
      <c r="CF337" s="186">
        <v>0</v>
      </c>
      <c r="CG337" s="186">
        <v>0</v>
      </c>
      <c r="CH337" s="186">
        <v>0</v>
      </c>
      <c r="CI337" s="186">
        <v>0</v>
      </c>
      <c r="CJ337" s="186">
        <v>0</v>
      </c>
      <c r="CK337" s="186">
        <v>0</v>
      </c>
      <c r="CL337" s="186">
        <v>0</v>
      </c>
      <c r="CM337" s="186">
        <v>0</v>
      </c>
      <c r="CN337" s="186">
        <v>0</v>
      </c>
      <c r="CO337" s="186">
        <v>0</v>
      </c>
      <c r="CP337" s="186">
        <v>0</v>
      </c>
      <c r="CQ337" s="186">
        <v>0</v>
      </c>
      <c r="CR337" s="186">
        <v>0</v>
      </c>
      <c r="CS337" s="186">
        <v>0</v>
      </c>
      <c r="CT337" s="186">
        <v>0</v>
      </c>
      <c r="CU337" s="186">
        <v>0</v>
      </c>
      <c r="CV337" s="186">
        <v>0</v>
      </c>
    </row>
    <row r="338" spans="1:100">
      <c r="A338" t="s">
        <v>836</v>
      </c>
      <c r="D338" s="402">
        <v>1072286.1399999999</v>
      </c>
      <c r="E338" s="402">
        <v>690737.44</v>
      </c>
      <c r="F338" s="402">
        <v>1021328.38</v>
      </c>
      <c r="G338" s="402">
        <v>1227819.6399999999</v>
      </c>
      <c r="H338" s="402">
        <v>789786.66</v>
      </c>
      <c r="I338" s="402">
        <v>968313.89</v>
      </c>
      <c r="J338" s="402">
        <v>1230761.6100000001</v>
      </c>
      <c r="K338" s="402">
        <v>805462.03</v>
      </c>
      <c r="L338" s="402">
        <v>1003294.07</v>
      </c>
      <c r="M338" s="402">
        <v>1072047.3899999999</v>
      </c>
      <c r="N338" s="402">
        <v>665438.34</v>
      </c>
      <c r="O338" s="402">
        <v>833785.45</v>
      </c>
      <c r="P338" s="402">
        <v>1026666.02</v>
      </c>
      <c r="Q338" s="186">
        <v>1417441.09</v>
      </c>
      <c r="R338" s="186">
        <v>1096979.0900000001</v>
      </c>
      <c r="S338" s="186">
        <v>1247742.3799999999</v>
      </c>
      <c r="T338" s="186">
        <v>570274.97</v>
      </c>
      <c r="U338" s="186">
        <v>794634.67</v>
      </c>
      <c r="V338" s="186">
        <v>1010928.84</v>
      </c>
      <c r="W338" s="186">
        <v>671653.09</v>
      </c>
      <c r="X338" s="186">
        <v>842696.67</v>
      </c>
      <c r="Y338" s="186">
        <v>1066034.9099999999</v>
      </c>
      <c r="Z338" s="186">
        <v>1196268.3899999999</v>
      </c>
      <c r="AA338" s="186">
        <v>846357.32</v>
      </c>
      <c r="AB338" s="186">
        <v>1550191.33</v>
      </c>
      <c r="AC338" s="186">
        <v>1846471.79</v>
      </c>
      <c r="AD338" s="186">
        <v>1665481.94</v>
      </c>
      <c r="AE338" s="186">
        <v>1768137.91</v>
      </c>
      <c r="AF338" s="186">
        <v>1890203.72</v>
      </c>
      <c r="AG338" s="186">
        <v>817696.9</v>
      </c>
      <c r="AH338" s="186">
        <v>451270.74</v>
      </c>
      <c r="AI338" s="186">
        <v>666141.99</v>
      </c>
      <c r="AJ338" s="186">
        <v>943907.39</v>
      </c>
      <c r="AK338" s="186">
        <v>1124178.3799999999</v>
      </c>
      <c r="AL338" s="186">
        <v>1893574.75</v>
      </c>
      <c r="AM338" s="186">
        <v>1455090.61</v>
      </c>
      <c r="AN338" s="186">
        <v>1676407.65</v>
      </c>
      <c r="AO338" s="186">
        <v>2030340.05</v>
      </c>
      <c r="AP338" s="186">
        <v>1185824.46</v>
      </c>
      <c r="AQ338" s="186">
        <v>1472993.61</v>
      </c>
      <c r="AR338" s="186">
        <v>1619962.16</v>
      </c>
      <c r="AS338" s="186">
        <v>1068540.05</v>
      </c>
      <c r="AT338" s="186">
        <v>915178.88</v>
      </c>
      <c r="AU338" s="186">
        <v>1208435.27</v>
      </c>
      <c r="AV338" s="186">
        <v>564156.92000000004</v>
      </c>
      <c r="AW338" s="186">
        <v>862127.45</v>
      </c>
      <c r="AX338" s="186">
        <v>1107738.21</v>
      </c>
      <c r="AY338" s="186">
        <v>1166609.79</v>
      </c>
      <c r="AZ338" s="186">
        <v>1715678.71</v>
      </c>
      <c r="BA338" s="186">
        <v>2142944.46</v>
      </c>
      <c r="BB338" s="186">
        <v>1123292.52</v>
      </c>
      <c r="BC338" s="186">
        <v>1235895.02</v>
      </c>
      <c r="BD338" s="186">
        <v>1742173.74</v>
      </c>
      <c r="BE338" s="186">
        <v>1049799.92</v>
      </c>
      <c r="BF338" s="186">
        <v>1272460.1100000001</v>
      </c>
      <c r="BG338" s="186">
        <v>1562003.94</v>
      </c>
      <c r="BH338" s="186">
        <v>760636.27</v>
      </c>
      <c r="BI338" s="186">
        <v>935108.73</v>
      </c>
      <c r="BJ338" s="186">
        <v>1188785.76</v>
      </c>
      <c r="BK338" s="186">
        <v>777880.49</v>
      </c>
      <c r="BL338" s="186">
        <v>1195217.6599999999</v>
      </c>
      <c r="BM338" s="186">
        <v>1451866.25</v>
      </c>
      <c r="BN338" s="186">
        <v>823643.62</v>
      </c>
      <c r="BO338" s="186">
        <v>1284772.3600000001</v>
      </c>
      <c r="BP338" s="186">
        <v>1701879.38</v>
      </c>
      <c r="BQ338" s="186">
        <v>1022397.48</v>
      </c>
      <c r="BR338" s="186">
        <v>1256931.8</v>
      </c>
      <c r="BS338" s="186">
        <v>1595861.92</v>
      </c>
      <c r="BT338" s="186">
        <v>1079865.1299999999</v>
      </c>
      <c r="BU338" s="186">
        <v>1299029.46</v>
      </c>
      <c r="BV338" s="186">
        <v>1496620.32</v>
      </c>
      <c r="BW338" s="186">
        <v>673250.97</v>
      </c>
      <c r="BX338" s="186">
        <v>902043.41</v>
      </c>
      <c r="BY338" s="186">
        <v>1028316.05</v>
      </c>
      <c r="BZ338" s="186">
        <v>832643.11</v>
      </c>
      <c r="CA338" s="186">
        <v>926542.53</v>
      </c>
      <c r="CB338" s="186">
        <v>1260989.77</v>
      </c>
      <c r="CC338" s="186">
        <v>1026254.93</v>
      </c>
      <c r="CD338" s="186">
        <v>1250596.3700000001</v>
      </c>
      <c r="CE338" s="186">
        <v>1439036.29</v>
      </c>
      <c r="CF338" s="186">
        <v>781252.78</v>
      </c>
      <c r="CG338" s="186">
        <v>1020483.08</v>
      </c>
      <c r="CH338" s="186">
        <v>1371276.5</v>
      </c>
      <c r="CI338" s="186">
        <v>841297.66</v>
      </c>
      <c r="CJ338" s="186">
        <v>1208345.97</v>
      </c>
      <c r="CK338" s="186">
        <v>1542480.94</v>
      </c>
      <c r="CL338" s="186">
        <v>1003468.87</v>
      </c>
      <c r="CM338" s="186">
        <v>1278830.19</v>
      </c>
      <c r="CN338" s="186">
        <v>612943.16</v>
      </c>
      <c r="CO338" s="186">
        <v>1003456.24</v>
      </c>
      <c r="CP338" s="186">
        <v>1274946.82</v>
      </c>
      <c r="CQ338" s="186">
        <v>1549067.57</v>
      </c>
      <c r="CR338" s="186">
        <v>892660.69</v>
      </c>
      <c r="CS338" s="186">
        <v>1188488.3400000001</v>
      </c>
      <c r="CT338" s="186">
        <v>1502236.12</v>
      </c>
      <c r="CU338" s="186">
        <v>868331.8</v>
      </c>
      <c r="CV338" s="186">
        <v>1027776.72</v>
      </c>
    </row>
    <row r="339" spans="1:100">
      <c r="A339" t="s">
        <v>837</v>
      </c>
      <c r="D339" s="402">
        <v>3261022.61</v>
      </c>
      <c r="E339" s="402">
        <v>2806551.35</v>
      </c>
      <c r="F339" s="402">
        <v>3356037.06</v>
      </c>
      <c r="G339" s="402">
        <v>4514670.32</v>
      </c>
      <c r="H339" s="402">
        <v>2388208.48</v>
      </c>
      <c r="I339" s="402">
        <v>16073285.109999999</v>
      </c>
      <c r="J339" s="402">
        <v>13138255.890000001</v>
      </c>
      <c r="K339" s="402">
        <v>6354559.8399999999</v>
      </c>
      <c r="L339" s="402">
        <v>2430610.34</v>
      </c>
      <c r="M339" s="402">
        <v>2828762.34</v>
      </c>
      <c r="N339" s="402">
        <v>1627965.07</v>
      </c>
      <c r="O339" s="402">
        <v>1098511.7</v>
      </c>
      <c r="P339" s="402">
        <v>3821070.95</v>
      </c>
      <c r="Q339" s="186">
        <v>2567121.35</v>
      </c>
      <c r="R339" s="186">
        <v>2312649.7400000002</v>
      </c>
      <c r="S339" s="186">
        <v>6645594.6100000003</v>
      </c>
      <c r="T339" s="186">
        <v>2355458.2400000002</v>
      </c>
      <c r="U339" s="186">
        <v>31675094.219999999</v>
      </c>
      <c r="V339" s="186">
        <v>22628186.5</v>
      </c>
      <c r="W339" s="186">
        <v>23994350.109999999</v>
      </c>
      <c r="X339" s="186">
        <v>26607939.260000002</v>
      </c>
      <c r="Y339" s="186">
        <v>25154667.09</v>
      </c>
      <c r="Z339" s="186">
        <v>22362853.399999999</v>
      </c>
      <c r="AA339" s="186">
        <v>3347331.95</v>
      </c>
      <c r="AB339" s="186">
        <v>4118324.53</v>
      </c>
      <c r="AC339" s="186">
        <v>3511064.95</v>
      </c>
      <c r="AD339" s="186">
        <v>3416433.77</v>
      </c>
      <c r="AE339" s="186">
        <v>20951906.539999999</v>
      </c>
      <c r="AF339" s="186">
        <v>1927296.07</v>
      </c>
      <c r="AG339" s="186">
        <v>3695520.15</v>
      </c>
      <c r="AH339" s="186">
        <v>3262585.6</v>
      </c>
      <c r="AI339" s="186">
        <v>3174255.71</v>
      </c>
      <c r="AJ339" s="186">
        <v>2896818.54</v>
      </c>
      <c r="AK339" s="186">
        <v>2234214.3199999998</v>
      </c>
      <c r="AL339" s="186">
        <v>3331068.09</v>
      </c>
      <c r="AM339" s="186">
        <v>2021583.2</v>
      </c>
      <c r="AN339" s="186">
        <v>2842485.05</v>
      </c>
      <c r="AO339" s="186">
        <v>-1311825.49</v>
      </c>
      <c r="AP339" s="186">
        <v>7683009.0700000003</v>
      </c>
      <c r="AQ339" s="186">
        <v>5527984.3600000003</v>
      </c>
      <c r="AR339" s="186">
        <v>10732318.5</v>
      </c>
      <c r="AS339" s="186">
        <v>13109002.23</v>
      </c>
      <c r="AT339" s="186">
        <v>7235219.3799999999</v>
      </c>
      <c r="AU339" s="186">
        <v>9454799.4100000001</v>
      </c>
      <c r="AV339" s="186">
        <v>3982944.33</v>
      </c>
      <c r="AW339" s="186">
        <v>9295592.0700000003</v>
      </c>
      <c r="AX339" s="186">
        <v>9556767.6699999999</v>
      </c>
      <c r="AY339" s="186">
        <v>9285506.0999999996</v>
      </c>
      <c r="AZ339" s="186">
        <v>9677349.0099999998</v>
      </c>
      <c r="BA339" s="186">
        <v>7688523.7599999998</v>
      </c>
      <c r="BB339" s="186">
        <v>10910228.689999999</v>
      </c>
      <c r="BC339" s="186">
        <v>8678584.9900000002</v>
      </c>
      <c r="BD339" s="186">
        <v>7205181.3399999999</v>
      </c>
      <c r="BE339" s="186">
        <v>9524512.1199999992</v>
      </c>
      <c r="BF339" s="186">
        <v>8981641</v>
      </c>
      <c r="BG339" s="186">
        <v>8637221.6300000008</v>
      </c>
      <c r="BH339" s="186">
        <v>9145004.0999999996</v>
      </c>
      <c r="BI339" s="186">
        <v>9419205.1999999993</v>
      </c>
      <c r="BJ339" s="186">
        <v>8961328.3399999999</v>
      </c>
      <c r="BK339" s="186">
        <v>8984919.9199999999</v>
      </c>
      <c r="BL339" s="186">
        <v>8481815.1899999995</v>
      </c>
      <c r="BM339" s="186">
        <v>9183223.9499999993</v>
      </c>
      <c r="BN339" s="186">
        <v>8750163.0500000007</v>
      </c>
      <c r="BO339" s="186">
        <v>8471541.6300000008</v>
      </c>
      <c r="BP339" s="186">
        <v>8031728.5499999998</v>
      </c>
      <c r="BQ339" s="186">
        <v>8438438.4800000004</v>
      </c>
      <c r="BR339" s="186">
        <v>8121366.25</v>
      </c>
      <c r="BS339" s="186">
        <v>7908716.2999999998</v>
      </c>
      <c r="BT339" s="186">
        <v>8508869.2799999993</v>
      </c>
      <c r="BU339" s="186">
        <v>8534657.2899999991</v>
      </c>
      <c r="BV339" s="186">
        <v>7780838.25</v>
      </c>
      <c r="BW339" s="186">
        <v>8085636.6500000004</v>
      </c>
      <c r="BX339" s="186">
        <v>8303869.29</v>
      </c>
      <c r="BY339" s="186">
        <v>7302515.8499999996</v>
      </c>
      <c r="BZ339" s="186">
        <v>8287915.9299999997</v>
      </c>
      <c r="CA339" s="186">
        <v>7325821.6299999999</v>
      </c>
      <c r="CB339" s="186">
        <v>8579091.9199999999</v>
      </c>
      <c r="CC339" s="186">
        <v>7939864.9500000002</v>
      </c>
      <c r="CD339" s="186">
        <v>9217290.4700000007</v>
      </c>
      <c r="CE339" s="186">
        <v>8748991.2899999991</v>
      </c>
      <c r="CF339" s="186">
        <v>9091189.6799999997</v>
      </c>
      <c r="CG339" s="186">
        <v>8693952.7699999996</v>
      </c>
      <c r="CH339" s="186">
        <v>7909424.8300000001</v>
      </c>
      <c r="CI339" s="186">
        <v>-2329290.65</v>
      </c>
      <c r="CJ339" s="186">
        <v>0</v>
      </c>
      <c r="CK339" s="186">
        <v>-2689748.93</v>
      </c>
      <c r="CL339" s="186">
        <v>-3162056.14</v>
      </c>
      <c r="CM339" s="186">
        <v>-11401523.470000001</v>
      </c>
      <c r="CN339" s="186">
        <v>-5509353.3399999999</v>
      </c>
      <c r="CO339" s="186">
        <v>-6460993.9800000004</v>
      </c>
      <c r="CP339" s="186">
        <v>-6949025.1900000004</v>
      </c>
      <c r="CQ339" s="186">
        <v>-7398453.6299999999</v>
      </c>
      <c r="CR339" s="186">
        <v>-8227617.71</v>
      </c>
      <c r="CS339" s="186">
        <v>-7765854.54</v>
      </c>
      <c r="CT339" s="186">
        <v>-7470361.7300000004</v>
      </c>
      <c r="CU339" s="186">
        <v>-7735389.3499999996</v>
      </c>
      <c r="CV339" s="186">
        <v>2104297.09</v>
      </c>
    </row>
    <row r="340" spans="1:100">
      <c r="A340" t="s">
        <v>838</v>
      </c>
      <c r="D340" s="402">
        <v>25000</v>
      </c>
      <c r="E340" s="402">
        <v>25000</v>
      </c>
      <c r="F340" s="402">
        <v>25000</v>
      </c>
      <c r="G340" s="402">
        <v>25000</v>
      </c>
      <c r="H340" s="402">
        <v>25000</v>
      </c>
      <c r="I340" s="402">
        <v>25000</v>
      </c>
      <c r="J340" s="402">
        <v>25000</v>
      </c>
      <c r="K340" s="402">
        <v>25000</v>
      </c>
      <c r="L340" s="402">
        <v>25000</v>
      </c>
      <c r="M340" s="402">
        <v>25000</v>
      </c>
      <c r="N340" s="402">
        <v>25000</v>
      </c>
      <c r="O340" s="402">
        <v>25000</v>
      </c>
      <c r="P340" s="402">
        <v>25000</v>
      </c>
      <c r="Q340" s="186">
        <v>25000</v>
      </c>
      <c r="R340" s="186">
        <v>25000</v>
      </c>
      <c r="S340" s="186">
        <v>25000</v>
      </c>
      <c r="T340" s="186">
        <v>25000</v>
      </c>
      <c r="U340" s="186">
        <v>25000</v>
      </c>
      <c r="V340" s="186">
        <v>25000</v>
      </c>
      <c r="W340" s="186">
        <v>25000</v>
      </c>
      <c r="X340" s="186">
        <v>25000</v>
      </c>
      <c r="Y340" s="186">
        <v>25000</v>
      </c>
      <c r="Z340" s="186">
        <v>25000</v>
      </c>
      <c r="AA340" s="186">
        <v>25000</v>
      </c>
      <c r="AB340" s="186">
        <v>25000</v>
      </c>
      <c r="AC340" s="186">
        <v>25000</v>
      </c>
      <c r="AD340" s="186">
        <v>25000</v>
      </c>
      <c r="AE340" s="186">
        <v>25000</v>
      </c>
      <c r="AF340" s="186">
        <v>25000</v>
      </c>
      <c r="AG340" s="186">
        <v>25000</v>
      </c>
      <c r="AH340" s="186">
        <v>25000</v>
      </c>
      <c r="AI340" s="186">
        <v>25000</v>
      </c>
      <c r="AJ340" s="186">
        <v>25000</v>
      </c>
      <c r="AK340" s="186">
        <v>25000</v>
      </c>
      <c r="AL340" s="186">
        <v>25000</v>
      </c>
      <c r="AM340" s="186">
        <v>25000</v>
      </c>
      <c r="AN340" s="186">
        <v>25000</v>
      </c>
      <c r="AO340" s="186">
        <v>25000</v>
      </c>
      <c r="AP340" s="186">
        <v>25000</v>
      </c>
      <c r="AQ340" s="186">
        <v>25000</v>
      </c>
      <c r="AR340" s="186">
        <v>25000</v>
      </c>
      <c r="AS340" s="186">
        <v>25000</v>
      </c>
      <c r="AT340" s="186">
        <v>25000</v>
      </c>
      <c r="AU340" s="186">
        <v>25000</v>
      </c>
      <c r="AV340" s="186">
        <v>25000</v>
      </c>
      <c r="AW340" s="186">
        <v>25000</v>
      </c>
      <c r="AX340" s="186">
        <v>25000</v>
      </c>
      <c r="AY340" s="186">
        <v>25000</v>
      </c>
      <c r="AZ340" s="186">
        <v>25000</v>
      </c>
      <c r="BA340" s="186">
        <v>25000</v>
      </c>
      <c r="BB340" s="186">
        <v>25000</v>
      </c>
      <c r="BC340" s="186">
        <v>25000</v>
      </c>
      <c r="BD340" s="186">
        <v>25000</v>
      </c>
      <c r="BE340" s="186">
        <v>25000</v>
      </c>
      <c r="BF340" s="186">
        <v>25000</v>
      </c>
      <c r="BG340" s="186">
        <v>25000</v>
      </c>
      <c r="BH340" s="186">
        <v>25000</v>
      </c>
      <c r="BI340" s="186">
        <v>25000</v>
      </c>
      <c r="BJ340" s="186">
        <v>25000</v>
      </c>
      <c r="BK340" s="186">
        <v>25000</v>
      </c>
      <c r="BL340" s="186">
        <v>25000</v>
      </c>
      <c r="BM340" s="186">
        <v>25000</v>
      </c>
      <c r="BN340" s="186">
        <v>25000</v>
      </c>
      <c r="BO340" s="186">
        <v>25000</v>
      </c>
      <c r="BP340" s="186">
        <v>25000</v>
      </c>
      <c r="BQ340" s="186">
        <v>25000</v>
      </c>
      <c r="BR340" s="186">
        <v>25000</v>
      </c>
      <c r="BS340" s="186">
        <v>25000</v>
      </c>
      <c r="BT340" s="186">
        <v>25000</v>
      </c>
      <c r="BU340" s="186">
        <v>25000</v>
      </c>
      <c r="BV340" s="186">
        <v>25000</v>
      </c>
      <c r="BW340" s="186">
        <v>25000</v>
      </c>
      <c r="BX340" s="186">
        <v>25000</v>
      </c>
      <c r="BY340" s="186">
        <v>25000</v>
      </c>
      <c r="BZ340" s="186">
        <v>25000</v>
      </c>
      <c r="CA340" s="186">
        <v>25000</v>
      </c>
      <c r="CB340" s="186">
        <v>25000</v>
      </c>
      <c r="CC340" s="186">
        <v>25000</v>
      </c>
      <c r="CD340" s="186">
        <v>25000</v>
      </c>
      <c r="CE340" s="186">
        <v>25000</v>
      </c>
      <c r="CF340" s="186">
        <v>25000</v>
      </c>
      <c r="CG340" s="186">
        <v>25000</v>
      </c>
      <c r="CH340" s="186">
        <v>25000</v>
      </c>
      <c r="CI340" s="186">
        <v>25000</v>
      </c>
      <c r="CJ340" s="186">
        <v>25000</v>
      </c>
      <c r="CK340" s="186">
        <v>25000</v>
      </c>
      <c r="CL340" s="186">
        <v>25000</v>
      </c>
      <c r="CM340" s="186">
        <v>25000</v>
      </c>
      <c r="CN340" s="186">
        <v>25000</v>
      </c>
      <c r="CO340" s="186">
        <v>25000</v>
      </c>
      <c r="CP340" s="186">
        <v>25000</v>
      </c>
      <c r="CQ340" s="186">
        <v>25000</v>
      </c>
      <c r="CR340" s="186">
        <v>25000</v>
      </c>
      <c r="CS340" s="186">
        <v>25000</v>
      </c>
      <c r="CT340" s="186">
        <v>25000</v>
      </c>
      <c r="CU340" s="186">
        <v>25000</v>
      </c>
      <c r="CV340" s="186">
        <v>25000</v>
      </c>
    </row>
    <row r="341" spans="1:100">
      <c r="A341" t="s">
        <v>839</v>
      </c>
      <c r="D341" s="402">
        <v>3500</v>
      </c>
      <c r="E341" s="402">
        <v>3500</v>
      </c>
      <c r="F341" s="402">
        <v>3500</v>
      </c>
      <c r="G341" s="402">
        <v>3500</v>
      </c>
      <c r="H341" s="402">
        <v>3500</v>
      </c>
      <c r="I341" s="402">
        <v>3500</v>
      </c>
      <c r="J341" s="402">
        <v>3500</v>
      </c>
      <c r="K341" s="402">
        <v>3450</v>
      </c>
      <c r="L341" s="402">
        <v>3450</v>
      </c>
      <c r="M341" s="402">
        <v>3450</v>
      </c>
      <c r="N341" s="402">
        <v>3450</v>
      </c>
      <c r="O341" s="402">
        <v>3450</v>
      </c>
      <c r="P341" s="402">
        <v>3450</v>
      </c>
      <c r="Q341" s="186">
        <v>3450</v>
      </c>
      <c r="R341" s="186">
        <v>3450</v>
      </c>
      <c r="S341" s="186">
        <v>3450</v>
      </c>
      <c r="T341" s="186">
        <v>3450</v>
      </c>
      <c r="U341" s="186">
        <v>2950</v>
      </c>
      <c r="V341" s="186">
        <v>2950</v>
      </c>
      <c r="W341" s="186">
        <v>2950</v>
      </c>
      <c r="X341" s="186">
        <v>2950</v>
      </c>
      <c r="Y341" s="186">
        <v>2950</v>
      </c>
      <c r="Z341" s="186">
        <v>2950</v>
      </c>
      <c r="AA341" s="186">
        <v>2950</v>
      </c>
      <c r="AB341" s="186">
        <v>2950</v>
      </c>
      <c r="AC341" s="186">
        <v>2950</v>
      </c>
      <c r="AD341" s="186">
        <v>2950</v>
      </c>
      <c r="AE341" s="186">
        <v>2950</v>
      </c>
      <c r="AF341" s="186">
        <v>2950</v>
      </c>
      <c r="AG341" s="186">
        <v>2950</v>
      </c>
      <c r="AH341" s="186">
        <v>2950</v>
      </c>
      <c r="AI341" s="186">
        <v>2950</v>
      </c>
      <c r="AJ341" s="186">
        <v>2950</v>
      </c>
      <c r="AK341" s="186">
        <v>3450</v>
      </c>
      <c r="AL341" s="186">
        <v>3450</v>
      </c>
      <c r="AM341" s="186">
        <v>2950</v>
      </c>
      <c r="AN341" s="186">
        <v>2950</v>
      </c>
      <c r="AO341" s="186">
        <v>2950</v>
      </c>
      <c r="AP341" s="186">
        <v>2950</v>
      </c>
      <c r="AQ341" s="186">
        <v>2950</v>
      </c>
      <c r="AR341" s="186">
        <v>2950</v>
      </c>
      <c r="AS341" s="186">
        <v>2950</v>
      </c>
      <c r="AT341" s="186">
        <v>2950</v>
      </c>
      <c r="AU341" s="186">
        <v>2950</v>
      </c>
      <c r="AV341" s="186">
        <v>2950</v>
      </c>
      <c r="AW341" s="186">
        <v>2950</v>
      </c>
      <c r="AX341" s="186">
        <v>2950</v>
      </c>
      <c r="AY341" s="186">
        <v>2950</v>
      </c>
      <c r="AZ341" s="186">
        <v>2950</v>
      </c>
      <c r="BA341" s="186">
        <v>2950</v>
      </c>
      <c r="BB341" s="186">
        <v>2950</v>
      </c>
      <c r="BC341" s="186">
        <v>2950</v>
      </c>
      <c r="BD341" s="186">
        <v>2950</v>
      </c>
      <c r="BE341" s="186">
        <v>2950</v>
      </c>
      <c r="BF341" s="186">
        <v>2950</v>
      </c>
      <c r="BG341" s="186">
        <v>2950</v>
      </c>
      <c r="BH341" s="186">
        <v>2950</v>
      </c>
      <c r="BI341" s="186">
        <v>2950</v>
      </c>
      <c r="BJ341" s="186">
        <v>2950</v>
      </c>
      <c r="BK341" s="186">
        <v>2950</v>
      </c>
      <c r="BL341" s="186">
        <v>2950</v>
      </c>
      <c r="BM341" s="186">
        <v>2950</v>
      </c>
      <c r="BN341" s="186">
        <v>2950</v>
      </c>
      <c r="BO341" s="186">
        <v>2950</v>
      </c>
      <c r="BP341" s="186">
        <v>2950</v>
      </c>
      <c r="BQ341" s="186">
        <v>2950</v>
      </c>
      <c r="BR341" s="186">
        <v>2950</v>
      </c>
      <c r="BS341" s="186">
        <v>2950</v>
      </c>
      <c r="BT341" s="186">
        <v>2950</v>
      </c>
      <c r="BU341" s="186">
        <v>2950</v>
      </c>
      <c r="BV341" s="186">
        <v>2950</v>
      </c>
      <c r="BW341" s="186">
        <v>2950</v>
      </c>
      <c r="BX341" s="186">
        <v>2950</v>
      </c>
      <c r="BY341" s="186">
        <v>2950</v>
      </c>
      <c r="BZ341" s="186">
        <v>2950</v>
      </c>
      <c r="CA341" s="186">
        <v>2950</v>
      </c>
      <c r="CB341" s="186">
        <v>2950</v>
      </c>
      <c r="CC341" s="186">
        <v>2950</v>
      </c>
      <c r="CD341" s="186">
        <v>2950</v>
      </c>
      <c r="CE341" s="186">
        <v>2950</v>
      </c>
      <c r="CF341" s="186">
        <v>2950</v>
      </c>
      <c r="CG341" s="186">
        <v>2950</v>
      </c>
      <c r="CH341" s="186">
        <v>2950</v>
      </c>
      <c r="CI341" s="186">
        <v>2950</v>
      </c>
      <c r="CJ341" s="186">
        <v>2950</v>
      </c>
      <c r="CK341" s="186">
        <v>2950</v>
      </c>
      <c r="CL341" s="186">
        <v>2950</v>
      </c>
      <c r="CM341" s="186">
        <v>2950</v>
      </c>
      <c r="CN341" s="186">
        <v>2950</v>
      </c>
      <c r="CO341" s="186">
        <v>2950</v>
      </c>
      <c r="CP341" s="186">
        <v>2950</v>
      </c>
      <c r="CQ341" s="186">
        <v>2950</v>
      </c>
      <c r="CR341" s="186">
        <v>2950</v>
      </c>
      <c r="CS341" s="186">
        <v>2950</v>
      </c>
      <c r="CT341" s="186">
        <v>2950</v>
      </c>
      <c r="CU341" s="186">
        <v>2950</v>
      </c>
      <c r="CV341" s="186">
        <v>2950</v>
      </c>
    </row>
    <row r="342" spans="1:100">
      <c r="A342" t="s">
        <v>840</v>
      </c>
      <c r="D342" s="402">
        <v>0</v>
      </c>
      <c r="E342" s="402">
        <v>0</v>
      </c>
      <c r="F342" s="402">
        <v>0</v>
      </c>
      <c r="G342" s="402">
        <v>0</v>
      </c>
      <c r="H342" s="402">
        <v>0</v>
      </c>
      <c r="I342" s="402">
        <v>0</v>
      </c>
      <c r="J342" s="402">
        <v>0</v>
      </c>
      <c r="K342" s="402">
        <v>0</v>
      </c>
      <c r="L342" s="402">
        <v>0</v>
      </c>
      <c r="M342" s="402">
        <v>0</v>
      </c>
      <c r="N342" s="402">
        <v>0</v>
      </c>
      <c r="O342" s="402">
        <v>0</v>
      </c>
      <c r="P342" s="402">
        <v>0</v>
      </c>
      <c r="Q342" s="186">
        <v>0</v>
      </c>
      <c r="R342" s="186">
        <v>0</v>
      </c>
      <c r="S342" s="186">
        <v>0</v>
      </c>
      <c r="T342" s="186">
        <v>0</v>
      </c>
      <c r="U342" s="186">
        <v>0</v>
      </c>
      <c r="V342" s="186">
        <v>0</v>
      </c>
      <c r="W342" s="186">
        <v>0</v>
      </c>
      <c r="X342" s="186">
        <v>0</v>
      </c>
      <c r="Y342" s="186">
        <v>0</v>
      </c>
      <c r="Z342" s="186">
        <v>0</v>
      </c>
      <c r="AA342" s="186">
        <v>0</v>
      </c>
      <c r="AB342" s="186">
        <v>0</v>
      </c>
      <c r="AC342" s="186">
        <v>0</v>
      </c>
      <c r="AD342" s="186">
        <v>0</v>
      </c>
      <c r="AE342" s="186">
        <v>0</v>
      </c>
      <c r="AF342" s="186">
        <v>0</v>
      </c>
      <c r="AG342" s="186">
        <v>0</v>
      </c>
      <c r="AH342" s="186">
        <v>0</v>
      </c>
      <c r="AI342" s="186">
        <v>0</v>
      </c>
      <c r="AJ342" s="186">
        <v>0</v>
      </c>
      <c r="AK342" s="186">
        <v>0</v>
      </c>
      <c r="AL342" s="186">
        <v>0</v>
      </c>
      <c r="AM342" s="186">
        <v>0</v>
      </c>
      <c r="AN342" s="186">
        <v>0</v>
      </c>
      <c r="AO342" s="186">
        <v>0</v>
      </c>
      <c r="AP342" s="186">
        <v>0</v>
      </c>
      <c r="AQ342" s="186">
        <v>0</v>
      </c>
      <c r="AR342" s="186">
        <v>0</v>
      </c>
      <c r="AS342" s="186">
        <v>0</v>
      </c>
      <c r="AT342" s="186">
        <v>0</v>
      </c>
      <c r="AU342" s="186">
        <v>0</v>
      </c>
      <c r="AV342" s="186">
        <v>0</v>
      </c>
      <c r="AW342" s="186">
        <v>0</v>
      </c>
      <c r="AX342" s="186">
        <v>0</v>
      </c>
      <c r="AY342" s="186">
        <v>0</v>
      </c>
      <c r="AZ342" s="186">
        <v>0</v>
      </c>
      <c r="BA342" s="186">
        <v>0</v>
      </c>
      <c r="BB342" s="186">
        <v>0</v>
      </c>
      <c r="BC342" s="186">
        <v>0</v>
      </c>
      <c r="BD342" s="186">
        <v>0</v>
      </c>
      <c r="BE342" s="186">
        <v>0</v>
      </c>
      <c r="BF342" s="186">
        <v>0</v>
      </c>
      <c r="BG342" s="186">
        <v>0</v>
      </c>
      <c r="BH342" s="186">
        <v>0</v>
      </c>
      <c r="BI342" s="186">
        <v>0</v>
      </c>
      <c r="BJ342" s="186">
        <v>0</v>
      </c>
      <c r="BK342" s="186">
        <v>0</v>
      </c>
      <c r="BL342" s="186">
        <v>0</v>
      </c>
      <c r="BM342" s="186">
        <v>0</v>
      </c>
      <c r="BN342" s="186">
        <v>0</v>
      </c>
      <c r="BO342" s="186">
        <v>0</v>
      </c>
      <c r="BP342" s="186">
        <v>0</v>
      </c>
      <c r="BQ342" s="186">
        <v>0</v>
      </c>
      <c r="BR342" s="186">
        <v>0</v>
      </c>
      <c r="BS342" s="186">
        <v>0</v>
      </c>
      <c r="BT342" s="186">
        <v>0</v>
      </c>
      <c r="BU342" s="186">
        <v>0</v>
      </c>
      <c r="BV342" s="186">
        <v>0</v>
      </c>
      <c r="BW342" s="186">
        <v>0</v>
      </c>
      <c r="BX342" s="186">
        <v>0</v>
      </c>
      <c r="BY342" s="186">
        <v>0</v>
      </c>
      <c r="BZ342" s="186">
        <v>0</v>
      </c>
      <c r="CA342" s="186">
        <v>0</v>
      </c>
      <c r="CB342" s="186">
        <v>0</v>
      </c>
      <c r="CC342" s="186">
        <v>0</v>
      </c>
      <c r="CD342" s="186">
        <v>0</v>
      </c>
      <c r="CE342" s="186">
        <v>0</v>
      </c>
      <c r="CF342" s="186">
        <v>0</v>
      </c>
      <c r="CG342" s="186">
        <v>0</v>
      </c>
      <c r="CH342" s="186">
        <v>0</v>
      </c>
      <c r="CI342" s="186">
        <v>0</v>
      </c>
      <c r="CJ342" s="186">
        <v>0</v>
      </c>
      <c r="CK342" s="186">
        <v>0</v>
      </c>
      <c r="CL342" s="186">
        <v>0</v>
      </c>
      <c r="CM342" s="186">
        <v>0</v>
      </c>
      <c r="CN342" s="186">
        <v>0</v>
      </c>
      <c r="CO342" s="186">
        <v>0</v>
      </c>
      <c r="CP342" s="186">
        <v>0</v>
      </c>
      <c r="CQ342" s="186">
        <v>0</v>
      </c>
      <c r="CR342" s="186">
        <v>0</v>
      </c>
      <c r="CS342" s="186">
        <v>0</v>
      </c>
      <c r="CT342" s="186">
        <v>0</v>
      </c>
      <c r="CU342" s="186">
        <v>0</v>
      </c>
      <c r="CV342" s="186">
        <v>0</v>
      </c>
    </row>
    <row r="343" spans="1:100">
      <c r="A343" t="s">
        <v>841</v>
      </c>
      <c r="D343" s="402">
        <v>22917004.77</v>
      </c>
      <c r="E343" s="402">
        <v>33888239.469999999</v>
      </c>
      <c r="F343" s="402">
        <v>34564177.649999999</v>
      </c>
      <c r="G343" s="402">
        <v>30784053.600000001</v>
      </c>
      <c r="H343" s="402">
        <v>29663927.84</v>
      </c>
      <c r="I343" s="402">
        <v>22479626.829999998</v>
      </c>
      <c r="J343" s="402">
        <v>22504133.27</v>
      </c>
      <c r="K343" s="402">
        <v>23241237.09</v>
      </c>
      <c r="L343" s="402">
        <v>23878463.870000001</v>
      </c>
      <c r="M343" s="402">
        <v>22321098.780000001</v>
      </c>
      <c r="N343" s="402">
        <v>22099793.280000001</v>
      </c>
      <c r="O343" s="402">
        <v>26323347.600000001</v>
      </c>
      <c r="P343" s="402">
        <v>26034826.32</v>
      </c>
      <c r="Q343" s="186">
        <v>32187526.920000002</v>
      </c>
      <c r="R343" s="186">
        <v>34039835.079999998</v>
      </c>
      <c r="S343" s="186">
        <v>29541354.100000001</v>
      </c>
      <c r="T343" s="186">
        <v>28240355.52</v>
      </c>
      <c r="U343" s="186">
        <v>23565407.48</v>
      </c>
      <c r="V343" s="186">
        <v>24075458.02</v>
      </c>
      <c r="W343" s="186">
        <v>21417409.149999999</v>
      </c>
      <c r="X343" s="186">
        <v>24298849.940000001</v>
      </c>
      <c r="Y343" s="186">
        <v>23816258.93</v>
      </c>
      <c r="Z343" s="186">
        <v>23772059.039999999</v>
      </c>
      <c r="AA343" s="186">
        <v>26518734.390000001</v>
      </c>
      <c r="AB343" s="186">
        <v>23370304.82</v>
      </c>
      <c r="AC343" s="186">
        <v>31850535.170000002</v>
      </c>
      <c r="AD343" s="186">
        <v>33660304.32</v>
      </c>
      <c r="AE343" s="186">
        <v>27396780.07</v>
      </c>
      <c r="AF343" s="186">
        <v>26991418.98</v>
      </c>
      <c r="AG343" s="186">
        <v>25680472.5</v>
      </c>
      <c r="AH343" s="186">
        <v>25214431.510000002</v>
      </c>
      <c r="AI343" s="186">
        <v>27415095.079999998</v>
      </c>
      <c r="AJ343" s="186">
        <v>23394824.629999999</v>
      </c>
      <c r="AK343" s="186">
        <v>21229562.68</v>
      </c>
      <c r="AL343" s="186">
        <v>22666835.920000002</v>
      </c>
      <c r="AM343" s="186">
        <v>17869442.899999999</v>
      </c>
      <c r="AN343" s="186">
        <v>20407143.399999999</v>
      </c>
      <c r="AO343" s="186">
        <v>29988883.34</v>
      </c>
      <c r="AP343" s="186">
        <v>30496228.98</v>
      </c>
      <c r="AQ343" s="186">
        <v>25425348.940000001</v>
      </c>
      <c r="AR343" s="186">
        <v>29266124.25</v>
      </c>
      <c r="AS343" s="186">
        <v>26763987.870000001</v>
      </c>
      <c r="AT343" s="186">
        <v>23778388.969999999</v>
      </c>
      <c r="AU343" s="186">
        <v>24866772.41</v>
      </c>
      <c r="AV343" s="186">
        <v>19382730.989999998</v>
      </c>
      <c r="AW343" s="186">
        <v>26222134.059999999</v>
      </c>
      <c r="AX343" s="186">
        <v>21363062.82</v>
      </c>
      <c r="AY343" s="186">
        <v>23526603.07</v>
      </c>
      <c r="AZ343" s="186">
        <v>29589589.309999999</v>
      </c>
      <c r="BA343" s="186">
        <v>39142637.479999997</v>
      </c>
      <c r="BB343" s="186">
        <v>33520126.620000001</v>
      </c>
      <c r="BC343" s="186">
        <v>28369965.609999999</v>
      </c>
      <c r="BD343" s="186">
        <v>30347437.300000001</v>
      </c>
      <c r="BE343" s="186">
        <v>26461489.609999999</v>
      </c>
      <c r="BF343" s="186">
        <v>26323048.57</v>
      </c>
      <c r="BG343" s="186">
        <v>27677789.359999999</v>
      </c>
      <c r="BH343" s="186">
        <v>22422804.370000001</v>
      </c>
      <c r="BI343" s="186">
        <v>26981163.199999999</v>
      </c>
      <c r="BJ343" s="186">
        <v>25315728.010000002</v>
      </c>
      <c r="BK343" s="186">
        <v>24158601.609999999</v>
      </c>
      <c r="BL343" s="186">
        <v>29542589.260000002</v>
      </c>
      <c r="BM343" s="186">
        <v>32582158.719999999</v>
      </c>
      <c r="BN343" s="186">
        <v>32195813.649999999</v>
      </c>
      <c r="BO343" s="186">
        <v>29074433.710000001</v>
      </c>
      <c r="BP343" s="186">
        <v>27185463.84</v>
      </c>
      <c r="BQ343" s="186">
        <v>25642351.34</v>
      </c>
      <c r="BR343" s="186">
        <v>23881225.350000001</v>
      </c>
      <c r="BS343" s="186">
        <v>21407370.66</v>
      </c>
      <c r="BT343" s="186">
        <v>20163176.579999998</v>
      </c>
      <c r="BU343" s="186">
        <v>23570156.899999999</v>
      </c>
      <c r="BV343" s="186">
        <v>20921762.350000001</v>
      </c>
      <c r="BW343" s="186">
        <v>25051047.789999999</v>
      </c>
      <c r="BX343" s="186">
        <v>28445716.460000001</v>
      </c>
      <c r="BY343" s="186">
        <v>33690965.270000003</v>
      </c>
      <c r="BZ343" s="186">
        <v>31434966.370000001</v>
      </c>
      <c r="CA343" s="186">
        <v>28960246.870000001</v>
      </c>
      <c r="CB343" s="186">
        <v>25442431.469999999</v>
      </c>
      <c r="CC343" s="186">
        <v>24859606.969999999</v>
      </c>
      <c r="CD343" s="186">
        <v>24328612.75</v>
      </c>
      <c r="CE343" s="186">
        <v>22554225.649999999</v>
      </c>
      <c r="CF343" s="186">
        <v>22331643.629999999</v>
      </c>
      <c r="CG343" s="186">
        <v>23076572.399999999</v>
      </c>
      <c r="CH343" s="186">
        <v>21627940.539999999</v>
      </c>
      <c r="CI343" s="186">
        <v>25437275.010000002</v>
      </c>
      <c r="CJ343" s="186">
        <v>29061274.129999999</v>
      </c>
      <c r="CK343" s="186">
        <v>41434704.340000004</v>
      </c>
      <c r="CL343" s="186">
        <v>43191845.93</v>
      </c>
      <c r="CM343" s="186">
        <v>37311112.030000001</v>
      </c>
      <c r="CN343" s="186">
        <v>33050040.489999998</v>
      </c>
      <c r="CO343" s="186">
        <v>31383893.140000001</v>
      </c>
      <c r="CP343" s="186">
        <v>28707721.800000001</v>
      </c>
      <c r="CQ343" s="186">
        <v>28842329.620000001</v>
      </c>
      <c r="CR343" s="186">
        <v>27207266.440000001</v>
      </c>
      <c r="CS343" s="186">
        <v>28836682.52</v>
      </c>
      <c r="CT343" s="186">
        <v>30680668.960000001</v>
      </c>
      <c r="CU343" s="186">
        <v>29358886.93</v>
      </c>
      <c r="CV343" s="186">
        <v>34889403.490000002</v>
      </c>
    </row>
    <row r="344" spans="1:100">
      <c r="A344" t="s">
        <v>842</v>
      </c>
      <c r="D344" s="402">
        <v>6933410.6600000001</v>
      </c>
      <c r="E344" s="402">
        <v>5883486.5499999998</v>
      </c>
      <c r="F344" s="402">
        <v>5824437.5899999999</v>
      </c>
      <c r="G344" s="402">
        <v>5777857.2000000002</v>
      </c>
      <c r="H344" s="402">
        <v>5772900.4299999997</v>
      </c>
      <c r="I344" s="402">
        <v>5646484.5599999996</v>
      </c>
      <c r="J344" s="402">
        <v>5532771.5999999996</v>
      </c>
      <c r="K344" s="402">
        <v>5652063.2800000003</v>
      </c>
      <c r="L344" s="402">
        <v>5324765.95</v>
      </c>
      <c r="M344" s="402">
        <v>5334747.5999999996</v>
      </c>
      <c r="N344" s="402">
        <v>5311839.84</v>
      </c>
      <c r="O344" s="402">
        <v>5376119.1200000001</v>
      </c>
      <c r="P344" s="402">
        <v>15706678.98</v>
      </c>
      <c r="Q344" s="186">
        <v>5800966.4000000004</v>
      </c>
      <c r="R344" s="186">
        <v>5900607.79</v>
      </c>
      <c r="S344" s="186">
        <v>5914383.7000000002</v>
      </c>
      <c r="T344" s="186">
        <v>5959177.7000000002</v>
      </c>
      <c r="U344" s="186">
        <v>6361034.1299999999</v>
      </c>
      <c r="V344" s="186">
        <v>6176915.6100000003</v>
      </c>
      <c r="W344" s="186">
        <v>6986829.8200000003</v>
      </c>
      <c r="X344" s="186">
        <v>6080720.6100000003</v>
      </c>
      <c r="Y344" s="186">
        <v>6232480.0300000003</v>
      </c>
      <c r="Z344" s="186">
        <v>6271078.3600000003</v>
      </c>
      <c r="AA344" s="186">
        <v>6205664.9800000004</v>
      </c>
      <c r="AB344" s="186">
        <v>20173951.489999998</v>
      </c>
      <c r="AC344" s="186">
        <v>6357385.4199999999</v>
      </c>
      <c r="AD344" s="186">
        <v>6817736.8700000001</v>
      </c>
      <c r="AE344" s="186">
        <v>6504847.0300000003</v>
      </c>
      <c r="AF344" s="186">
        <v>6589860.0700000003</v>
      </c>
      <c r="AG344" s="186">
        <v>6565581.7800000003</v>
      </c>
      <c r="AH344" s="186">
        <v>6303047.5599999996</v>
      </c>
      <c r="AI344" s="186">
        <v>6635591.2699999996</v>
      </c>
      <c r="AJ344" s="186">
        <v>6625883.5199999996</v>
      </c>
      <c r="AK344" s="186">
        <v>7369022.1500000004</v>
      </c>
      <c r="AL344" s="186">
        <v>6447692.0300000003</v>
      </c>
      <c r="AM344" s="186">
        <v>6572206.3200000003</v>
      </c>
      <c r="AN344" s="186">
        <v>7886631.79</v>
      </c>
      <c r="AO344" s="186">
        <v>6087617.1100000003</v>
      </c>
      <c r="AP344" s="186">
        <v>6172022.8300000001</v>
      </c>
      <c r="AQ344" s="186">
        <v>6196462.5899999999</v>
      </c>
      <c r="AR344" s="186">
        <v>5795704.7199999997</v>
      </c>
      <c r="AS344" s="186">
        <v>6018720.0700000003</v>
      </c>
      <c r="AT344" s="186">
        <v>5669492.2199999997</v>
      </c>
      <c r="AU344" s="186">
        <v>5125177.49</v>
      </c>
      <c r="AV344" s="186">
        <v>4739086.07</v>
      </c>
      <c r="AW344" s="186">
        <v>4631835.16</v>
      </c>
      <c r="AX344" s="186">
        <v>4457602.3</v>
      </c>
      <c r="AY344" s="186">
        <v>4244813.99</v>
      </c>
      <c r="AZ344" s="186">
        <v>4383604.59</v>
      </c>
      <c r="BA344" s="186">
        <v>4161462.67</v>
      </c>
      <c r="BB344" s="186">
        <v>3979331.42</v>
      </c>
      <c r="BC344" s="186">
        <v>3806110.35</v>
      </c>
      <c r="BD344" s="186">
        <v>3613904.27</v>
      </c>
      <c r="BE344" s="186">
        <v>3896226.97</v>
      </c>
      <c r="BF344" s="186">
        <v>3557213.27</v>
      </c>
      <c r="BG344" s="186">
        <v>3186267.09</v>
      </c>
      <c r="BH344" s="186">
        <v>3210920.2</v>
      </c>
      <c r="BI344" s="186">
        <v>2980073.78</v>
      </c>
      <c r="BJ344" s="186">
        <v>2806906.94</v>
      </c>
      <c r="BK344" s="186">
        <v>2450891.77</v>
      </c>
      <c r="BL344" s="186">
        <v>2653972.5299999998</v>
      </c>
      <c r="BM344" s="186">
        <v>2331802.9900000002</v>
      </c>
      <c r="BN344" s="186">
        <v>2227547.2999999998</v>
      </c>
      <c r="BO344" s="186">
        <v>1943320.21</v>
      </c>
      <c r="BP344" s="186">
        <v>1737126.09</v>
      </c>
      <c r="BQ344" s="186">
        <v>1704747.41</v>
      </c>
      <c r="BR344" s="186">
        <v>1711318.94</v>
      </c>
      <c r="BS344" s="186">
        <v>1624263.64</v>
      </c>
      <c r="BT344" s="186">
        <v>1471182.85</v>
      </c>
      <c r="BU344" s="186">
        <v>1369292.52</v>
      </c>
      <c r="BV344" s="186">
        <v>1167125.04</v>
      </c>
      <c r="BW344" s="186">
        <v>1141355.3400000001</v>
      </c>
      <c r="BX344" s="186">
        <v>1394531.22</v>
      </c>
      <c r="BY344" s="186">
        <v>1189570.49</v>
      </c>
      <c r="BZ344" s="186">
        <v>1177170.6399999999</v>
      </c>
      <c r="CA344" s="186">
        <v>1427785.95</v>
      </c>
      <c r="CB344" s="186">
        <v>1303718.8999999999</v>
      </c>
      <c r="CC344" s="186">
        <v>1513595.07</v>
      </c>
      <c r="CD344" s="186">
        <v>1657453.27</v>
      </c>
      <c r="CE344" s="186">
        <v>1666523.77</v>
      </c>
      <c r="CF344" s="186">
        <v>1315232.72</v>
      </c>
      <c r="CG344" s="186">
        <v>1134164.28</v>
      </c>
      <c r="CH344" s="186">
        <v>513325.58</v>
      </c>
      <c r="CI344" s="186">
        <v>1398217.09</v>
      </c>
      <c r="CJ344" s="186">
        <v>621522.71</v>
      </c>
      <c r="CK344" s="186">
        <v>258848.95</v>
      </c>
      <c r="CL344" s="186">
        <v>339721.93</v>
      </c>
      <c r="CM344" s="186">
        <v>248664.7</v>
      </c>
      <c r="CN344" s="186">
        <v>380073.17</v>
      </c>
      <c r="CO344" s="186">
        <v>367847.02</v>
      </c>
      <c r="CP344" s="186">
        <v>311076.01</v>
      </c>
      <c r="CQ344" s="186">
        <v>413518.29</v>
      </c>
      <c r="CR344" s="186">
        <v>490886.63</v>
      </c>
      <c r="CS344" s="186">
        <v>621241.31999999995</v>
      </c>
      <c r="CT344" s="186">
        <v>403068.56</v>
      </c>
      <c r="CU344" s="186">
        <v>425065.36</v>
      </c>
      <c r="CV344" s="186">
        <v>4473619.8099999996</v>
      </c>
    </row>
    <row r="345" spans="1:100">
      <c r="A345" t="s">
        <v>843</v>
      </c>
      <c r="D345" s="402">
        <v>-731329.09</v>
      </c>
      <c r="E345" s="402">
        <v>-782748.28</v>
      </c>
      <c r="F345" s="402">
        <v>-917716.05</v>
      </c>
      <c r="G345" s="402">
        <v>-957279.1</v>
      </c>
      <c r="H345" s="402">
        <v>-935207.56</v>
      </c>
      <c r="I345" s="402">
        <v>-856777.71</v>
      </c>
      <c r="J345" s="402">
        <v>-816528.2</v>
      </c>
      <c r="K345" s="402">
        <v>-794094.56</v>
      </c>
      <c r="L345" s="402">
        <v>-747608.48</v>
      </c>
      <c r="M345" s="402">
        <v>-725358.9</v>
      </c>
      <c r="N345" s="402">
        <v>-695536.87</v>
      </c>
      <c r="O345" s="402">
        <v>-707430.92</v>
      </c>
      <c r="P345" s="402">
        <v>-716180.51</v>
      </c>
      <c r="Q345" s="186">
        <v>-764563.98</v>
      </c>
      <c r="R345" s="186">
        <v>-833682.14</v>
      </c>
      <c r="S345" s="186">
        <v>-866987.2</v>
      </c>
      <c r="T345" s="186">
        <v>-866890.19</v>
      </c>
      <c r="U345" s="186">
        <v>-848576.7</v>
      </c>
      <c r="V345" s="186">
        <v>-848491.47</v>
      </c>
      <c r="W345" s="186">
        <v>-838881.91</v>
      </c>
      <c r="X345" s="186">
        <v>-842812.73</v>
      </c>
      <c r="Y345" s="186">
        <v>-837646</v>
      </c>
      <c r="Z345" s="186">
        <v>-838111.69</v>
      </c>
      <c r="AA345" s="186">
        <v>-847212.74</v>
      </c>
      <c r="AB345" s="186">
        <v>-849690.38</v>
      </c>
      <c r="AC345" s="186">
        <v>-887536.24</v>
      </c>
      <c r="AD345" s="186">
        <v>-944535.58</v>
      </c>
      <c r="AE345" s="186">
        <v>-956846.5</v>
      </c>
      <c r="AF345" s="186">
        <v>-941985.09</v>
      </c>
      <c r="AG345" s="186">
        <v>-940287.95</v>
      </c>
      <c r="AH345" s="186">
        <v>-903512.59</v>
      </c>
      <c r="AI345" s="186">
        <v>-849498.54</v>
      </c>
      <c r="AJ345" s="186">
        <v>-845093.79</v>
      </c>
      <c r="AK345" s="186">
        <v>-801433.25</v>
      </c>
      <c r="AL345" s="186">
        <v>-783650.76</v>
      </c>
      <c r="AM345" s="186">
        <v>-787925.3</v>
      </c>
      <c r="AN345" s="186">
        <v>-113418.5</v>
      </c>
      <c r="AO345" s="186">
        <v>-207044.19</v>
      </c>
      <c r="AP345" s="186">
        <v>-288993.48</v>
      </c>
      <c r="AQ345" s="186">
        <v>-453047.41</v>
      </c>
      <c r="AR345" s="186">
        <v>-288871.28999999998</v>
      </c>
      <c r="AS345" s="186">
        <v>-310800.03999999998</v>
      </c>
      <c r="AT345" s="186">
        <v>-222271.28</v>
      </c>
      <c r="AU345" s="186">
        <v>-283591.84000000003</v>
      </c>
      <c r="AV345" s="186">
        <v>-271504.96000000002</v>
      </c>
      <c r="AW345" s="186">
        <v>-260755.54</v>
      </c>
      <c r="AX345" s="186">
        <v>-259628.15</v>
      </c>
      <c r="AY345" s="186">
        <v>-275756.57</v>
      </c>
      <c r="AZ345" s="186">
        <v>-302186.99</v>
      </c>
      <c r="BA345" s="186">
        <v>-382590.6</v>
      </c>
      <c r="BB345" s="186">
        <v>-281097.52</v>
      </c>
      <c r="BC345" s="186">
        <v>-251701.7</v>
      </c>
      <c r="BD345" s="186">
        <v>-213849.52</v>
      </c>
      <c r="BE345" s="186">
        <v>-201884.92</v>
      </c>
      <c r="BF345" s="186">
        <v>-195494.82</v>
      </c>
      <c r="BG345" s="186">
        <v>-201995.58</v>
      </c>
      <c r="BH345" s="186">
        <v>-221122.53</v>
      </c>
      <c r="BI345" s="186">
        <v>-220732.07</v>
      </c>
      <c r="BJ345" s="186">
        <v>-205020.84</v>
      </c>
      <c r="BK345" s="186">
        <v>-208157.12</v>
      </c>
      <c r="BL345" s="186">
        <v>-248774.45</v>
      </c>
      <c r="BM345" s="186">
        <v>-268023.42</v>
      </c>
      <c r="BN345" s="186">
        <v>-261911.67</v>
      </c>
      <c r="BO345" s="186">
        <v>-260675.28</v>
      </c>
      <c r="BP345" s="186">
        <v>-260922.33</v>
      </c>
      <c r="BQ345" s="186">
        <v>-252489.89</v>
      </c>
      <c r="BR345" s="186">
        <v>-230230.67</v>
      </c>
      <c r="BS345" s="186">
        <v>-41515.67</v>
      </c>
      <c r="BT345" s="186">
        <v>-32340.85</v>
      </c>
      <c r="BU345" s="186">
        <v>1257.83</v>
      </c>
      <c r="BV345" s="186">
        <v>-14360.6</v>
      </c>
      <c r="BW345" s="186">
        <v>-32957.22</v>
      </c>
      <c r="BX345" s="186">
        <v>-36809.25</v>
      </c>
      <c r="BY345" s="186">
        <v>-59079.53</v>
      </c>
      <c r="BZ345" s="186">
        <v>-25686.27</v>
      </c>
      <c r="CA345" s="186">
        <v>-207873.18</v>
      </c>
      <c r="CB345" s="186">
        <v>-452784.82</v>
      </c>
      <c r="CC345" s="186">
        <v>-804530.58</v>
      </c>
      <c r="CD345" s="186">
        <v>-1102637.56</v>
      </c>
      <c r="CE345" s="186">
        <v>-1311633.3799999999</v>
      </c>
      <c r="CF345" s="186">
        <v>-1549808.38</v>
      </c>
      <c r="CG345" s="186">
        <v>-1725016.56</v>
      </c>
      <c r="CH345" s="186">
        <v>-1516639.96</v>
      </c>
      <c r="CI345" s="186">
        <v>-1648035.37</v>
      </c>
      <c r="CJ345" s="186">
        <v>-1047188.69</v>
      </c>
      <c r="CK345" s="186">
        <v>-1240201.96</v>
      </c>
      <c r="CL345" s="186">
        <v>-1410587.62</v>
      </c>
      <c r="CM345" s="186">
        <v>-1088199.1000000001</v>
      </c>
      <c r="CN345" s="186">
        <v>-1175985.28</v>
      </c>
      <c r="CO345" s="186">
        <v>-1250565.3600000001</v>
      </c>
      <c r="CP345" s="186">
        <v>-1225441.08</v>
      </c>
      <c r="CQ345" s="186">
        <v>-1256982.07</v>
      </c>
      <c r="CR345" s="186">
        <v>-1305700.52</v>
      </c>
      <c r="CS345" s="186">
        <v>-1353847.6</v>
      </c>
      <c r="CT345" s="186">
        <v>-1419739.68</v>
      </c>
      <c r="CU345" s="186">
        <v>-1392489.63</v>
      </c>
      <c r="CV345" s="186">
        <v>-1399521.73</v>
      </c>
    </row>
    <row r="346" spans="1:100">
      <c r="A346" t="s">
        <v>844</v>
      </c>
      <c r="D346" s="402">
        <v>0</v>
      </c>
      <c r="E346" s="402">
        <v>0</v>
      </c>
      <c r="F346" s="402">
        <v>0</v>
      </c>
      <c r="G346" s="402">
        <v>1500000</v>
      </c>
      <c r="H346" s="402">
        <v>0</v>
      </c>
      <c r="I346" s="402">
        <v>0</v>
      </c>
      <c r="J346" s="402">
        <v>0</v>
      </c>
      <c r="K346" s="402">
        <v>0</v>
      </c>
      <c r="L346" s="402">
        <v>0</v>
      </c>
      <c r="M346" s="402">
        <v>0</v>
      </c>
      <c r="N346" s="402">
        <v>0</v>
      </c>
      <c r="O346" s="402">
        <v>0</v>
      </c>
      <c r="P346" s="402">
        <v>0</v>
      </c>
      <c r="Q346" s="186">
        <v>0</v>
      </c>
      <c r="R346" s="186">
        <v>0</v>
      </c>
      <c r="S346" s="186">
        <v>4600000</v>
      </c>
      <c r="T346" s="186">
        <v>10450000</v>
      </c>
      <c r="U346" s="186">
        <v>0</v>
      </c>
      <c r="V346" s="186">
        <v>0</v>
      </c>
      <c r="W346" s="186">
        <v>0</v>
      </c>
      <c r="X346" s="186">
        <v>0</v>
      </c>
      <c r="Y346" s="186">
        <v>0</v>
      </c>
      <c r="Z346" s="186">
        <v>0</v>
      </c>
      <c r="AA346" s="186">
        <v>12000000</v>
      </c>
      <c r="AB346" s="186">
        <v>4500000</v>
      </c>
      <c r="AC346" s="186">
        <v>3000000</v>
      </c>
      <c r="AD346" s="186">
        <v>0</v>
      </c>
      <c r="AE346" s="186">
        <v>0</v>
      </c>
      <c r="AF346" s="186">
        <v>23200000</v>
      </c>
      <c r="AG346" s="186">
        <v>5650000</v>
      </c>
      <c r="AH346" s="186">
        <v>0</v>
      </c>
      <c r="AI346" s="186">
        <v>0</v>
      </c>
      <c r="AJ346" s="186">
        <v>0</v>
      </c>
      <c r="AK346" s="186">
        <v>0</v>
      </c>
      <c r="AL346" s="186">
        <v>0</v>
      </c>
      <c r="AM346" s="186">
        <v>0</v>
      </c>
      <c r="AN346" s="186">
        <v>0</v>
      </c>
      <c r="AO346" s="186">
        <v>0</v>
      </c>
      <c r="AP346" s="186">
        <v>0</v>
      </c>
      <c r="AQ346" s="186">
        <v>0</v>
      </c>
      <c r="AR346" s="186">
        <v>0</v>
      </c>
      <c r="AS346" s="186">
        <v>0</v>
      </c>
      <c r="AT346" s="186">
        <v>0</v>
      </c>
      <c r="AU346" s="186">
        <v>0</v>
      </c>
      <c r="AV346" s="186">
        <v>0</v>
      </c>
      <c r="AW346" s="186">
        <v>0</v>
      </c>
      <c r="AX346" s="186">
        <v>0</v>
      </c>
      <c r="AY346" s="186">
        <v>0</v>
      </c>
      <c r="AZ346" s="186">
        <v>0</v>
      </c>
      <c r="BA346" s="186">
        <v>0</v>
      </c>
      <c r="BB346" s="186">
        <v>0</v>
      </c>
      <c r="BC346" s="186">
        <v>0</v>
      </c>
      <c r="BD346" s="186">
        <v>0</v>
      </c>
      <c r="BE346" s="186">
        <v>0</v>
      </c>
      <c r="BF346" s="186">
        <v>0</v>
      </c>
      <c r="BG346" s="186">
        <v>0</v>
      </c>
      <c r="BH346" s="186">
        <v>0</v>
      </c>
      <c r="BI346" s="186">
        <v>0</v>
      </c>
      <c r="BJ346" s="186">
        <v>0</v>
      </c>
      <c r="BK346" s="186">
        <v>0</v>
      </c>
      <c r="BL346" s="186">
        <v>0</v>
      </c>
      <c r="BM346" s="186">
        <v>0</v>
      </c>
      <c r="BN346" s="186">
        <v>0</v>
      </c>
      <c r="BO346" s="186">
        <v>0</v>
      </c>
      <c r="BP346" s="186">
        <v>0</v>
      </c>
      <c r="BQ346" s="186">
        <v>0</v>
      </c>
      <c r="BR346" s="186">
        <v>0</v>
      </c>
      <c r="BS346" s="186">
        <v>0</v>
      </c>
      <c r="BT346" s="186">
        <v>0</v>
      </c>
      <c r="BU346" s="186">
        <v>0</v>
      </c>
      <c r="BV346" s="186">
        <v>0</v>
      </c>
      <c r="BW346" s="186">
        <v>0</v>
      </c>
      <c r="BX346" s="186">
        <v>0</v>
      </c>
      <c r="BY346" s="186">
        <v>0</v>
      </c>
      <c r="BZ346" s="186">
        <v>0</v>
      </c>
      <c r="CA346" s="186">
        <v>0</v>
      </c>
      <c r="CB346" s="186">
        <v>0</v>
      </c>
      <c r="CC346" s="186">
        <v>0</v>
      </c>
      <c r="CD346" s="186">
        <v>0</v>
      </c>
      <c r="CE346" s="186">
        <v>0</v>
      </c>
      <c r="CF346" s="186">
        <v>0</v>
      </c>
      <c r="CG346" s="186">
        <v>0</v>
      </c>
      <c r="CH346" s="186">
        <v>0</v>
      </c>
      <c r="CI346" s="186">
        <v>9532753.8200000003</v>
      </c>
      <c r="CJ346" s="186">
        <v>9933659.4900000002</v>
      </c>
      <c r="CK346" s="186">
        <v>10459212.380000001</v>
      </c>
      <c r="CL346" s="186">
        <v>9618303.3200000003</v>
      </c>
      <c r="CM346" s="186">
        <v>10315787.27</v>
      </c>
      <c r="CN346" s="186">
        <v>9943295.0999999996</v>
      </c>
      <c r="CO346" s="186">
        <v>10267360</v>
      </c>
      <c r="CP346" s="186">
        <v>9828835.2899999991</v>
      </c>
      <c r="CQ346" s="186">
        <v>9719853.5899999999</v>
      </c>
      <c r="CR346" s="186">
        <v>10043801.52</v>
      </c>
      <c r="CS346" s="186">
        <v>9672449.2899999991</v>
      </c>
      <c r="CT346" s="186">
        <v>9146808.5800000001</v>
      </c>
      <c r="CU346" s="186">
        <v>9368777.5999999996</v>
      </c>
      <c r="CV346" s="186">
        <v>9985214.7300000004</v>
      </c>
    </row>
    <row r="347" spans="1:100">
      <c r="A347" t="s">
        <v>845</v>
      </c>
      <c r="D347" s="402">
        <v>1682578.18</v>
      </c>
      <c r="E347" s="402">
        <v>1462616.51</v>
      </c>
      <c r="F347" s="402">
        <v>728199.31</v>
      </c>
      <c r="G347" s="402">
        <v>979890.58</v>
      </c>
      <c r="H347" s="402">
        <v>2479684.08</v>
      </c>
      <c r="I347" s="402">
        <v>10648663.529999999</v>
      </c>
      <c r="J347" s="402">
        <v>1488272</v>
      </c>
      <c r="K347" s="402">
        <v>2089793.79</v>
      </c>
      <c r="L347" s="402">
        <v>2483003.98</v>
      </c>
      <c r="M347" s="402">
        <v>1882648.85</v>
      </c>
      <c r="N347" s="402">
        <v>3905435.65</v>
      </c>
      <c r="O347" s="402">
        <v>1301608.32</v>
      </c>
      <c r="P347" s="402">
        <v>4052631.34</v>
      </c>
      <c r="Q347" s="186">
        <v>931282.67</v>
      </c>
      <c r="R347" s="186">
        <v>2163255.9</v>
      </c>
      <c r="S347" s="186">
        <v>2254588.08</v>
      </c>
      <c r="T347" s="186">
        <v>2013841.25</v>
      </c>
      <c r="U347" s="186">
        <v>1614332.25</v>
      </c>
      <c r="V347" s="186">
        <v>2837890.92</v>
      </c>
      <c r="W347" s="186">
        <v>2766476.36</v>
      </c>
      <c r="X347" s="186">
        <v>2516200.25</v>
      </c>
      <c r="Y347" s="186">
        <v>928631.87</v>
      </c>
      <c r="Z347" s="186">
        <v>1675960.84</v>
      </c>
      <c r="AA347" s="186">
        <v>2349948.4300000002</v>
      </c>
      <c r="AB347" s="186">
        <v>1457299.19</v>
      </c>
      <c r="AC347" s="186">
        <v>2829742.65</v>
      </c>
      <c r="AD347" s="186">
        <v>2457229.4300000002</v>
      </c>
      <c r="AE347" s="186">
        <v>2948518.52</v>
      </c>
      <c r="AF347" s="186">
        <v>1635076.98</v>
      </c>
      <c r="AG347" s="186">
        <v>86583.99</v>
      </c>
      <c r="AH347" s="186">
        <v>360365.74</v>
      </c>
      <c r="AI347" s="186">
        <v>518687.03</v>
      </c>
      <c r="AJ347" s="186">
        <v>291024.31</v>
      </c>
      <c r="AK347" s="186">
        <v>48746.96</v>
      </c>
      <c r="AL347" s="186">
        <v>261654.41</v>
      </c>
      <c r="AM347" s="186">
        <v>158587.85</v>
      </c>
      <c r="AN347" s="186">
        <v>503313.03</v>
      </c>
      <c r="AO347" s="186">
        <v>619802.68999999994</v>
      </c>
      <c r="AP347" s="186">
        <v>634642.61</v>
      </c>
      <c r="AQ347" s="186">
        <v>939793.14</v>
      </c>
      <c r="AR347" s="186">
        <v>408073.38</v>
      </c>
      <c r="AS347" s="186">
        <v>1572729.47</v>
      </c>
      <c r="AT347" s="186">
        <v>1404369.23</v>
      </c>
      <c r="AU347" s="186">
        <v>1100678.23</v>
      </c>
      <c r="AV347" s="186">
        <v>20878471.289999999</v>
      </c>
      <c r="AW347" s="186">
        <v>5018491.0999999996</v>
      </c>
      <c r="AX347" s="186">
        <v>1025163.49</v>
      </c>
      <c r="AY347" s="186">
        <v>435683.47</v>
      </c>
      <c r="AZ347" s="186">
        <v>1710033.81</v>
      </c>
      <c r="BA347" s="186">
        <v>3492470.22</v>
      </c>
      <c r="BB347" s="186">
        <v>2241750.75</v>
      </c>
      <c r="BC347" s="186">
        <v>890002.85</v>
      </c>
      <c r="BD347" s="186">
        <v>318547.93</v>
      </c>
      <c r="BE347" s="186">
        <v>1161385.1100000001</v>
      </c>
      <c r="BF347" s="186">
        <v>3415462.82</v>
      </c>
      <c r="BG347" s="186">
        <v>2333749.14</v>
      </c>
      <c r="BH347" s="186">
        <v>1768842.13</v>
      </c>
      <c r="BI347" s="186">
        <v>3627743.86</v>
      </c>
      <c r="BJ347" s="186">
        <v>5204923.07</v>
      </c>
      <c r="BK347" s="186">
        <v>4402637.72</v>
      </c>
      <c r="BL347" s="186">
        <v>713313.1</v>
      </c>
      <c r="BM347" s="186">
        <v>3029000.92</v>
      </c>
      <c r="BN347" s="186">
        <v>922456.72</v>
      </c>
      <c r="BO347" s="186">
        <v>2538943.4300000002</v>
      </c>
      <c r="BP347" s="186">
        <v>985413.75</v>
      </c>
      <c r="BQ347" s="186">
        <v>2162611.64</v>
      </c>
      <c r="BR347" s="186">
        <v>793870.64</v>
      </c>
      <c r="BS347" s="186">
        <v>899724.5</v>
      </c>
      <c r="BT347" s="186">
        <v>1123644.49</v>
      </c>
      <c r="BU347" s="186">
        <v>3093512.67</v>
      </c>
      <c r="BV347" s="186">
        <v>2962536.56</v>
      </c>
      <c r="BW347" s="186">
        <v>790710.66</v>
      </c>
      <c r="BX347" s="186">
        <v>1028391.49</v>
      </c>
      <c r="BY347" s="186">
        <v>1617267.62</v>
      </c>
      <c r="BZ347" s="186">
        <v>615543.57999999996</v>
      </c>
      <c r="CA347" s="186">
        <v>1051850.45</v>
      </c>
      <c r="CB347" s="186">
        <v>320408.87</v>
      </c>
      <c r="CC347" s="186">
        <v>925310.73</v>
      </c>
      <c r="CD347" s="186">
        <v>964791.86</v>
      </c>
      <c r="CE347" s="186">
        <v>1181441.3999999999</v>
      </c>
      <c r="CF347" s="186">
        <v>941547.1</v>
      </c>
      <c r="CG347" s="186">
        <v>485400.81</v>
      </c>
      <c r="CH347" s="186">
        <v>651196.72</v>
      </c>
      <c r="CI347" s="186">
        <v>498782.47</v>
      </c>
      <c r="CJ347" s="186">
        <v>692220.36</v>
      </c>
      <c r="CK347" s="186">
        <v>445126.1</v>
      </c>
      <c r="CL347" s="186">
        <v>585526.36</v>
      </c>
      <c r="CM347" s="186">
        <v>1317455.7</v>
      </c>
      <c r="CN347" s="186">
        <v>1448720</v>
      </c>
      <c r="CO347" s="186">
        <v>797511.06</v>
      </c>
      <c r="CP347" s="186">
        <v>2124067.8199999998</v>
      </c>
      <c r="CQ347" s="186">
        <v>2972567.28</v>
      </c>
      <c r="CR347" s="186">
        <v>2620581.5099999998</v>
      </c>
      <c r="CS347" s="186">
        <v>1434046.91</v>
      </c>
      <c r="CT347" s="186">
        <v>1871289.54</v>
      </c>
      <c r="CU347" s="186">
        <v>906420.85</v>
      </c>
      <c r="CV347" s="186">
        <v>828793.11</v>
      </c>
    </row>
    <row r="348" spans="1:100">
      <c r="A348" t="s">
        <v>846</v>
      </c>
      <c r="D348" s="402">
        <v>3062782.86</v>
      </c>
      <c r="E348" s="402">
        <v>2461744.83</v>
      </c>
      <c r="F348" s="402">
        <v>2565528.77</v>
      </c>
      <c r="G348" s="402">
        <v>2101725.61</v>
      </c>
      <c r="H348" s="402">
        <v>2087172.27</v>
      </c>
      <c r="I348" s="402">
        <v>1960379.72</v>
      </c>
      <c r="J348" s="402">
        <v>1883606.53</v>
      </c>
      <c r="K348" s="402">
        <v>1886869.5</v>
      </c>
      <c r="L348" s="402">
        <v>1975215.06</v>
      </c>
      <c r="M348" s="402">
        <v>1938993.96</v>
      </c>
      <c r="N348" s="402">
        <v>1755238.86</v>
      </c>
      <c r="O348" s="402">
        <v>1763112.05</v>
      </c>
      <c r="P348" s="402">
        <v>1799639.2</v>
      </c>
      <c r="Q348" s="186">
        <v>1795256.79</v>
      </c>
      <c r="R348" s="186">
        <v>1882330.62</v>
      </c>
      <c r="S348" s="186">
        <v>1995646.83</v>
      </c>
      <c r="T348" s="186">
        <v>1941364.49</v>
      </c>
      <c r="U348" s="186">
        <v>1971050.56</v>
      </c>
      <c r="V348" s="186">
        <v>2109939.8199999998</v>
      </c>
      <c r="W348" s="186">
        <v>2392366.35</v>
      </c>
      <c r="X348" s="186">
        <v>2373514.0699999998</v>
      </c>
      <c r="Y348" s="186">
        <v>2155566.11</v>
      </c>
      <c r="Z348" s="186">
        <v>2415372.61</v>
      </c>
      <c r="AA348" s="186">
        <v>2065067.07</v>
      </c>
      <c r="AB348" s="186">
        <v>1914661.89</v>
      </c>
      <c r="AC348" s="186">
        <v>1876254.86</v>
      </c>
      <c r="AD348" s="186">
        <v>1981157.8</v>
      </c>
      <c r="AE348" s="186">
        <v>1959619.57</v>
      </c>
      <c r="AF348" s="186">
        <v>1899603.24</v>
      </c>
      <c r="AG348" s="186">
        <v>2257611.46</v>
      </c>
      <c r="AH348" s="186">
        <v>1808145.3</v>
      </c>
      <c r="AI348" s="186">
        <v>1956116.69</v>
      </c>
      <c r="AJ348" s="186">
        <v>1919024.36</v>
      </c>
      <c r="AK348" s="186">
        <v>2077150.46</v>
      </c>
      <c r="AL348" s="186">
        <v>1860636.12</v>
      </c>
      <c r="AM348" s="186">
        <v>1623395.73</v>
      </c>
      <c r="AN348" s="186">
        <v>1700702.4</v>
      </c>
      <c r="AO348" s="186">
        <v>1858855.81</v>
      </c>
      <c r="AP348" s="186">
        <v>1904817.91</v>
      </c>
      <c r="AQ348" s="186">
        <v>1988687.66</v>
      </c>
      <c r="AR348" s="186">
        <v>1926638.87</v>
      </c>
      <c r="AS348" s="186">
        <v>2100729.92</v>
      </c>
      <c r="AT348" s="186">
        <v>2046668.36</v>
      </c>
      <c r="AU348" s="186">
        <v>2071037.68</v>
      </c>
      <c r="AV348" s="186">
        <v>2016818.42</v>
      </c>
      <c r="AW348" s="186">
        <v>2131647.7999999998</v>
      </c>
      <c r="AX348" s="186">
        <v>2042216.68</v>
      </c>
      <c r="AY348" s="186">
        <v>1900584.82</v>
      </c>
      <c r="AZ348" s="186">
        <v>1887695.39</v>
      </c>
      <c r="BA348" s="186">
        <v>2070997.65</v>
      </c>
      <c r="BB348" s="186">
        <v>2149876.11</v>
      </c>
      <c r="BC348" s="186">
        <v>2006690.32</v>
      </c>
      <c r="BD348" s="186">
        <v>1972097.67</v>
      </c>
      <c r="BE348" s="186">
        <v>2190177.17</v>
      </c>
      <c r="BF348" s="186">
        <v>2163452.0299999998</v>
      </c>
      <c r="BG348" s="186">
        <v>2125576.85</v>
      </c>
      <c r="BH348" s="186">
        <v>2476378.0499999998</v>
      </c>
      <c r="BI348" s="186">
        <v>2741218.33</v>
      </c>
      <c r="BJ348" s="186">
        <v>2360109.85</v>
      </c>
      <c r="BK348" s="186">
        <v>2172177.2200000002</v>
      </c>
      <c r="BL348" s="186">
        <v>2073130.1</v>
      </c>
      <c r="BM348" s="186">
        <v>2183604.33</v>
      </c>
      <c r="BN348" s="186">
        <v>2363788.79</v>
      </c>
      <c r="BO348" s="186">
        <v>2385549.1</v>
      </c>
      <c r="BP348" s="186">
        <v>2474715.5499999998</v>
      </c>
      <c r="BQ348" s="186">
        <v>2512819.36</v>
      </c>
      <c r="BR348" s="186">
        <v>2780054.56</v>
      </c>
      <c r="BS348" s="186">
        <v>2687237.82</v>
      </c>
      <c r="BT348" s="186">
        <v>2783190.01</v>
      </c>
      <c r="BU348" s="186">
        <v>2571701.88</v>
      </c>
      <c r="BV348" s="186">
        <v>2738670.95</v>
      </c>
      <c r="BW348" s="186">
        <v>2709384.59</v>
      </c>
      <c r="BX348" s="186">
        <v>2401228.73</v>
      </c>
      <c r="BY348" s="186">
        <v>2400792.73</v>
      </c>
      <c r="BZ348" s="186">
        <v>2617789.75</v>
      </c>
      <c r="CA348" s="186">
        <v>2444409.17</v>
      </c>
      <c r="CB348" s="186">
        <v>2661159.0499999998</v>
      </c>
      <c r="CC348" s="186">
        <v>2807189.21</v>
      </c>
      <c r="CD348" s="186">
        <v>2832085.74</v>
      </c>
      <c r="CE348" s="186">
        <v>2649768.37</v>
      </c>
      <c r="CF348" s="186">
        <v>2895960.3</v>
      </c>
      <c r="CG348" s="186">
        <v>2763278.25</v>
      </c>
      <c r="CH348" s="186">
        <v>3044537</v>
      </c>
      <c r="CI348" s="186">
        <v>2851203.61</v>
      </c>
      <c r="CJ348" s="186">
        <v>2998336.09</v>
      </c>
      <c r="CK348" s="186">
        <v>3185968.43</v>
      </c>
      <c r="CL348" s="186">
        <v>3089869.03</v>
      </c>
      <c r="CM348" s="186">
        <v>3262009.15</v>
      </c>
      <c r="CN348" s="186">
        <v>3750227.49</v>
      </c>
      <c r="CO348" s="186">
        <v>3835254.8</v>
      </c>
      <c r="CP348" s="186">
        <v>4186310.55</v>
      </c>
      <c r="CQ348" s="186">
        <v>3842946.45</v>
      </c>
      <c r="CR348" s="186">
        <v>4056172.35</v>
      </c>
      <c r="CS348" s="186">
        <v>4544331.8499999996</v>
      </c>
      <c r="CT348" s="186">
        <v>4167012.26</v>
      </c>
      <c r="CU348" s="186">
        <v>4010626.99</v>
      </c>
      <c r="CV348" s="186">
        <v>2635011.9900000002</v>
      </c>
    </row>
    <row r="349" spans="1:100">
      <c r="A349" s="406" t="s">
        <v>881</v>
      </c>
      <c r="D349" s="402"/>
      <c r="E349" s="402"/>
      <c r="F349" s="402"/>
      <c r="G349" s="402"/>
      <c r="H349" s="402"/>
      <c r="I349" s="402"/>
      <c r="J349" s="402"/>
      <c r="K349" s="402"/>
      <c r="L349" s="402"/>
      <c r="M349" s="402"/>
      <c r="N349" s="402"/>
      <c r="O349" s="402"/>
      <c r="P349" s="402"/>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c r="BL349" s="186"/>
      <c r="BM349" s="186"/>
      <c r="BN349" s="186"/>
      <c r="BO349" s="186"/>
      <c r="BP349" s="186"/>
      <c r="BQ349" s="186"/>
      <c r="BR349" s="186"/>
      <c r="BS349" s="186"/>
      <c r="BT349" s="186"/>
      <c r="BU349" s="186"/>
      <c r="BV349" s="186"/>
      <c r="BW349" s="186"/>
      <c r="BX349" s="186"/>
      <c r="BY349" s="186"/>
      <c r="BZ349" s="186"/>
      <c r="CA349" s="186"/>
      <c r="CB349" s="186"/>
      <c r="CC349" s="186"/>
      <c r="CD349" s="186"/>
      <c r="CE349" s="186"/>
      <c r="CF349" s="186"/>
      <c r="CG349" s="186"/>
      <c r="CH349" s="186"/>
      <c r="CI349" s="186"/>
      <c r="CJ349" s="186"/>
      <c r="CK349" s="186"/>
      <c r="CL349" s="186"/>
      <c r="CM349" s="186"/>
      <c r="CN349" s="186"/>
      <c r="CO349" s="186"/>
      <c r="CP349" s="186"/>
      <c r="CQ349" s="186"/>
      <c r="CR349" s="186"/>
      <c r="CS349" s="186"/>
      <c r="CT349" s="186"/>
      <c r="CU349" s="186"/>
      <c r="CV349" s="186"/>
    </row>
    <row r="350" spans="1:100">
      <c r="A350" s="406" t="s">
        <v>882</v>
      </c>
      <c r="D350" s="402"/>
      <c r="E350" s="402"/>
      <c r="F350" s="402"/>
      <c r="G350" s="402"/>
      <c r="H350" s="402"/>
      <c r="I350" s="402"/>
      <c r="J350" s="402"/>
      <c r="K350" s="402"/>
      <c r="L350" s="402"/>
      <c r="M350" s="402"/>
      <c r="N350" s="402"/>
      <c r="O350" s="402"/>
      <c r="P350" s="402"/>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row>
    <row r="351" spans="1:100">
      <c r="A351" t="s">
        <v>847</v>
      </c>
      <c r="D351" s="402">
        <v>0</v>
      </c>
      <c r="E351" s="402">
        <v>0</v>
      </c>
      <c r="F351" s="402">
        <v>0</v>
      </c>
      <c r="G351" s="402">
        <v>0</v>
      </c>
      <c r="H351" s="402">
        <v>0</v>
      </c>
      <c r="I351" s="402">
        <v>674234.7</v>
      </c>
      <c r="J351" s="402">
        <v>915628.68</v>
      </c>
      <c r="K351" s="402">
        <v>566433.19999999995</v>
      </c>
      <c r="L351" s="402">
        <v>526874.73</v>
      </c>
      <c r="M351" s="402">
        <v>526874.73</v>
      </c>
      <c r="N351" s="402">
        <v>371458.67</v>
      </c>
      <c r="O351" s="402">
        <v>371458.67</v>
      </c>
      <c r="P351" s="402">
        <v>0.09</v>
      </c>
      <c r="Q351" s="186">
        <v>0.09</v>
      </c>
      <c r="R351" s="186">
        <v>126382.76</v>
      </c>
      <c r="S351" s="186">
        <v>126462.97</v>
      </c>
      <c r="T351" s="186">
        <v>303357.52</v>
      </c>
      <c r="U351" s="186">
        <v>328220.69</v>
      </c>
      <c r="V351" s="186">
        <v>152306.04</v>
      </c>
      <c r="W351" s="186">
        <v>275336.45</v>
      </c>
      <c r="X351" s="186">
        <v>188053.91</v>
      </c>
      <c r="Y351" s="186">
        <v>274691.52</v>
      </c>
      <c r="Z351" s="186">
        <v>274691.52</v>
      </c>
      <c r="AA351" s="186">
        <v>234990.37</v>
      </c>
      <c r="AB351" s="186">
        <v>158626.06</v>
      </c>
      <c r="AC351" s="186">
        <v>116977.52</v>
      </c>
      <c r="AD351" s="186">
        <v>141290.51999999999</v>
      </c>
      <c r="AE351" s="186">
        <v>180751.19</v>
      </c>
      <c r="AF351" s="186">
        <v>128606.99</v>
      </c>
      <c r="AG351" s="186">
        <v>175062.51</v>
      </c>
      <c r="AH351" s="186">
        <v>175779.32</v>
      </c>
      <c r="AI351" s="186">
        <v>159177.10999999999</v>
      </c>
      <c r="AJ351" s="186">
        <v>610201.92000000004</v>
      </c>
      <c r="AK351" s="186">
        <v>610201.92000000004</v>
      </c>
      <c r="AL351" s="186">
        <v>537006.63</v>
      </c>
      <c r="AM351" s="186">
        <v>537006.63</v>
      </c>
      <c r="AN351" s="186">
        <v>376420.21</v>
      </c>
      <c r="AO351" s="186">
        <v>332841.99</v>
      </c>
      <c r="AP351" s="186">
        <v>441100.59</v>
      </c>
      <c r="AQ351" s="186">
        <v>276589.73</v>
      </c>
      <c r="AR351" s="186">
        <v>326172.79999999999</v>
      </c>
      <c r="AS351" s="186">
        <v>326172.79999999999</v>
      </c>
      <c r="AT351" s="186">
        <v>467078.08</v>
      </c>
      <c r="AU351" s="186">
        <v>344971.23</v>
      </c>
      <c r="AV351" s="186">
        <v>354483.55</v>
      </c>
      <c r="AW351" s="186">
        <v>-2.37</v>
      </c>
      <c r="AX351" s="186">
        <v>-2.37</v>
      </c>
      <c r="AY351" s="186">
        <v>-2.37</v>
      </c>
      <c r="AZ351" s="186">
        <v>-2.37</v>
      </c>
      <c r="BA351" s="186">
        <v>-2.37</v>
      </c>
      <c r="BB351" s="186">
        <v>-2.37</v>
      </c>
      <c r="BC351" s="186">
        <v>-2.37</v>
      </c>
      <c r="BD351" s="186">
        <v>-2.37</v>
      </c>
      <c r="BE351" s="186">
        <v>-2.37</v>
      </c>
      <c r="BF351" s="186">
        <v>-2.37</v>
      </c>
      <c r="BG351" s="186">
        <v>0</v>
      </c>
      <c r="BH351" s="186">
        <v>0</v>
      </c>
      <c r="BI351" s="186">
        <v>0</v>
      </c>
      <c r="BJ351" s="186">
        <v>0</v>
      </c>
      <c r="BK351" s="186">
        <v>0</v>
      </c>
      <c r="BL351" s="186">
        <v>0</v>
      </c>
      <c r="BM351" s="186">
        <v>0</v>
      </c>
      <c r="BN351" s="186">
        <v>0</v>
      </c>
      <c r="BO351" s="186">
        <v>0</v>
      </c>
      <c r="BP351" s="186">
        <v>0</v>
      </c>
      <c r="BQ351" s="186">
        <v>0</v>
      </c>
      <c r="BR351" s="186">
        <v>0</v>
      </c>
      <c r="BS351" s="186">
        <v>0</v>
      </c>
      <c r="BT351" s="186">
        <v>0</v>
      </c>
      <c r="BU351" s="186">
        <v>0</v>
      </c>
      <c r="BV351" s="186">
        <v>0</v>
      </c>
      <c r="BW351" s="186">
        <v>0</v>
      </c>
      <c r="BX351" s="186">
        <v>0</v>
      </c>
      <c r="BY351" s="186">
        <v>0</v>
      </c>
      <c r="BZ351" s="186">
        <v>0</v>
      </c>
      <c r="CA351" s="186">
        <v>0</v>
      </c>
      <c r="CB351" s="186">
        <v>0</v>
      </c>
      <c r="CC351" s="186">
        <v>0</v>
      </c>
      <c r="CD351" s="186">
        <v>0</v>
      </c>
      <c r="CE351" s="186">
        <v>0</v>
      </c>
      <c r="CF351" s="186">
        <v>0</v>
      </c>
      <c r="CG351" s="186">
        <v>0</v>
      </c>
      <c r="CH351" s="186">
        <v>0</v>
      </c>
      <c r="CI351" s="186">
        <v>0</v>
      </c>
      <c r="CJ351" s="186">
        <v>0</v>
      </c>
      <c r="CK351" s="186">
        <v>0</v>
      </c>
      <c r="CL351" s="186">
        <v>0</v>
      </c>
      <c r="CM351" s="186">
        <v>0</v>
      </c>
      <c r="CN351" s="186">
        <v>0</v>
      </c>
      <c r="CO351" s="186">
        <v>0</v>
      </c>
      <c r="CP351" s="186">
        <v>0</v>
      </c>
      <c r="CQ351" s="186">
        <v>0</v>
      </c>
      <c r="CR351" s="186">
        <v>0</v>
      </c>
      <c r="CS351" s="186">
        <v>0</v>
      </c>
      <c r="CT351" s="186">
        <v>0</v>
      </c>
      <c r="CU351" s="186">
        <v>995777.75</v>
      </c>
      <c r="CV351" s="186">
        <v>864732.09</v>
      </c>
    </row>
    <row r="352" spans="1:100">
      <c r="A352" t="s">
        <v>848</v>
      </c>
      <c r="D352" s="402">
        <v>1368776.14</v>
      </c>
      <c r="E352" s="402">
        <v>1039520.34</v>
      </c>
      <c r="F352" s="402">
        <v>907146.63</v>
      </c>
      <c r="G352" s="402">
        <v>831246.05</v>
      </c>
      <c r="H352" s="402">
        <v>782113.05</v>
      </c>
      <c r="I352" s="402">
        <v>656513.97</v>
      </c>
      <c r="J352" s="402">
        <v>631619.04</v>
      </c>
      <c r="K352" s="402">
        <v>1953980.05</v>
      </c>
      <c r="L352" s="402">
        <v>1772697.36</v>
      </c>
      <c r="M352" s="402">
        <v>1628933.26</v>
      </c>
      <c r="N352" s="402">
        <v>1485297.55</v>
      </c>
      <c r="O352" s="402">
        <v>1334468.3999999999</v>
      </c>
      <c r="P352" s="402">
        <v>1647948.32</v>
      </c>
      <c r="Q352" s="186">
        <v>1354406.4</v>
      </c>
      <c r="R352" s="186">
        <v>1184886.3999999999</v>
      </c>
      <c r="S352" s="186">
        <v>1059905.23</v>
      </c>
      <c r="T352" s="186">
        <v>1057213.8400000001</v>
      </c>
      <c r="U352" s="186">
        <v>957683.84</v>
      </c>
      <c r="V352" s="186">
        <v>774697.28</v>
      </c>
      <c r="W352" s="186">
        <v>2204593.34</v>
      </c>
      <c r="X352" s="186">
        <v>2007777.08</v>
      </c>
      <c r="Y352" s="186">
        <v>1843005.82</v>
      </c>
      <c r="Z352" s="186">
        <v>1643519.14</v>
      </c>
      <c r="AA352" s="186">
        <v>1444032.46</v>
      </c>
      <c r="AB352" s="186">
        <v>1885907.19</v>
      </c>
      <c r="AC352" s="186">
        <v>1578367.66</v>
      </c>
      <c r="AD352" s="186">
        <v>1352296.66</v>
      </c>
      <c r="AE352" s="186">
        <v>1326325.18</v>
      </c>
      <c r="AF352" s="186">
        <v>1113343.06</v>
      </c>
      <c r="AG352" s="186">
        <v>935977.93</v>
      </c>
      <c r="AH352" s="186">
        <v>734975.06</v>
      </c>
      <c r="AI352" s="186">
        <v>2058174.99</v>
      </c>
      <c r="AJ352" s="186">
        <v>1876162.32</v>
      </c>
      <c r="AK352" s="186">
        <v>1722410.24</v>
      </c>
      <c r="AL352" s="186">
        <v>1480709.62</v>
      </c>
      <c r="AM352" s="186">
        <v>1441957.5</v>
      </c>
      <c r="AN352" s="186">
        <v>2571948.0499999998</v>
      </c>
      <c r="AO352" s="186">
        <v>2637079.91</v>
      </c>
      <c r="AP352" s="186">
        <v>2412686.77</v>
      </c>
      <c r="AQ352" s="186">
        <v>2493829.9900000002</v>
      </c>
      <c r="AR352" s="186">
        <v>2161501.91</v>
      </c>
      <c r="AS352" s="186">
        <v>1938411.13</v>
      </c>
      <c r="AT352" s="186">
        <v>1711056.75</v>
      </c>
      <c r="AU352" s="186">
        <v>1533561.22</v>
      </c>
      <c r="AV352" s="186">
        <v>1302457.25</v>
      </c>
      <c r="AW352" s="186">
        <v>1068417.3400000001</v>
      </c>
      <c r="AX352" s="186">
        <v>814981.04</v>
      </c>
      <c r="AY352" s="186">
        <v>580511.29</v>
      </c>
      <c r="AZ352" s="186">
        <v>1546852.29</v>
      </c>
      <c r="BA352" s="186">
        <v>2611172.39</v>
      </c>
      <c r="BB352" s="186">
        <v>2661375.6800000002</v>
      </c>
      <c r="BC352" s="186">
        <v>2747632.17</v>
      </c>
      <c r="BD352" s="186">
        <v>2397497.58</v>
      </c>
      <c r="BE352" s="186">
        <v>2167945.7999999998</v>
      </c>
      <c r="BF352" s="186">
        <v>1836984.8</v>
      </c>
      <c r="BG352" s="186">
        <v>1481309.37</v>
      </c>
      <c r="BH352" s="186">
        <v>1278482.94</v>
      </c>
      <c r="BI352" s="186">
        <v>1030993.89</v>
      </c>
      <c r="BJ352" s="186">
        <v>805904.87</v>
      </c>
      <c r="BK352" s="186">
        <v>548556.31999999995</v>
      </c>
      <c r="BL352" s="186">
        <v>619353.9</v>
      </c>
      <c r="BM352" s="186">
        <v>2100329.87</v>
      </c>
      <c r="BN352" s="186">
        <v>2804733.02</v>
      </c>
      <c r="BO352" s="186">
        <v>2555790.98</v>
      </c>
      <c r="BP352" s="186">
        <v>2236028.4300000002</v>
      </c>
      <c r="BQ352" s="186">
        <v>1973524.77</v>
      </c>
      <c r="BR352" s="186">
        <v>1716836.66</v>
      </c>
      <c r="BS352" s="186">
        <v>1570580.19</v>
      </c>
      <c r="BT352" s="186">
        <v>1545093.89</v>
      </c>
      <c r="BU352" s="186">
        <v>1550635.04</v>
      </c>
      <c r="BV352" s="186">
        <v>1228478.6200000001</v>
      </c>
      <c r="BW352" s="186">
        <v>967258.04</v>
      </c>
      <c r="BX352" s="186">
        <v>1409778.76</v>
      </c>
      <c r="BY352" s="186">
        <v>3557474.63</v>
      </c>
      <c r="BZ352" s="186">
        <v>3489933.18</v>
      </c>
      <c r="CA352" s="186">
        <v>3363992.47</v>
      </c>
      <c r="CB352" s="186">
        <v>2969990.76</v>
      </c>
      <c r="CC352" s="186">
        <v>2639321.63</v>
      </c>
      <c r="CD352" s="186">
        <v>2532971.7999999998</v>
      </c>
      <c r="CE352" s="186">
        <v>2080121.22</v>
      </c>
      <c r="CF352" s="186">
        <v>1822052.29</v>
      </c>
      <c r="CG352" s="186">
        <v>1503255.96</v>
      </c>
      <c r="CH352" s="186">
        <v>1044021.41</v>
      </c>
      <c r="CI352" s="186">
        <v>703365.82</v>
      </c>
      <c r="CJ352" s="186">
        <v>1156912.8</v>
      </c>
      <c r="CK352" s="186">
        <v>3134726.35</v>
      </c>
      <c r="CL352" s="186">
        <v>3235280.12</v>
      </c>
      <c r="CM352" s="186">
        <v>3057358.61</v>
      </c>
      <c r="CN352" s="186">
        <v>2786915.92</v>
      </c>
      <c r="CO352" s="186">
        <v>2369682.1</v>
      </c>
      <c r="CP352" s="186">
        <v>2210480.59</v>
      </c>
      <c r="CQ352" s="186">
        <v>4759789.76</v>
      </c>
      <c r="CR352" s="186">
        <v>4377565.33</v>
      </c>
      <c r="CS352" s="186">
        <v>3826772.77</v>
      </c>
      <c r="CT352" s="186">
        <v>3194175.51</v>
      </c>
      <c r="CU352" s="186">
        <v>2743106.68</v>
      </c>
      <c r="CV352" s="186">
        <v>3413030.42</v>
      </c>
    </row>
    <row r="353" spans="1:100">
      <c r="A353" t="s">
        <v>849</v>
      </c>
      <c r="D353" s="402">
        <v>10453804</v>
      </c>
      <c r="E353" s="402">
        <v>14121424</v>
      </c>
      <c r="F353" s="402">
        <v>14501272</v>
      </c>
      <c r="G353" s="402">
        <v>12210429</v>
      </c>
      <c r="H353" s="402">
        <v>11264410</v>
      </c>
      <c r="I353" s="402">
        <v>9588042</v>
      </c>
      <c r="J353" s="402">
        <v>9309625</v>
      </c>
      <c r="K353" s="402">
        <v>8689961</v>
      </c>
      <c r="L353" s="402">
        <v>8265612</v>
      </c>
      <c r="M353" s="402">
        <v>8573106</v>
      </c>
      <c r="N353" s="402">
        <v>8758043</v>
      </c>
      <c r="O353" s="402">
        <v>9690129</v>
      </c>
      <c r="P353" s="402">
        <v>12160508</v>
      </c>
      <c r="Q353" s="186">
        <v>13773698</v>
      </c>
      <c r="R353" s="186">
        <v>13842191</v>
      </c>
      <c r="S353" s="186">
        <v>13153486</v>
      </c>
      <c r="T353" s="186">
        <v>10396447</v>
      </c>
      <c r="U353" s="186">
        <v>8997653</v>
      </c>
      <c r="V353" s="186">
        <v>9318367</v>
      </c>
      <c r="W353" s="186">
        <v>8578586</v>
      </c>
      <c r="X353" s="186">
        <v>8605700</v>
      </c>
      <c r="Y353" s="186">
        <v>8467002</v>
      </c>
      <c r="Z353" s="186">
        <v>8631054</v>
      </c>
      <c r="AA353" s="186">
        <v>9332814</v>
      </c>
      <c r="AB353" s="186">
        <v>10568472</v>
      </c>
      <c r="AC353" s="186">
        <v>13194093</v>
      </c>
      <c r="AD353" s="186">
        <v>14606125</v>
      </c>
      <c r="AE353" s="186">
        <v>12771278</v>
      </c>
      <c r="AF353" s="186">
        <v>11268386</v>
      </c>
      <c r="AG353" s="186">
        <v>9955795</v>
      </c>
      <c r="AH353" s="186">
        <v>9011790</v>
      </c>
      <c r="AI353" s="186">
        <v>8305546</v>
      </c>
      <c r="AJ353" s="186">
        <v>8236893</v>
      </c>
      <c r="AK353" s="186">
        <v>8329332</v>
      </c>
      <c r="AL353" s="186">
        <v>8272996</v>
      </c>
      <c r="AM353" s="186">
        <v>9246536</v>
      </c>
      <c r="AN353" s="186">
        <v>10736588</v>
      </c>
      <c r="AO353" s="186">
        <v>12078768</v>
      </c>
      <c r="AP353" s="186">
        <v>11961224</v>
      </c>
      <c r="AQ353" s="186">
        <v>11195527</v>
      </c>
      <c r="AR353" s="186">
        <v>10986039</v>
      </c>
      <c r="AS353" s="186">
        <v>9783910</v>
      </c>
      <c r="AT353" s="186">
        <v>8920964</v>
      </c>
      <c r="AU353" s="186">
        <v>8405325</v>
      </c>
      <c r="AV353" s="186">
        <v>8345855</v>
      </c>
      <c r="AW353" s="186">
        <v>8880385</v>
      </c>
      <c r="AX353" s="186">
        <v>9055757</v>
      </c>
      <c r="AY353" s="186">
        <v>10184241</v>
      </c>
      <c r="AZ353" s="186">
        <v>12037763</v>
      </c>
      <c r="BA353" s="186">
        <v>16903475</v>
      </c>
      <c r="BB353" s="186">
        <v>15075867</v>
      </c>
      <c r="BC353" s="186">
        <v>12324817</v>
      </c>
      <c r="BD353" s="186">
        <v>12712880</v>
      </c>
      <c r="BE353" s="186">
        <v>10609698</v>
      </c>
      <c r="BF353" s="186">
        <v>9391200</v>
      </c>
      <c r="BG353" s="186">
        <v>9182201</v>
      </c>
      <c r="BH353" s="186">
        <v>8937787</v>
      </c>
      <c r="BI353" s="186">
        <v>8976897</v>
      </c>
      <c r="BJ353" s="186">
        <v>8940430</v>
      </c>
      <c r="BK353" s="186">
        <v>10330350</v>
      </c>
      <c r="BL353" s="186">
        <v>12353298</v>
      </c>
      <c r="BM353" s="186">
        <v>13959659</v>
      </c>
      <c r="BN353" s="186">
        <v>11843869</v>
      </c>
      <c r="BO353" s="186">
        <v>12411808</v>
      </c>
      <c r="BP353" s="186">
        <v>12154083</v>
      </c>
      <c r="BQ353" s="186">
        <v>10937017</v>
      </c>
      <c r="BR353" s="186">
        <v>9590748</v>
      </c>
      <c r="BS353" s="186">
        <v>9249482</v>
      </c>
      <c r="BT353" s="186">
        <v>8624741</v>
      </c>
      <c r="BU353" s="186">
        <v>8918257</v>
      </c>
      <c r="BV353" s="186">
        <v>8868740</v>
      </c>
      <c r="BW353" s="186">
        <v>11408241</v>
      </c>
      <c r="BX353" s="186">
        <v>12585260</v>
      </c>
      <c r="BY353" s="186">
        <v>13948631</v>
      </c>
      <c r="BZ353" s="186">
        <v>13340275</v>
      </c>
      <c r="CA353" s="186">
        <v>11488328</v>
      </c>
      <c r="CB353" s="186">
        <v>10090773</v>
      </c>
      <c r="CC353" s="186">
        <v>9202897</v>
      </c>
      <c r="CD353" s="186">
        <v>9178472</v>
      </c>
      <c r="CE353" s="186">
        <v>8547643</v>
      </c>
      <c r="CF353" s="186">
        <v>8576101</v>
      </c>
      <c r="CG353" s="186">
        <v>8525635</v>
      </c>
      <c r="CH353" s="186">
        <v>9004210</v>
      </c>
      <c r="CI353" s="186">
        <v>10300774</v>
      </c>
      <c r="CJ353" s="186">
        <v>15058285</v>
      </c>
      <c r="CK353" s="186">
        <v>18903678</v>
      </c>
      <c r="CL353" s="186">
        <v>15409592</v>
      </c>
      <c r="CM353" s="186">
        <v>16257338</v>
      </c>
      <c r="CN353" s="186">
        <v>16067614</v>
      </c>
      <c r="CO353" s="186">
        <v>13825000</v>
      </c>
      <c r="CP353" s="186">
        <v>12980495</v>
      </c>
      <c r="CQ353" s="186">
        <v>12554084</v>
      </c>
      <c r="CR353" s="186">
        <v>11932838</v>
      </c>
      <c r="CS353" s="186">
        <v>12452247</v>
      </c>
      <c r="CT353" s="186">
        <v>12150759</v>
      </c>
      <c r="CU353" s="186">
        <v>13785737</v>
      </c>
      <c r="CV353" s="186">
        <v>17180538</v>
      </c>
    </row>
    <row r="354" spans="1:100">
      <c r="A354" t="s">
        <v>850</v>
      </c>
      <c r="D354" s="402">
        <v>1135145</v>
      </c>
      <c r="E354" s="402">
        <v>3564445</v>
      </c>
      <c r="F354" s="402">
        <v>2489515</v>
      </c>
      <c r="G354" s="402">
        <v>1505045</v>
      </c>
      <c r="H354" s="402">
        <v>3092578.68</v>
      </c>
      <c r="I354" s="402">
        <v>1180610</v>
      </c>
      <c r="J354" s="402">
        <v>677755</v>
      </c>
      <c r="K354" s="402">
        <v>0</v>
      </c>
      <c r="L354" s="402">
        <v>4975</v>
      </c>
      <c r="M354" s="402">
        <v>0</v>
      </c>
      <c r="N354" s="402">
        <v>0</v>
      </c>
      <c r="O354" s="402">
        <v>0</v>
      </c>
      <c r="P354" s="402">
        <v>0</v>
      </c>
      <c r="Q354" s="186">
        <v>0</v>
      </c>
      <c r="R354" s="186">
        <v>0</v>
      </c>
      <c r="S354" s="186">
        <v>27523.919999999998</v>
      </c>
      <c r="T354" s="186">
        <v>187787.92</v>
      </c>
      <c r="U354" s="186">
        <v>0</v>
      </c>
      <c r="V354" s="186">
        <v>360</v>
      </c>
      <c r="W354" s="186">
        <v>0</v>
      </c>
      <c r="X354" s="186">
        <v>0</v>
      </c>
      <c r="Y354" s="186">
        <v>0</v>
      </c>
      <c r="Z354" s="186">
        <v>0</v>
      </c>
      <c r="AA354" s="186">
        <v>0</v>
      </c>
      <c r="AB354" s="186">
        <v>0</v>
      </c>
      <c r="AC354" s="186">
        <v>2520</v>
      </c>
      <c r="AD354" s="186">
        <v>0</v>
      </c>
      <c r="AE354" s="186">
        <v>2790</v>
      </c>
      <c r="AF354" s="186">
        <v>56285</v>
      </c>
      <c r="AG354" s="186">
        <v>78685</v>
      </c>
      <c r="AH354" s="186">
        <v>358635</v>
      </c>
      <c r="AI354" s="186">
        <v>351745</v>
      </c>
      <c r="AJ354" s="186">
        <v>201625</v>
      </c>
      <c r="AK354" s="186">
        <v>118295</v>
      </c>
      <c r="AL354" s="186">
        <v>153405</v>
      </c>
      <c r="AM354" s="186">
        <v>532145</v>
      </c>
      <c r="AN354" s="186">
        <v>1989240</v>
      </c>
      <c r="AO354" s="186">
        <v>535400</v>
      </c>
      <c r="AP354" s="186">
        <v>31520</v>
      </c>
      <c r="AQ354" s="186">
        <v>482880</v>
      </c>
      <c r="AR354" s="186">
        <v>538845</v>
      </c>
      <c r="AS354" s="186">
        <v>169525</v>
      </c>
      <c r="AT354" s="186">
        <v>88275</v>
      </c>
      <c r="AU354" s="186">
        <v>8450</v>
      </c>
      <c r="AV354" s="186">
        <v>101195</v>
      </c>
      <c r="AW354" s="186">
        <v>79745</v>
      </c>
      <c r="AX354" s="186">
        <v>4800</v>
      </c>
      <c r="AY354" s="186">
        <v>7230</v>
      </c>
      <c r="AZ354" s="186">
        <v>0</v>
      </c>
      <c r="BA354" s="186">
        <v>77895</v>
      </c>
      <c r="BB354" s="186">
        <v>0</v>
      </c>
      <c r="BC354" s="186">
        <v>0</v>
      </c>
      <c r="BD354" s="186">
        <v>2040</v>
      </c>
      <c r="BE354" s="186">
        <v>20020</v>
      </c>
      <c r="BF354" s="186">
        <v>15330</v>
      </c>
      <c r="BG354" s="186">
        <v>0</v>
      </c>
      <c r="BH354" s="186">
        <v>3500</v>
      </c>
      <c r="BI354" s="186">
        <v>10040</v>
      </c>
      <c r="BJ354" s="186">
        <v>14650</v>
      </c>
      <c r="BK354" s="186">
        <v>0</v>
      </c>
      <c r="BL354" s="186">
        <v>0</v>
      </c>
      <c r="BM354" s="186">
        <v>0</v>
      </c>
      <c r="BN354" s="186">
        <v>0</v>
      </c>
      <c r="BO354" s="186">
        <v>0</v>
      </c>
      <c r="BP354" s="186">
        <v>0</v>
      </c>
      <c r="BQ354" s="186">
        <v>0</v>
      </c>
      <c r="BR354" s="186">
        <v>0</v>
      </c>
      <c r="BS354" s="186">
        <v>0</v>
      </c>
      <c r="BT354" s="186">
        <v>0</v>
      </c>
      <c r="BU354" s="186">
        <v>0</v>
      </c>
      <c r="BV354" s="186">
        <v>0</v>
      </c>
      <c r="BW354" s="186">
        <v>0</v>
      </c>
      <c r="BX354" s="186">
        <v>0</v>
      </c>
      <c r="BY354" s="186">
        <v>0</v>
      </c>
      <c r="BZ354" s="186">
        <v>0</v>
      </c>
      <c r="CA354" s="186">
        <v>0</v>
      </c>
      <c r="CB354" s="186">
        <v>0</v>
      </c>
      <c r="CC354" s="186">
        <v>0</v>
      </c>
      <c r="CD354" s="186">
        <v>0</v>
      </c>
      <c r="CE354" s="186">
        <v>0</v>
      </c>
      <c r="CF354" s="186">
        <v>0</v>
      </c>
      <c r="CG354" s="186">
        <v>0</v>
      </c>
      <c r="CH354" s="186">
        <v>0</v>
      </c>
      <c r="CI354" s="186">
        <v>0</v>
      </c>
      <c r="CJ354" s="186">
        <v>0</v>
      </c>
      <c r="CK354" s="186">
        <v>0</v>
      </c>
      <c r="CL354" s="186">
        <v>0</v>
      </c>
      <c r="CM354" s="186">
        <v>0</v>
      </c>
      <c r="CN354" s="186">
        <v>0</v>
      </c>
      <c r="CO354" s="186">
        <v>0</v>
      </c>
      <c r="CP354" s="186">
        <v>0</v>
      </c>
      <c r="CQ354" s="186">
        <v>0</v>
      </c>
      <c r="CR354" s="186">
        <v>0</v>
      </c>
      <c r="CS354" s="186">
        <v>0</v>
      </c>
      <c r="CT354" s="186">
        <v>0</v>
      </c>
      <c r="CU354" s="186">
        <v>0</v>
      </c>
      <c r="CV354" s="186">
        <v>0</v>
      </c>
    </row>
    <row r="355" spans="1:100">
      <c r="A355" t="s">
        <v>851</v>
      </c>
      <c r="D355" s="402">
        <v>1094576.58</v>
      </c>
      <c r="E355" s="402">
        <v>1087397.54</v>
      </c>
      <c r="F355" s="402">
        <v>1080218.5</v>
      </c>
      <c r="G355" s="402">
        <v>1073039.46</v>
      </c>
      <c r="H355" s="402">
        <v>1065860.42</v>
      </c>
      <c r="I355" s="402">
        <v>1151468.8799999999</v>
      </c>
      <c r="J355" s="402">
        <v>1146259.69</v>
      </c>
      <c r="K355" s="402">
        <v>1141357.42</v>
      </c>
      <c r="L355" s="402">
        <v>1134105.01</v>
      </c>
      <c r="M355" s="402">
        <v>1136898.3899999999</v>
      </c>
      <c r="N355" s="402">
        <v>1129580.24</v>
      </c>
      <c r="O355" s="402">
        <v>1122097.51</v>
      </c>
      <c r="P355" s="402">
        <v>1114614.78</v>
      </c>
      <c r="Q355" s="186">
        <v>1107132.05</v>
      </c>
      <c r="R355" s="186">
        <v>1099649.32</v>
      </c>
      <c r="S355" s="186">
        <v>1092166.5900000001</v>
      </c>
      <c r="T355" s="186">
        <v>1084683.8600000001</v>
      </c>
      <c r="U355" s="186">
        <v>1266226.81</v>
      </c>
      <c r="V355" s="186">
        <v>1277958.69</v>
      </c>
      <c r="W355" s="186">
        <v>1271078.6399999999</v>
      </c>
      <c r="X355" s="186">
        <v>1263012.55</v>
      </c>
      <c r="Y355" s="186">
        <v>1264835.3400000001</v>
      </c>
      <c r="Z355" s="186">
        <v>1256741.47</v>
      </c>
      <c r="AA355" s="186">
        <v>1248648.31</v>
      </c>
      <c r="AB355" s="186">
        <v>1240554.44</v>
      </c>
      <c r="AC355" s="186">
        <v>1232460.57</v>
      </c>
      <c r="AD355" s="186">
        <v>1224366.7</v>
      </c>
      <c r="AE355" s="186">
        <v>1216272.83</v>
      </c>
      <c r="AF355" s="186">
        <v>1208178.96</v>
      </c>
      <c r="AG355" s="186">
        <v>1200085.0900000001</v>
      </c>
      <c r="AH355" s="186">
        <v>1191991.22</v>
      </c>
      <c r="AI355" s="186">
        <v>1183897.3500000001</v>
      </c>
      <c r="AJ355" s="186">
        <v>1175803.48</v>
      </c>
      <c r="AK355" s="186">
        <v>1167709.6100000001</v>
      </c>
      <c r="AL355" s="186">
        <v>1159615.74</v>
      </c>
      <c r="AM355" s="186">
        <v>1151521.8700000001</v>
      </c>
      <c r="AN355" s="186">
        <v>1143428</v>
      </c>
      <c r="AO355" s="186">
        <v>1135334.1299999999</v>
      </c>
      <c r="AP355" s="186">
        <v>1127240.26</v>
      </c>
      <c r="AQ355" s="186">
        <v>1119146.3899999999</v>
      </c>
      <c r="AR355" s="186">
        <v>1111052.52</v>
      </c>
      <c r="AS355" s="186">
        <v>1102958.6499999999</v>
      </c>
      <c r="AT355" s="186">
        <v>1094864.78</v>
      </c>
      <c r="AU355" s="186">
        <v>1086770.9099999999</v>
      </c>
      <c r="AV355" s="186">
        <v>1078677.04</v>
      </c>
      <c r="AW355" s="186">
        <v>1070583.17</v>
      </c>
      <c r="AX355" s="186">
        <v>1062489.3</v>
      </c>
      <c r="AY355" s="186">
        <v>1054395.43</v>
      </c>
      <c r="AZ355" s="186">
        <v>1046301.56</v>
      </c>
      <c r="BA355" s="186">
        <v>1038207.69</v>
      </c>
      <c r="BB355" s="186">
        <v>1030113.82</v>
      </c>
      <c r="BC355" s="186">
        <v>1067879.33</v>
      </c>
      <c r="BD355" s="186">
        <v>1053234.1200000001</v>
      </c>
      <c r="BE355" s="186">
        <v>1040165.93</v>
      </c>
      <c r="BF355" s="186">
        <v>1785062.77</v>
      </c>
      <c r="BG355" s="186">
        <v>1787671.47</v>
      </c>
      <c r="BH355" s="186">
        <v>1779136.91</v>
      </c>
      <c r="BI355" s="186">
        <v>1807013.89</v>
      </c>
      <c r="BJ355" s="186">
        <v>2037074.48</v>
      </c>
      <c r="BK355" s="186">
        <v>2030609.45</v>
      </c>
      <c r="BL355" s="186">
        <v>2027977.83</v>
      </c>
      <c r="BM355" s="186">
        <v>2020072.15</v>
      </c>
      <c r="BN355" s="186">
        <v>2012183.48</v>
      </c>
      <c r="BO355" s="186">
        <v>2018048.28</v>
      </c>
      <c r="BP355" s="186">
        <v>2010104.56</v>
      </c>
      <c r="BQ355" s="186">
        <v>2002160.84</v>
      </c>
      <c r="BR355" s="186">
        <v>1994217.12</v>
      </c>
      <c r="BS355" s="186">
        <v>2205578.9</v>
      </c>
      <c r="BT355" s="186">
        <v>2242159.67</v>
      </c>
      <c r="BU355" s="186">
        <v>2244443.7000000002</v>
      </c>
      <c r="BV355" s="186">
        <v>2235757.23</v>
      </c>
      <c r="BW355" s="186">
        <v>2227070.7599999998</v>
      </c>
      <c r="BX355" s="186">
        <v>2233060.89</v>
      </c>
      <c r="BY355" s="186">
        <v>2224334.3199999998</v>
      </c>
      <c r="BZ355" s="186">
        <v>2226927.2999999998</v>
      </c>
      <c r="CA355" s="186">
        <v>2222016.42</v>
      </c>
      <c r="CB355" s="186">
        <v>2211821.5099999998</v>
      </c>
      <c r="CC355" s="186">
        <v>2201626.6</v>
      </c>
      <c r="CD355" s="186">
        <v>2191431.69</v>
      </c>
      <c r="CE355" s="186">
        <v>2181236.7799999998</v>
      </c>
      <c r="CF355" s="186">
        <v>2171041.87</v>
      </c>
      <c r="CG355" s="186">
        <v>2160846.96</v>
      </c>
      <c r="CH355" s="186">
        <v>2150652.0499999998</v>
      </c>
      <c r="CI355" s="186">
        <v>2140457.14</v>
      </c>
      <c r="CJ355" s="186">
        <v>2130262.23</v>
      </c>
      <c r="CK355" s="186">
        <v>2126631.2200000002</v>
      </c>
      <c r="CL355" s="186">
        <v>2115715.41</v>
      </c>
      <c r="CM355" s="186">
        <v>3962950.89</v>
      </c>
      <c r="CN355" s="186">
        <v>4083428.36</v>
      </c>
      <c r="CO355" s="186">
        <v>4214954.07</v>
      </c>
      <c r="CP355" s="186">
        <v>4360244.96</v>
      </c>
      <c r="CQ355" s="186">
        <v>4339276.21</v>
      </c>
      <c r="CR355" s="186">
        <v>4318307.46</v>
      </c>
      <c r="CS355" s="186">
        <v>4297338.71</v>
      </c>
      <c r="CT355" s="186">
        <v>4276369.96</v>
      </c>
      <c r="CU355" s="186">
        <v>4255401.21</v>
      </c>
      <c r="CV355" s="186">
        <v>4248945.28</v>
      </c>
    </row>
    <row r="356" spans="1:100">
      <c r="A356" t="s">
        <v>852</v>
      </c>
      <c r="D356" s="402">
        <v>74569400.390000001</v>
      </c>
      <c r="E356" s="402">
        <v>73807112.120000005</v>
      </c>
      <c r="F356" s="402">
        <v>74605444.239999995</v>
      </c>
      <c r="G356" s="402">
        <v>71652212.670000002</v>
      </c>
      <c r="H356" s="402">
        <v>72666361.239999995</v>
      </c>
      <c r="I356" s="402">
        <v>73459309.980000004</v>
      </c>
      <c r="J356" s="402">
        <v>71532885.200000003</v>
      </c>
      <c r="K356" s="402">
        <v>75789900.859999999</v>
      </c>
      <c r="L356" s="402">
        <v>75581800.370000005</v>
      </c>
      <c r="M356" s="402">
        <v>72967114.269999996</v>
      </c>
      <c r="N356" s="402">
        <v>75389320.349999994</v>
      </c>
      <c r="O356" s="402">
        <v>74709774.189999998</v>
      </c>
      <c r="P356" s="402">
        <v>84175273.530000001</v>
      </c>
      <c r="Q356" s="186">
        <v>84317561.189999998</v>
      </c>
      <c r="R356" s="186">
        <v>82614505.25</v>
      </c>
      <c r="S356" s="186">
        <v>82891058.099999994</v>
      </c>
      <c r="T356" s="186">
        <v>80356852.489999995</v>
      </c>
      <c r="U356" s="186">
        <v>80538427.280000001</v>
      </c>
      <c r="V356" s="186">
        <v>78669747.689999998</v>
      </c>
      <c r="W356" s="186">
        <v>78867839.799999997</v>
      </c>
      <c r="X356" s="186">
        <v>78723525.140000001</v>
      </c>
      <c r="Y356" s="186">
        <v>79203494.340000004</v>
      </c>
      <c r="Z356" s="186">
        <v>81176658.040000007</v>
      </c>
      <c r="AA356" s="186">
        <v>81724006.040000007</v>
      </c>
      <c r="AB356" s="186">
        <v>88101087.109999999</v>
      </c>
      <c r="AC356" s="186">
        <v>86675211.670000002</v>
      </c>
      <c r="AD356" s="186">
        <v>87217961.599999994</v>
      </c>
      <c r="AE356" s="186">
        <v>85048079.159999996</v>
      </c>
      <c r="AF356" s="186">
        <v>83545440.579999998</v>
      </c>
      <c r="AG356" s="186">
        <v>83307682.700000003</v>
      </c>
      <c r="AH356" s="186">
        <v>81905969.150000006</v>
      </c>
      <c r="AI356" s="186">
        <v>81878543.769999996</v>
      </c>
      <c r="AJ356" s="186">
        <v>82001866.840000004</v>
      </c>
      <c r="AK356" s="186">
        <v>90513601.819999993</v>
      </c>
      <c r="AL356" s="186">
        <v>90725647.599999994</v>
      </c>
      <c r="AM356" s="186">
        <v>90535675.689999998</v>
      </c>
      <c r="AN356" s="186">
        <v>68195765.540000007</v>
      </c>
      <c r="AO356" s="186">
        <v>68153972.310000002</v>
      </c>
      <c r="AP356" s="186">
        <v>67760218.430000007</v>
      </c>
      <c r="AQ356" s="186">
        <v>65417511.93</v>
      </c>
      <c r="AR356" s="186">
        <v>65077184.619999997</v>
      </c>
      <c r="AS356" s="186">
        <v>64911520.240000002</v>
      </c>
      <c r="AT356" s="186">
        <v>65295240.359999999</v>
      </c>
      <c r="AU356" s="186">
        <v>65050258.240000002</v>
      </c>
      <c r="AV356" s="186">
        <v>65726876.450000003</v>
      </c>
      <c r="AW356" s="186">
        <v>64839193.619999997</v>
      </c>
      <c r="AX356" s="186">
        <v>66408185.140000001</v>
      </c>
      <c r="AY356" s="186">
        <v>66663427.140000001</v>
      </c>
      <c r="AZ356" s="186">
        <v>65563695.579999998</v>
      </c>
      <c r="BA356" s="186">
        <v>64063781.090000004</v>
      </c>
      <c r="BB356" s="186">
        <v>63790467.219999999</v>
      </c>
      <c r="BC356" s="186">
        <v>58624351.920000002</v>
      </c>
      <c r="BD356" s="186">
        <v>59807545.119999997</v>
      </c>
      <c r="BE356" s="186">
        <v>59612681.159999996</v>
      </c>
      <c r="BF356" s="186">
        <v>59073548.960000001</v>
      </c>
      <c r="BG356" s="186">
        <v>60545529.979999997</v>
      </c>
      <c r="BH356" s="186">
        <v>61309845.369999997</v>
      </c>
      <c r="BI356" s="186">
        <v>54177470.630000003</v>
      </c>
      <c r="BJ356" s="186">
        <v>55154882.039999999</v>
      </c>
      <c r="BK356" s="186">
        <v>54642885.32</v>
      </c>
      <c r="BL356" s="186">
        <v>60717020.740000002</v>
      </c>
      <c r="BM356" s="186">
        <v>60268408.109999999</v>
      </c>
      <c r="BN356" s="186">
        <v>59706553.939999998</v>
      </c>
      <c r="BO356" s="186">
        <v>58730161.640000001</v>
      </c>
      <c r="BP356" s="186">
        <v>58992034.229999997</v>
      </c>
      <c r="BQ356" s="186">
        <v>59300132.659999996</v>
      </c>
      <c r="BR356" s="186">
        <v>60374151.659999996</v>
      </c>
      <c r="BS356" s="186">
        <v>61913622.829999998</v>
      </c>
      <c r="BT356" s="186">
        <v>62777473.969999999</v>
      </c>
      <c r="BU356" s="186">
        <v>63721224.18</v>
      </c>
      <c r="BV356" s="186">
        <v>64965689.439999998</v>
      </c>
      <c r="BW356" s="186">
        <v>66260477.920000002</v>
      </c>
      <c r="BX356" s="186">
        <v>59279093.32</v>
      </c>
      <c r="BY356" s="186">
        <v>58204662.590000004</v>
      </c>
      <c r="BZ356" s="186">
        <v>57087959.560000002</v>
      </c>
      <c r="CA356" s="186">
        <v>55460333.850000001</v>
      </c>
      <c r="CB356" s="186">
        <v>55736615.840000004</v>
      </c>
      <c r="CC356" s="186">
        <v>56591434.200000003</v>
      </c>
      <c r="CD356" s="186">
        <v>56748333.649999999</v>
      </c>
      <c r="CE356" s="186">
        <v>57594851.039999999</v>
      </c>
      <c r="CF356" s="186">
        <v>59327815.600000001</v>
      </c>
      <c r="CG356" s="186">
        <v>61308654.770000003</v>
      </c>
      <c r="CH356" s="186">
        <v>62130549.609999999</v>
      </c>
      <c r="CI356" s="186">
        <v>64052460.899999999</v>
      </c>
      <c r="CJ356" s="186">
        <v>68727179.200000003</v>
      </c>
      <c r="CK356" s="186">
        <v>66872852.590000004</v>
      </c>
      <c r="CL356" s="186">
        <v>67088654.240000002</v>
      </c>
      <c r="CM356" s="186">
        <v>66899332.399999999</v>
      </c>
      <c r="CN356" s="186">
        <v>66154389.340000004</v>
      </c>
      <c r="CO356" s="186">
        <v>67223863.379999995</v>
      </c>
      <c r="CP356" s="186">
        <v>66801191.159999996</v>
      </c>
      <c r="CQ356" s="186">
        <v>68064928.430000007</v>
      </c>
      <c r="CR356" s="186">
        <v>67829718.359999999</v>
      </c>
      <c r="CS356" s="186">
        <v>65688168.5</v>
      </c>
      <c r="CT356" s="186">
        <v>66358192.200000003</v>
      </c>
      <c r="CU356" s="186">
        <v>67016220.299999997</v>
      </c>
      <c r="CV356" s="186">
        <v>56466288.780000001</v>
      </c>
    </row>
    <row r="357" spans="1:100">
      <c r="A357" t="s">
        <v>853</v>
      </c>
      <c r="D357" s="402">
        <v>5502.76</v>
      </c>
      <c r="E357" s="402">
        <v>5562.76</v>
      </c>
      <c r="F357" s="402">
        <v>5622.76</v>
      </c>
      <c r="G357" s="402">
        <v>5682.76</v>
      </c>
      <c r="H357" s="402">
        <v>5742.76</v>
      </c>
      <c r="I357" s="402">
        <v>5802.76</v>
      </c>
      <c r="J357" s="402">
        <v>5862.76</v>
      </c>
      <c r="K357" s="402">
        <v>5922.76</v>
      </c>
      <c r="L357" s="402">
        <v>5982.76</v>
      </c>
      <c r="M357" s="402">
        <v>6042.76</v>
      </c>
      <c r="N357" s="402">
        <v>0</v>
      </c>
      <c r="O357" s="402">
        <v>0</v>
      </c>
      <c r="P357" s="402">
        <v>0</v>
      </c>
      <c r="Q357" s="186">
        <v>0</v>
      </c>
      <c r="R357" s="186">
        <v>0</v>
      </c>
      <c r="S357" s="186">
        <v>0</v>
      </c>
      <c r="T357" s="186">
        <v>0</v>
      </c>
      <c r="U357" s="186">
        <v>0</v>
      </c>
      <c r="V357" s="186">
        <v>0</v>
      </c>
      <c r="W357" s="186">
        <v>0</v>
      </c>
      <c r="X357" s="186">
        <v>0</v>
      </c>
      <c r="Y357" s="186">
        <v>0</v>
      </c>
      <c r="Z357" s="186">
        <v>0</v>
      </c>
      <c r="AA357" s="186">
        <v>0</v>
      </c>
      <c r="AB357" s="480">
        <v>0</v>
      </c>
      <c r="AC357" s="480">
        <v>0</v>
      </c>
      <c r="AD357" s="480">
        <v>0</v>
      </c>
      <c r="AE357" s="480">
        <v>0</v>
      </c>
      <c r="AF357" s="480">
        <v>0</v>
      </c>
      <c r="AG357" s="480">
        <v>0</v>
      </c>
      <c r="AH357" s="480">
        <v>0</v>
      </c>
      <c r="AI357" s="480">
        <v>0</v>
      </c>
      <c r="AJ357" s="480">
        <v>0</v>
      </c>
      <c r="AK357" s="480">
        <v>41828.07</v>
      </c>
      <c r="AL357" s="480">
        <v>0</v>
      </c>
      <c r="AM357" s="480">
        <v>0</v>
      </c>
      <c r="AN357" s="480">
        <v>0</v>
      </c>
      <c r="AO357" s="480">
        <v>0</v>
      </c>
      <c r="AP357" s="480">
        <v>0</v>
      </c>
      <c r="AQ357" s="480">
        <v>0</v>
      </c>
      <c r="AR357" s="480">
        <v>0</v>
      </c>
      <c r="AS357" s="480">
        <v>0</v>
      </c>
      <c r="AT357" s="480">
        <v>0</v>
      </c>
      <c r="AU357" s="480">
        <v>0</v>
      </c>
      <c r="AV357" s="480">
        <v>0</v>
      </c>
      <c r="AW357" s="480">
        <v>0</v>
      </c>
      <c r="AX357" s="480">
        <v>0</v>
      </c>
      <c r="AY357" s="480">
        <v>0</v>
      </c>
      <c r="AZ357" s="480">
        <v>0</v>
      </c>
      <c r="BA357" s="480">
        <v>0</v>
      </c>
      <c r="BB357" s="480">
        <v>0</v>
      </c>
      <c r="BC357" s="480">
        <v>0</v>
      </c>
      <c r="BD357" s="480">
        <v>0</v>
      </c>
      <c r="BE357" s="480">
        <v>0</v>
      </c>
      <c r="BF357" s="480">
        <v>0</v>
      </c>
      <c r="BG357" s="480">
        <v>0</v>
      </c>
      <c r="BH357" s="480">
        <v>0</v>
      </c>
      <c r="BI357" s="480">
        <v>0</v>
      </c>
      <c r="BJ357" s="480">
        <v>0</v>
      </c>
      <c r="BK357" s="480">
        <v>0</v>
      </c>
      <c r="BL357" s="480">
        <v>0</v>
      </c>
      <c r="BM357" s="480">
        <v>0</v>
      </c>
      <c r="BN357" s="480">
        <v>0</v>
      </c>
      <c r="BO357" s="480">
        <v>0</v>
      </c>
      <c r="BP357" s="480">
        <v>0</v>
      </c>
      <c r="BQ357" s="480">
        <v>0</v>
      </c>
      <c r="BR357" s="480">
        <v>0</v>
      </c>
      <c r="BS357" s="480">
        <v>0</v>
      </c>
      <c r="BT357" s="480">
        <v>0</v>
      </c>
      <c r="BU357" s="480">
        <v>0</v>
      </c>
      <c r="BV357" s="480">
        <v>0</v>
      </c>
      <c r="BW357" s="480">
        <v>0</v>
      </c>
      <c r="BX357" s="480">
        <v>0</v>
      </c>
      <c r="BY357" s="186">
        <v>0</v>
      </c>
      <c r="BZ357" s="186">
        <v>0</v>
      </c>
      <c r="CA357" s="186">
        <v>0</v>
      </c>
      <c r="CB357" s="186">
        <v>0</v>
      </c>
      <c r="CC357" s="186">
        <v>0</v>
      </c>
      <c r="CD357" s="186">
        <v>0</v>
      </c>
      <c r="CE357" s="186">
        <v>0</v>
      </c>
      <c r="CF357" s="186">
        <v>0</v>
      </c>
      <c r="CG357" s="186">
        <v>0</v>
      </c>
      <c r="CH357" s="186">
        <v>60</v>
      </c>
      <c r="CI357" s="186">
        <v>0</v>
      </c>
      <c r="CJ357" s="186">
        <v>0</v>
      </c>
      <c r="CK357" s="186">
        <v>0</v>
      </c>
      <c r="CL357" s="186">
        <v>0</v>
      </c>
      <c r="CM357" s="186">
        <v>0</v>
      </c>
      <c r="CN357" s="186">
        <v>0</v>
      </c>
      <c r="CO357" s="186">
        <v>0</v>
      </c>
      <c r="CP357" s="186">
        <v>0</v>
      </c>
      <c r="CQ357" s="186">
        <v>0</v>
      </c>
      <c r="CR357" s="186">
        <v>0</v>
      </c>
      <c r="CS357" s="186">
        <v>0</v>
      </c>
      <c r="CT357" s="186">
        <v>0</v>
      </c>
      <c r="CU357" s="186">
        <v>0</v>
      </c>
      <c r="CV357" s="186">
        <v>0</v>
      </c>
    </row>
    <row r="358" spans="1:100">
      <c r="A358" t="s">
        <v>854</v>
      </c>
      <c r="D358" s="402">
        <v>86795.96</v>
      </c>
      <c r="E358" s="402">
        <v>88384</v>
      </c>
      <c r="F358" s="402">
        <v>89989.31</v>
      </c>
      <c r="G358" s="402">
        <v>90844.64</v>
      </c>
      <c r="H358" s="402">
        <v>99264.48</v>
      </c>
      <c r="I358" s="402">
        <v>110175.51</v>
      </c>
      <c r="J358" s="402">
        <v>76940.460000000006</v>
      </c>
      <c r="K358" s="402">
        <v>59996.959999999999</v>
      </c>
      <c r="L358" s="402">
        <v>58519.46</v>
      </c>
      <c r="M358" s="402">
        <v>62883.22</v>
      </c>
      <c r="N358" s="402">
        <v>65352.2</v>
      </c>
      <c r="O358" s="402">
        <v>65604.2</v>
      </c>
      <c r="P358" s="402">
        <v>68874.649999999994</v>
      </c>
      <c r="Q358" s="186">
        <v>72874.28</v>
      </c>
      <c r="R358" s="186">
        <v>72879.320000000007</v>
      </c>
      <c r="S358" s="186">
        <v>76937.59</v>
      </c>
      <c r="T358" s="186">
        <v>56464.08</v>
      </c>
      <c r="U358" s="186">
        <v>114055.15</v>
      </c>
      <c r="V358" s="186">
        <v>139182.43</v>
      </c>
      <c r="W358" s="186">
        <v>79661.02</v>
      </c>
      <c r="X358" s="186">
        <v>407401.19</v>
      </c>
      <c r="Y358" s="186">
        <v>86393.03</v>
      </c>
      <c r="Z358" s="186">
        <v>3023393.52</v>
      </c>
      <c r="AA358" s="186">
        <v>3042731.82</v>
      </c>
      <c r="AB358" s="186">
        <v>3094262.73</v>
      </c>
      <c r="AC358" s="186">
        <v>3112322.24</v>
      </c>
      <c r="AD358" s="186">
        <v>3065603.76</v>
      </c>
      <c r="AE358" s="186">
        <v>3067920.39</v>
      </c>
      <c r="AF358" s="186">
        <v>3047742.36</v>
      </c>
      <c r="AG358" s="186">
        <v>3055464.63</v>
      </c>
      <c r="AH358" s="186">
        <v>3119302.55</v>
      </c>
      <c r="AI358" s="186">
        <v>3121985.8</v>
      </c>
      <c r="AJ358" s="186">
        <v>3106111.38</v>
      </c>
      <c r="AK358" s="186">
        <v>3143326.13</v>
      </c>
      <c r="AL358" s="186">
        <v>3274674.05</v>
      </c>
      <c r="AM358" s="186">
        <v>3283633.05</v>
      </c>
      <c r="AN358" s="186">
        <v>3182525.91</v>
      </c>
      <c r="AO358" s="186">
        <v>5447463.8200000003</v>
      </c>
      <c r="AP358" s="186">
        <v>5569983.8399999999</v>
      </c>
      <c r="AQ358" s="186">
        <v>5818295.5199999996</v>
      </c>
      <c r="AR358" s="186">
        <v>5723860.1600000001</v>
      </c>
      <c r="AS358" s="186">
        <v>5479482.1699999999</v>
      </c>
      <c r="AT358" s="186">
        <v>5537860.1200000001</v>
      </c>
      <c r="AU358" s="186">
        <v>5519902.5300000003</v>
      </c>
      <c r="AV358" s="186">
        <v>5525335.5700000003</v>
      </c>
      <c r="AW358" s="186">
        <v>5875800.1799999997</v>
      </c>
      <c r="AX358" s="186">
        <v>5848790</v>
      </c>
      <c r="AY358" s="186">
        <v>5874261.7800000003</v>
      </c>
      <c r="AZ358" s="186">
        <v>5867409.79</v>
      </c>
      <c r="BA358" s="186">
        <v>5686522.4500000002</v>
      </c>
      <c r="BB358" s="186">
        <v>5505993.9000000004</v>
      </c>
      <c r="BC358" s="186">
        <v>5489642.5499999998</v>
      </c>
      <c r="BD358" s="186">
        <v>5558315.04</v>
      </c>
      <c r="BE358" s="186">
        <v>5458851.4900000002</v>
      </c>
      <c r="BF358" s="186">
        <v>5461383.29</v>
      </c>
      <c r="BG358" s="186">
        <v>5445856.5</v>
      </c>
      <c r="BH358" s="186">
        <v>5863401.9000000004</v>
      </c>
      <c r="BI358" s="186">
        <v>5499377.9000000004</v>
      </c>
      <c r="BJ358" s="186">
        <v>6672460.0999999996</v>
      </c>
      <c r="BK358" s="186">
        <v>8597608.7699999996</v>
      </c>
      <c r="BL358" s="186">
        <v>4935022.49</v>
      </c>
      <c r="BM358" s="186">
        <v>4709584.9800000004</v>
      </c>
      <c r="BN358" s="186">
        <v>4693554.62</v>
      </c>
      <c r="BO358" s="186">
        <v>4743537.0599999996</v>
      </c>
      <c r="BP358" s="186">
        <v>4700457.1100000003</v>
      </c>
      <c r="BQ358" s="186">
        <v>4691360.01</v>
      </c>
      <c r="BR358" s="186">
        <v>4652326.66</v>
      </c>
      <c r="BS358" s="186">
        <v>4601425.3499999996</v>
      </c>
      <c r="BT358" s="186">
        <v>4826382.2300000004</v>
      </c>
      <c r="BU358" s="186">
        <v>4959881.47</v>
      </c>
      <c r="BV358" s="186">
        <v>5116497.1900000004</v>
      </c>
      <c r="BW358" s="186">
        <v>5230025.42</v>
      </c>
      <c r="BX358" s="186">
        <v>4808374.83</v>
      </c>
      <c r="BY358" s="186">
        <v>4783536.91</v>
      </c>
      <c r="BZ358" s="186">
        <v>4610861.2699999996</v>
      </c>
      <c r="CA358" s="186">
        <v>4826250.2699999996</v>
      </c>
      <c r="CB358" s="186">
        <v>5037155.99</v>
      </c>
      <c r="CC358" s="186">
        <v>5296520.25</v>
      </c>
      <c r="CD358" s="186">
        <v>5309226.71</v>
      </c>
      <c r="CE358" s="186">
        <v>5354947.1900000004</v>
      </c>
      <c r="CF358" s="186">
        <v>5668632.0099999998</v>
      </c>
      <c r="CG358" s="186">
        <v>5861777.6100000003</v>
      </c>
      <c r="CH358" s="186">
        <v>5983318.75</v>
      </c>
      <c r="CI358" s="186">
        <v>5433728.5</v>
      </c>
      <c r="CJ358" s="186">
        <v>4055964.52</v>
      </c>
      <c r="CK358" s="186">
        <v>3810403.26</v>
      </c>
      <c r="CL358" s="186">
        <v>3795174.17</v>
      </c>
      <c r="CM358" s="186">
        <v>3785750.17</v>
      </c>
      <c r="CN358" s="186">
        <v>3774421.15</v>
      </c>
      <c r="CO358" s="186">
        <v>3761819.25</v>
      </c>
      <c r="CP358" s="186">
        <v>3746231.45</v>
      </c>
      <c r="CQ358" s="186">
        <v>3742718.57</v>
      </c>
      <c r="CR358" s="186">
        <v>3724865.07</v>
      </c>
      <c r="CS358" s="186">
        <v>3706772.49</v>
      </c>
      <c r="CT358" s="186">
        <v>3783611.99</v>
      </c>
      <c r="CU358" s="186">
        <v>3738390.59</v>
      </c>
      <c r="CV358" s="186">
        <v>4082430.84</v>
      </c>
    </row>
    <row r="359" spans="1:100">
      <c r="A359" t="s">
        <v>855</v>
      </c>
      <c r="D359" s="402">
        <v>0</v>
      </c>
      <c r="E359" s="402">
        <v>0</v>
      </c>
      <c r="F359" s="402">
        <v>0</v>
      </c>
      <c r="G359" s="402">
        <v>0</v>
      </c>
      <c r="H359" s="402">
        <v>0</v>
      </c>
      <c r="I359" s="402">
        <v>0</v>
      </c>
      <c r="J359" s="402">
        <v>0</v>
      </c>
      <c r="K359" s="402">
        <v>0</v>
      </c>
      <c r="L359" s="402">
        <v>0</v>
      </c>
      <c r="M359" s="402">
        <v>0</v>
      </c>
      <c r="N359" s="402">
        <v>0</v>
      </c>
      <c r="O359" s="402">
        <v>0</v>
      </c>
      <c r="P359" s="402">
        <v>0</v>
      </c>
      <c r="Q359" s="186">
        <v>0</v>
      </c>
      <c r="R359" s="186">
        <v>0</v>
      </c>
      <c r="S359" s="186">
        <v>0</v>
      </c>
      <c r="T359" s="186">
        <v>0</v>
      </c>
      <c r="U359" s="186">
        <v>0</v>
      </c>
      <c r="V359" s="186">
        <v>0</v>
      </c>
      <c r="W359" s="186">
        <v>0</v>
      </c>
      <c r="X359" s="186">
        <v>0</v>
      </c>
      <c r="Y359" s="186">
        <v>0</v>
      </c>
      <c r="Z359" s="186">
        <v>0</v>
      </c>
      <c r="AA359" s="186">
        <v>0</v>
      </c>
      <c r="AB359" s="186">
        <v>0</v>
      </c>
      <c r="AC359" s="186">
        <v>0</v>
      </c>
      <c r="AD359" s="186">
        <v>0</v>
      </c>
      <c r="AE359" s="186">
        <v>0</v>
      </c>
      <c r="AF359" s="186">
        <v>0</v>
      </c>
      <c r="AG359" s="186">
        <v>0</v>
      </c>
      <c r="AH359" s="186">
        <v>0</v>
      </c>
      <c r="AI359" s="186">
        <v>0</v>
      </c>
      <c r="AJ359" s="186">
        <v>0</v>
      </c>
      <c r="AK359" s="186">
        <v>0</v>
      </c>
      <c r="AL359" s="186">
        <v>0</v>
      </c>
      <c r="AM359" s="186">
        <v>0</v>
      </c>
      <c r="AN359" s="186">
        <v>0</v>
      </c>
      <c r="AO359" s="186">
        <v>0</v>
      </c>
      <c r="AP359" s="186">
        <v>0</v>
      </c>
      <c r="AQ359" s="186">
        <v>0</v>
      </c>
      <c r="AR359" s="186">
        <v>0</v>
      </c>
      <c r="AS359" s="186">
        <v>0</v>
      </c>
      <c r="AT359" s="186">
        <v>0</v>
      </c>
      <c r="AU359" s="186">
        <v>0</v>
      </c>
      <c r="AV359" s="186">
        <v>0</v>
      </c>
      <c r="AW359" s="186">
        <v>0</v>
      </c>
      <c r="AX359" s="186">
        <v>0</v>
      </c>
      <c r="AY359" s="186">
        <v>0</v>
      </c>
      <c r="AZ359" s="186">
        <v>0</v>
      </c>
      <c r="BA359" s="186">
        <v>0</v>
      </c>
      <c r="BB359" s="186">
        <v>0</v>
      </c>
      <c r="BC359" s="186">
        <v>0</v>
      </c>
      <c r="BD359" s="186">
        <v>0</v>
      </c>
      <c r="BE359" s="186">
        <v>0</v>
      </c>
      <c r="BF359" s="186">
        <v>0</v>
      </c>
      <c r="BG359" s="186">
        <v>0</v>
      </c>
      <c r="BH359" s="186">
        <v>0</v>
      </c>
      <c r="BI359" s="186">
        <v>0</v>
      </c>
      <c r="BJ359" s="186">
        <v>0</v>
      </c>
      <c r="BK359" s="186">
        <v>0</v>
      </c>
      <c r="BL359" s="186">
        <v>0</v>
      </c>
      <c r="BM359" s="186">
        <v>0</v>
      </c>
      <c r="BN359" s="186">
        <v>0</v>
      </c>
      <c r="BO359" s="186">
        <v>0</v>
      </c>
      <c r="BP359" s="186">
        <v>0</v>
      </c>
      <c r="BQ359" s="186">
        <v>0</v>
      </c>
      <c r="BR359" s="186">
        <v>0</v>
      </c>
      <c r="BS359" s="186">
        <v>0</v>
      </c>
      <c r="BT359" s="186">
        <v>0</v>
      </c>
      <c r="BU359" s="186">
        <v>0</v>
      </c>
      <c r="BV359" s="186">
        <v>0</v>
      </c>
      <c r="BW359" s="186">
        <v>0</v>
      </c>
      <c r="BX359" s="186">
        <v>0</v>
      </c>
      <c r="BY359" s="186">
        <v>0</v>
      </c>
      <c r="BZ359" s="186">
        <v>0</v>
      </c>
      <c r="CA359" s="186">
        <v>0</v>
      </c>
      <c r="CB359" s="186">
        <v>0</v>
      </c>
      <c r="CC359" s="186">
        <v>0</v>
      </c>
      <c r="CD359" s="186">
        <v>0</v>
      </c>
      <c r="CE359" s="186">
        <v>0</v>
      </c>
      <c r="CF359" s="186">
        <v>0</v>
      </c>
      <c r="CG359" s="186">
        <v>0</v>
      </c>
      <c r="CH359" s="186">
        <v>0</v>
      </c>
      <c r="CI359" s="186">
        <v>0</v>
      </c>
      <c r="CJ359" s="186">
        <v>0</v>
      </c>
      <c r="CK359" s="186">
        <v>0</v>
      </c>
      <c r="CL359" s="186">
        <v>0</v>
      </c>
      <c r="CM359" s="186">
        <v>0</v>
      </c>
      <c r="CN359" s="186">
        <v>0</v>
      </c>
      <c r="CO359" s="186">
        <v>0</v>
      </c>
      <c r="CP359" s="186">
        <v>0</v>
      </c>
      <c r="CQ359" s="186">
        <v>0</v>
      </c>
      <c r="CR359" s="186">
        <v>0</v>
      </c>
      <c r="CS359" s="186">
        <v>0</v>
      </c>
      <c r="CT359" s="186">
        <v>0</v>
      </c>
      <c r="CU359" s="186">
        <v>0</v>
      </c>
      <c r="CV359" s="186">
        <v>0</v>
      </c>
    </row>
    <row r="360" spans="1:100">
      <c r="A360" s="56" t="s">
        <v>856</v>
      </c>
      <c r="D360" s="402">
        <v>33632569.399999999</v>
      </c>
      <c r="E360" s="402">
        <v>34115887.170000002</v>
      </c>
      <c r="F360" s="402">
        <v>33476442.25</v>
      </c>
      <c r="G360" s="402">
        <v>33438251.449999999</v>
      </c>
      <c r="H360" s="402">
        <v>34168992.740000002</v>
      </c>
      <c r="I360" s="402">
        <v>33607386.25</v>
      </c>
      <c r="J360" s="402">
        <v>33202927.829999998</v>
      </c>
      <c r="K360" s="402">
        <v>34007322.810000002</v>
      </c>
      <c r="L360" s="402">
        <v>32991204.550000001</v>
      </c>
      <c r="M360" s="402">
        <v>33564193.740000002</v>
      </c>
      <c r="N360" s="402">
        <v>34746329.539999999</v>
      </c>
      <c r="O360" s="402">
        <v>31973533.969999999</v>
      </c>
      <c r="P360" s="402">
        <v>35824575.880000003</v>
      </c>
      <c r="Q360" s="186">
        <v>36311754.649999999</v>
      </c>
      <c r="R360" s="186">
        <v>34870467.409999996</v>
      </c>
      <c r="S360" s="186">
        <v>35437049.509999998</v>
      </c>
      <c r="T360" s="186">
        <v>35337998.43</v>
      </c>
      <c r="U360" s="186">
        <v>35258929.229999997</v>
      </c>
      <c r="V360" s="186">
        <v>34305872.170000002</v>
      </c>
      <c r="W360" s="186">
        <v>34334123.57</v>
      </c>
      <c r="X360" s="186">
        <v>35158976.829999998</v>
      </c>
      <c r="Y360" s="186">
        <v>35281260.710000001</v>
      </c>
      <c r="Z360" s="186">
        <v>35947425.719999999</v>
      </c>
      <c r="AA360" s="186">
        <v>36112242.049999997</v>
      </c>
      <c r="AB360" s="186">
        <v>38423221.93</v>
      </c>
      <c r="AC360" s="186">
        <v>38148757.689999998</v>
      </c>
      <c r="AD360" s="186">
        <v>37941736.039999999</v>
      </c>
      <c r="AE360" s="186">
        <v>37398992.289999999</v>
      </c>
      <c r="AF360" s="186">
        <v>37003099.119999997</v>
      </c>
      <c r="AG360" s="186">
        <v>36995409.409999996</v>
      </c>
      <c r="AH360" s="186">
        <v>36049062.399999999</v>
      </c>
      <c r="AI360" s="186">
        <v>36156380.880000003</v>
      </c>
      <c r="AJ360" s="186">
        <v>36602801.350000001</v>
      </c>
      <c r="AK360" s="186">
        <v>40013408.030000001</v>
      </c>
      <c r="AL360" s="186">
        <v>39966717.700000003</v>
      </c>
      <c r="AM360" s="186">
        <v>39774589.039999999</v>
      </c>
      <c r="AN360" s="186">
        <v>47861884.270000003</v>
      </c>
      <c r="AO360" s="186">
        <v>48216616.659999996</v>
      </c>
      <c r="AP360" s="186">
        <v>46704516.270000003</v>
      </c>
      <c r="AQ360" s="186">
        <v>47090265.090000004</v>
      </c>
      <c r="AR360" s="186">
        <v>47407657.259999998</v>
      </c>
      <c r="AS360" s="186">
        <v>47433163.060000002</v>
      </c>
      <c r="AT360" s="186">
        <v>47955941.990000002</v>
      </c>
      <c r="AU360" s="186">
        <v>48144508.670000002</v>
      </c>
      <c r="AV360" s="186">
        <v>48101782.039999999</v>
      </c>
      <c r="AW360" s="186">
        <v>50081276.340000004</v>
      </c>
      <c r="AX360" s="186">
        <v>50006575.43</v>
      </c>
      <c r="AY360" s="186">
        <v>50110547.240000002</v>
      </c>
      <c r="AZ360" s="186">
        <v>48257584.149999999</v>
      </c>
      <c r="BA360" s="186">
        <v>48838259.310000002</v>
      </c>
      <c r="BB360" s="186">
        <v>48545168.710000001</v>
      </c>
      <c r="BC360" s="186">
        <v>49500818.460000001</v>
      </c>
      <c r="BD360" s="186">
        <v>49805606.399999999</v>
      </c>
      <c r="BE360" s="186">
        <v>50060779.259999998</v>
      </c>
      <c r="BF360" s="186">
        <v>50103163.07</v>
      </c>
      <c r="BG360" s="186">
        <v>50170800.890000001</v>
      </c>
      <c r="BH360" s="186">
        <v>50206779.840000004</v>
      </c>
      <c r="BI360" s="186">
        <v>51841777.100000001</v>
      </c>
      <c r="BJ360" s="186">
        <v>51915224.390000001</v>
      </c>
      <c r="BK360" s="186">
        <v>52443292.640000001</v>
      </c>
      <c r="BL360" s="186">
        <v>53579534.350000001</v>
      </c>
      <c r="BM360" s="186">
        <v>53810178.520000003</v>
      </c>
      <c r="BN360" s="186">
        <v>53025245.880000003</v>
      </c>
      <c r="BO360" s="186">
        <v>53554503.890000001</v>
      </c>
      <c r="BP360" s="186">
        <v>53675832.280000001</v>
      </c>
      <c r="BQ360" s="186">
        <v>53712964.659999996</v>
      </c>
      <c r="BR360" s="186">
        <v>53733761.479999997</v>
      </c>
      <c r="BS360" s="186">
        <v>54023538.009999998</v>
      </c>
      <c r="BT360" s="186">
        <v>54120208.020000003</v>
      </c>
      <c r="BU360" s="186">
        <v>53966607.810000002</v>
      </c>
      <c r="BV360" s="186">
        <v>54087865.170000002</v>
      </c>
      <c r="BW360" s="186">
        <v>54371823.479999997</v>
      </c>
      <c r="BX360" s="186">
        <v>54966422.409999996</v>
      </c>
      <c r="BY360" s="186">
        <v>55524351.119999997</v>
      </c>
      <c r="BZ360" s="186">
        <v>54592508.079999998</v>
      </c>
      <c r="CA360" s="186">
        <v>54777939.390000001</v>
      </c>
      <c r="CB360" s="186">
        <v>55026802.189999998</v>
      </c>
      <c r="CC360" s="186">
        <v>55161969.799999997</v>
      </c>
      <c r="CD360" s="186">
        <v>55446318.920000002</v>
      </c>
      <c r="CE360" s="186">
        <v>55534916.149999999</v>
      </c>
      <c r="CF360" s="186">
        <v>55479405.710000001</v>
      </c>
      <c r="CG360" s="186">
        <v>55670420.039999999</v>
      </c>
      <c r="CH360" s="186">
        <v>56074141.859999999</v>
      </c>
      <c r="CI360" s="186">
        <v>55851066.880000003</v>
      </c>
      <c r="CJ360" s="186">
        <v>58693568.859999999</v>
      </c>
      <c r="CK360" s="186">
        <v>59351200.259999998</v>
      </c>
      <c r="CL360" s="186">
        <v>59691522.689999998</v>
      </c>
      <c r="CM360" s="186">
        <v>57907116.579999998</v>
      </c>
      <c r="CN360" s="186">
        <v>58338223.229999997</v>
      </c>
      <c r="CO360" s="186">
        <v>58283557.43</v>
      </c>
      <c r="CP360" s="186">
        <v>58536297.549999997</v>
      </c>
      <c r="CQ360" s="186">
        <v>58652680.020000003</v>
      </c>
      <c r="CR360" s="186">
        <v>58933954.409999996</v>
      </c>
      <c r="CS360" s="186">
        <v>59497046.469999999</v>
      </c>
      <c r="CT360" s="186">
        <v>58863673.240000002</v>
      </c>
      <c r="CU360" s="186">
        <v>59548096.990000002</v>
      </c>
      <c r="CV360" s="186">
        <v>58824206.109999999</v>
      </c>
    </row>
    <row r="361" spans="1:100">
      <c r="A361" s="56" t="s">
        <v>857</v>
      </c>
      <c r="D361" s="402">
        <v>3028976.22</v>
      </c>
      <c r="E361" s="402">
        <v>2328317.7000000002</v>
      </c>
      <c r="F361" s="402">
        <v>-2690380.3</v>
      </c>
      <c r="G361" s="402">
        <v>-1871187.3</v>
      </c>
      <c r="H361" s="402">
        <v>-3825481.06</v>
      </c>
      <c r="I361" s="402">
        <v>-1871385.06</v>
      </c>
      <c r="J361" s="402">
        <v>-3731579.99</v>
      </c>
      <c r="K361" s="402">
        <v>-4495686.04</v>
      </c>
      <c r="L361" s="402">
        <v>-4685303.04</v>
      </c>
      <c r="M361" s="402">
        <v>-4415619.04</v>
      </c>
      <c r="N361" s="402">
        <v>-2426539.04</v>
      </c>
      <c r="O361" s="402">
        <v>3262109.96</v>
      </c>
      <c r="P361" s="402">
        <v>822722.06</v>
      </c>
      <c r="Q361" s="186">
        <v>399.06</v>
      </c>
      <c r="R361" s="186">
        <v>524581.06000000006</v>
      </c>
      <c r="S361" s="186">
        <v>-1116131.94</v>
      </c>
      <c r="T361" s="186">
        <v>556285.06000000006</v>
      </c>
      <c r="U361" s="186">
        <v>1052618.06</v>
      </c>
      <c r="V361" s="186">
        <v>-1241463.94</v>
      </c>
      <c r="W361" s="186">
        <v>-106141.94</v>
      </c>
      <c r="X361" s="186">
        <v>-587029.93999999994</v>
      </c>
      <c r="Y361" s="186">
        <v>-165111.94</v>
      </c>
      <c r="Z361" s="186">
        <v>2251204.06</v>
      </c>
      <c r="AA361" s="186">
        <v>4566482.0599999996</v>
      </c>
      <c r="AB361" s="186">
        <v>4817531.07</v>
      </c>
      <c r="AC361" s="186">
        <v>3876662.07</v>
      </c>
      <c r="AD361" s="186">
        <v>-1124468.1299999999</v>
      </c>
      <c r="AE361" s="186">
        <v>-2680714.13</v>
      </c>
      <c r="AF361" s="186">
        <v>-3391795.13</v>
      </c>
      <c r="AG361" s="186">
        <v>-4918154.13</v>
      </c>
      <c r="AH361" s="186">
        <v>-6825029.1299999999</v>
      </c>
      <c r="AI361" s="186">
        <v>-8051702.46</v>
      </c>
      <c r="AJ361" s="186">
        <v>-8821966.4600000009</v>
      </c>
      <c r="AK361" s="186">
        <v>-8283926.46</v>
      </c>
      <c r="AL361" s="186">
        <v>-5545722.46</v>
      </c>
      <c r="AM361" s="186">
        <v>-2658041.46</v>
      </c>
      <c r="AN361" s="186">
        <v>-2176669.4</v>
      </c>
      <c r="AO361" s="186">
        <v>-2642346.4</v>
      </c>
      <c r="AP361" s="186">
        <v>-5804990.4100000001</v>
      </c>
      <c r="AQ361" s="186">
        <v>-2294854.41</v>
      </c>
      <c r="AR361" s="186">
        <v>-3251333.41</v>
      </c>
      <c r="AS361" s="186">
        <v>-3259418.41</v>
      </c>
      <c r="AT361" s="186">
        <v>-2333782.41</v>
      </c>
      <c r="AU361" s="186">
        <v>-1140359.77</v>
      </c>
      <c r="AV361" s="186">
        <v>62853.23</v>
      </c>
      <c r="AW361" s="186">
        <v>-1125284.77</v>
      </c>
      <c r="AX361" s="186">
        <v>2293438.23</v>
      </c>
      <c r="AY361" s="186">
        <v>3505808.23</v>
      </c>
      <c r="AZ361" s="186">
        <v>2834666.07</v>
      </c>
      <c r="BA361" s="186">
        <v>-2384064.9300000002</v>
      </c>
      <c r="BB361" s="186">
        <v>-8545555.9299999997</v>
      </c>
      <c r="BC361" s="186">
        <v>-5868120.9299999997</v>
      </c>
      <c r="BD361" s="186">
        <v>-9522977.9299999997</v>
      </c>
      <c r="BE361" s="186">
        <v>-9400213.9299999997</v>
      </c>
      <c r="BF361" s="186">
        <v>-9953193.9299999997</v>
      </c>
      <c r="BG361" s="186">
        <v>-10094426.199999999</v>
      </c>
      <c r="BH361" s="186">
        <v>-9688297.1999999993</v>
      </c>
      <c r="BI361" s="186">
        <v>-10202183.199999999</v>
      </c>
      <c r="BJ361" s="186">
        <v>-7149370.25</v>
      </c>
      <c r="BK361" s="186">
        <v>-834981.25</v>
      </c>
      <c r="BL361" s="186">
        <v>2412177.34</v>
      </c>
      <c r="BM361" s="186">
        <v>629810.18999999994</v>
      </c>
      <c r="BN361" s="186">
        <v>-2764299.81</v>
      </c>
      <c r="BO361" s="186">
        <v>-3806517.81</v>
      </c>
      <c r="BP361" s="186">
        <v>-6734309.8099999996</v>
      </c>
      <c r="BQ361" s="186">
        <v>-9153064.8100000005</v>
      </c>
      <c r="BR361" s="186">
        <v>-10301394.810000001</v>
      </c>
      <c r="BS361" s="186">
        <v>-10461658.810000001</v>
      </c>
      <c r="BT361" s="186">
        <v>-8902055.8100000005</v>
      </c>
      <c r="BU361" s="186">
        <v>-9455812.4700000007</v>
      </c>
      <c r="BV361" s="186">
        <v>-6835541.4699999997</v>
      </c>
      <c r="BW361" s="186">
        <v>-4507606.47</v>
      </c>
      <c r="BX361" s="186">
        <v>-5610499.4699999997</v>
      </c>
      <c r="BY361" s="186">
        <v>-9000597.4700000007</v>
      </c>
      <c r="BZ361" s="186">
        <v>-12085260.640000001</v>
      </c>
      <c r="CA361" s="186">
        <v>-13315276.640000001</v>
      </c>
      <c r="CB361" s="186">
        <v>-13955912.640000001</v>
      </c>
      <c r="CC361" s="186">
        <v>-13419803.640000001</v>
      </c>
      <c r="CD361" s="186">
        <v>-14069898.640000001</v>
      </c>
      <c r="CE361" s="186">
        <v>-13486354.640000001</v>
      </c>
      <c r="CF361" s="186">
        <v>-10977932.640000001</v>
      </c>
      <c r="CG361" s="186">
        <v>-10183908.800000001</v>
      </c>
      <c r="CH361" s="186">
        <v>-6168093.7999999998</v>
      </c>
      <c r="CI361" s="186">
        <v>-2672343.9900000002</v>
      </c>
      <c r="CJ361" s="186">
        <v>-1887381.02</v>
      </c>
      <c r="CK361" s="186">
        <v>-5514359.0199999996</v>
      </c>
      <c r="CL361" s="186">
        <v>-2984172.36</v>
      </c>
      <c r="CM361" s="186">
        <v>-1677602.36</v>
      </c>
      <c r="CN361" s="186">
        <v>-5499469.3600000003</v>
      </c>
      <c r="CO361" s="186">
        <v>-5895484.3600000003</v>
      </c>
      <c r="CP361" s="186">
        <v>-5154967.3600000003</v>
      </c>
      <c r="CQ361" s="186">
        <v>-5465947.3600000003</v>
      </c>
      <c r="CR361" s="186">
        <v>-4455322.3600000003</v>
      </c>
      <c r="CS361" s="186">
        <v>-2979201.54</v>
      </c>
      <c r="CT361" s="186">
        <v>4737406.46</v>
      </c>
      <c r="CU361" s="186">
        <v>12530134.949999999</v>
      </c>
      <c r="CV361" s="186">
        <v>12048953.949999999</v>
      </c>
    </row>
    <row r="362" spans="1:100">
      <c r="A362" s="479" t="s">
        <v>858</v>
      </c>
      <c r="D362" s="402">
        <v>-5575333.3300000001</v>
      </c>
      <c r="E362" s="402">
        <v>-5575333.3300000001</v>
      </c>
      <c r="F362" s="402">
        <v>-5575333.3300000001</v>
      </c>
      <c r="G362" s="402">
        <v>-5575333.3300000001</v>
      </c>
      <c r="H362" s="402">
        <v>-5575333.3300000001</v>
      </c>
      <c r="I362" s="402">
        <v>-5575333.3300000001</v>
      </c>
      <c r="J362" s="402">
        <v>-5575333.3300000001</v>
      </c>
      <c r="K362" s="402">
        <v>-5575333.3300000001</v>
      </c>
      <c r="L362" s="402">
        <v>-5575333.3300000001</v>
      </c>
      <c r="M362" s="402">
        <v>-5575333.3300000001</v>
      </c>
      <c r="N362" s="402">
        <v>-5575333.3300000001</v>
      </c>
      <c r="O362" s="402">
        <v>-5575333.3300000001</v>
      </c>
      <c r="P362" s="472">
        <v>-5575333.3300000001</v>
      </c>
      <c r="Q362" s="186">
        <v>-5575333.3300000001</v>
      </c>
      <c r="R362" s="186">
        <v>-5575333.3300000001</v>
      </c>
      <c r="S362" s="186">
        <v>-5575333.3300000001</v>
      </c>
      <c r="T362" s="186">
        <v>-5575333.3300000001</v>
      </c>
      <c r="U362" s="186">
        <v>-5575333.3300000001</v>
      </c>
      <c r="V362" s="186">
        <v>-5575333.3300000001</v>
      </c>
      <c r="W362" s="186">
        <v>-5575333.3300000001</v>
      </c>
      <c r="X362" s="186">
        <v>-5575333.3300000001</v>
      </c>
      <c r="Y362" s="186">
        <v>-5575333.3300000001</v>
      </c>
      <c r="Z362" s="186">
        <v>-5575333.3300000001</v>
      </c>
      <c r="AA362" s="186">
        <v>-5575333.3300000001</v>
      </c>
      <c r="AB362" s="473">
        <v>-5575333.3300000001</v>
      </c>
      <c r="AC362" s="473">
        <v>-5575333.3300000001</v>
      </c>
      <c r="AD362" s="473">
        <v>-5575333.3300000001</v>
      </c>
      <c r="AE362" s="473">
        <v>-5575333.3300000001</v>
      </c>
      <c r="AF362" s="473">
        <v>-5575333.3300000001</v>
      </c>
      <c r="AG362" s="473">
        <v>-5575333.3300000001</v>
      </c>
      <c r="AH362" s="473">
        <v>-5575333.3300000001</v>
      </c>
      <c r="AI362" s="473">
        <v>-5575333.3300000001</v>
      </c>
      <c r="AJ362" s="473">
        <v>-5575333.3300000001</v>
      </c>
      <c r="AK362" s="473">
        <v>-5575333.3300000001</v>
      </c>
      <c r="AL362" s="473">
        <v>-5575333.3300000001</v>
      </c>
      <c r="AM362" s="473">
        <v>-5575333.3300000001</v>
      </c>
      <c r="AN362" s="473">
        <v>-5575333.3300000001</v>
      </c>
      <c r="AO362" s="473">
        <v>-5575333.3300000001</v>
      </c>
      <c r="AP362" s="473">
        <v>-5575333.3300000001</v>
      </c>
      <c r="AQ362" s="473">
        <v>-5575333.3300000001</v>
      </c>
      <c r="AR362" s="473">
        <v>-5575333.3300000001</v>
      </c>
      <c r="AS362" s="473">
        <v>-5575333.3300000001</v>
      </c>
      <c r="AT362" s="473">
        <v>-5575333.3300000001</v>
      </c>
      <c r="AU362" s="473">
        <v>-5575333.3300000001</v>
      </c>
      <c r="AV362" s="473">
        <v>-5575333.3300000001</v>
      </c>
      <c r="AW362" s="473">
        <v>-5575333.3300000001</v>
      </c>
      <c r="AX362" s="473">
        <v>-5575333.3300000001</v>
      </c>
      <c r="AY362" s="473">
        <v>-5575333.3300000001</v>
      </c>
      <c r="AZ362" s="473">
        <v>-5575333.3300000001</v>
      </c>
      <c r="BA362" s="473">
        <v>-5575333.3300000001</v>
      </c>
      <c r="BB362" s="473">
        <v>-5575333.3300000001</v>
      </c>
      <c r="BC362" s="473">
        <v>-5575333.3300000001</v>
      </c>
      <c r="BD362" s="473">
        <v>-5575333.3300000001</v>
      </c>
      <c r="BE362" s="473">
        <v>-5575333.3300000001</v>
      </c>
      <c r="BF362" s="473">
        <v>-5575333.3300000001</v>
      </c>
      <c r="BG362" s="473">
        <v>-5575333.3300000001</v>
      </c>
      <c r="BH362" s="473">
        <v>-5575333.3300000001</v>
      </c>
      <c r="BI362" s="473">
        <v>-5575333.3300000001</v>
      </c>
      <c r="BJ362" s="473">
        <v>-5575333.3300000001</v>
      </c>
      <c r="BK362" s="473">
        <v>-5575333.3300000001</v>
      </c>
      <c r="BL362" s="473">
        <v>-5575333.3300000001</v>
      </c>
      <c r="BM362" s="473">
        <v>-5575333.3300000001</v>
      </c>
      <c r="BN362" s="473">
        <v>-5575333.3300000001</v>
      </c>
      <c r="BO362" s="473">
        <v>-5575333.3300000001</v>
      </c>
      <c r="BP362" s="473">
        <v>-5575333.3300000001</v>
      </c>
      <c r="BQ362" s="473">
        <v>-5575333.3300000001</v>
      </c>
      <c r="BR362" s="473">
        <v>-5575333.3300000001</v>
      </c>
      <c r="BS362" s="473">
        <v>-5575333.3300000001</v>
      </c>
      <c r="BT362" s="473">
        <v>-5575333.3300000001</v>
      </c>
      <c r="BU362" s="473">
        <v>-5575333.3300000001</v>
      </c>
      <c r="BV362" s="473">
        <v>-5575333.3300000001</v>
      </c>
      <c r="BW362" s="473">
        <v>-5575333.3300000001</v>
      </c>
      <c r="BX362" s="473">
        <v>-5575333.3300000001</v>
      </c>
      <c r="BY362" s="473">
        <v>-5575333.3300000001</v>
      </c>
      <c r="BZ362" s="473">
        <v>-5575333.3300000001</v>
      </c>
      <c r="CA362" s="473">
        <v>-5575333.3300000001</v>
      </c>
      <c r="CB362" s="473">
        <v>-5575333.3300000001</v>
      </c>
      <c r="CC362" s="473">
        <v>-5575333.3300000001</v>
      </c>
      <c r="CD362" s="473">
        <v>-5575333.3300000001</v>
      </c>
      <c r="CE362" s="473">
        <v>-5575333.3300000001</v>
      </c>
      <c r="CF362" s="473">
        <v>-5575333.3300000001</v>
      </c>
      <c r="CG362" s="473">
        <v>-5575333.3300000001</v>
      </c>
      <c r="CH362" s="473">
        <v>-5575333.3300000001</v>
      </c>
      <c r="CI362" s="473">
        <v>-5575333.3300000001</v>
      </c>
      <c r="CJ362" s="473">
        <v>-5575333.3300000001</v>
      </c>
      <c r="CK362" s="473">
        <v>-5575333.3300000001</v>
      </c>
      <c r="CL362" s="473">
        <v>-5575333.3300000001</v>
      </c>
      <c r="CM362" s="473">
        <v>-5575333.3300000001</v>
      </c>
      <c r="CN362" s="473">
        <v>-5575333.3300000001</v>
      </c>
      <c r="CO362" s="473">
        <v>-5575333.3300000001</v>
      </c>
      <c r="CP362" s="473">
        <v>-5575333.3300000001</v>
      </c>
      <c r="CQ362" s="473">
        <v>-5575333.3300000001</v>
      </c>
      <c r="CR362" s="473">
        <v>-5575333.3300000001</v>
      </c>
      <c r="CS362" s="473">
        <v>-5575333.3300000001</v>
      </c>
      <c r="CT362" s="473">
        <v>-5575333.3300000001</v>
      </c>
      <c r="CU362" s="473">
        <v>-5575333.3300000001</v>
      </c>
      <c r="CV362" s="473">
        <v>-5575333.3300000001</v>
      </c>
    </row>
    <row r="363" spans="1:100">
      <c r="A363" s="479" t="s">
        <v>859</v>
      </c>
      <c r="D363" s="402">
        <v>-179974835.86000001</v>
      </c>
      <c r="E363" s="402">
        <v>-179974835.86000001</v>
      </c>
      <c r="F363" s="402">
        <v>-186974835.86000001</v>
      </c>
      <c r="G363" s="402">
        <v>-186974835.86000001</v>
      </c>
      <c r="H363" s="402">
        <v>-186974835.86000001</v>
      </c>
      <c r="I363" s="402">
        <v>-196974835.86000001</v>
      </c>
      <c r="J363" s="402">
        <v>-196974835.86000001</v>
      </c>
      <c r="K363" s="402">
        <v>-196974835.86000001</v>
      </c>
      <c r="L363" s="402">
        <v>-199474835.86000001</v>
      </c>
      <c r="M363" s="402">
        <v>-199474835.86000001</v>
      </c>
      <c r="N363" s="402">
        <v>-199474835.86000001</v>
      </c>
      <c r="O363" s="402">
        <v>-204974835.86000001</v>
      </c>
      <c r="P363" s="472">
        <v>-204974835.86000001</v>
      </c>
      <c r="Q363" s="186">
        <v>-204974835.86000001</v>
      </c>
      <c r="R363" s="186">
        <v>-204974835.86000001</v>
      </c>
      <c r="S363" s="186">
        <v>-204974835.86000001</v>
      </c>
      <c r="T363" s="186">
        <v>-204974835.86000001</v>
      </c>
      <c r="U363" s="186">
        <v>-214974835.86000001</v>
      </c>
      <c r="V363" s="186">
        <v>-214974835.86000001</v>
      </c>
      <c r="W363" s="186">
        <v>-214974835.86000001</v>
      </c>
      <c r="X363" s="186">
        <v>-222974835.86000001</v>
      </c>
      <c r="Y363" s="186">
        <v>-222974835.86000001</v>
      </c>
      <c r="Z363" s="186">
        <v>-222974835.86000001</v>
      </c>
      <c r="AA363" s="186">
        <v>-229974835.86000001</v>
      </c>
      <c r="AB363" s="473">
        <v>-229974835.86000001</v>
      </c>
      <c r="AC363" s="473">
        <v>-229974835.86000001</v>
      </c>
      <c r="AD363" s="473">
        <v>-229974835.86000001</v>
      </c>
      <c r="AE363" s="473">
        <v>-229974835.86000001</v>
      </c>
      <c r="AF363" s="473">
        <v>-229974835.86000001</v>
      </c>
      <c r="AG363" s="473">
        <v>-229974835.86000001</v>
      </c>
      <c r="AH363" s="473">
        <v>-229974835.86000001</v>
      </c>
      <c r="AI363" s="473">
        <v>-229974835.86000001</v>
      </c>
      <c r="AJ363" s="473">
        <v>-229974835.86000001</v>
      </c>
      <c r="AK363" s="473">
        <v>-229974835.86000001</v>
      </c>
      <c r="AL363" s="473">
        <v>-229974835.86000001</v>
      </c>
      <c r="AM363" s="473">
        <v>-229974835.86000001</v>
      </c>
      <c r="AN363" s="473">
        <v>-229974835.86000001</v>
      </c>
      <c r="AO363" s="473">
        <v>-229974835.86000001</v>
      </c>
      <c r="AP363" s="473">
        <v>-236974835.86000001</v>
      </c>
      <c r="AQ363" s="473">
        <v>-236974835.86000001</v>
      </c>
      <c r="AR363" s="473">
        <v>-236974835.86000001</v>
      </c>
      <c r="AS363" s="473">
        <v>-252974835.86000001</v>
      </c>
      <c r="AT363" s="473">
        <v>-252974835.86000001</v>
      </c>
      <c r="AU363" s="473">
        <v>-252974835.86000001</v>
      </c>
      <c r="AV363" s="473">
        <v>-262974835.86000001</v>
      </c>
      <c r="AW363" s="473">
        <v>-262974835.86000001</v>
      </c>
      <c r="AX363" s="473">
        <v>-262974835.86000001</v>
      </c>
      <c r="AY363" s="473">
        <v>-269974835.86000001</v>
      </c>
      <c r="AZ363" s="473">
        <v>-269974835.86000001</v>
      </c>
      <c r="BA363" s="473">
        <v>-269974835.86000001</v>
      </c>
      <c r="BB363" s="473">
        <v>-279974835.86000001</v>
      </c>
      <c r="BC363" s="473">
        <v>-279974835.86000001</v>
      </c>
      <c r="BD363" s="473">
        <v>-279974835.86000001</v>
      </c>
      <c r="BE363" s="473">
        <v>-294974835.86000001</v>
      </c>
      <c r="BF363" s="473">
        <v>-294974835.86000001</v>
      </c>
      <c r="BG363" s="473">
        <v>-294974835.86000001</v>
      </c>
      <c r="BH363" s="473">
        <v>-304974835.86000001</v>
      </c>
      <c r="BI363" s="473">
        <v>-304974835.86000001</v>
      </c>
      <c r="BJ363" s="473">
        <v>-304974835.86000001</v>
      </c>
      <c r="BK363" s="473">
        <v>-314974835.86000001</v>
      </c>
      <c r="BL363" s="473">
        <v>-314974835.86000001</v>
      </c>
      <c r="BM363" s="473">
        <v>-314974835.86000001</v>
      </c>
      <c r="BN363" s="473">
        <v>-349974835.86000001</v>
      </c>
      <c r="BO363" s="473">
        <v>-349974835.86000001</v>
      </c>
      <c r="BP363" s="473">
        <v>-349974835.86000001</v>
      </c>
      <c r="BQ363" s="473">
        <v>-384974835.86000001</v>
      </c>
      <c r="BR363" s="473">
        <v>-384974835.86000001</v>
      </c>
      <c r="BS363" s="473">
        <v>-384974835.86000001</v>
      </c>
      <c r="BT363" s="473">
        <v>-384974835.86000001</v>
      </c>
      <c r="BU363" s="473">
        <v>-409974835.86000001</v>
      </c>
      <c r="BV363" s="473">
        <v>-409974835.86000001</v>
      </c>
      <c r="BW363" s="473">
        <v>-409974835.86000001</v>
      </c>
      <c r="BX363" s="473">
        <v>-409974835.86000001</v>
      </c>
      <c r="BY363" s="473">
        <v>-409974835.86000001</v>
      </c>
      <c r="BZ363" s="473">
        <v>-449974835.86000001</v>
      </c>
      <c r="CA363" s="473">
        <v>-449974835.86000001</v>
      </c>
      <c r="CB363" s="473">
        <v>-449974835.86000001</v>
      </c>
      <c r="CC363" s="473">
        <v>-479974835.86000001</v>
      </c>
      <c r="CD363" s="473">
        <v>-479974835.86000001</v>
      </c>
      <c r="CE363" s="473">
        <v>-479974835.86000001</v>
      </c>
      <c r="CF363" s="473">
        <v>-524974835.86000001</v>
      </c>
      <c r="CG363" s="473">
        <v>-524974835.86000001</v>
      </c>
      <c r="CH363" s="473">
        <v>-524974835.86000001</v>
      </c>
      <c r="CI363" s="473">
        <v>-539974835.86000001</v>
      </c>
      <c r="CJ363" s="473">
        <v>-539974835.86000001</v>
      </c>
      <c r="CK363" s="473">
        <v>-539974835.86000001</v>
      </c>
      <c r="CL363" s="473">
        <v>-579974835.86000001</v>
      </c>
      <c r="CM363" s="473">
        <v>-579974835.86000001</v>
      </c>
      <c r="CN363" s="473">
        <v>-579974835.86000001</v>
      </c>
      <c r="CO363" s="473">
        <v>-599974835.86000001</v>
      </c>
      <c r="CP363" s="473">
        <v>-599974835.86000001</v>
      </c>
      <c r="CQ363" s="473">
        <v>-599974835.86000001</v>
      </c>
      <c r="CR363" s="473">
        <v>-634974835.86000001</v>
      </c>
      <c r="CS363" s="473">
        <v>-634974835.86000001</v>
      </c>
      <c r="CT363" s="473">
        <v>-634974835.86000001</v>
      </c>
      <c r="CU363" s="473">
        <v>-659974835.86000001</v>
      </c>
      <c r="CV363" s="473">
        <v>-659974835.86000001</v>
      </c>
    </row>
    <row r="364" spans="1:100">
      <c r="A364" s="479" t="s">
        <v>860</v>
      </c>
      <c r="D364" s="402">
        <v>-113841661.34999999</v>
      </c>
      <c r="E364" s="402">
        <v>-111660571.31</v>
      </c>
      <c r="F364" s="402">
        <v>-116163198.14999999</v>
      </c>
      <c r="G364" s="402">
        <v>-121045081.70999999</v>
      </c>
      <c r="H364" s="402">
        <v>-112372273.53999999</v>
      </c>
      <c r="I364" s="402">
        <v>-114186487.94</v>
      </c>
      <c r="J364" s="402">
        <v>-116665030.02</v>
      </c>
      <c r="K364" s="402">
        <v>-108377669.84</v>
      </c>
      <c r="L364" s="402">
        <v>-110088730.94000001</v>
      </c>
      <c r="M364" s="402">
        <v>-111423397.67999999</v>
      </c>
      <c r="N364" s="402">
        <v>-107968848.84</v>
      </c>
      <c r="O364" s="402">
        <v>-110793956.44</v>
      </c>
      <c r="P364" s="472">
        <v>-114523842.91999999</v>
      </c>
      <c r="Q364" s="186">
        <v>-120069519.97</v>
      </c>
      <c r="R364" s="186">
        <v>-118450787.73999999</v>
      </c>
      <c r="S364" s="186">
        <v>-122572270.42999999</v>
      </c>
      <c r="T364" s="186">
        <v>-110707125.28999999</v>
      </c>
      <c r="U364" s="186">
        <v>-113050943.02</v>
      </c>
      <c r="V364" s="186">
        <v>-115846763.8</v>
      </c>
      <c r="W364" s="186">
        <v>-108844000.88</v>
      </c>
      <c r="X364" s="186">
        <v>-111355677.53</v>
      </c>
      <c r="Y364" s="186">
        <v>-113216124.94</v>
      </c>
      <c r="Z364" s="186">
        <v>-115381134.81999999</v>
      </c>
      <c r="AA364" s="186">
        <v>-110047092.87</v>
      </c>
      <c r="AB364" s="473">
        <v>-112996126.16</v>
      </c>
      <c r="AC364" s="473">
        <v>-118293506.45</v>
      </c>
      <c r="AD364" s="473">
        <v>-117913111.88</v>
      </c>
      <c r="AE364" s="473">
        <v>-120286277.34999999</v>
      </c>
      <c r="AF364" s="473">
        <v>-123232291.81</v>
      </c>
      <c r="AG364" s="473">
        <v>-112306851.91000001</v>
      </c>
      <c r="AH364" s="473">
        <v>-105536923.00999999</v>
      </c>
      <c r="AI364" s="473">
        <v>-108153020.66</v>
      </c>
      <c r="AJ364" s="473">
        <v>-110172896.44</v>
      </c>
      <c r="AK364" s="473">
        <v>-112131872.52</v>
      </c>
      <c r="AL364" s="473">
        <v>-115075853.38</v>
      </c>
      <c r="AM364" s="473">
        <v>-112221907</v>
      </c>
      <c r="AN364" s="473">
        <v>-114275156.05</v>
      </c>
      <c r="AO364" s="473">
        <v>-119639984.92999999</v>
      </c>
      <c r="AP364" s="473">
        <v>-115503883.44</v>
      </c>
      <c r="AQ364" s="473">
        <v>-120040674.87</v>
      </c>
      <c r="AR364" s="473">
        <v>-123871642.90000001</v>
      </c>
      <c r="AS364" s="473">
        <v>-116300726.61</v>
      </c>
      <c r="AT364" s="473">
        <v>-118382345.68000001</v>
      </c>
      <c r="AU364" s="473">
        <v>-121141229.44</v>
      </c>
      <c r="AV364" s="473">
        <v>-111552004.88</v>
      </c>
      <c r="AW364" s="473">
        <v>-114259923.31</v>
      </c>
      <c r="AX364" s="473">
        <v>-116890073.22</v>
      </c>
      <c r="AY364" s="473">
        <v>-112995993.04000001</v>
      </c>
      <c r="AZ364" s="473">
        <v>-118580112.11</v>
      </c>
      <c r="BA364" s="473">
        <v>-127882218.40000001</v>
      </c>
      <c r="BB364" s="473">
        <v>-118020169.08999999</v>
      </c>
      <c r="BC364" s="473">
        <v>-119670737.80999999</v>
      </c>
      <c r="BD364" s="473">
        <v>-124975639.45</v>
      </c>
      <c r="BE364" s="473">
        <v>-112207660.15000001</v>
      </c>
      <c r="BF364" s="473">
        <v>-115304035.14999999</v>
      </c>
      <c r="BG364" s="473">
        <v>-118409305.34999999</v>
      </c>
      <c r="BH364" s="473">
        <v>-109851967.98999999</v>
      </c>
      <c r="BI364" s="473">
        <v>-113549918.5</v>
      </c>
      <c r="BJ364" s="473">
        <v>-116353191.73</v>
      </c>
      <c r="BK364" s="473">
        <v>-110539731.06</v>
      </c>
      <c r="BL364" s="473">
        <v>-116033086.81999999</v>
      </c>
      <c r="BM364" s="473">
        <v>-122651032.70999999</v>
      </c>
      <c r="BN364" s="473">
        <v>-116699202.21000001</v>
      </c>
      <c r="BO364" s="473">
        <v>-122195252.52</v>
      </c>
      <c r="BP364" s="473">
        <v>-127422182.71000001</v>
      </c>
      <c r="BQ364" s="473">
        <v>-114024685.78</v>
      </c>
      <c r="BR364" s="473">
        <v>-117789859.14999999</v>
      </c>
      <c r="BS364" s="473">
        <v>-120848674.53</v>
      </c>
      <c r="BT364" s="473">
        <v>-111115293.69000001</v>
      </c>
      <c r="BU364" s="473">
        <v>-114799153.32000001</v>
      </c>
      <c r="BV364" s="473">
        <v>-118224762.41000001</v>
      </c>
      <c r="BW364" s="473">
        <v>-112041843.11999999</v>
      </c>
      <c r="BX364" s="473">
        <v>-116103246.80999999</v>
      </c>
      <c r="BY364" s="473">
        <v>-123778864.42999999</v>
      </c>
      <c r="BZ364" s="473">
        <v>-117830680.34999999</v>
      </c>
      <c r="CA364" s="473">
        <v>-122675463.53</v>
      </c>
      <c r="CB364" s="473">
        <v>-126386191.80999999</v>
      </c>
      <c r="CC364" s="473">
        <v>-111533670.65000001</v>
      </c>
      <c r="CD364" s="473">
        <v>-114743463.79000001</v>
      </c>
      <c r="CE364" s="473">
        <v>-117839597.21000001</v>
      </c>
      <c r="CF364" s="473">
        <v>-111068552.06</v>
      </c>
      <c r="CG364" s="473">
        <v>-114483909.70999999</v>
      </c>
      <c r="CH364" s="473">
        <v>-117430787.00999999</v>
      </c>
      <c r="CI364" s="473">
        <v>-112251370.08999999</v>
      </c>
      <c r="CJ364" s="473">
        <v>-116870935.06999999</v>
      </c>
      <c r="CK364" s="473">
        <v>-128266422.39999999</v>
      </c>
      <c r="CL364" s="473">
        <v>-123619721.5</v>
      </c>
      <c r="CM364" s="473">
        <v>-131310521.97</v>
      </c>
      <c r="CN364" s="473">
        <v>-111908329.08</v>
      </c>
      <c r="CO364" s="473">
        <v>-117431751.22000001</v>
      </c>
      <c r="CP364" s="473">
        <v>-122874369.40000001</v>
      </c>
      <c r="CQ364" s="473">
        <v>-127308971.86</v>
      </c>
      <c r="CR364" s="473">
        <v>-113416725.28999999</v>
      </c>
      <c r="CS364" s="473">
        <v>-118972653.16</v>
      </c>
      <c r="CT364" s="473">
        <v>-124078340.31</v>
      </c>
      <c r="CU364" s="473">
        <v>-115121169.08</v>
      </c>
      <c r="CV364" s="473">
        <v>-120983768.86999999</v>
      </c>
    </row>
    <row r="365" spans="1:100">
      <c r="A365" t="s">
        <v>861</v>
      </c>
      <c r="D365" s="402">
        <v>1829349.5</v>
      </c>
      <c r="E365" s="402">
        <v>1806940.46</v>
      </c>
      <c r="F365" s="402">
        <v>1784531.42</v>
      </c>
      <c r="G365" s="402">
        <v>1762122.39</v>
      </c>
      <c r="H365" s="402">
        <v>1739168.69</v>
      </c>
      <c r="I365" s="402">
        <v>1723656.39</v>
      </c>
      <c r="J365" s="402">
        <v>1701229.69</v>
      </c>
      <c r="K365" s="402">
        <v>1678802.98</v>
      </c>
      <c r="L365" s="402">
        <v>1656376.27</v>
      </c>
      <c r="M365" s="402">
        <v>1633949.56</v>
      </c>
      <c r="N365" s="402">
        <v>1611522.85</v>
      </c>
      <c r="O365" s="402">
        <v>1589096.15</v>
      </c>
      <c r="P365" s="402">
        <v>1566669.44</v>
      </c>
      <c r="Q365" s="186">
        <v>1544242.72</v>
      </c>
      <c r="R365" s="186">
        <v>1521816.01</v>
      </c>
      <c r="S365" s="186">
        <v>1493100.1</v>
      </c>
      <c r="T365" s="186">
        <v>1361613.87</v>
      </c>
      <c r="U365" s="186">
        <v>1168927.3799999999</v>
      </c>
      <c r="V365" s="186">
        <v>1219531.99</v>
      </c>
      <c r="W365" s="186">
        <v>1197697.42</v>
      </c>
      <c r="X365" s="186">
        <v>1175862.8500000001</v>
      </c>
      <c r="Y365" s="186">
        <v>1154028.28</v>
      </c>
      <c r="Z365" s="186">
        <v>1132193.71</v>
      </c>
      <c r="AA365" s="186">
        <v>1110359.1299999999</v>
      </c>
      <c r="AB365" s="186">
        <v>1088524.56</v>
      </c>
      <c r="AC365" s="186">
        <v>1066689.98</v>
      </c>
      <c r="AD365" s="186">
        <v>1044855.42</v>
      </c>
      <c r="AE365" s="186">
        <v>1023020.84</v>
      </c>
      <c r="AF365" s="186">
        <v>1001186.26</v>
      </c>
      <c r="AG365" s="186">
        <v>979351.69</v>
      </c>
      <c r="AH365" s="186">
        <v>957517.11</v>
      </c>
      <c r="AI365" s="186">
        <v>935682.55</v>
      </c>
      <c r="AJ365" s="186">
        <v>913847.97</v>
      </c>
      <c r="AK365" s="186">
        <v>892013.4</v>
      </c>
      <c r="AL365" s="186">
        <v>870178.82</v>
      </c>
      <c r="AM365" s="186">
        <v>848344.25</v>
      </c>
      <c r="AN365" s="186">
        <v>826509.69</v>
      </c>
      <c r="AO365" s="186">
        <v>804675.11</v>
      </c>
      <c r="AP365" s="186">
        <v>782840.54</v>
      </c>
      <c r="AQ365" s="186">
        <v>761005.96</v>
      </c>
      <c r="AR365" s="186">
        <v>739171.39</v>
      </c>
      <c r="AS365" s="186">
        <v>717336.82</v>
      </c>
      <c r="AT365" s="186">
        <v>695502.25</v>
      </c>
      <c r="AU365" s="186">
        <v>673667.67</v>
      </c>
      <c r="AV365" s="186">
        <v>651833.1</v>
      </c>
      <c r="AW365" s="186">
        <v>629998.53</v>
      </c>
      <c r="AX365" s="186">
        <v>608163.96</v>
      </c>
      <c r="AY365" s="186">
        <v>586329.39</v>
      </c>
      <c r="AZ365" s="186">
        <v>508060.84</v>
      </c>
      <c r="BA365" s="186">
        <v>481523.44</v>
      </c>
      <c r="BB365" s="186">
        <v>454986.03</v>
      </c>
      <c r="BC365" s="186">
        <v>428448.63</v>
      </c>
      <c r="BD365" s="186">
        <v>401911.22</v>
      </c>
      <c r="BE365" s="186">
        <v>387616.51</v>
      </c>
      <c r="BF365" s="186">
        <v>385564.29</v>
      </c>
      <c r="BG365" s="186">
        <v>383512.08</v>
      </c>
      <c r="BH365" s="186">
        <v>381459.84</v>
      </c>
      <c r="BI365" s="186">
        <v>379407.62</v>
      </c>
      <c r="BJ365" s="186">
        <v>377355.4</v>
      </c>
      <c r="BK365" s="186">
        <v>375303.18</v>
      </c>
      <c r="BL365" s="186">
        <v>373250.95</v>
      </c>
      <c r="BM365" s="186">
        <v>371198.73</v>
      </c>
      <c r="BN365" s="186">
        <v>369146.5</v>
      </c>
      <c r="BO365" s="186">
        <v>367094.29</v>
      </c>
      <c r="BP365" s="186">
        <v>365042.07</v>
      </c>
      <c r="BQ365" s="186">
        <v>362989.85</v>
      </c>
      <c r="BR365" s="186">
        <v>360937.62</v>
      </c>
      <c r="BS365" s="186">
        <v>358885.4</v>
      </c>
      <c r="BT365" s="186">
        <v>356833.18</v>
      </c>
      <c r="BU365" s="186">
        <v>354780.97</v>
      </c>
      <c r="BV365" s="186">
        <v>352728.74</v>
      </c>
      <c r="BW365" s="186">
        <v>350676.52</v>
      </c>
      <c r="BX365" s="186">
        <v>348624.3</v>
      </c>
      <c r="BY365" s="186">
        <v>346572.08</v>
      </c>
      <c r="BZ365" s="186">
        <v>344519.85</v>
      </c>
      <c r="CA365" s="186">
        <v>342467.64</v>
      </c>
      <c r="CB365" s="186">
        <v>340415.42</v>
      </c>
      <c r="CC365" s="186">
        <v>338363.2</v>
      </c>
      <c r="CD365" s="186">
        <v>336310.97</v>
      </c>
      <c r="CE365" s="186">
        <v>334258.75</v>
      </c>
      <c r="CF365" s="186">
        <v>332206.53000000003</v>
      </c>
      <c r="CG365" s="186">
        <v>330154.32</v>
      </c>
      <c r="CH365" s="186">
        <v>328102.09000000003</v>
      </c>
      <c r="CI365" s="186">
        <v>326049.87</v>
      </c>
      <c r="CJ365" s="186">
        <v>323997.65000000002</v>
      </c>
      <c r="CK365" s="186">
        <v>321945.43</v>
      </c>
      <c r="CL365" s="186">
        <v>319893.2</v>
      </c>
      <c r="CM365" s="186">
        <v>317840.99</v>
      </c>
      <c r="CN365" s="186">
        <v>315775.98</v>
      </c>
      <c r="CO365" s="186">
        <v>313723.76</v>
      </c>
      <c r="CP365" s="186">
        <v>311671.53000000003</v>
      </c>
      <c r="CQ365" s="186">
        <v>309619.31</v>
      </c>
      <c r="CR365" s="186">
        <v>307567.09000000003</v>
      </c>
      <c r="CS365" s="186">
        <v>305514.88</v>
      </c>
      <c r="CT365" s="186">
        <v>303462.65000000002</v>
      </c>
      <c r="CU365" s="186">
        <v>301410.43</v>
      </c>
      <c r="CV365" s="186">
        <v>299358.21000000002</v>
      </c>
    </row>
    <row r="366" spans="1:100">
      <c r="A366" s="478" t="s">
        <v>862</v>
      </c>
      <c r="D366" s="402">
        <v>-231764680</v>
      </c>
      <c r="E366" s="402">
        <v>-231764680</v>
      </c>
      <c r="F366" s="402">
        <v>-231764680</v>
      </c>
      <c r="G366" s="402">
        <v>-231764680</v>
      </c>
      <c r="H366" s="402">
        <v>-231764680</v>
      </c>
      <c r="I366" s="402">
        <v>-241764680</v>
      </c>
      <c r="J366" s="402">
        <v>-241764680</v>
      </c>
      <c r="K366" s="402">
        <v>-241764680</v>
      </c>
      <c r="L366" s="402">
        <v>-241764680</v>
      </c>
      <c r="M366" s="402">
        <v>-241764680</v>
      </c>
      <c r="N366" s="402">
        <v>-241764680</v>
      </c>
      <c r="O366" s="402">
        <v>-241764680</v>
      </c>
      <c r="P366" s="475">
        <v>-241764680</v>
      </c>
      <c r="Q366" s="186">
        <v>-241764680</v>
      </c>
      <c r="R366" s="186">
        <v>-241764680</v>
      </c>
      <c r="S366" s="186">
        <v>-241764680</v>
      </c>
      <c r="T366" s="186">
        <v>-241764680</v>
      </c>
      <c r="U366" s="186">
        <v>-261764680</v>
      </c>
      <c r="V366" s="186">
        <v>-261764680</v>
      </c>
      <c r="W366" s="186">
        <v>-261764680</v>
      </c>
      <c r="X366" s="186">
        <v>-261764680</v>
      </c>
      <c r="Y366" s="186">
        <v>-261764680</v>
      </c>
      <c r="Z366" s="186">
        <v>-261764680</v>
      </c>
      <c r="AA366" s="186">
        <v>-261764680</v>
      </c>
      <c r="AB366" s="477">
        <v>-261764680</v>
      </c>
      <c r="AC366" s="477">
        <v>-261764680</v>
      </c>
      <c r="AD366" s="477">
        <v>-261764680</v>
      </c>
      <c r="AE366" s="477">
        <v>-261764680</v>
      </c>
      <c r="AF366" s="477">
        <v>-261764680</v>
      </c>
      <c r="AG366" s="477">
        <v>-261764680</v>
      </c>
      <c r="AH366" s="477">
        <v>-261764680</v>
      </c>
      <c r="AI366" s="477">
        <v>-261764680</v>
      </c>
      <c r="AJ366" s="477">
        <v>-261764680</v>
      </c>
      <c r="AK366" s="477">
        <v>-261764680</v>
      </c>
      <c r="AL366" s="477">
        <v>-261764680</v>
      </c>
      <c r="AM366" s="477">
        <v>-261764680</v>
      </c>
      <c r="AN366" s="477">
        <v>-261764680</v>
      </c>
      <c r="AO366" s="477">
        <v>-261764680</v>
      </c>
      <c r="AP366" s="477">
        <v>-261764680</v>
      </c>
      <c r="AQ366" s="477">
        <v>-261764680</v>
      </c>
      <c r="AR366" s="477">
        <v>-261764680</v>
      </c>
      <c r="AS366" s="477">
        <v>-261764680</v>
      </c>
      <c r="AT366" s="477">
        <v>-261764680</v>
      </c>
      <c r="AU366" s="477">
        <v>-261764680</v>
      </c>
      <c r="AV366" s="477">
        <v>-261764680</v>
      </c>
      <c r="AW366" s="477">
        <v>-261764680</v>
      </c>
      <c r="AX366" s="477">
        <v>-261764680</v>
      </c>
      <c r="AY366" s="477">
        <v>-261764680</v>
      </c>
      <c r="AZ366" s="477">
        <v>-261764680</v>
      </c>
      <c r="BA366" s="477">
        <v>-261764680</v>
      </c>
      <c r="BB366" s="477">
        <v>-261764680</v>
      </c>
      <c r="BC366" s="477">
        <v>-261764680</v>
      </c>
      <c r="BD366" s="477">
        <v>-261764680</v>
      </c>
      <c r="BE366" s="477">
        <v>-211764680</v>
      </c>
      <c r="BF366" s="477">
        <v>-286764680</v>
      </c>
      <c r="BG366" s="477">
        <v>-286764680</v>
      </c>
      <c r="BH366" s="477">
        <v>-286764680</v>
      </c>
      <c r="BI366" s="477">
        <v>-286764680</v>
      </c>
      <c r="BJ366" s="477">
        <v>-311764680</v>
      </c>
      <c r="BK366" s="477">
        <v>-311764680</v>
      </c>
      <c r="BL366" s="477">
        <v>-311764680</v>
      </c>
      <c r="BM366" s="477">
        <v>-311764680</v>
      </c>
      <c r="BN366" s="477">
        <v>-311764680</v>
      </c>
      <c r="BO366" s="477">
        <v>-311764680</v>
      </c>
      <c r="BP366" s="477">
        <v>-311764680</v>
      </c>
      <c r="BQ366" s="477">
        <v>-311764680</v>
      </c>
      <c r="BR366" s="477">
        <v>-311764680</v>
      </c>
      <c r="BS366" s="477">
        <v>-336764680</v>
      </c>
      <c r="BT366" s="477">
        <v>-336764680</v>
      </c>
      <c r="BU366" s="477">
        <v>-336764680</v>
      </c>
      <c r="BV366" s="477">
        <v>-336764680</v>
      </c>
      <c r="BW366" s="477">
        <v>-336764680</v>
      </c>
      <c r="BX366" s="477">
        <v>-336764680</v>
      </c>
      <c r="BY366" s="477">
        <v>-336764680</v>
      </c>
      <c r="BZ366" s="477">
        <v>-336764680</v>
      </c>
      <c r="CA366" s="477">
        <v>-336764680</v>
      </c>
      <c r="CB366" s="477">
        <v>-336764680</v>
      </c>
      <c r="CC366" s="477">
        <v>-336764680</v>
      </c>
      <c r="CD366" s="477">
        <v>-336764680</v>
      </c>
      <c r="CE366" s="477">
        <v>-336764680</v>
      </c>
      <c r="CF366" s="477">
        <v>-336764680</v>
      </c>
      <c r="CG366" s="477">
        <v>-336764680</v>
      </c>
      <c r="CH366" s="477">
        <v>-336764680</v>
      </c>
      <c r="CI366" s="477">
        <v>-336764680</v>
      </c>
      <c r="CJ366" s="477">
        <v>-336764680</v>
      </c>
      <c r="CK366" s="477">
        <v>-336764680</v>
      </c>
      <c r="CL366" s="477">
        <v>-336764680</v>
      </c>
      <c r="CM366" s="477">
        <v>-566764680</v>
      </c>
      <c r="CN366" s="477">
        <v>-566764680</v>
      </c>
      <c r="CO366" s="477">
        <v>-520000000</v>
      </c>
      <c r="CP366" s="477">
        <v>-520000000</v>
      </c>
      <c r="CQ366" s="477">
        <v>-520000000</v>
      </c>
      <c r="CR366" s="477">
        <v>-520000000</v>
      </c>
      <c r="CS366" s="477">
        <v>-520000000</v>
      </c>
      <c r="CT366" s="477">
        <v>-520000000</v>
      </c>
      <c r="CU366" s="477">
        <v>-520000000</v>
      </c>
      <c r="CV366" s="477">
        <v>-520000000</v>
      </c>
    </row>
    <row r="367" spans="1:100">
      <c r="A367" s="478" t="s">
        <v>863</v>
      </c>
      <c r="D367" s="402">
        <v>422760.18</v>
      </c>
      <c r="E367" s="402">
        <v>421177.68</v>
      </c>
      <c r="F367" s="402">
        <v>419595.18</v>
      </c>
      <c r="G367" s="402">
        <v>418012.68</v>
      </c>
      <c r="H367" s="402">
        <v>416430.18</v>
      </c>
      <c r="I367" s="402">
        <v>421547.68</v>
      </c>
      <c r="J367" s="402">
        <v>419937.26</v>
      </c>
      <c r="K367" s="402">
        <v>418336.15</v>
      </c>
      <c r="L367" s="402">
        <v>416735.04</v>
      </c>
      <c r="M367" s="402">
        <v>415133.93</v>
      </c>
      <c r="N367" s="402">
        <v>413532.82</v>
      </c>
      <c r="O367" s="402">
        <v>411931.71</v>
      </c>
      <c r="P367" s="475">
        <v>410330.6</v>
      </c>
      <c r="Q367" s="186">
        <v>408729.49</v>
      </c>
      <c r="R367" s="186">
        <v>407128.38</v>
      </c>
      <c r="S367" s="186">
        <v>405527.27</v>
      </c>
      <c r="T367" s="186">
        <v>403926.16</v>
      </c>
      <c r="U367" s="186">
        <v>439525.05</v>
      </c>
      <c r="V367" s="186">
        <v>437819.41</v>
      </c>
      <c r="W367" s="186">
        <v>436114.97</v>
      </c>
      <c r="X367" s="186">
        <v>434410.53</v>
      </c>
      <c r="Y367" s="186">
        <v>432706.09</v>
      </c>
      <c r="Z367" s="186">
        <v>431001.65</v>
      </c>
      <c r="AA367" s="186">
        <v>429297.21</v>
      </c>
      <c r="AB367" s="477">
        <v>427592.77</v>
      </c>
      <c r="AC367" s="477">
        <v>425888.33</v>
      </c>
      <c r="AD367" s="477">
        <v>424183.89</v>
      </c>
      <c r="AE367" s="477">
        <v>422479.45</v>
      </c>
      <c r="AF367" s="477">
        <v>420775.01</v>
      </c>
      <c r="AG367" s="477">
        <v>419070.57</v>
      </c>
      <c r="AH367" s="477">
        <v>417366.13</v>
      </c>
      <c r="AI367" s="477">
        <v>415661.69</v>
      </c>
      <c r="AJ367" s="477">
        <v>413957.25</v>
      </c>
      <c r="AK367" s="477">
        <v>412252.81</v>
      </c>
      <c r="AL367" s="477">
        <v>410548.37</v>
      </c>
      <c r="AM367" s="477">
        <v>408843.93</v>
      </c>
      <c r="AN367" s="477">
        <v>407139.49</v>
      </c>
      <c r="AO367" s="477">
        <v>405435.05</v>
      </c>
      <c r="AP367" s="477">
        <v>403730.61</v>
      </c>
      <c r="AQ367" s="477">
        <v>402026.17</v>
      </c>
      <c r="AR367" s="477">
        <v>400321.73</v>
      </c>
      <c r="AS367" s="477">
        <v>398617.29</v>
      </c>
      <c r="AT367" s="477">
        <v>396912.85</v>
      </c>
      <c r="AU367" s="477">
        <v>395208.41</v>
      </c>
      <c r="AV367" s="477">
        <v>393503.97</v>
      </c>
      <c r="AW367" s="477">
        <v>391799.53</v>
      </c>
      <c r="AX367" s="477">
        <v>390095.09</v>
      </c>
      <c r="AY367" s="477">
        <v>388390.65</v>
      </c>
      <c r="AZ367" s="477">
        <v>386686.21</v>
      </c>
      <c r="BA367" s="477">
        <v>384981.77</v>
      </c>
      <c r="BB367" s="477">
        <v>383277.33</v>
      </c>
      <c r="BC367" s="477">
        <v>381572.89</v>
      </c>
      <c r="BD367" s="477">
        <v>379868.45</v>
      </c>
      <c r="BE367" s="477">
        <v>378164.01</v>
      </c>
      <c r="BF367" s="477">
        <v>571302.51</v>
      </c>
      <c r="BG367" s="477">
        <v>774522.99</v>
      </c>
      <c r="BH367" s="477">
        <v>771701.88</v>
      </c>
      <c r="BI367" s="477">
        <v>768880.77</v>
      </c>
      <c r="BJ367" s="477">
        <v>893463.71</v>
      </c>
      <c r="BK367" s="477">
        <v>890295.45</v>
      </c>
      <c r="BL367" s="477">
        <v>887127.19</v>
      </c>
      <c r="BM367" s="477">
        <v>883958.93</v>
      </c>
      <c r="BN367" s="477">
        <v>880790.67</v>
      </c>
      <c r="BO367" s="477">
        <v>877622.41</v>
      </c>
      <c r="BP367" s="477">
        <v>874454.15</v>
      </c>
      <c r="BQ367" s="477">
        <v>871285.89</v>
      </c>
      <c r="BR367" s="477">
        <v>868117.63</v>
      </c>
      <c r="BS367" s="477">
        <v>1171449.3700000001</v>
      </c>
      <c r="BT367" s="477">
        <v>1167456.6100000001</v>
      </c>
      <c r="BU367" s="477">
        <v>1163462.2</v>
      </c>
      <c r="BV367" s="477">
        <v>1159467.79</v>
      </c>
      <c r="BW367" s="477">
        <v>1155473.3799999999</v>
      </c>
      <c r="BX367" s="477">
        <v>1151478.97</v>
      </c>
      <c r="BY367" s="477">
        <v>1147484.56</v>
      </c>
      <c r="BZ367" s="477">
        <v>1143490.1499999999</v>
      </c>
      <c r="CA367" s="477">
        <v>1139495.74</v>
      </c>
      <c r="CB367" s="477">
        <v>1135501.33</v>
      </c>
      <c r="CC367" s="477">
        <v>1131506.92</v>
      </c>
      <c r="CD367" s="477">
        <v>1127512.51</v>
      </c>
      <c r="CE367" s="477">
        <v>1123518.1000000001</v>
      </c>
      <c r="CF367" s="477">
        <v>1119523.69</v>
      </c>
      <c r="CG367" s="477">
        <v>1115529.28</v>
      </c>
      <c r="CH367" s="477">
        <v>1111534.8700000001</v>
      </c>
      <c r="CI367" s="477">
        <v>1107540.46</v>
      </c>
      <c r="CJ367" s="477">
        <v>1103546.05</v>
      </c>
      <c r="CK367" s="477">
        <v>1099551.6399999999</v>
      </c>
      <c r="CL367" s="477">
        <v>1095557.23</v>
      </c>
      <c r="CM367" s="477">
        <v>1719076.29</v>
      </c>
      <c r="CN367" s="477">
        <v>1711423.85</v>
      </c>
      <c r="CO367" s="477">
        <v>1703592.91</v>
      </c>
      <c r="CP367" s="477">
        <v>1695761.97</v>
      </c>
      <c r="CQ367" s="477">
        <v>1687931.03</v>
      </c>
      <c r="CR367" s="477">
        <v>1680100.09</v>
      </c>
      <c r="CS367" s="477">
        <v>1672269.15</v>
      </c>
      <c r="CT367" s="477">
        <v>1664438.21</v>
      </c>
      <c r="CU367" s="477">
        <v>1656607.27</v>
      </c>
      <c r="CV367" s="477">
        <v>1648776.33</v>
      </c>
    </row>
    <row r="368" spans="1:100">
      <c r="A368" t="s">
        <v>864</v>
      </c>
      <c r="D368" s="402">
        <v>-26681143.670000002</v>
      </c>
      <c r="E368" s="402">
        <v>-25951180.98</v>
      </c>
      <c r="F368" s="402">
        <v>-25787429.660000004</v>
      </c>
      <c r="G368" s="402">
        <v>-24607645.440000001</v>
      </c>
      <c r="H368" s="402">
        <v>-23817802.210000001</v>
      </c>
      <c r="I368" s="402">
        <v>-24211684.809999999</v>
      </c>
      <c r="J368" s="402">
        <v>-23718559.690000001</v>
      </c>
      <c r="K368" s="402">
        <v>-23022014.009999998</v>
      </c>
      <c r="L368" s="402">
        <v>-23281584.82</v>
      </c>
      <c r="M368" s="402">
        <v>-22017282.309999999</v>
      </c>
      <c r="N368" s="402">
        <v>-22337980.520000003</v>
      </c>
      <c r="O368" s="402">
        <v>-22681102.07</v>
      </c>
      <c r="P368" s="402">
        <v>-26019235.210000001</v>
      </c>
      <c r="Q368" s="186">
        <v>-25057694.459999997</v>
      </c>
      <c r="R368" s="186">
        <v>-25158994.050000001</v>
      </c>
      <c r="S368" s="186">
        <v>-24882291.690000001</v>
      </c>
      <c r="T368" s="186">
        <v>-24472555.400000002</v>
      </c>
      <c r="U368" s="186">
        <v>-24689803.18</v>
      </c>
      <c r="V368" s="186">
        <v>-23410386.099999998</v>
      </c>
      <c r="W368" s="186">
        <v>-22995244.939999998</v>
      </c>
      <c r="X368" s="186">
        <v>-22902148.059999999</v>
      </c>
      <c r="Y368" s="186">
        <v>-21094240.900000002</v>
      </c>
      <c r="Z368" s="186">
        <v>-21258527.009999998</v>
      </c>
      <c r="AA368" s="186">
        <v>-21444760.489999998</v>
      </c>
      <c r="AB368" s="186">
        <v>-28971148.989999998</v>
      </c>
      <c r="AC368" s="186">
        <v>-29230488.440000001</v>
      </c>
      <c r="AD368" s="186">
        <v>-29421232.449999999</v>
      </c>
      <c r="AE368" s="186">
        <v>-28365036.170000002</v>
      </c>
      <c r="AF368" s="186">
        <v>-27627477.890000001</v>
      </c>
      <c r="AG368" s="186">
        <v>-27789361.600000001</v>
      </c>
      <c r="AH368" s="186">
        <v>-27970171.940000001</v>
      </c>
      <c r="AI368" s="186">
        <v>-27092027.610000003</v>
      </c>
      <c r="AJ368" s="186">
        <v>-27195844.91</v>
      </c>
      <c r="AK368" s="186">
        <v>-35190534.840000004</v>
      </c>
      <c r="AL368" s="186">
        <v>-35327688.310000002</v>
      </c>
      <c r="AM368" s="186">
        <v>-35591343.740000002</v>
      </c>
      <c r="AN368" s="186">
        <v>-31401927.109999996</v>
      </c>
      <c r="AO368" s="186">
        <v>-31220847.27</v>
      </c>
      <c r="AP368" s="186">
        <v>-30840323.91</v>
      </c>
      <c r="AQ368" s="186">
        <v>-30087238.91</v>
      </c>
      <c r="AR368" s="186">
        <v>-29337951.139999997</v>
      </c>
      <c r="AS368" s="186">
        <v>-29589433.439999998</v>
      </c>
      <c r="AT368" s="186">
        <v>-30457098.02</v>
      </c>
      <c r="AU368" s="186">
        <v>-29573248.989999998</v>
      </c>
      <c r="AV368" s="186">
        <v>-29771356.5</v>
      </c>
      <c r="AW368" s="186">
        <v>-29087503.139999997</v>
      </c>
      <c r="AX368" s="186">
        <v>-29313861.579999998</v>
      </c>
      <c r="AY368" s="186">
        <v>-29472516.619999997</v>
      </c>
      <c r="AZ368" s="186">
        <v>-26945534.370000001</v>
      </c>
      <c r="BA368" s="186">
        <v>-26405549.239999998</v>
      </c>
      <c r="BB368" s="186">
        <v>-26282266.909999996</v>
      </c>
      <c r="BC368" s="186">
        <v>-26005749.549999997</v>
      </c>
      <c r="BD368" s="186">
        <v>-26186815.949999999</v>
      </c>
      <c r="BE368" s="186">
        <v>-26373771.039999999</v>
      </c>
      <c r="BF368" s="186">
        <v>-26138562.66</v>
      </c>
      <c r="BG368" s="186">
        <v>-26427384.760000002</v>
      </c>
      <c r="BH368" s="186">
        <v>-26651948.539999999</v>
      </c>
      <c r="BI368" s="186">
        <v>-26038291.499999996</v>
      </c>
      <c r="BJ368" s="186">
        <v>-26178351.539999999</v>
      </c>
      <c r="BK368" s="186">
        <v>-26262227.759999998</v>
      </c>
      <c r="BL368" s="186">
        <v>-28500905.75</v>
      </c>
      <c r="BM368" s="186">
        <v>-28730548.239999998</v>
      </c>
      <c r="BN368" s="186">
        <v>-28892440.729999997</v>
      </c>
      <c r="BO368" s="186">
        <v>-29522613.469999999</v>
      </c>
      <c r="BP368" s="186">
        <v>-28944618.02</v>
      </c>
      <c r="BQ368" s="186">
        <v>-29227676.150000002</v>
      </c>
      <c r="BR368" s="186">
        <v>-29186232.34</v>
      </c>
      <c r="BS368" s="186">
        <v>-29593232.990000002</v>
      </c>
      <c r="BT368" s="186">
        <v>-30362985.409999996</v>
      </c>
      <c r="BU368" s="186">
        <v>-29328244.949999999</v>
      </c>
      <c r="BV368" s="186">
        <v>-30145622.220000003</v>
      </c>
      <c r="BW368" s="186">
        <v>-31252587.749999996</v>
      </c>
      <c r="BX368" s="186">
        <v>-32488465.099999998</v>
      </c>
      <c r="BY368" s="186">
        <v>-32138951.380000003</v>
      </c>
      <c r="BZ368" s="186">
        <v>-32410263.149999999</v>
      </c>
      <c r="CA368" s="186">
        <v>-31766661.430000003</v>
      </c>
      <c r="CB368" s="186">
        <v>-31266241.800000001</v>
      </c>
      <c r="CC368" s="186">
        <v>-31654541.900000002</v>
      </c>
      <c r="CD368" s="186">
        <v>-31749175.52</v>
      </c>
      <c r="CE368" s="186">
        <v>-31420756.960000001</v>
      </c>
      <c r="CF368" s="186">
        <v>-31457185.990000002</v>
      </c>
      <c r="CG368" s="186">
        <v>-30434722.389999997</v>
      </c>
      <c r="CH368" s="186">
        <v>-30469711.049999997</v>
      </c>
      <c r="CI368" s="186">
        <v>-30738108.350000001</v>
      </c>
      <c r="CJ368" s="186">
        <v>-37961354.899999999</v>
      </c>
      <c r="CK368" s="186">
        <v>-37546038.969999999</v>
      </c>
      <c r="CL368" s="186">
        <v>-37911749.079999998</v>
      </c>
      <c r="CM368" s="186">
        <v>-36593528.599999994</v>
      </c>
      <c r="CN368" s="186">
        <v>-36185252.729999997</v>
      </c>
      <c r="CO368" s="186">
        <v>-36416618.199999996</v>
      </c>
      <c r="CP368" s="186">
        <v>-35937594.819999993</v>
      </c>
      <c r="CQ368" s="186">
        <v>-35879100.039999999</v>
      </c>
      <c r="CR368" s="186">
        <v>-35965017.68</v>
      </c>
      <c r="CS368" s="186">
        <v>-35401823.019999996</v>
      </c>
      <c r="CT368" s="186">
        <v>-31340984.740000002</v>
      </c>
      <c r="CU368" s="186">
        <v>-34148677.600000001</v>
      </c>
      <c r="CV368" s="186">
        <v>-26607352.419999998</v>
      </c>
    </row>
    <row r="369" spans="1:100">
      <c r="A369" t="s">
        <v>865</v>
      </c>
      <c r="D369" s="402">
        <v>-15600000</v>
      </c>
      <c r="E369" s="402">
        <v>-16500000</v>
      </c>
      <c r="F369" s="402">
        <v>-12200000</v>
      </c>
      <c r="G369" s="402">
        <v>0</v>
      </c>
      <c r="H369" s="402">
        <v>0</v>
      </c>
      <c r="I369" s="402">
        <v>0</v>
      </c>
      <c r="J369" s="402">
        <v>0</v>
      </c>
      <c r="K369" s="402">
        <v>0</v>
      </c>
      <c r="L369" s="402">
        <v>0</v>
      </c>
      <c r="M369" s="402">
        <v>0</v>
      </c>
      <c r="N369" s="402">
        <v>0</v>
      </c>
      <c r="O369" s="402">
        <v>0</v>
      </c>
      <c r="P369" s="402">
        <v>-12900000</v>
      </c>
      <c r="Q369" s="186">
        <v>-8350000</v>
      </c>
      <c r="R369" s="186">
        <v>-5800000</v>
      </c>
      <c r="S369" s="186">
        <v>0</v>
      </c>
      <c r="T369" s="186">
        <v>0</v>
      </c>
      <c r="U369" s="186">
        <v>0</v>
      </c>
      <c r="V369" s="186">
        <v>0</v>
      </c>
      <c r="W369" s="186">
        <v>0</v>
      </c>
      <c r="X369" s="186">
        <v>0</v>
      </c>
      <c r="Y369" s="186">
        <v>0</v>
      </c>
      <c r="Z369" s="186">
        <v>0</v>
      </c>
      <c r="AA369" s="186">
        <v>0</v>
      </c>
      <c r="AB369" s="186">
        <v>0</v>
      </c>
      <c r="AC369" s="186">
        <v>0</v>
      </c>
      <c r="AD369" s="186">
        <v>-2300000</v>
      </c>
      <c r="AE369" s="186">
        <v>0</v>
      </c>
      <c r="AF369" s="186">
        <v>0</v>
      </c>
      <c r="AG369" s="186">
        <v>0</v>
      </c>
      <c r="AH369" s="186">
        <v>0</v>
      </c>
      <c r="AI369" s="186">
        <v>-1800000</v>
      </c>
      <c r="AJ369" s="186">
        <v>-3150000</v>
      </c>
      <c r="AK369" s="186">
        <v>-700000</v>
      </c>
      <c r="AL369" s="186">
        <v>0</v>
      </c>
      <c r="AM369" s="186">
        <v>-9750000</v>
      </c>
      <c r="AN369" s="186">
        <v>-30050000</v>
      </c>
      <c r="AO369" s="186">
        <v>-41225800</v>
      </c>
      <c r="AP369" s="186">
        <v>-40506800</v>
      </c>
      <c r="AQ369" s="186">
        <v>-41810800</v>
      </c>
      <c r="AR369" s="186">
        <v>-37148300</v>
      </c>
      <c r="AS369" s="186">
        <v>-30142100</v>
      </c>
      <c r="AT369" s="186">
        <v>-36126700</v>
      </c>
      <c r="AU369" s="186">
        <v>-33325400</v>
      </c>
      <c r="AV369" s="186">
        <v>-46233900</v>
      </c>
      <c r="AW369" s="186">
        <v>-48013800</v>
      </c>
      <c r="AX369" s="186">
        <v>-43884100</v>
      </c>
      <c r="AY369" s="186">
        <v>0</v>
      </c>
      <c r="AZ369" s="186">
        <v>-5000000</v>
      </c>
      <c r="BA369" s="186">
        <v>-5000000</v>
      </c>
      <c r="BB369" s="186">
        <v>-58203643.530000001</v>
      </c>
      <c r="BC369" s="186">
        <v>-53438296.759999998</v>
      </c>
      <c r="BD369" s="186">
        <v>-53973759.039999999</v>
      </c>
      <c r="BE369" s="186">
        <v>-86871593.75</v>
      </c>
      <c r="BF369" s="186">
        <v>-32647326.449999999</v>
      </c>
      <c r="BG369" s="186">
        <v>-32403666.739999998</v>
      </c>
      <c r="BH369" s="186">
        <v>-36635669.780000001</v>
      </c>
      <c r="BI369" s="186">
        <v>-44924345.579999998</v>
      </c>
      <c r="BJ369" s="186">
        <v>0</v>
      </c>
      <c r="BK369" s="186">
        <v>-35033765.530000001</v>
      </c>
      <c r="BL369" s="186">
        <v>-53651642.840000004</v>
      </c>
      <c r="BM369" s="186">
        <v>-70274100.799999997</v>
      </c>
      <c r="BN369" s="186">
        <v>-51017831.979999997</v>
      </c>
      <c r="BO369" s="186">
        <v>-43526147.640000001</v>
      </c>
      <c r="BP369" s="186">
        <v>-47854030.259999998</v>
      </c>
      <c r="BQ369" s="186">
        <v>-32302624.949999999</v>
      </c>
      <c r="BR369" s="186">
        <v>-43946027.359999999</v>
      </c>
      <c r="BS369" s="186">
        <v>-30168533.420000002</v>
      </c>
      <c r="BT369" s="186">
        <v>-48717414.859999999</v>
      </c>
      <c r="BU369" s="186">
        <v>-44435200.189999998</v>
      </c>
      <c r="BV369" s="186">
        <v>-47028283.420000002</v>
      </c>
      <c r="BW369" s="186">
        <v>-77517735.260000005</v>
      </c>
      <c r="BX369" s="186">
        <v>-91138979.060000002</v>
      </c>
      <c r="BY369" s="186">
        <v>-104160102.78</v>
      </c>
      <c r="BZ369" s="186">
        <v>-90190820</v>
      </c>
      <c r="CA369" s="186">
        <v>-91778966.859999999</v>
      </c>
      <c r="CB369" s="186">
        <v>-99145211.670000002</v>
      </c>
      <c r="CC369" s="186">
        <v>-104893603</v>
      </c>
      <c r="CD369" s="186">
        <v>-127591365</v>
      </c>
      <c r="CE369" s="186">
        <v>-145194423.19</v>
      </c>
      <c r="CF369" s="186">
        <v>-133998437.38</v>
      </c>
      <c r="CG369" s="186">
        <v>-144415739.19999999</v>
      </c>
      <c r="CH369" s="186">
        <v>-162258206.69999999</v>
      </c>
      <c r="CI369" s="186">
        <v>-179528111.31999999</v>
      </c>
      <c r="CJ369" s="186">
        <v>-214352134.94</v>
      </c>
      <c r="CK369" s="186">
        <v>-236511398.25999999</v>
      </c>
      <c r="CL369" s="186">
        <v>-221147725.66</v>
      </c>
      <c r="CM369" s="186">
        <v>-10000000</v>
      </c>
      <c r="CN369" s="186">
        <v>-17122357</v>
      </c>
      <c r="CO369" s="186">
        <v>-87741525.890000001</v>
      </c>
      <c r="CP369" s="186">
        <v>-99244299.810000002</v>
      </c>
      <c r="CQ369" s="186">
        <v>-111939289</v>
      </c>
      <c r="CR369" s="186">
        <v>-101333505</v>
      </c>
      <c r="CS369" s="186">
        <v>-115219002</v>
      </c>
      <c r="CT369" s="186">
        <v>-136200897</v>
      </c>
      <c r="CU369" s="186">
        <v>-144763516</v>
      </c>
      <c r="CV369" s="186">
        <v>-189522084</v>
      </c>
    </row>
    <row r="370" spans="1:100">
      <c r="A370" t="s">
        <v>866</v>
      </c>
      <c r="D370" s="402">
        <v>-25201160.02</v>
      </c>
      <c r="E370" s="402">
        <v>-25863021.370000001</v>
      </c>
      <c r="F370" s="402">
        <v>-21622640.239999998</v>
      </c>
      <c r="G370" s="402">
        <v>-22638521.77</v>
      </c>
      <c r="H370" s="402">
        <v>-21384223.629999999</v>
      </c>
      <c r="I370" s="402">
        <v>-14261679.060000001</v>
      </c>
      <c r="J370" s="402">
        <v>-13605696.17</v>
      </c>
      <c r="K370" s="402">
        <v>-14899841.43</v>
      </c>
      <c r="L370" s="402">
        <v>-20484635.129999999</v>
      </c>
      <c r="M370" s="402">
        <v>-17700722.309999999</v>
      </c>
      <c r="N370" s="402">
        <v>-17465939.41</v>
      </c>
      <c r="O370" s="402">
        <v>-27910000.670000002</v>
      </c>
      <c r="P370" s="402">
        <v>-26863282.289999999</v>
      </c>
      <c r="Q370" s="186">
        <v>-26462627.120000001</v>
      </c>
      <c r="R370" s="186">
        <v>-21964433</v>
      </c>
      <c r="S370" s="186">
        <v>-21097286.960000001</v>
      </c>
      <c r="T370" s="186">
        <v>-21905545.32</v>
      </c>
      <c r="U370" s="186">
        <v>-15199987.51</v>
      </c>
      <c r="V370" s="186">
        <v>-16287474.65</v>
      </c>
      <c r="W370" s="186">
        <v>-16901912.989999998</v>
      </c>
      <c r="X370" s="186">
        <v>-20225915.960000001</v>
      </c>
      <c r="Y370" s="186">
        <v>-18045629.460000001</v>
      </c>
      <c r="Z370" s="186">
        <v>-21118069.800000001</v>
      </c>
      <c r="AA370" s="186">
        <v>-28066771.199999999</v>
      </c>
      <c r="AB370" s="186">
        <v>-23441336.640000001</v>
      </c>
      <c r="AC370" s="186">
        <v>-26628832.050000001</v>
      </c>
      <c r="AD370" s="186">
        <v>-22923258</v>
      </c>
      <c r="AE370" s="186">
        <v>-18171844.780000001</v>
      </c>
      <c r="AF370" s="186">
        <v>-23869078.559999999</v>
      </c>
      <c r="AG370" s="186">
        <v>-18392077.48</v>
      </c>
      <c r="AH370" s="186">
        <v>-24580534.190000001</v>
      </c>
      <c r="AI370" s="186">
        <v>-27253759.93</v>
      </c>
      <c r="AJ370" s="186">
        <v>-25793386.329999998</v>
      </c>
      <c r="AK370" s="186">
        <v>-24787154.68</v>
      </c>
      <c r="AL370" s="186">
        <v>-30907114.719999999</v>
      </c>
      <c r="AM370" s="186">
        <v>-34044265.340000004</v>
      </c>
      <c r="AN370" s="186">
        <v>-30523948.170000002</v>
      </c>
      <c r="AO370" s="186">
        <v>-26403981.18</v>
      </c>
      <c r="AP370" s="186">
        <v>-21001575.57</v>
      </c>
      <c r="AQ370" s="186">
        <v>-20283672.370000001</v>
      </c>
      <c r="AR370" s="186">
        <v>-23047621.210000001</v>
      </c>
      <c r="AS370" s="186">
        <v>-21961435.260000002</v>
      </c>
      <c r="AT370" s="186">
        <v>-19976920.109999999</v>
      </c>
      <c r="AU370" s="186">
        <v>-24331841.18</v>
      </c>
      <c r="AV370" s="186">
        <v>-30557478.48</v>
      </c>
      <c r="AW370" s="186">
        <v>-25155521.34</v>
      </c>
      <c r="AX370" s="186">
        <v>-25134311.530000001</v>
      </c>
      <c r="AY370" s="186">
        <v>-34447339.490000002</v>
      </c>
      <c r="AZ370" s="186">
        <v>-35329912.18</v>
      </c>
      <c r="BA370" s="186">
        <v>-39755796.020000003</v>
      </c>
      <c r="BB370" s="186">
        <v>-25887447.539999999</v>
      </c>
      <c r="BC370" s="186">
        <v>-24545863.199999999</v>
      </c>
      <c r="BD370" s="186">
        <v>-24202680.719999999</v>
      </c>
      <c r="BE370" s="186">
        <v>-28857913.899999999</v>
      </c>
      <c r="BF370" s="186">
        <v>-29617109.41</v>
      </c>
      <c r="BG370" s="186">
        <v>-32346006.789999999</v>
      </c>
      <c r="BH370" s="186">
        <v>-30435191.300000001</v>
      </c>
      <c r="BI370" s="186">
        <v>-33641389.100000001</v>
      </c>
      <c r="BJ370" s="186">
        <v>-41415962.310000002</v>
      </c>
      <c r="BK370" s="186">
        <v>-56649310.359999999</v>
      </c>
      <c r="BL370" s="186">
        <v>-47736415.229999997</v>
      </c>
      <c r="BM370" s="186">
        <v>-41646058.280000001</v>
      </c>
      <c r="BN370" s="186">
        <v>-31572943.609999999</v>
      </c>
      <c r="BO370" s="186">
        <v>-38741742.32</v>
      </c>
      <c r="BP370" s="186">
        <v>-34520011.810000002</v>
      </c>
      <c r="BQ370" s="186">
        <v>-37921362.259999998</v>
      </c>
      <c r="BR370" s="186">
        <v>-34402416.210000001</v>
      </c>
      <c r="BS370" s="186">
        <v>-33788357.719999999</v>
      </c>
      <c r="BT370" s="186">
        <v>-37599088.600000001</v>
      </c>
      <c r="BU370" s="186">
        <v>-36186531.439999998</v>
      </c>
      <c r="BV370" s="186">
        <v>-42101626.149999999</v>
      </c>
      <c r="BW370" s="186">
        <v>-49142385.079999998</v>
      </c>
      <c r="BX370" s="186">
        <v>-59685489.890000001</v>
      </c>
      <c r="BY370" s="186">
        <v>-59329035.710000001</v>
      </c>
      <c r="BZ370" s="186">
        <v>-50686416.420000002</v>
      </c>
      <c r="CA370" s="186">
        <v>-49669086.049999997</v>
      </c>
      <c r="CB370" s="186">
        <v>-54113524.039999999</v>
      </c>
      <c r="CC370" s="186">
        <v>-51846198.890000001</v>
      </c>
      <c r="CD370" s="186">
        <v>-45352400</v>
      </c>
      <c r="CE370" s="186">
        <v>-46436338.109999999</v>
      </c>
      <c r="CF370" s="186">
        <v>-53169130.350000001</v>
      </c>
      <c r="CG370" s="186">
        <v>-59101419.520000003</v>
      </c>
      <c r="CH370" s="186">
        <v>-67496830.409999996</v>
      </c>
      <c r="CI370" s="186">
        <v>-79187003.819999993</v>
      </c>
      <c r="CJ370" s="186">
        <v>-80684738.109999999</v>
      </c>
      <c r="CK370" s="186">
        <v>-69529296.890000001</v>
      </c>
      <c r="CL370" s="186">
        <v>-68737382.090000004</v>
      </c>
      <c r="CM370" s="186">
        <v>-64518023.009999998</v>
      </c>
      <c r="CN370" s="186">
        <v>-57554398.659999996</v>
      </c>
      <c r="CO370" s="186">
        <v>-46492346.649999999</v>
      </c>
      <c r="CP370" s="186">
        <v>-47739331.859999999</v>
      </c>
      <c r="CQ370" s="186">
        <v>-54187540.789999999</v>
      </c>
      <c r="CR370" s="186">
        <v>-58983694.450000003</v>
      </c>
      <c r="CS370" s="186">
        <v>-60757405.090000004</v>
      </c>
      <c r="CT370" s="186">
        <v>-72548704.400000006</v>
      </c>
      <c r="CU370" s="186">
        <v>-83539358.150000006</v>
      </c>
      <c r="CV370" s="186">
        <v>-70733694.540000007</v>
      </c>
    </row>
    <row r="371" spans="1:100">
      <c r="A371" t="s">
        <v>867</v>
      </c>
      <c r="D371" s="402">
        <v>0</v>
      </c>
      <c r="E371" s="402">
        <v>0</v>
      </c>
      <c r="F371" s="402">
        <v>0</v>
      </c>
      <c r="G371" s="402">
        <v>0</v>
      </c>
      <c r="H371" s="402">
        <v>0</v>
      </c>
      <c r="I371" s="402">
        <v>0</v>
      </c>
      <c r="J371" s="402">
        <v>0</v>
      </c>
      <c r="K371" s="402">
        <v>0</v>
      </c>
      <c r="L371" s="402">
        <v>-800000</v>
      </c>
      <c r="M371" s="402">
        <v>-4700000</v>
      </c>
      <c r="N371" s="402">
        <v>0</v>
      </c>
      <c r="O371" s="402">
        <v>0</v>
      </c>
      <c r="P371" s="402">
        <v>0</v>
      </c>
      <c r="Q371" s="186">
        <v>0</v>
      </c>
      <c r="R371" s="186">
        <v>0</v>
      </c>
      <c r="S371" s="186">
        <v>0</v>
      </c>
      <c r="T371" s="186">
        <v>0</v>
      </c>
      <c r="U371" s="186">
        <v>0</v>
      </c>
      <c r="V371" s="186">
        <v>0</v>
      </c>
      <c r="W371" s="186">
        <v>0</v>
      </c>
      <c r="X371" s="186">
        <v>0</v>
      </c>
      <c r="Y371" s="186">
        <v>0</v>
      </c>
      <c r="Z371" s="186">
        <v>0</v>
      </c>
      <c r="AA371" s="186">
        <v>0</v>
      </c>
      <c r="AB371" s="186">
        <v>0</v>
      </c>
      <c r="AC371" s="186">
        <v>0</v>
      </c>
      <c r="AD371" s="186">
        <v>0</v>
      </c>
      <c r="AE371" s="186">
        <v>0</v>
      </c>
      <c r="AF371" s="186">
        <v>0</v>
      </c>
      <c r="AG371" s="186">
        <v>0</v>
      </c>
      <c r="AH371" s="186">
        <v>-600000</v>
      </c>
      <c r="AI371" s="186">
        <v>0</v>
      </c>
      <c r="AJ371" s="186">
        <v>0</v>
      </c>
      <c r="AK371" s="186">
        <v>0</v>
      </c>
      <c r="AL371" s="186">
        <v>0</v>
      </c>
      <c r="AM371" s="186">
        <v>0</v>
      </c>
      <c r="AN371" s="186">
        <v>0</v>
      </c>
      <c r="AO371" s="186">
        <v>0</v>
      </c>
      <c r="AP371" s="186">
        <v>0</v>
      </c>
      <c r="AQ371" s="186">
        <v>0</v>
      </c>
      <c r="AR371" s="186">
        <v>0</v>
      </c>
      <c r="AS371" s="186">
        <v>-1700000</v>
      </c>
      <c r="AT371" s="186">
        <v>0</v>
      </c>
      <c r="AU371" s="186">
        <v>0</v>
      </c>
      <c r="AV371" s="186">
        <v>0</v>
      </c>
      <c r="AW371" s="186">
        <v>0</v>
      </c>
      <c r="AX371" s="186">
        <v>0</v>
      </c>
      <c r="AY371" s="186">
        <v>-46059900</v>
      </c>
      <c r="AZ371" s="186">
        <v>-52684300</v>
      </c>
      <c r="BA371" s="186">
        <v>-50045713</v>
      </c>
      <c r="BB371" s="186">
        <v>0</v>
      </c>
      <c r="BC371" s="186">
        <v>0</v>
      </c>
      <c r="BD371" s="186">
        <v>0</v>
      </c>
      <c r="BE371" s="186">
        <v>0</v>
      </c>
      <c r="BF371" s="186">
        <v>0</v>
      </c>
      <c r="BG371" s="186">
        <v>0</v>
      </c>
      <c r="BH371" s="186">
        <v>0</v>
      </c>
      <c r="BI371" s="186">
        <v>0</v>
      </c>
      <c r="BJ371" s="186">
        <v>-26601973.98</v>
      </c>
      <c r="BK371" s="186">
        <v>0</v>
      </c>
      <c r="BL371" s="186">
        <v>0</v>
      </c>
      <c r="BM371" s="186">
        <v>0</v>
      </c>
      <c r="BN371" s="186">
        <v>0</v>
      </c>
      <c r="BO371" s="186">
        <v>0</v>
      </c>
      <c r="BP371" s="186">
        <v>0</v>
      </c>
      <c r="BQ371" s="186">
        <v>0</v>
      </c>
      <c r="BR371" s="186">
        <v>0</v>
      </c>
      <c r="BS371" s="186">
        <v>0</v>
      </c>
      <c r="BT371" s="186">
        <v>0</v>
      </c>
      <c r="BU371" s="186">
        <v>0</v>
      </c>
      <c r="BV371" s="186">
        <v>0</v>
      </c>
      <c r="BW371" s="186">
        <v>0</v>
      </c>
      <c r="BX371" s="186">
        <v>0</v>
      </c>
      <c r="BY371" s="186">
        <v>0</v>
      </c>
      <c r="BZ371" s="186">
        <v>0</v>
      </c>
      <c r="CA371" s="186">
        <v>0</v>
      </c>
      <c r="CB371" s="186">
        <v>0</v>
      </c>
      <c r="CC371" s="186">
        <v>0</v>
      </c>
      <c r="CD371" s="186">
        <v>0</v>
      </c>
      <c r="CE371" s="186">
        <v>0</v>
      </c>
      <c r="CF371" s="186">
        <v>0</v>
      </c>
      <c r="CG371" s="186">
        <v>0</v>
      </c>
      <c r="CH371" s="186">
        <v>0</v>
      </c>
      <c r="CI371" s="186">
        <v>0</v>
      </c>
      <c r="CJ371" s="186">
        <v>0</v>
      </c>
      <c r="CK371" s="186">
        <v>0</v>
      </c>
      <c r="CL371" s="186">
        <v>0</v>
      </c>
      <c r="CM371" s="186">
        <v>-4181104</v>
      </c>
      <c r="CN371" s="186">
        <v>0</v>
      </c>
      <c r="CO371" s="186">
        <v>0</v>
      </c>
      <c r="CP371" s="186">
        <v>0</v>
      </c>
      <c r="CQ371" s="186">
        <v>0</v>
      </c>
      <c r="CR371" s="186">
        <v>0</v>
      </c>
      <c r="CS371" s="186">
        <v>0</v>
      </c>
      <c r="CT371" s="186">
        <v>0</v>
      </c>
      <c r="CU371" s="186">
        <v>0</v>
      </c>
      <c r="CV371" s="186">
        <v>0</v>
      </c>
    </row>
    <row r="372" spans="1:100">
      <c r="A372" s="225" t="s">
        <v>868</v>
      </c>
      <c r="D372" s="402">
        <v>-7116182.1600000001</v>
      </c>
      <c r="E372" s="402">
        <v>-5784387.4400000004</v>
      </c>
      <c r="F372" s="402">
        <v>-5514670.6600000001</v>
      </c>
      <c r="G372" s="402">
        <v>-5919251.0899999999</v>
      </c>
      <c r="H372" s="402">
        <v>-5377038.4400000004</v>
      </c>
      <c r="I372" s="402">
        <v>-20708921.300000001</v>
      </c>
      <c r="J372" s="402">
        <v>-13845023.880000001</v>
      </c>
      <c r="K372" s="402">
        <v>-6123267.7699999996</v>
      </c>
      <c r="L372" s="402">
        <v>-5130231.83</v>
      </c>
      <c r="M372" s="402">
        <v>-4896454.1900000004</v>
      </c>
      <c r="N372" s="402">
        <v>-4922102.2300000004</v>
      </c>
      <c r="O372" s="402">
        <v>-10883022.02</v>
      </c>
      <c r="P372" s="402">
        <v>-6974327.7699999996</v>
      </c>
      <c r="Q372" s="186">
        <v>-5766072.0599999996</v>
      </c>
      <c r="R372" s="186">
        <v>-5525131.3300000001</v>
      </c>
      <c r="S372" s="186">
        <v>-6172109.96</v>
      </c>
      <c r="T372" s="186">
        <v>-5675107.8099999996</v>
      </c>
      <c r="U372" s="186">
        <v>-10351095.130000001</v>
      </c>
      <c r="V372" s="186">
        <v>-6018559.7800000003</v>
      </c>
      <c r="W372" s="186">
        <v>-6678476.3799999999</v>
      </c>
      <c r="X372" s="186">
        <v>-4918461.8600000003</v>
      </c>
      <c r="Y372" s="186">
        <v>-5126680.08</v>
      </c>
      <c r="Z372" s="186">
        <v>-4962851.42</v>
      </c>
      <c r="AA372" s="186">
        <v>-10730328.890000001</v>
      </c>
      <c r="AB372" s="186">
        <v>-8403205.3499999996</v>
      </c>
      <c r="AC372" s="186">
        <v>-5323791.45</v>
      </c>
      <c r="AD372" s="186">
        <v>-5600323.9500000002</v>
      </c>
      <c r="AE372" s="186">
        <v>-6055332.79</v>
      </c>
      <c r="AF372" s="186">
        <v>-4577077.96</v>
      </c>
      <c r="AG372" s="186">
        <v>-9378541.4000000004</v>
      </c>
      <c r="AH372" s="186">
        <v>-5145419.41</v>
      </c>
      <c r="AI372" s="186">
        <v>-4794919.3499999996</v>
      </c>
      <c r="AJ372" s="186">
        <v>-3198098.24</v>
      </c>
      <c r="AK372" s="186">
        <v>-3354534.96</v>
      </c>
      <c r="AL372" s="186">
        <v>-4471527.16</v>
      </c>
      <c r="AM372" s="186">
        <v>-9428584</v>
      </c>
      <c r="AN372" s="186">
        <v>-8167328.8499999996</v>
      </c>
      <c r="AO372" s="186">
        <v>-2335011.85</v>
      </c>
      <c r="AP372" s="186">
        <v>-11570825.41</v>
      </c>
      <c r="AQ372" s="186">
        <v>-4085818.33</v>
      </c>
      <c r="AR372" s="186">
        <v>-8579654.4199999999</v>
      </c>
      <c r="AS372" s="186">
        <v>-13996852.880000001</v>
      </c>
      <c r="AT372" s="186">
        <v>-2652294.5699999998</v>
      </c>
      <c r="AU372" s="186">
        <v>-7947779.4699999997</v>
      </c>
      <c r="AV372" s="186">
        <v>-4475478.76</v>
      </c>
      <c r="AW372" s="186">
        <v>-3001050.01</v>
      </c>
      <c r="AX372" s="186">
        <v>-4552101.5599999996</v>
      </c>
      <c r="AY372" s="186">
        <v>-11106331.35</v>
      </c>
      <c r="AZ372" s="186">
        <v>-8001423.8399999999</v>
      </c>
      <c r="BA372" s="186">
        <v>-7200932.1200000001</v>
      </c>
      <c r="BB372" s="186">
        <v>-6628314.75</v>
      </c>
      <c r="BC372" s="186">
        <v>-6442004.6100000003</v>
      </c>
      <c r="BD372" s="186">
        <v>-6810752.4900000002</v>
      </c>
      <c r="BE372" s="186">
        <v>-10383811.17</v>
      </c>
      <c r="BF372" s="186">
        <v>-8069878.9900000002</v>
      </c>
      <c r="BG372" s="186">
        <v>-7327866.2999999998</v>
      </c>
      <c r="BH372" s="186">
        <v>-6511592.1900000004</v>
      </c>
      <c r="BI372" s="186">
        <v>-7276455.1500000004</v>
      </c>
      <c r="BJ372" s="186">
        <v>-7215628.9900000002</v>
      </c>
      <c r="BK372" s="186">
        <v>-10352349.220000001</v>
      </c>
      <c r="BL372" s="186">
        <v>-9568954.1999999993</v>
      </c>
      <c r="BM372" s="186">
        <v>-9616311.0399999991</v>
      </c>
      <c r="BN372" s="186">
        <v>-6876694.0800000001</v>
      </c>
      <c r="BO372" s="186">
        <v>-7920958.7300000004</v>
      </c>
      <c r="BP372" s="186">
        <v>-6148636.7999999998</v>
      </c>
      <c r="BQ372" s="186">
        <v>-9403019.9900000002</v>
      </c>
      <c r="BR372" s="186">
        <v>-8706554.6799999997</v>
      </c>
      <c r="BS372" s="186">
        <v>-5766291.2599999998</v>
      </c>
      <c r="BT372" s="186">
        <v>-6705108.0700000003</v>
      </c>
      <c r="BU372" s="186">
        <v>-6340705.25</v>
      </c>
      <c r="BV372" s="186">
        <v>-5809051.1900000004</v>
      </c>
      <c r="BW372" s="186">
        <v>-9435761.0399999991</v>
      </c>
      <c r="BX372" s="186">
        <v>-11465299.789999999</v>
      </c>
      <c r="BY372" s="186">
        <v>-8005256.3899999997</v>
      </c>
      <c r="BZ372" s="186">
        <v>-6583208.2400000002</v>
      </c>
      <c r="CA372" s="186">
        <v>-8367624.71</v>
      </c>
      <c r="CB372" s="186">
        <v>-6436943.6799999997</v>
      </c>
      <c r="CC372" s="186">
        <v>-9806231.4000000004</v>
      </c>
      <c r="CD372" s="186">
        <v>-10042270.17</v>
      </c>
      <c r="CE372" s="186">
        <v>-6059639.7400000002</v>
      </c>
      <c r="CF372" s="186">
        <v>-5253805.97</v>
      </c>
      <c r="CG372" s="186">
        <v>-7058433.2699999996</v>
      </c>
      <c r="CH372" s="186">
        <v>-6069072.0199999996</v>
      </c>
      <c r="CI372" s="186">
        <v>-12802384.42</v>
      </c>
      <c r="CJ372" s="186">
        <v>-14186404.26</v>
      </c>
      <c r="CK372" s="186">
        <v>-12774503.279999999</v>
      </c>
      <c r="CL372" s="186">
        <v>-12213369.23</v>
      </c>
      <c r="CM372" s="186">
        <v>-5551002.8600000003</v>
      </c>
      <c r="CN372" s="186">
        <v>-15103570.75</v>
      </c>
      <c r="CO372" s="186">
        <v>-11668179.66</v>
      </c>
      <c r="CP372" s="186">
        <v>-13634860.560000001</v>
      </c>
      <c r="CQ372" s="186">
        <v>-12336510.57</v>
      </c>
      <c r="CR372" s="186">
        <v>-10228568.550000001</v>
      </c>
      <c r="CS372" s="186">
        <v>-14919462.68</v>
      </c>
      <c r="CT372" s="186">
        <v>-11299470.59</v>
      </c>
      <c r="CU372" s="186">
        <v>-13776142.67</v>
      </c>
      <c r="CV372" s="186">
        <v>-16072202.789999999</v>
      </c>
    </row>
    <row r="373" spans="1:100">
      <c r="A373" t="s">
        <v>869</v>
      </c>
      <c r="D373" s="402">
        <v>-38962429.020000003</v>
      </c>
      <c r="E373" s="402">
        <v>-39112595.640000001</v>
      </c>
      <c r="F373" s="402">
        <v>-39329145.899999999</v>
      </c>
      <c r="G373" s="402">
        <v>-39461443.399999999</v>
      </c>
      <c r="H373" s="402">
        <v>-39583104.740000002</v>
      </c>
      <c r="I373" s="402">
        <v>-39821823.649999999</v>
      </c>
      <c r="J373" s="402">
        <v>-40036880.060000002</v>
      </c>
      <c r="K373" s="402">
        <v>-40263756.149999999</v>
      </c>
      <c r="L373" s="402">
        <v>-40333365.270000003</v>
      </c>
      <c r="M373" s="402">
        <v>-40544032.380000003</v>
      </c>
      <c r="N373" s="402">
        <v>-40969295.75</v>
      </c>
      <c r="O373" s="402">
        <v>-40712822.090000004</v>
      </c>
      <c r="P373" s="402">
        <v>-40677812.380000003</v>
      </c>
      <c r="Q373" s="186">
        <v>-40827863.630000003</v>
      </c>
      <c r="R373" s="186">
        <v>-40820118.770000003</v>
      </c>
      <c r="S373" s="186">
        <v>-40888398.490000002</v>
      </c>
      <c r="T373" s="186">
        <v>-41089494.909999996</v>
      </c>
      <c r="U373" s="186">
        <v>-41312343.25</v>
      </c>
      <c r="V373" s="186">
        <v>-41383647.420000002</v>
      </c>
      <c r="W373" s="186">
        <v>-41410597.799999997</v>
      </c>
      <c r="X373" s="186">
        <v>-41393510.390000001</v>
      </c>
      <c r="Y373" s="186">
        <v>-41450160.880000003</v>
      </c>
      <c r="Z373" s="186">
        <v>-41587989.280000001</v>
      </c>
      <c r="AA373" s="186">
        <v>-41843452.020000003</v>
      </c>
      <c r="AB373" s="186">
        <v>-41965312.640000001</v>
      </c>
      <c r="AC373" s="186">
        <v>-40665207.799999997</v>
      </c>
      <c r="AD373" s="186">
        <v>-39610666.600000001</v>
      </c>
      <c r="AE373" s="186">
        <v>-38879324.659999996</v>
      </c>
      <c r="AF373" s="186">
        <v>-37845487.399999999</v>
      </c>
      <c r="AG373" s="186">
        <v>-36776756.5</v>
      </c>
      <c r="AH373" s="186">
        <v>-35960623.130000003</v>
      </c>
      <c r="AI373" s="186">
        <v>-34851425.530000001</v>
      </c>
      <c r="AJ373" s="186">
        <v>-33817141.539999999</v>
      </c>
      <c r="AK373" s="186">
        <v>-32932805.510000002</v>
      </c>
      <c r="AL373" s="186">
        <v>-31621202.239999998</v>
      </c>
      <c r="AM373" s="186">
        <v>-30521670.870000001</v>
      </c>
      <c r="AN373" s="186">
        <v>-28903717.68</v>
      </c>
      <c r="AO373" s="186">
        <v>-28196166.109999999</v>
      </c>
      <c r="AP373" s="186">
        <v>-27625247.010000002</v>
      </c>
      <c r="AQ373" s="186">
        <v>-27379223.07</v>
      </c>
      <c r="AR373" s="186">
        <v>-27370196.93</v>
      </c>
      <c r="AS373" s="186">
        <v>-27206476.620000001</v>
      </c>
      <c r="AT373" s="186">
        <v>-27083939.870000001</v>
      </c>
      <c r="AU373" s="186">
        <v>-26895005.5</v>
      </c>
      <c r="AV373" s="186">
        <v>-26863874.789999999</v>
      </c>
      <c r="AW373" s="186">
        <v>-26776195.57</v>
      </c>
      <c r="AX373" s="186">
        <v>-26781165.579999998</v>
      </c>
      <c r="AY373" s="186">
        <v>-26615167.710000001</v>
      </c>
      <c r="AZ373" s="186">
        <v>-26514398.550000001</v>
      </c>
      <c r="BA373" s="186">
        <v>-26363703.129999999</v>
      </c>
      <c r="BB373" s="186">
        <v>-26395380.91</v>
      </c>
      <c r="BC373" s="186">
        <v>-26455339.93</v>
      </c>
      <c r="BD373" s="186">
        <v>-26531333.899999999</v>
      </c>
      <c r="BE373" s="186">
        <v>-26616760.98</v>
      </c>
      <c r="BF373" s="186">
        <v>-26666275.280000001</v>
      </c>
      <c r="BG373" s="186">
        <v>-26688232.690000001</v>
      </c>
      <c r="BH373" s="186">
        <v>-26586983.190000001</v>
      </c>
      <c r="BI373" s="186">
        <v>-26554012.34</v>
      </c>
      <c r="BJ373" s="186">
        <v>-26503257.5</v>
      </c>
      <c r="BK373" s="186">
        <v>-26477855.82</v>
      </c>
      <c r="BL373" s="186">
        <v>-26414685.43</v>
      </c>
      <c r="BM373" s="186">
        <v>-26378705.32</v>
      </c>
      <c r="BN373" s="186">
        <v>-26409455.109999999</v>
      </c>
      <c r="BO373" s="186">
        <v>-26436131.82</v>
      </c>
      <c r="BP373" s="186">
        <v>-26368349.969999999</v>
      </c>
      <c r="BQ373" s="186">
        <v>-26391817.390000001</v>
      </c>
      <c r="BR373" s="186">
        <v>-26389020.23</v>
      </c>
      <c r="BS373" s="186">
        <v>-26373615.09</v>
      </c>
      <c r="BT373" s="186">
        <v>-26281969.59</v>
      </c>
      <c r="BU373" s="186">
        <v>-26203262.850000001</v>
      </c>
      <c r="BV373" s="186">
        <v>-26264380.539999999</v>
      </c>
      <c r="BW373" s="186">
        <v>-26260903.879999999</v>
      </c>
      <c r="BX373" s="186">
        <v>-26273516</v>
      </c>
      <c r="BY373" s="186">
        <v>-26234571.920000002</v>
      </c>
      <c r="BZ373" s="186">
        <v>-26322441.66</v>
      </c>
      <c r="CA373" s="186">
        <v>-26315300.809999999</v>
      </c>
      <c r="CB373" s="186">
        <v>-26262756</v>
      </c>
      <c r="CC373" s="186">
        <v>-26163201.969999999</v>
      </c>
      <c r="CD373" s="186">
        <v>-26058047.059999999</v>
      </c>
      <c r="CE373" s="186">
        <v>-26050799.27</v>
      </c>
      <c r="CF373" s="186">
        <v>-26010773.23</v>
      </c>
      <c r="CG373" s="186">
        <v>-26026972.77</v>
      </c>
      <c r="CH373" s="186">
        <v>-25987550.68</v>
      </c>
      <c r="CI373" s="186">
        <v>-25927305.43</v>
      </c>
      <c r="CJ373" s="186">
        <v>-25669278.079999998</v>
      </c>
      <c r="CK373" s="186">
        <v>-25835811.829999998</v>
      </c>
      <c r="CL373" s="186">
        <v>-25862973.25</v>
      </c>
      <c r="CM373" s="186">
        <v>-25976420.379999999</v>
      </c>
      <c r="CN373" s="186">
        <v>-25907474.699999999</v>
      </c>
      <c r="CO373" s="186">
        <v>-25996263.77</v>
      </c>
      <c r="CP373" s="186">
        <v>-26118439.879999999</v>
      </c>
      <c r="CQ373" s="186">
        <v>-26285203.600000001</v>
      </c>
      <c r="CR373" s="186">
        <v>-26361528.359999999</v>
      </c>
      <c r="CS373" s="186">
        <v>-26541796.670000002</v>
      </c>
      <c r="CT373" s="186">
        <v>-26678226.34</v>
      </c>
      <c r="CU373" s="186">
        <v>-26904461.460000001</v>
      </c>
      <c r="CV373" s="186">
        <v>-27054409.190000001</v>
      </c>
    </row>
    <row r="374" spans="1:100">
      <c r="A374" t="s">
        <v>870</v>
      </c>
      <c r="D374" s="402">
        <v>-2661809.34</v>
      </c>
      <c r="E374" s="402">
        <v>-5180760.78</v>
      </c>
      <c r="F374" s="402">
        <v>-8821051.5899999999</v>
      </c>
      <c r="G374" s="402">
        <v>-13537710.529999999</v>
      </c>
      <c r="H374" s="402">
        <v>-8074034.5199999996</v>
      </c>
      <c r="I374" s="402">
        <v>-10106416.33</v>
      </c>
      <c r="J374" s="402">
        <v>-4232470.18</v>
      </c>
      <c r="K374" s="402">
        <v>-4678034.47</v>
      </c>
      <c r="L374" s="402">
        <v>-5537125.4800000004</v>
      </c>
      <c r="M374" s="402">
        <v>-2803181.21</v>
      </c>
      <c r="N374" s="402">
        <v>-8181970.9800000004</v>
      </c>
      <c r="O374" s="402">
        <v>1388230.13</v>
      </c>
      <c r="P374" s="402">
        <v>-3125457.54</v>
      </c>
      <c r="Q374" s="186">
        <v>2874887.69</v>
      </c>
      <c r="R374" s="186">
        <v>448782.35</v>
      </c>
      <c r="S374" s="186">
        <v>-13008565.060000001</v>
      </c>
      <c r="T374" s="186">
        <v>-7852275.29</v>
      </c>
      <c r="U374" s="186">
        <v>-9473014.7899999991</v>
      </c>
      <c r="V374" s="186">
        <v>-4786486.72</v>
      </c>
      <c r="W374" s="186">
        <v>-5742041.29</v>
      </c>
      <c r="X374" s="186">
        <v>-7537266.29</v>
      </c>
      <c r="Y374" s="186">
        <v>-6041060.71</v>
      </c>
      <c r="Z374" s="186">
        <v>-6234959.2199999997</v>
      </c>
      <c r="AA374" s="186">
        <v>2185491.84</v>
      </c>
      <c r="AB374" s="186">
        <v>-3120655.9</v>
      </c>
      <c r="AC374" s="186">
        <v>7715315.5599999996</v>
      </c>
      <c r="AD374" s="186">
        <v>3665281.86</v>
      </c>
      <c r="AE374" s="186">
        <v>-11655581.529999999</v>
      </c>
      <c r="AF374" s="186">
        <v>-7348286.0199999996</v>
      </c>
      <c r="AG374" s="186">
        <v>-8359565.5300000003</v>
      </c>
      <c r="AH374" s="186">
        <v>-3701789.58</v>
      </c>
      <c r="AI374" s="186">
        <v>-3909603.74</v>
      </c>
      <c r="AJ374" s="186">
        <v>-4047479.05</v>
      </c>
      <c r="AK374" s="186">
        <v>-10584268.789999999</v>
      </c>
      <c r="AL374" s="186">
        <v>-9600657.3800000008</v>
      </c>
      <c r="AM374" s="186">
        <v>-892689.84</v>
      </c>
      <c r="AN374" s="186">
        <v>-3323403.18</v>
      </c>
      <c r="AO374" s="186">
        <v>-4081388.93</v>
      </c>
      <c r="AP374" s="186">
        <v>-5102247.07</v>
      </c>
      <c r="AQ374" s="186">
        <v>-6243704.0800000001</v>
      </c>
      <c r="AR374" s="186">
        <v>-8059699.54</v>
      </c>
      <c r="AS374" s="186">
        <v>-7823994.8399999999</v>
      </c>
      <c r="AT374" s="186">
        <v>-8293666.0499999998</v>
      </c>
      <c r="AU374" s="186">
        <v>-7169149.1200000001</v>
      </c>
      <c r="AV374" s="186">
        <v>-7239049.1699999999</v>
      </c>
      <c r="AW374" s="186">
        <v>-9702564.8399999999</v>
      </c>
      <c r="AX374" s="186">
        <v>-8808994.9299999997</v>
      </c>
      <c r="AY374" s="186">
        <v>661714.59</v>
      </c>
      <c r="AZ374" s="186">
        <v>-9211122.5999999996</v>
      </c>
      <c r="BA374" s="186">
        <v>-13572600.4</v>
      </c>
      <c r="BB374" s="186">
        <v>-14600365.470000001</v>
      </c>
      <c r="BC374" s="186">
        <v>-16231247.41</v>
      </c>
      <c r="BD374" s="186">
        <v>-11145731.16</v>
      </c>
      <c r="BE374" s="186">
        <v>-12161457.390000001</v>
      </c>
      <c r="BF374" s="186">
        <v>-11591468.59</v>
      </c>
      <c r="BG374" s="186">
        <v>-11572036.550000001</v>
      </c>
      <c r="BH374" s="186">
        <v>-11799321.119999999</v>
      </c>
      <c r="BI374" s="186">
        <v>-12219601.689999999</v>
      </c>
      <c r="BJ374" s="186">
        <v>-12874721.99</v>
      </c>
      <c r="BK374" s="186">
        <v>463617.95</v>
      </c>
      <c r="BL374" s="186">
        <v>-6451121.5300000003</v>
      </c>
      <c r="BM374" s="186">
        <v>-8941824.9199999999</v>
      </c>
      <c r="BN374" s="186">
        <v>-9832166</v>
      </c>
      <c r="BO374" s="186">
        <v>-11847959.99</v>
      </c>
      <c r="BP374" s="186">
        <v>-10251864.82</v>
      </c>
      <c r="BQ374" s="186">
        <v>-11744991.890000001</v>
      </c>
      <c r="BR374" s="186">
        <v>-11986398.289999999</v>
      </c>
      <c r="BS374" s="186">
        <v>-12146912.060000001</v>
      </c>
      <c r="BT374" s="186">
        <v>-12819012.73</v>
      </c>
      <c r="BU374" s="186">
        <v>-12254391.369999999</v>
      </c>
      <c r="BV374" s="186">
        <v>-13590333.82</v>
      </c>
      <c r="BW374" s="186">
        <v>-3703619.73</v>
      </c>
      <c r="BX374" s="186">
        <v>-4000873.32</v>
      </c>
      <c r="BY374" s="186">
        <v>-7739225.3899999997</v>
      </c>
      <c r="BZ374" s="186">
        <v>-6636305.2599999998</v>
      </c>
      <c r="CA374" s="186">
        <v>-8121303.8300000001</v>
      </c>
      <c r="CB374" s="186">
        <v>-9757295.5199999996</v>
      </c>
      <c r="CC374" s="186">
        <v>-10765886.560000001</v>
      </c>
      <c r="CD374" s="186">
        <v>-12823264.51</v>
      </c>
      <c r="CE374" s="186">
        <v>-12925459.140000001</v>
      </c>
      <c r="CF374" s="186">
        <v>-14466550.1</v>
      </c>
      <c r="CG374" s="186">
        <v>-16083975.449999999</v>
      </c>
      <c r="CH374" s="186">
        <v>-16100457.58</v>
      </c>
      <c r="CI374" s="186">
        <v>-5612356.0300000003</v>
      </c>
      <c r="CJ374" s="186">
        <v>-6793552.75</v>
      </c>
      <c r="CK374" s="186">
        <v>-11092050.33</v>
      </c>
      <c r="CL374" s="186">
        <v>-13454663.57</v>
      </c>
      <c r="CM374" s="186">
        <v>-13696435.42</v>
      </c>
      <c r="CN374" s="186">
        <v>-13245149.210000001</v>
      </c>
      <c r="CO374" s="186">
        <v>-13762335.24</v>
      </c>
      <c r="CP374" s="186">
        <v>-15275107.060000001</v>
      </c>
      <c r="CQ374" s="186">
        <v>-15073857.289999999</v>
      </c>
      <c r="CR374" s="186">
        <v>-16948134.420000002</v>
      </c>
      <c r="CS374" s="186">
        <v>-14409446.15</v>
      </c>
      <c r="CT374" s="186">
        <v>-14270872.98</v>
      </c>
      <c r="CU374" s="186">
        <v>-625641.26</v>
      </c>
      <c r="CV374" s="186">
        <v>-5470037.29</v>
      </c>
    </row>
    <row r="375" spans="1:100">
      <c r="A375" t="s">
        <v>871</v>
      </c>
      <c r="D375" s="402">
        <v>-1777759.74</v>
      </c>
      <c r="E375" s="402">
        <v>-2851859.98</v>
      </c>
      <c r="F375" s="402">
        <v>-3924698.87</v>
      </c>
      <c r="G375" s="402">
        <v>-4672118.37</v>
      </c>
      <c r="H375" s="402">
        <v>-5743876.3499999996</v>
      </c>
      <c r="I375" s="402">
        <v>-2200995.88</v>
      </c>
      <c r="J375" s="402">
        <v>-2282197.87</v>
      </c>
      <c r="K375" s="402">
        <v>-3388282.32</v>
      </c>
      <c r="L375" s="402">
        <v>-3585974.15</v>
      </c>
      <c r="M375" s="402">
        <v>-4377324.16</v>
      </c>
      <c r="N375" s="402">
        <v>-5492687.0999999996</v>
      </c>
      <c r="O375" s="402">
        <v>-1755680.89</v>
      </c>
      <c r="P375" s="402">
        <v>-1844901.51</v>
      </c>
      <c r="Q375" s="186">
        <v>-2956754.27</v>
      </c>
      <c r="R375" s="186">
        <v>-4068292.15</v>
      </c>
      <c r="S375" s="186">
        <v>-4853522.32</v>
      </c>
      <c r="T375" s="186">
        <v>-5964777.3600000003</v>
      </c>
      <c r="U375" s="186">
        <v>-2255473.77</v>
      </c>
      <c r="V375" s="186">
        <v>-2408319.5</v>
      </c>
      <c r="W375" s="186">
        <v>-3586757.24</v>
      </c>
      <c r="X375" s="186">
        <v>-3829443.16</v>
      </c>
      <c r="Y375" s="186">
        <v>-4693167.0199999996</v>
      </c>
      <c r="Z375" s="186">
        <v>-5881253.3300000001</v>
      </c>
      <c r="AA375" s="186">
        <v>-1800558.87</v>
      </c>
      <c r="AB375" s="186">
        <v>-1626904.81</v>
      </c>
      <c r="AC375" s="186">
        <v>-2816704.19</v>
      </c>
      <c r="AD375" s="186">
        <v>-4002188.3</v>
      </c>
      <c r="AE375" s="186">
        <v>-4858905.9000000004</v>
      </c>
      <c r="AF375" s="186">
        <v>-6037300.6799999997</v>
      </c>
      <c r="AG375" s="186">
        <v>-1942123.09</v>
      </c>
      <c r="AH375" s="186">
        <v>-2089537.43</v>
      </c>
      <c r="AI375" s="186">
        <v>-3257255.91</v>
      </c>
      <c r="AJ375" s="186">
        <v>-3819198.74</v>
      </c>
      <c r="AK375" s="186">
        <v>-4664755.87</v>
      </c>
      <c r="AL375" s="186">
        <v>-5832516.3899999997</v>
      </c>
      <c r="AM375" s="186">
        <v>-1725098.14</v>
      </c>
      <c r="AN375" s="186">
        <v>-1610349</v>
      </c>
      <c r="AO375" s="186">
        <v>-2770211.73</v>
      </c>
      <c r="AP375" s="186">
        <v>-3926470.74</v>
      </c>
      <c r="AQ375" s="186">
        <v>-4756681.2</v>
      </c>
      <c r="AR375" s="186">
        <v>-5910056.5700000003</v>
      </c>
      <c r="AS375" s="186">
        <v>-1791805.36</v>
      </c>
      <c r="AT375" s="186">
        <v>-1918348.83</v>
      </c>
      <c r="AU375" s="186">
        <v>-3064081.38</v>
      </c>
      <c r="AV375" s="186">
        <v>-4211704.8899999997</v>
      </c>
      <c r="AW375" s="186">
        <v>-5034860.0999999996</v>
      </c>
      <c r="AX375" s="186">
        <v>-6181157.9400000004</v>
      </c>
      <c r="AY375" s="186">
        <v>-2053097.21</v>
      </c>
      <c r="AZ375" s="186">
        <v>-1610109.86</v>
      </c>
      <c r="BA375" s="186">
        <v>-2767509.09</v>
      </c>
      <c r="BB375" s="186">
        <v>-3924170</v>
      </c>
      <c r="BC375" s="186">
        <v>-4753846.54</v>
      </c>
      <c r="BD375" s="186">
        <v>-5908484.71</v>
      </c>
      <c r="BE375" s="186">
        <v>-1665369.45</v>
      </c>
      <c r="BF375" s="186">
        <v>-1537027.2</v>
      </c>
      <c r="BG375" s="186">
        <v>-2909793.69</v>
      </c>
      <c r="BH375" s="186">
        <v>-4075867.62</v>
      </c>
      <c r="BI375" s="186">
        <v>-4916046.93</v>
      </c>
      <c r="BJ375" s="186">
        <v>-6159875.5599999996</v>
      </c>
      <c r="BK375" s="186">
        <v>-3671296.08</v>
      </c>
      <c r="BL375" s="186">
        <v>-1628035.39</v>
      </c>
      <c r="BM375" s="186">
        <v>-2893134.08</v>
      </c>
      <c r="BN375" s="186">
        <v>-4157387.1</v>
      </c>
      <c r="BO375" s="186">
        <v>-5094971.4800000004</v>
      </c>
      <c r="BP375" s="186">
        <v>-6357873.5</v>
      </c>
      <c r="BQ375" s="186">
        <v>-3873812.46</v>
      </c>
      <c r="BR375" s="186">
        <v>-1719866.43</v>
      </c>
      <c r="BS375" s="186">
        <v>-2996951.33</v>
      </c>
      <c r="BT375" s="186">
        <v>-4329094.1399999997</v>
      </c>
      <c r="BU375" s="186">
        <v>-5336768.17</v>
      </c>
      <c r="BV375" s="186">
        <v>-6668669.4100000001</v>
      </c>
      <c r="BW375" s="186">
        <v>-4253442.32</v>
      </c>
      <c r="BX375" s="186">
        <v>-1450837.09</v>
      </c>
      <c r="BY375" s="186">
        <v>-2790870.41</v>
      </c>
      <c r="BZ375" s="186">
        <v>-4130760</v>
      </c>
      <c r="CA375" s="186">
        <v>-5138976.83</v>
      </c>
      <c r="CB375" s="186">
        <v>-6476256.1699999999</v>
      </c>
      <c r="CC375" s="186">
        <v>-4067159.89</v>
      </c>
      <c r="CD375" s="186">
        <v>-1755227.5</v>
      </c>
      <c r="CE375" s="186">
        <v>-3088454.96</v>
      </c>
      <c r="CF375" s="186">
        <v>-4420758.18</v>
      </c>
      <c r="CG375" s="186">
        <v>-5426815.9400000004</v>
      </c>
      <c r="CH375" s="186">
        <v>-6756177.0099999998</v>
      </c>
      <c r="CI375" s="186">
        <v>-4341584.26</v>
      </c>
      <c r="CJ375" s="186">
        <v>-1444460.74</v>
      </c>
      <c r="CK375" s="186">
        <v>-2783860.37</v>
      </c>
      <c r="CL375" s="186">
        <v>-4122852.14</v>
      </c>
      <c r="CM375" s="186">
        <v>-5453952.0800000001</v>
      </c>
      <c r="CN375" s="186">
        <v>-7351672</v>
      </c>
      <c r="CO375" s="186">
        <v>-5292848.7699999996</v>
      </c>
      <c r="CP375" s="186">
        <v>-3437048.73</v>
      </c>
      <c r="CQ375" s="186">
        <v>-5123939.24</v>
      </c>
      <c r="CR375" s="186">
        <v>-6809838.7199999997</v>
      </c>
      <c r="CS375" s="186">
        <v>-4769517.4800000004</v>
      </c>
      <c r="CT375" s="186">
        <v>-6452853.7000000002</v>
      </c>
      <c r="CU375" s="186">
        <v>-5655604.2999999998</v>
      </c>
      <c r="CV375" s="186">
        <v>-3091860.12</v>
      </c>
    </row>
    <row r="376" spans="1:100">
      <c r="A376" t="s">
        <v>872</v>
      </c>
      <c r="D376" s="402">
        <v>0</v>
      </c>
      <c r="E376" s="402">
        <v>-7357286.6799999997</v>
      </c>
      <c r="F376" s="402">
        <v>0</v>
      </c>
      <c r="G376" s="402">
        <v>0</v>
      </c>
      <c r="H376" s="402">
        <v>-11948603.68</v>
      </c>
      <c r="I376" s="402">
        <v>0</v>
      </c>
      <c r="J376" s="402">
        <v>0</v>
      </c>
      <c r="K376" s="402">
        <v>-9971893.4700000007</v>
      </c>
      <c r="L376" s="402">
        <v>0</v>
      </c>
      <c r="M376" s="402">
        <v>0</v>
      </c>
      <c r="N376" s="402">
        <v>-5874136.4699999997</v>
      </c>
      <c r="O376" s="402">
        <v>0</v>
      </c>
      <c r="P376" s="402">
        <v>0</v>
      </c>
      <c r="Q376" s="186">
        <v>0</v>
      </c>
      <c r="R376" s="186">
        <v>-6579361.9699999997</v>
      </c>
      <c r="S376" s="186">
        <v>0</v>
      </c>
      <c r="T376" s="186">
        <v>-14236193.27</v>
      </c>
      <c r="U376" s="186">
        <v>0</v>
      </c>
      <c r="V376" s="186">
        <v>0</v>
      </c>
      <c r="W376" s="186">
        <v>-8836348.5500000007</v>
      </c>
      <c r="X376" s="186">
        <v>0</v>
      </c>
      <c r="Y376" s="186">
        <v>0</v>
      </c>
      <c r="Z376" s="186">
        <v>0</v>
      </c>
      <c r="AA376" s="186">
        <v>0</v>
      </c>
      <c r="AB376" s="186">
        <v>0</v>
      </c>
      <c r="AC376" s="186">
        <v>0</v>
      </c>
      <c r="AD376" s="186">
        <v>0</v>
      </c>
      <c r="AE376" s="186">
        <v>0</v>
      </c>
      <c r="AF376" s="186">
        <v>0</v>
      </c>
      <c r="AG376" s="186">
        <v>0</v>
      </c>
      <c r="AH376" s="186">
        <v>0</v>
      </c>
      <c r="AI376" s="186">
        <v>0</v>
      </c>
      <c r="AJ376" s="186">
        <v>0</v>
      </c>
      <c r="AK376" s="186">
        <v>0</v>
      </c>
      <c r="AL376" s="186">
        <v>0</v>
      </c>
      <c r="AM376" s="186">
        <v>0</v>
      </c>
      <c r="AN376" s="186">
        <v>0</v>
      </c>
      <c r="AO376" s="186">
        <v>0</v>
      </c>
      <c r="AP376" s="186">
        <v>0</v>
      </c>
      <c r="AQ376" s="186">
        <v>0</v>
      </c>
      <c r="AR376" s="186">
        <v>0</v>
      </c>
      <c r="AS376" s="186">
        <v>0</v>
      </c>
      <c r="AT376" s="186">
        <v>0</v>
      </c>
      <c r="AU376" s="186">
        <v>0</v>
      </c>
      <c r="AV376" s="186">
        <v>0</v>
      </c>
      <c r="AW376" s="186">
        <v>0</v>
      </c>
      <c r="AX376" s="186">
        <v>0</v>
      </c>
      <c r="AY376" s="186">
        <v>0</v>
      </c>
      <c r="AZ376" s="186">
        <v>0</v>
      </c>
      <c r="BA376" s="186">
        <v>0</v>
      </c>
      <c r="BB376" s="186">
        <v>0</v>
      </c>
      <c r="BC376" s="186">
        <v>0</v>
      </c>
      <c r="BD376" s="186">
        <v>0</v>
      </c>
      <c r="BE376" s="186">
        <v>-15456143.34</v>
      </c>
      <c r="BF376" s="186">
        <v>0</v>
      </c>
      <c r="BG376" s="186">
        <v>0</v>
      </c>
      <c r="BH376" s="186">
        <v>0</v>
      </c>
      <c r="BI376" s="186">
        <v>0</v>
      </c>
      <c r="BJ376" s="186">
        <v>0</v>
      </c>
      <c r="BK376" s="186">
        <v>0</v>
      </c>
      <c r="BL376" s="186">
        <v>0</v>
      </c>
      <c r="BM376" s="186">
        <v>0</v>
      </c>
      <c r="BN376" s="186">
        <v>0</v>
      </c>
      <c r="BO376" s="186">
        <v>0</v>
      </c>
      <c r="BP376" s="186">
        <v>0</v>
      </c>
      <c r="BQ376" s="186">
        <v>0</v>
      </c>
      <c r="BR376" s="186">
        <v>0</v>
      </c>
      <c r="BS376" s="186">
        <v>0</v>
      </c>
      <c r="BT376" s="186">
        <v>0</v>
      </c>
      <c r="BU376" s="186">
        <v>0</v>
      </c>
      <c r="BV376" s="186">
        <v>0</v>
      </c>
      <c r="BW376" s="186">
        <v>0</v>
      </c>
      <c r="BX376" s="186">
        <v>0</v>
      </c>
      <c r="BY376" s="186">
        <v>0</v>
      </c>
      <c r="BZ376" s="186">
        <v>0</v>
      </c>
      <c r="CA376" s="186">
        <v>0</v>
      </c>
      <c r="CB376" s="186">
        <v>0</v>
      </c>
      <c r="CC376" s="186">
        <v>0</v>
      </c>
      <c r="CD376" s="186">
        <v>0</v>
      </c>
      <c r="CE376" s="186">
        <v>0</v>
      </c>
      <c r="CF376" s="186">
        <v>0</v>
      </c>
      <c r="CG376" s="186">
        <v>0</v>
      </c>
      <c r="CH376" s="186">
        <v>0</v>
      </c>
      <c r="CI376" s="186">
        <v>0</v>
      </c>
      <c r="CJ376" s="186">
        <v>0</v>
      </c>
      <c r="CK376" s="186">
        <v>0</v>
      </c>
      <c r="CL376" s="186">
        <v>0</v>
      </c>
      <c r="CM376" s="186">
        <v>0</v>
      </c>
      <c r="CN376" s="186">
        <v>-27095926</v>
      </c>
      <c r="CO376" s="186">
        <v>0</v>
      </c>
      <c r="CP376" s="186">
        <v>0</v>
      </c>
      <c r="CQ376" s="186">
        <v>0</v>
      </c>
      <c r="CR376" s="186">
        <v>0</v>
      </c>
      <c r="CS376" s="186">
        <v>0</v>
      </c>
      <c r="CT376" s="186">
        <v>0</v>
      </c>
      <c r="CU376" s="186">
        <v>0</v>
      </c>
      <c r="CV376" s="186">
        <v>0</v>
      </c>
    </row>
    <row r="377" spans="1:100">
      <c r="A377" t="s">
        <v>873</v>
      </c>
      <c r="D377" s="402">
        <v>-614504.11</v>
      </c>
      <c r="E377" s="402">
        <v>-1811549.86</v>
      </c>
      <c r="F377" s="402">
        <v>-857926.3</v>
      </c>
      <c r="G377" s="402">
        <v>-722767.87</v>
      </c>
      <c r="H377" s="402">
        <v>-644467.26</v>
      </c>
      <c r="I377" s="402">
        <v>-589653.07999999996</v>
      </c>
      <c r="J377" s="402">
        <v>-571462.40000000002</v>
      </c>
      <c r="K377" s="402">
        <v>-575332.19999999995</v>
      </c>
      <c r="L377" s="402">
        <v>-521313.55</v>
      </c>
      <c r="M377" s="402">
        <v>-543111.43999999994</v>
      </c>
      <c r="N377" s="402">
        <v>-566268.68000000005</v>
      </c>
      <c r="O377" s="402">
        <v>-583233.68000000005</v>
      </c>
      <c r="P377" s="402">
        <v>-705383.5</v>
      </c>
      <c r="Q377" s="186">
        <v>-821585.97</v>
      </c>
      <c r="R377" s="186">
        <v>-821348.03</v>
      </c>
      <c r="S377" s="186">
        <v>-777644.03</v>
      </c>
      <c r="T377" s="186">
        <v>-876828.85</v>
      </c>
      <c r="U377" s="186">
        <v>-782945.47</v>
      </c>
      <c r="V377" s="186">
        <v>-589778.24</v>
      </c>
      <c r="W377" s="186">
        <v>-546821.84</v>
      </c>
      <c r="X377" s="186">
        <v>-542540.61</v>
      </c>
      <c r="Y377" s="186">
        <v>-522030.53</v>
      </c>
      <c r="Z377" s="186">
        <v>-523961.29</v>
      </c>
      <c r="AA377" s="186">
        <v>-565244.86</v>
      </c>
      <c r="AB377" s="186">
        <v>-673853.43</v>
      </c>
      <c r="AC377" s="186">
        <v>-744874.22</v>
      </c>
      <c r="AD377" s="186">
        <v>-808152.3</v>
      </c>
      <c r="AE377" s="186">
        <v>-726688.28</v>
      </c>
      <c r="AF377" s="186">
        <v>-679392.72</v>
      </c>
      <c r="AG377" s="186">
        <v>-583746.22</v>
      </c>
      <c r="AH377" s="186">
        <v>-536966.68000000005</v>
      </c>
      <c r="AI377" s="186">
        <v>-511506.26</v>
      </c>
      <c r="AJ377" s="186">
        <v>-498812.41</v>
      </c>
      <c r="AK377" s="186">
        <v>-506211.05</v>
      </c>
      <c r="AL377" s="186">
        <v>-516229.51</v>
      </c>
      <c r="AM377" s="186">
        <v>-553737.23</v>
      </c>
      <c r="AN377" s="186">
        <v>-650854.43999999994</v>
      </c>
      <c r="AO377" s="186">
        <v>-703034.59</v>
      </c>
      <c r="AP377" s="186">
        <v>-705260.46</v>
      </c>
      <c r="AQ377" s="186">
        <v>-694409.3</v>
      </c>
      <c r="AR377" s="186">
        <v>-691374.94</v>
      </c>
      <c r="AS377" s="186">
        <v>-638219.59</v>
      </c>
      <c r="AT377" s="186">
        <v>-596347.6</v>
      </c>
      <c r="AU377" s="186">
        <v>-536500.30000000005</v>
      </c>
      <c r="AV377" s="186">
        <v>-852001.99</v>
      </c>
      <c r="AW377" s="186">
        <v>-563866.84</v>
      </c>
      <c r="AX377" s="186">
        <v>-577410.59</v>
      </c>
      <c r="AY377" s="186">
        <v>-641805.23</v>
      </c>
      <c r="AZ377" s="186">
        <v>-737297.56</v>
      </c>
      <c r="BA377" s="186">
        <v>-969207.6</v>
      </c>
      <c r="BB377" s="186">
        <v>-881359.19</v>
      </c>
      <c r="BC377" s="186">
        <v>-789240.84</v>
      </c>
      <c r="BD377" s="186">
        <v>-748298.9</v>
      </c>
      <c r="BE377" s="186">
        <v>-652970.85</v>
      </c>
      <c r="BF377" s="186">
        <v>-694227.32</v>
      </c>
      <c r="BG377" s="186">
        <v>-599945.51</v>
      </c>
      <c r="BH377" s="186">
        <v>-598232.11</v>
      </c>
      <c r="BI377" s="186">
        <v>-565477.14</v>
      </c>
      <c r="BJ377" s="186">
        <v>-563877.37</v>
      </c>
      <c r="BK377" s="186">
        <v>-600488.21</v>
      </c>
      <c r="BL377" s="186">
        <v>-761687.24</v>
      </c>
      <c r="BM377" s="186">
        <v>-1189908.52</v>
      </c>
      <c r="BN377" s="186">
        <v>-1157077.9099999999</v>
      </c>
      <c r="BO377" s="186">
        <v>-767762.11</v>
      </c>
      <c r="BP377" s="186">
        <v>-801996.15</v>
      </c>
      <c r="BQ377" s="186">
        <v>-654831.82999999996</v>
      </c>
      <c r="BR377" s="186">
        <v>-597644.31999999995</v>
      </c>
      <c r="BS377" s="186">
        <v>-515351.78</v>
      </c>
      <c r="BT377" s="186">
        <v>-519696.6</v>
      </c>
      <c r="BU377" s="186">
        <v>-463586.89</v>
      </c>
      <c r="BV377" s="186">
        <v>-489461.66</v>
      </c>
      <c r="BW377" s="186">
        <v>-590698.63</v>
      </c>
      <c r="BX377" s="186">
        <v>-827364.85</v>
      </c>
      <c r="BY377" s="186">
        <v>-865818.22</v>
      </c>
      <c r="BZ377" s="186">
        <v>-893777.78</v>
      </c>
      <c r="CA377" s="186">
        <v>-819534.78</v>
      </c>
      <c r="CB377" s="186">
        <v>-721348.07</v>
      </c>
      <c r="CC377" s="186">
        <v>-673097.76</v>
      </c>
      <c r="CD377" s="186">
        <v>-550073.23</v>
      </c>
      <c r="CE377" s="186">
        <v>-596933.67000000004</v>
      </c>
      <c r="CF377" s="186">
        <v>-579820.56000000006</v>
      </c>
      <c r="CG377" s="186">
        <v>-536728.48</v>
      </c>
      <c r="CH377" s="186">
        <v>-577097.99</v>
      </c>
      <c r="CI377" s="186">
        <v>-670531.81999999995</v>
      </c>
      <c r="CJ377" s="186">
        <v>-1112227.68</v>
      </c>
      <c r="CK377" s="186">
        <v>-1149761.1000000001</v>
      </c>
      <c r="CL377" s="186">
        <v>-1168005.95</v>
      </c>
      <c r="CM377" s="186">
        <v>-1007973.59</v>
      </c>
      <c r="CN377" s="186">
        <v>-1013886.95</v>
      </c>
      <c r="CO377" s="186">
        <v>-880678.85</v>
      </c>
      <c r="CP377" s="186">
        <v>-837037.71</v>
      </c>
      <c r="CQ377" s="186">
        <v>-836713.12</v>
      </c>
      <c r="CR377" s="186">
        <v>-799103.2</v>
      </c>
      <c r="CS377" s="186">
        <v>-874521.06</v>
      </c>
      <c r="CT377" s="186">
        <v>-786312.01</v>
      </c>
      <c r="CU377" s="186">
        <v>-889837.51</v>
      </c>
      <c r="CV377" s="186">
        <v>-1054156.5</v>
      </c>
    </row>
    <row r="378" spans="1:100">
      <c r="A378" t="s">
        <v>874</v>
      </c>
      <c r="D378" s="402">
        <v>-44931658.340000004</v>
      </c>
      <c r="E378" s="402">
        <v>-44950734.18</v>
      </c>
      <c r="F378" s="402">
        <v>-44981085.130000003</v>
      </c>
      <c r="G378" s="402">
        <v>-42998342.740000002</v>
      </c>
      <c r="H378" s="402">
        <v>-42855031.68</v>
      </c>
      <c r="I378" s="402">
        <v>-42878837.530000001</v>
      </c>
      <c r="J378" s="402">
        <v>-40274815.659999996</v>
      </c>
      <c r="K378" s="402">
        <v>-40312183.32</v>
      </c>
      <c r="L378" s="402">
        <v>-40431842.659999996</v>
      </c>
      <c r="M378" s="402">
        <v>-37834345.350000001</v>
      </c>
      <c r="N378" s="402">
        <v>-37871526.369999997</v>
      </c>
      <c r="O378" s="402">
        <v>-37924514.520000003</v>
      </c>
      <c r="P378" s="402">
        <v>-37665637.189999998</v>
      </c>
      <c r="Q378" s="186">
        <v>-37691692.159999996</v>
      </c>
      <c r="R378" s="186">
        <v>-37725906.149999999</v>
      </c>
      <c r="S378" s="186">
        <v>-37597247.740000002</v>
      </c>
      <c r="T378" s="186">
        <v>-37409931.039999999</v>
      </c>
      <c r="U378" s="186">
        <v>-37435537.549999997</v>
      </c>
      <c r="V378" s="186">
        <v>-37444858.82</v>
      </c>
      <c r="W378" s="186">
        <v>-37484386.979999997</v>
      </c>
      <c r="X378" s="186">
        <v>-37519197.640000001</v>
      </c>
      <c r="Y378" s="186">
        <v>-37525270.340000004</v>
      </c>
      <c r="Z378" s="186">
        <v>-37559458.380000003</v>
      </c>
      <c r="AA378" s="186">
        <v>-37594566.740000002</v>
      </c>
      <c r="AB378" s="186">
        <v>-39216611.390000001</v>
      </c>
      <c r="AC378" s="186">
        <v>-39226731.979999997</v>
      </c>
      <c r="AD378" s="186">
        <v>-39263109.079999998</v>
      </c>
      <c r="AE378" s="186">
        <v>-41309931.350000001</v>
      </c>
      <c r="AF378" s="186">
        <v>-41144131.259999998</v>
      </c>
      <c r="AG378" s="186">
        <v>-40118759.450000003</v>
      </c>
      <c r="AH378" s="186">
        <v>-38156776.299999997</v>
      </c>
      <c r="AI378" s="186">
        <v>-38208518.280000001</v>
      </c>
      <c r="AJ378" s="186">
        <v>-38268696.560000002</v>
      </c>
      <c r="AK378" s="186">
        <v>-38340124.359999999</v>
      </c>
      <c r="AL378" s="186">
        <v>-38381213.890000001</v>
      </c>
      <c r="AM378" s="186">
        <v>-38426476.670000002</v>
      </c>
      <c r="AN378" s="186">
        <v>-36435390.670000002</v>
      </c>
      <c r="AO378" s="186">
        <v>-37305555</v>
      </c>
      <c r="AP378" s="186">
        <v>-36454001.189999998</v>
      </c>
      <c r="AQ378" s="186">
        <v>-35329414.560000002</v>
      </c>
      <c r="AR378" s="186">
        <v>-35121818.450000003</v>
      </c>
      <c r="AS378" s="186">
        <v>-35177616.689999998</v>
      </c>
      <c r="AT378" s="186">
        <v>-35228955.710000001</v>
      </c>
      <c r="AU378" s="186">
        <v>-35223672.200000003</v>
      </c>
      <c r="AV378" s="186">
        <v>-35280628.75</v>
      </c>
      <c r="AW378" s="186">
        <v>-35288535.609999999</v>
      </c>
      <c r="AX378" s="186">
        <v>-35354661.950000003</v>
      </c>
      <c r="AY378" s="186">
        <v>-35397099.969999999</v>
      </c>
      <c r="AZ378" s="186">
        <v>-35093009.659999996</v>
      </c>
      <c r="BA378" s="186">
        <v>-35096027.539999999</v>
      </c>
      <c r="BB378" s="186">
        <v>-35091517.719999999</v>
      </c>
      <c r="BC378" s="186">
        <v>-33007852.68</v>
      </c>
      <c r="BD378" s="186">
        <v>-32629118.93</v>
      </c>
      <c r="BE378" s="186">
        <v>-32615923.190000001</v>
      </c>
      <c r="BF378" s="186">
        <v>-32552070.690000001</v>
      </c>
      <c r="BG378" s="186">
        <v>-32551574.780000001</v>
      </c>
      <c r="BH378" s="186">
        <v>-32573938.859999999</v>
      </c>
      <c r="BI378" s="186">
        <v>-32574637.129999999</v>
      </c>
      <c r="BJ378" s="186">
        <v>-32386470.16</v>
      </c>
      <c r="BK378" s="186">
        <v>-32395268.370000001</v>
      </c>
      <c r="BL378" s="186">
        <v>-33627468.149999999</v>
      </c>
      <c r="BM378" s="186">
        <v>-32481514.039999999</v>
      </c>
      <c r="BN378" s="186">
        <v>-32495951.079999998</v>
      </c>
      <c r="BO378" s="186">
        <v>-33521093.23</v>
      </c>
      <c r="BP378" s="186">
        <v>-33534146.449999999</v>
      </c>
      <c r="BQ378" s="186">
        <v>-33549873.75</v>
      </c>
      <c r="BR378" s="186">
        <v>-33767772.840000004</v>
      </c>
      <c r="BS378" s="186">
        <v>-33319099.469999999</v>
      </c>
      <c r="BT378" s="186">
        <v>-33330380.809999999</v>
      </c>
      <c r="BU378" s="186">
        <v>-34441912.409999996</v>
      </c>
      <c r="BV378" s="186">
        <v>-34453514.259999998</v>
      </c>
      <c r="BW378" s="186">
        <v>-34467074.649999999</v>
      </c>
      <c r="BX378" s="186">
        <v>-27099276.809999999</v>
      </c>
      <c r="BY378" s="186">
        <v>-27073525.079999998</v>
      </c>
      <c r="BZ378" s="186">
        <v>-25771852.690000001</v>
      </c>
      <c r="CA378" s="186">
        <v>-27035077.399999999</v>
      </c>
      <c r="CB378" s="186">
        <v>-27049390.68</v>
      </c>
      <c r="CC378" s="186">
        <v>-27055414.100000001</v>
      </c>
      <c r="CD378" s="186">
        <v>-27307094.52</v>
      </c>
      <c r="CE378" s="186">
        <v>-27321825.260000002</v>
      </c>
      <c r="CF378" s="186">
        <v>-27517296.420000002</v>
      </c>
      <c r="CG378" s="186">
        <v>-27846797.879999999</v>
      </c>
      <c r="CH378" s="186">
        <v>-27683967.57</v>
      </c>
      <c r="CI378" s="186">
        <v>-27667431.43</v>
      </c>
      <c r="CJ378" s="186">
        <v>-25201688.809999999</v>
      </c>
      <c r="CK378" s="186">
        <v>-25199915.57</v>
      </c>
      <c r="CL378" s="186">
        <v>-25229030.93</v>
      </c>
      <c r="CM378" s="186">
        <v>-24325293.280000001</v>
      </c>
      <c r="CN378" s="186">
        <v>-24331805.039999999</v>
      </c>
      <c r="CO378" s="186">
        <v>-24342505.879999999</v>
      </c>
      <c r="CP378" s="186">
        <v>-24637267.989999998</v>
      </c>
      <c r="CQ378" s="186">
        <v>-24639938.170000002</v>
      </c>
      <c r="CR378" s="186">
        <v>-24654333.52</v>
      </c>
      <c r="CS378" s="186">
        <v>-24479449.57</v>
      </c>
      <c r="CT378" s="186">
        <v>-24484217.719999999</v>
      </c>
      <c r="CU378" s="186">
        <v>-24499611.219999999</v>
      </c>
      <c r="CV378" s="186">
        <v>-23188049.550000001</v>
      </c>
    </row>
    <row r="379" spans="1:100">
      <c r="A379" t="s">
        <v>875</v>
      </c>
      <c r="D379" s="402">
        <v>-35685</v>
      </c>
      <c r="E379" s="402">
        <v>-16835</v>
      </c>
      <c r="F379" s="402">
        <v>-11185</v>
      </c>
      <c r="G379" s="402">
        <v>-18490</v>
      </c>
      <c r="H379" s="402">
        <v>-800</v>
      </c>
      <c r="I379" s="402">
        <v>-87690</v>
      </c>
      <c r="J379" s="402">
        <v>-187640</v>
      </c>
      <c r="K379" s="402">
        <v>-3248625</v>
      </c>
      <c r="L379" s="402">
        <v>-1525800</v>
      </c>
      <c r="M379" s="402">
        <v>-1617850</v>
      </c>
      <c r="N379" s="402">
        <v>-3658900</v>
      </c>
      <c r="O379" s="402">
        <v>-2703120</v>
      </c>
      <c r="P379" s="402">
        <v>-8985490</v>
      </c>
      <c r="Q379" s="186">
        <v>-9064945</v>
      </c>
      <c r="R379" s="186">
        <v>-7427670</v>
      </c>
      <c r="S379" s="186">
        <v>-7222035</v>
      </c>
      <c r="T379" s="186">
        <v>-6292505</v>
      </c>
      <c r="U379" s="186">
        <v>-6307945</v>
      </c>
      <c r="V379" s="186">
        <v>-5194335</v>
      </c>
      <c r="W379" s="186">
        <v>-5218445</v>
      </c>
      <c r="X379" s="186">
        <v>-5549665</v>
      </c>
      <c r="Y379" s="186">
        <v>-6332365</v>
      </c>
      <c r="Z379" s="186">
        <v>-8044035</v>
      </c>
      <c r="AA379" s="186">
        <v>-8065535</v>
      </c>
      <c r="AB379" s="186">
        <v>-6345955</v>
      </c>
      <c r="AC379" s="186">
        <v>-4883135</v>
      </c>
      <c r="AD379" s="186">
        <v>-5431045</v>
      </c>
      <c r="AE379" s="186">
        <v>-3452550</v>
      </c>
      <c r="AF379" s="186">
        <v>-1971790</v>
      </c>
      <c r="AG379" s="186">
        <v>-1688615</v>
      </c>
      <c r="AH379" s="186">
        <v>-343605</v>
      </c>
      <c r="AI379" s="186">
        <v>-334975</v>
      </c>
      <c r="AJ379" s="186">
        <v>-323425</v>
      </c>
      <c r="AK379" s="186">
        <v>-404265</v>
      </c>
      <c r="AL379" s="186">
        <v>-408515</v>
      </c>
      <c r="AM379" s="186">
        <v>-76785</v>
      </c>
      <c r="AN379" s="186">
        <v>0</v>
      </c>
      <c r="AO379" s="186">
        <v>-56050</v>
      </c>
      <c r="AP379" s="186">
        <v>-389500</v>
      </c>
      <c r="AQ379" s="186">
        <v>-4235</v>
      </c>
      <c r="AR379" s="186">
        <v>0</v>
      </c>
      <c r="AS379" s="186">
        <v>-3920</v>
      </c>
      <c r="AT379" s="186">
        <v>-22280</v>
      </c>
      <c r="AU379" s="186">
        <v>-140025</v>
      </c>
      <c r="AV379" s="186">
        <v>-4680</v>
      </c>
      <c r="AW379" s="186">
        <v>-9230</v>
      </c>
      <c r="AX379" s="186">
        <v>-138225</v>
      </c>
      <c r="AY379" s="186">
        <v>-60555</v>
      </c>
      <c r="AZ379" s="186">
        <v>-181065</v>
      </c>
      <c r="BA379" s="186">
        <v>-1780</v>
      </c>
      <c r="BB379" s="186">
        <v>-113125</v>
      </c>
      <c r="BC379" s="186">
        <v>-32645</v>
      </c>
      <c r="BD379" s="186">
        <v>-25690</v>
      </c>
      <c r="BE379" s="186">
        <v>0</v>
      </c>
      <c r="BF379" s="186">
        <v>-280</v>
      </c>
      <c r="BG379" s="186">
        <v>-11720</v>
      </c>
      <c r="BH379" s="186">
        <v>0</v>
      </c>
      <c r="BI379" s="186">
        <v>0</v>
      </c>
      <c r="BJ379" s="186">
        <v>0</v>
      </c>
      <c r="BK379" s="186">
        <v>0</v>
      </c>
      <c r="BL379" s="186">
        <v>0</v>
      </c>
      <c r="BM379" s="186">
        <v>0</v>
      </c>
      <c r="BN379" s="186">
        <v>0</v>
      </c>
      <c r="BO379" s="186">
        <v>0</v>
      </c>
      <c r="BP379" s="186">
        <v>0</v>
      </c>
      <c r="BQ379" s="186">
        <v>0</v>
      </c>
      <c r="BR379" s="186">
        <v>0</v>
      </c>
      <c r="BS379" s="186">
        <v>0</v>
      </c>
      <c r="BT379" s="186">
        <v>0</v>
      </c>
      <c r="BU379" s="186">
        <v>0</v>
      </c>
      <c r="BV379" s="186">
        <v>0</v>
      </c>
      <c r="BW379" s="186">
        <v>0</v>
      </c>
      <c r="BX379" s="186">
        <v>0</v>
      </c>
      <c r="BY379" s="186">
        <v>0</v>
      </c>
      <c r="BZ379" s="186">
        <v>0</v>
      </c>
      <c r="CA379" s="186">
        <v>0</v>
      </c>
      <c r="CB379" s="186">
        <v>0</v>
      </c>
      <c r="CC379" s="186">
        <v>0</v>
      </c>
      <c r="CD379" s="186">
        <v>0</v>
      </c>
      <c r="CE379" s="186">
        <v>0</v>
      </c>
      <c r="CF379" s="186">
        <v>0</v>
      </c>
      <c r="CG379" s="186">
        <v>0</v>
      </c>
      <c r="CH379" s="186">
        <v>0</v>
      </c>
      <c r="CI379" s="186">
        <v>0</v>
      </c>
      <c r="CJ379" s="186">
        <v>0</v>
      </c>
      <c r="CK379" s="186">
        <v>0</v>
      </c>
      <c r="CL379" s="186">
        <v>0</v>
      </c>
      <c r="CM379" s="186">
        <v>0</v>
      </c>
      <c r="CN379" s="186">
        <v>0</v>
      </c>
      <c r="CO379" s="186">
        <v>0</v>
      </c>
      <c r="CP379" s="186">
        <v>0</v>
      </c>
      <c r="CQ379" s="186">
        <v>0</v>
      </c>
      <c r="CR379" s="186">
        <v>0</v>
      </c>
      <c r="CS379" s="186">
        <v>0</v>
      </c>
      <c r="CT379" s="186">
        <v>0</v>
      </c>
      <c r="CU379" s="186">
        <v>0</v>
      </c>
      <c r="CV379" s="186">
        <v>0</v>
      </c>
    </row>
    <row r="380" spans="1:100">
      <c r="A380" t="s">
        <v>876</v>
      </c>
      <c r="D380" s="402">
        <v>-7564144.2999999998</v>
      </c>
      <c r="E380" s="402">
        <v>-7714348.2999999998</v>
      </c>
      <c r="F380" s="402">
        <v>-7764979.2999999998</v>
      </c>
      <c r="G380" s="402">
        <v>-7827894.2999999998</v>
      </c>
      <c r="H380" s="402">
        <v>-7873622.2999999998</v>
      </c>
      <c r="I380" s="402">
        <v>-7945592.2999999998</v>
      </c>
      <c r="J380" s="402">
        <v>-8035636.5800000001</v>
      </c>
      <c r="K380" s="402">
        <v>-8825586.5800000001</v>
      </c>
      <c r="L380" s="402">
        <v>-8912566.5800000001</v>
      </c>
      <c r="M380" s="402">
        <v>-8955974.0800000001</v>
      </c>
      <c r="N380" s="402">
        <v>-9024982</v>
      </c>
      <c r="O380" s="402">
        <v>-9822978</v>
      </c>
      <c r="P380" s="402">
        <v>-9842365</v>
      </c>
      <c r="Q380" s="186">
        <v>-9944960.2400000002</v>
      </c>
      <c r="R380" s="186">
        <v>-10017496.24</v>
      </c>
      <c r="S380" s="186">
        <v>-10092194.59</v>
      </c>
      <c r="T380" s="186">
        <v>-10903349.59</v>
      </c>
      <c r="U380" s="186">
        <v>-11184513.59</v>
      </c>
      <c r="V380" s="186">
        <v>-11269305.109999999</v>
      </c>
      <c r="W380" s="186">
        <v>-11293093.109999999</v>
      </c>
      <c r="X380" s="186">
        <v>-11468225.109999999</v>
      </c>
      <c r="Y380" s="186">
        <v>-11498118.130000001</v>
      </c>
      <c r="Z380" s="186">
        <v>-11549763.130000001</v>
      </c>
      <c r="AA380" s="186">
        <v>-11593557.449999999</v>
      </c>
      <c r="AB380" s="186">
        <v>-11625385.449999999</v>
      </c>
      <c r="AC380" s="186">
        <v>-11656524.449999999</v>
      </c>
      <c r="AD380" s="186">
        <v>-11952660.460000001</v>
      </c>
      <c r="AE380" s="186">
        <v>-11992238.460000001</v>
      </c>
      <c r="AF380" s="186">
        <v>-12090722.460000001</v>
      </c>
      <c r="AG380" s="186">
        <v>-12161249.460000001</v>
      </c>
      <c r="AH380" s="186">
        <v>-12372744.460000001</v>
      </c>
      <c r="AI380" s="186">
        <v>-12480523.460000001</v>
      </c>
      <c r="AJ380" s="186">
        <v>-12590723.460000001</v>
      </c>
      <c r="AK380" s="186">
        <v>-12662933.039999999</v>
      </c>
      <c r="AL380" s="186">
        <v>-12745836.039999999</v>
      </c>
      <c r="AM380" s="186">
        <v>-12438231.640000001</v>
      </c>
      <c r="AN380" s="186">
        <v>-12639677.640000001</v>
      </c>
      <c r="AO380" s="186">
        <v>-12165105.75</v>
      </c>
      <c r="AP380" s="186">
        <v>-12044118.57</v>
      </c>
      <c r="AQ380" s="186">
        <v>-12174977.210000001</v>
      </c>
      <c r="AR380" s="186">
        <v>-12309216.210000001</v>
      </c>
      <c r="AS380" s="186">
        <v>-12446195.210000001</v>
      </c>
      <c r="AT380" s="186">
        <v>-11296197.34</v>
      </c>
      <c r="AU380" s="186">
        <v>-9914451.8699999992</v>
      </c>
      <c r="AV380" s="186">
        <v>-9831064.5199999996</v>
      </c>
      <c r="AW380" s="186">
        <v>-9936897.5199999996</v>
      </c>
      <c r="AX380" s="186">
        <v>-10007435.52</v>
      </c>
      <c r="AY380" s="186">
        <v>-10047282.52</v>
      </c>
      <c r="AZ380" s="186">
        <v>-9607066.0800000001</v>
      </c>
      <c r="BA380" s="186">
        <v>-9573848.2899999991</v>
      </c>
      <c r="BB380" s="186">
        <v>-9728965.2899999991</v>
      </c>
      <c r="BC380" s="186">
        <v>-9807070.2899999991</v>
      </c>
      <c r="BD380" s="186">
        <v>-9950721.1799999997</v>
      </c>
      <c r="BE380" s="186">
        <v>-10073247.18</v>
      </c>
      <c r="BF380" s="186">
        <v>-10218869.18</v>
      </c>
      <c r="BG380" s="186">
        <v>-9921752.1600000001</v>
      </c>
      <c r="BH380" s="186">
        <v>-10073764.16</v>
      </c>
      <c r="BI380" s="186">
        <v>-10228447.51</v>
      </c>
      <c r="BJ380" s="186">
        <v>-10362898.27</v>
      </c>
      <c r="BK380" s="186">
        <v>-10539340.27</v>
      </c>
      <c r="BL380" s="186">
        <v>-10634955.27</v>
      </c>
      <c r="BM380" s="186">
        <v>-10826694.27</v>
      </c>
      <c r="BN380" s="186">
        <v>-11003766.27</v>
      </c>
      <c r="BO380" s="186">
        <v>-11120203.27</v>
      </c>
      <c r="BP380" s="186">
        <v>-11325462.27</v>
      </c>
      <c r="BQ380" s="186">
        <v>-11511792.27</v>
      </c>
      <c r="BR380" s="186">
        <v>-11785480.27</v>
      </c>
      <c r="BS380" s="186">
        <v>-11862644.27</v>
      </c>
      <c r="BT380" s="186">
        <v>-12925400.09</v>
      </c>
      <c r="BU380" s="186">
        <v>-12405990.039999999</v>
      </c>
      <c r="BV380" s="186">
        <v>-12710800.039999999</v>
      </c>
      <c r="BW380" s="186">
        <v>-12794821.32</v>
      </c>
      <c r="BX380" s="186">
        <v>-12952701.32</v>
      </c>
      <c r="BY380" s="186">
        <v>-13089078.98</v>
      </c>
      <c r="BZ380" s="186">
        <v>-13337566.98</v>
      </c>
      <c r="CA380" s="186">
        <v>-13479083.98</v>
      </c>
      <c r="CB380" s="186">
        <v>-13776579.98</v>
      </c>
      <c r="CC380" s="186">
        <v>-13915894.98</v>
      </c>
      <c r="CD380" s="186">
        <v>-14332008.98</v>
      </c>
      <c r="CE380" s="186">
        <v>-14545070.98</v>
      </c>
      <c r="CF380" s="186">
        <v>-14664981.98</v>
      </c>
      <c r="CG380" s="186">
        <v>-14788227.98</v>
      </c>
      <c r="CH380" s="186">
        <v>-14958396.98</v>
      </c>
      <c r="CI380" s="186">
        <v>-15370480.98</v>
      </c>
      <c r="CJ380" s="186">
        <v>-15681265.48</v>
      </c>
      <c r="CK380" s="186">
        <v>-15814281.48</v>
      </c>
      <c r="CL380" s="186">
        <v>-15923750.48</v>
      </c>
      <c r="CM380" s="186">
        <v>-16390079.48</v>
      </c>
      <c r="CN380" s="186">
        <v>-16722185.960000001</v>
      </c>
      <c r="CO380" s="186">
        <v>-16873568.960000001</v>
      </c>
      <c r="CP380" s="186">
        <v>-17005221.239999998</v>
      </c>
      <c r="CQ380" s="186">
        <v>-17164304.239999998</v>
      </c>
      <c r="CR380" s="186">
        <v>-17243754.239999998</v>
      </c>
      <c r="CS380" s="186">
        <v>-17573631.640000001</v>
      </c>
      <c r="CT380" s="186">
        <v>-17895821.640000001</v>
      </c>
      <c r="CU380" s="186">
        <v>-18117211.640000001</v>
      </c>
      <c r="CV380" s="186">
        <v>-18210107.640000001</v>
      </c>
    </row>
    <row r="381" spans="1:100">
      <c r="A381" t="s">
        <v>877</v>
      </c>
      <c r="D381" s="402">
        <v>-2537502.5</v>
      </c>
      <c r="E381" s="402">
        <v>-2491106.98</v>
      </c>
      <c r="F381" s="402">
        <v>-2562062.44</v>
      </c>
      <c r="G381" s="402">
        <v>-2634680.0299999998</v>
      </c>
      <c r="H381" s="402">
        <v>-2558069.4900000002</v>
      </c>
      <c r="I381" s="402">
        <v>-3430156.09</v>
      </c>
      <c r="J381" s="402">
        <v>-3271015.85</v>
      </c>
      <c r="K381" s="402">
        <v>-3421131.8</v>
      </c>
      <c r="L381" s="402">
        <v>-3318944.34</v>
      </c>
      <c r="M381" s="402">
        <v>-3197132.36</v>
      </c>
      <c r="N381" s="402">
        <v>-3249299.26</v>
      </c>
      <c r="O381" s="402">
        <v>-3179973.49</v>
      </c>
      <c r="P381" s="402">
        <v>-3429205.57</v>
      </c>
      <c r="Q381" s="186">
        <v>-3456080.66</v>
      </c>
      <c r="R381" s="186">
        <v>-3152229.42</v>
      </c>
      <c r="S381" s="186">
        <v>-3054227.7</v>
      </c>
      <c r="T381" s="186">
        <v>-1152967.08</v>
      </c>
      <c r="U381" s="186">
        <v>-1040234.23</v>
      </c>
      <c r="V381" s="186">
        <v>-934211.96</v>
      </c>
      <c r="W381" s="186">
        <v>-752875.16</v>
      </c>
      <c r="X381" s="186">
        <v>-631687.87</v>
      </c>
      <c r="Y381" s="186">
        <v>-614782.81000000006</v>
      </c>
      <c r="Z381" s="186">
        <v>-558284.21</v>
      </c>
      <c r="AA381" s="186">
        <v>-973570.83</v>
      </c>
      <c r="AB381" s="186">
        <v>-1253942.98</v>
      </c>
      <c r="AC381" s="186">
        <v>-1508484.79</v>
      </c>
      <c r="AD381" s="186">
        <v>-1683967.28</v>
      </c>
      <c r="AE381" s="186">
        <v>-1615718.76</v>
      </c>
      <c r="AF381" s="186">
        <v>-1565937.09</v>
      </c>
      <c r="AG381" s="186">
        <v>-1299949.8600000001</v>
      </c>
      <c r="AH381" s="186">
        <v>-931153.86</v>
      </c>
      <c r="AI381" s="186">
        <v>-1174124.02</v>
      </c>
      <c r="AJ381" s="186">
        <v>-1244431.67</v>
      </c>
      <c r="AK381" s="186">
        <v>-1390050.97</v>
      </c>
      <c r="AL381" s="186">
        <v>-1496451.88</v>
      </c>
      <c r="AM381" s="186">
        <v>-1718018.31</v>
      </c>
      <c r="AN381" s="186">
        <v>-2012057.28</v>
      </c>
      <c r="AO381" s="186">
        <v>-1719233.28</v>
      </c>
      <c r="AP381" s="186">
        <v>-1840575.7</v>
      </c>
      <c r="AQ381" s="186">
        <v>-1748104.75</v>
      </c>
      <c r="AR381" s="186">
        <v>-1831797.67</v>
      </c>
      <c r="AS381" s="186">
        <v>-1854845.17</v>
      </c>
      <c r="AT381" s="186">
        <v>-2011499.35</v>
      </c>
      <c r="AU381" s="186">
        <v>-2040676.37</v>
      </c>
      <c r="AV381" s="186">
        <v>-1811770.93</v>
      </c>
      <c r="AW381" s="186">
        <v>-2017494.36</v>
      </c>
      <c r="AX381" s="186">
        <v>-2234049.96</v>
      </c>
      <c r="AY381" s="186">
        <v>-2287224.4300000002</v>
      </c>
      <c r="AZ381" s="186">
        <v>-2441203.64</v>
      </c>
      <c r="BA381" s="186">
        <v>-2309620.98</v>
      </c>
      <c r="BB381" s="186">
        <v>-2478544.2000000002</v>
      </c>
      <c r="BC381" s="186">
        <v>-2780553.2</v>
      </c>
      <c r="BD381" s="186">
        <v>-2828818.83</v>
      </c>
      <c r="BE381" s="186">
        <v>-2992329.5</v>
      </c>
      <c r="BF381" s="186">
        <v>-3322987.42</v>
      </c>
      <c r="BG381" s="186">
        <v>-3451748.67</v>
      </c>
      <c r="BH381" s="186">
        <v>-3674383.04</v>
      </c>
      <c r="BI381" s="186">
        <v>-3871163.79</v>
      </c>
      <c r="BJ381" s="186">
        <v>-4111080.9</v>
      </c>
      <c r="BK381" s="186">
        <v>-4438839.01</v>
      </c>
      <c r="BL381" s="186">
        <v>-3830518.3</v>
      </c>
      <c r="BM381" s="186">
        <v>-3780744.4</v>
      </c>
      <c r="BN381" s="186">
        <v>-3635598.37</v>
      </c>
      <c r="BO381" s="186">
        <v>-3397930.21</v>
      </c>
      <c r="BP381" s="186">
        <v>-3470131.87</v>
      </c>
      <c r="BQ381" s="186">
        <v>-3020551.34</v>
      </c>
      <c r="BR381" s="186">
        <v>-3744280.75</v>
      </c>
      <c r="BS381" s="186">
        <v>-4517563.5</v>
      </c>
      <c r="BT381" s="186">
        <v>-4890041.49</v>
      </c>
      <c r="BU381" s="186">
        <v>-5036683.0599999996</v>
      </c>
      <c r="BV381" s="186">
        <v>-5247323.78</v>
      </c>
      <c r="BW381" s="186">
        <v>-5183880.88</v>
      </c>
      <c r="BX381" s="186">
        <v>-5996477.7599999998</v>
      </c>
      <c r="BY381" s="186">
        <v>-6331458.9199999999</v>
      </c>
      <c r="BZ381" s="186">
        <v>-6020839.4800000004</v>
      </c>
      <c r="CA381" s="186">
        <v>-5804761.9400000004</v>
      </c>
      <c r="CB381" s="186">
        <v>-6855332.7000000002</v>
      </c>
      <c r="CC381" s="186">
        <v>-7704233.2000000002</v>
      </c>
      <c r="CD381" s="186">
        <v>-8545555.4499999993</v>
      </c>
      <c r="CE381" s="186">
        <v>-8557157.5399999991</v>
      </c>
      <c r="CF381" s="186">
        <v>-8313096.7400000002</v>
      </c>
      <c r="CG381" s="186">
        <v>-8440347.4800000004</v>
      </c>
      <c r="CH381" s="186">
        <v>-8303203.4800000004</v>
      </c>
      <c r="CI381" s="186">
        <v>-8235419.8499999996</v>
      </c>
      <c r="CJ381" s="186">
        <v>-8261983.4900000002</v>
      </c>
      <c r="CK381" s="186">
        <v>-8471095.6500000004</v>
      </c>
      <c r="CL381" s="186">
        <v>-6732824.5199999996</v>
      </c>
      <c r="CM381" s="186">
        <v>-2788573.34</v>
      </c>
      <c r="CN381" s="186">
        <v>-2742246.87</v>
      </c>
      <c r="CO381" s="186">
        <v>-2608180.4500000002</v>
      </c>
      <c r="CP381" s="186">
        <v>-2233020.58</v>
      </c>
      <c r="CQ381" s="186">
        <v>-2429196.5699999998</v>
      </c>
      <c r="CR381" s="186">
        <v>-2408390.38</v>
      </c>
      <c r="CS381" s="186">
        <v>-3732072.38</v>
      </c>
      <c r="CT381" s="186">
        <v>-3789244.1</v>
      </c>
      <c r="CU381" s="186">
        <v>-3590964.64</v>
      </c>
      <c r="CV381" s="186">
        <v>-4140079.67</v>
      </c>
    </row>
    <row r="382" spans="1:100">
      <c r="A382" t="s">
        <v>878</v>
      </c>
      <c r="D382" s="402">
        <v>-1845837.04</v>
      </c>
      <c r="E382" s="402">
        <v>-4451608.71</v>
      </c>
      <c r="F382" s="402">
        <v>-3544296.38</v>
      </c>
      <c r="G382" s="402">
        <v>-2770763.05</v>
      </c>
      <c r="H382" s="402">
        <v>-4789504.72</v>
      </c>
      <c r="I382" s="402">
        <v>-3059763.39</v>
      </c>
      <c r="J382" s="402">
        <v>-2684712.06</v>
      </c>
      <c r="K382" s="402">
        <v>-1497334.73</v>
      </c>
      <c r="L382" s="402">
        <v>-1195389.9099999999</v>
      </c>
      <c r="M382" s="402">
        <v>-1035607.58</v>
      </c>
      <c r="N382" s="402">
        <v>-998429.25</v>
      </c>
      <c r="O382" s="402">
        <v>-954658.92</v>
      </c>
      <c r="P382" s="402">
        <v>-1275395.5900000001</v>
      </c>
      <c r="Q382" s="186">
        <v>-1671458.59</v>
      </c>
      <c r="R382" s="186">
        <v>-2636637.04</v>
      </c>
      <c r="S382" s="186">
        <v>-3171288.8</v>
      </c>
      <c r="T382" s="186">
        <v>-3564711.68</v>
      </c>
      <c r="U382" s="186">
        <v>-3407648.89</v>
      </c>
      <c r="V382" s="186">
        <v>-3406768.59</v>
      </c>
      <c r="W382" s="186">
        <v>-3261951.95</v>
      </c>
      <c r="X382" s="186">
        <v>-2939117.43</v>
      </c>
      <c r="Y382" s="186">
        <v>-2682114.46</v>
      </c>
      <c r="Z382" s="186">
        <v>-2173057.5499999998</v>
      </c>
      <c r="AA382" s="186">
        <v>-2272874.84</v>
      </c>
      <c r="AB382" s="186">
        <v>-2618953.84</v>
      </c>
      <c r="AC382" s="186">
        <v>-2782973.96</v>
      </c>
      <c r="AD382" s="186">
        <v>-3366057.96</v>
      </c>
      <c r="AE382" s="186">
        <v>-3441104.96</v>
      </c>
      <c r="AF382" s="186">
        <v>-3487326.96</v>
      </c>
      <c r="AG382" s="186">
        <v>-3160860.96</v>
      </c>
      <c r="AH382" s="186">
        <v>-13556530.15</v>
      </c>
      <c r="AI382" s="186">
        <v>-13008730.949999999</v>
      </c>
      <c r="AJ382" s="186">
        <v>-11699033.890000001</v>
      </c>
      <c r="AK382" s="186">
        <v>-11094277.76</v>
      </c>
      <c r="AL382" s="186">
        <v>-10169800.630000001</v>
      </c>
      <c r="AM382" s="186">
        <v>-10220756.5</v>
      </c>
      <c r="AN382" s="186">
        <v>-11190657.41</v>
      </c>
      <c r="AO382" s="186">
        <v>-10313656.949999999</v>
      </c>
      <c r="AP382" s="186">
        <v>-10154788.470000001</v>
      </c>
      <c r="AQ382" s="186">
        <v>-10629831.279999999</v>
      </c>
      <c r="AR382" s="186">
        <v>-10540135.970000001</v>
      </c>
      <c r="AS382" s="186">
        <v>-9369693.2599999998</v>
      </c>
      <c r="AT382" s="186">
        <v>-8244316.8899999997</v>
      </c>
      <c r="AU382" s="186">
        <v>-7064040.4199999999</v>
      </c>
      <c r="AV382" s="186">
        <v>-6508073.1900000004</v>
      </c>
      <c r="AW382" s="186">
        <v>-6060167.7199999997</v>
      </c>
      <c r="AX382" s="186">
        <v>-5836007.25</v>
      </c>
      <c r="AY382" s="186">
        <v>-5682433.6699999999</v>
      </c>
      <c r="AZ382" s="186">
        <v>-94566712.319999993</v>
      </c>
      <c r="BA382" s="186">
        <v>-94277929.510000005</v>
      </c>
      <c r="BB382" s="186">
        <v>-95221129.840000004</v>
      </c>
      <c r="BC382" s="186">
        <v>-96479684.719999999</v>
      </c>
      <c r="BD382" s="186">
        <v>-97605035.849999994</v>
      </c>
      <c r="BE382" s="186">
        <v>-98449690.310000002</v>
      </c>
      <c r="BF382" s="186">
        <v>-98729488.599999994</v>
      </c>
      <c r="BG382" s="186">
        <v>-99145857.75</v>
      </c>
      <c r="BH382" s="186">
        <v>-99542075.420000002</v>
      </c>
      <c r="BI382" s="186">
        <v>-93206191.469999999</v>
      </c>
      <c r="BJ382" s="186">
        <v>-92789472.849999994</v>
      </c>
      <c r="BK382" s="186">
        <v>-94318651.109999999</v>
      </c>
      <c r="BL382" s="186">
        <v>-94011638.200000003</v>
      </c>
      <c r="BM382" s="186">
        <v>-94142017.310000002</v>
      </c>
      <c r="BN382" s="186">
        <v>-94188024.530000001</v>
      </c>
      <c r="BO382" s="186">
        <v>-93897697.060000002</v>
      </c>
      <c r="BP382" s="186">
        <v>-93685511.939999998</v>
      </c>
      <c r="BQ382" s="186">
        <v>-93354010.079999998</v>
      </c>
      <c r="BR382" s="186">
        <v>-93161571.730000004</v>
      </c>
      <c r="BS382" s="186">
        <v>-93041303.659999996</v>
      </c>
      <c r="BT382" s="186">
        <v>-92990739.790000007</v>
      </c>
      <c r="BU382" s="186">
        <v>-91655976.379999995</v>
      </c>
      <c r="BV382" s="186">
        <v>-91566662.780000001</v>
      </c>
      <c r="BW382" s="186">
        <v>-91477349.370000005</v>
      </c>
      <c r="BX382" s="186">
        <v>-91671584.010000005</v>
      </c>
      <c r="BY382" s="186">
        <v>-91562047.939999998</v>
      </c>
      <c r="BZ382" s="186">
        <v>-91444205.599999994</v>
      </c>
      <c r="CA382" s="186">
        <v>-90961398.75</v>
      </c>
      <c r="CB382" s="186">
        <v>-90847115.120000005</v>
      </c>
      <c r="CC382" s="186">
        <v>-90706921.439999998</v>
      </c>
      <c r="CD382" s="186">
        <v>-90705746.079999998</v>
      </c>
      <c r="CE382" s="186">
        <v>-90748527.060000002</v>
      </c>
      <c r="CF382" s="186">
        <v>-90704629.430000007</v>
      </c>
      <c r="CG382" s="186">
        <v>-90810172.180000007</v>
      </c>
      <c r="CH382" s="186">
        <v>-93314999.75</v>
      </c>
      <c r="CI382" s="186">
        <v>-93359946.400000006</v>
      </c>
      <c r="CJ382" s="186">
        <v>-93574070.239999995</v>
      </c>
      <c r="CK382" s="186">
        <v>-93406172.519999996</v>
      </c>
      <c r="CL382" s="186">
        <v>-93380929.280000001</v>
      </c>
      <c r="CM382" s="186">
        <v>-93025661.650000006</v>
      </c>
      <c r="CN382" s="186">
        <v>-93121197.5</v>
      </c>
      <c r="CO382" s="186">
        <v>-93144970.900000006</v>
      </c>
      <c r="CP382" s="186">
        <v>-92987853.989999995</v>
      </c>
      <c r="CQ382" s="186">
        <v>-93010829.170000002</v>
      </c>
      <c r="CR382" s="186">
        <v>-93034141.939999998</v>
      </c>
      <c r="CS382" s="186">
        <v>-93513242.489999995</v>
      </c>
      <c r="CT382" s="186">
        <v>-93450676.090000004</v>
      </c>
      <c r="CU382" s="186">
        <v>-93967866.010000005</v>
      </c>
      <c r="CV382" s="186">
        <v>-89297674.010000005</v>
      </c>
    </row>
    <row r="383" spans="1:100">
      <c r="A383" t="s">
        <v>879</v>
      </c>
      <c r="D383" s="402">
        <v>-136018535.94999999</v>
      </c>
      <c r="E383" s="402">
        <v>-136651764.65000001</v>
      </c>
      <c r="F383" s="402">
        <v>-137041714.59999999</v>
      </c>
      <c r="G383" s="402">
        <v>-137415040.90000001</v>
      </c>
      <c r="H383" s="402">
        <v>-137784271.86000001</v>
      </c>
      <c r="I383" s="402">
        <v>-138160520.74000001</v>
      </c>
      <c r="J383" s="402">
        <v>-138455911.75</v>
      </c>
      <c r="K383" s="402">
        <v>-138799401.25999999</v>
      </c>
      <c r="L383" s="402">
        <v>-139181538.44999999</v>
      </c>
      <c r="M383" s="402">
        <v>-140886459.38999999</v>
      </c>
      <c r="N383" s="402">
        <v>-140856262.44</v>
      </c>
      <c r="O383" s="402">
        <v>-140300580.05000001</v>
      </c>
      <c r="P383" s="402">
        <v>-148714333.83000001</v>
      </c>
      <c r="Q383" s="186">
        <v>-149215290.75</v>
      </c>
      <c r="R383" s="186">
        <v>-149749811.52000001</v>
      </c>
      <c r="S383" s="186">
        <v>-150306975.47</v>
      </c>
      <c r="T383" s="186">
        <v>-150842782.56</v>
      </c>
      <c r="U383" s="186">
        <v>-151256946.91</v>
      </c>
      <c r="V383" s="186">
        <v>-151802163.63999999</v>
      </c>
      <c r="W383" s="186">
        <v>-151762132.27000001</v>
      </c>
      <c r="X383" s="186">
        <v>-152218180.72999999</v>
      </c>
      <c r="Y383" s="186">
        <v>-153941695.61000001</v>
      </c>
      <c r="Z383" s="186">
        <v>-154711002.78999999</v>
      </c>
      <c r="AA383" s="186">
        <v>-155339710.97</v>
      </c>
      <c r="AB383" s="186">
        <v>-165137719.28</v>
      </c>
      <c r="AC383" s="186">
        <v>-166786033.00999999</v>
      </c>
      <c r="AD383" s="186">
        <v>-168170876.63</v>
      </c>
      <c r="AE383" s="186">
        <v>-169565408.13</v>
      </c>
      <c r="AF383" s="186">
        <v>-171000958.52000001</v>
      </c>
      <c r="AG383" s="186">
        <v>-172465899.62</v>
      </c>
      <c r="AH383" s="186">
        <v>-173139223.94999999</v>
      </c>
      <c r="AI383" s="186">
        <v>-174468475.77000001</v>
      </c>
      <c r="AJ383" s="186">
        <v>-176306098.38999999</v>
      </c>
      <c r="AK383" s="186">
        <v>-176536329.72</v>
      </c>
      <c r="AL383" s="186">
        <v>-178235301.66999999</v>
      </c>
      <c r="AM383" s="186">
        <v>-180086682.59999999</v>
      </c>
      <c r="AN383" s="186">
        <v>-190658408.56999999</v>
      </c>
      <c r="AO383" s="186">
        <v>-192576154.97</v>
      </c>
      <c r="AP383" s="186">
        <v>-194443739.53</v>
      </c>
      <c r="AQ383" s="186">
        <v>-197498276.02000001</v>
      </c>
      <c r="AR383" s="186">
        <v>-199555695.28999999</v>
      </c>
      <c r="AS383" s="186">
        <v>-202634750.22</v>
      </c>
      <c r="AT383" s="186">
        <v>-205496671.06999999</v>
      </c>
      <c r="AU383" s="186">
        <v>-208194268.13</v>
      </c>
      <c r="AV383" s="186">
        <v>-210598967.33000001</v>
      </c>
      <c r="AW383" s="186">
        <v>-212917880.27000001</v>
      </c>
      <c r="AX383" s="186">
        <v>-215328123.28999999</v>
      </c>
      <c r="AY383" s="186">
        <v>-217933475.22</v>
      </c>
      <c r="AZ383" s="186">
        <v>-146511109.03</v>
      </c>
      <c r="BA383" s="186">
        <v>-147566871.25</v>
      </c>
      <c r="BB383" s="186">
        <v>-148672379.83000001</v>
      </c>
      <c r="BC383" s="186">
        <v>-149811271.61000001</v>
      </c>
      <c r="BD383" s="186">
        <v>-150770803.94</v>
      </c>
      <c r="BE383" s="186">
        <v>-151832510.27000001</v>
      </c>
      <c r="BF383" s="186">
        <v>-152794317.62</v>
      </c>
      <c r="BG383" s="186">
        <v>-153821848.46000001</v>
      </c>
      <c r="BH383" s="186">
        <v>-155557043.41</v>
      </c>
      <c r="BI383" s="186">
        <v>-156658442.15000001</v>
      </c>
      <c r="BJ383" s="186">
        <v>-157832325</v>
      </c>
      <c r="BK383" s="186">
        <v>-161624228.12</v>
      </c>
      <c r="BL383" s="186">
        <v>-160744713.66</v>
      </c>
      <c r="BM383" s="186">
        <v>-161676608.05000001</v>
      </c>
      <c r="BN383" s="186">
        <v>-163139348.56999999</v>
      </c>
      <c r="BO383" s="186">
        <v>-164273485.13999999</v>
      </c>
      <c r="BP383" s="186">
        <v>-165447604.44</v>
      </c>
      <c r="BQ383" s="186">
        <v>-166621617.36000001</v>
      </c>
      <c r="BR383" s="186">
        <v>-167841892.08000001</v>
      </c>
      <c r="BS383" s="186">
        <v>-169034357.5</v>
      </c>
      <c r="BT383" s="186">
        <v>-170237160.58000001</v>
      </c>
      <c r="BU383" s="186">
        <v>-171661157.38</v>
      </c>
      <c r="BV383" s="186">
        <v>-172596537.40000001</v>
      </c>
      <c r="BW383" s="186">
        <v>-173711137.56999999</v>
      </c>
      <c r="BX383" s="186">
        <v>-175176329.94999999</v>
      </c>
      <c r="BY383" s="186">
        <v>-175026625.91999999</v>
      </c>
      <c r="BZ383" s="186">
        <v>-177895863.88</v>
      </c>
      <c r="CA383" s="186">
        <v>-179555240.22</v>
      </c>
      <c r="CB383" s="186">
        <v>-180663500.91</v>
      </c>
      <c r="CC383" s="186">
        <v>-182118629.41</v>
      </c>
      <c r="CD383" s="186">
        <v>-183386529.47999999</v>
      </c>
      <c r="CE383" s="186">
        <v>-184824900.94</v>
      </c>
      <c r="CF383" s="186">
        <v>-185485378.16999999</v>
      </c>
      <c r="CG383" s="186">
        <v>-186978766.22999999</v>
      </c>
      <c r="CH383" s="186">
        <v>-187783726.11000001</v>
      </c>
      <c r="CI383" s="186">
        <v>-188924713.21000001</v>
      </c>
      <c r="CJ383" s="186">
        <v>-191023809.21000001</v>
      </c>
      <c r="CK383" s="186">
        <v>-192366785.94999999</v>
      </c>
      <c r="CL383" s="186">
        <v>-193960826.84</v>
      </c>
      <c r="CM383" s="186">
        <v>-195329965.63999999</v>
      </c>
      <c r="CN383" s="186">
        <v>-197096354.34</v>
      </c>
      <c r="CO383" s="186">
        <v>-198933272.94999999</v>
      </c>
      <c r="CP383" s="186">
        <v>-199103075.5</v>
      </c>
      <c r="CQ383" s="186">
        <v>-200702420.62</v>
      </c>
      <c r="CR383" s="186">
        <v>-201747420.58000001</v>
      </c>
      <c r="CS383" s="186">
        <v>-202405991.94</v>
      </c>
      <c r="CT383" s="186">
        <v>-203652797.56</v>
      </c>
      <c r="CU383" s="186">
        <v>-205976668.06999999</v>
      </c>
      <c r="CV383" s="186">
        <v>-208181973.11000001</v>
      </c>
    </row>
    <row r="384" spans="1:100">
      <c r="A384" t="s">
        <v>880</v>
      </c>
      <c r="D384" s="402">
        <v>-16016140.539999999</v>
      </c>
      <c r="E384" s="402">
        <v>-16678093.09</v>
      </c>
      <c r="F384" s="402">
        <v>-15362466.43</v>
      </c>
      <c r="G384" s="402">
        <v>-14851145.77</v>
      </c>
      <c r="H384" s="402">
        <v>-15487593.699999999</v>
      </c>
      <c r="I384" s="402">
        <v>-14183467.23</v>
      </c>
      <c r="J384" s="402">
        <v>-13862158.119999999</v>
      </c>
      <c r="K384" s="402">
        <v>-14723958.82</v>
      </c>
      <c r="L384" s="402">
        <v>-14003438.59</v>
      </c>
      <c r="M384" s="402">
        <v>-15228589.84</v>
      </c>
      <c r="N384" s="402">
        <v>-16088577.07</v>
      </c>
      <c r="O384" s="402">
        <v>-16955050.77</v>
      </c>
      <c r="P384" s="402">
        <v>-20743344.780000001</v>
      </c>
      <c r="Q384" s="186">
        <v>-20467737.579999998</v>
      </c>
      <c r="R384" s="186">
        <v>-20023718.620000001</v>
      </c>
      <c r="S384" s="186">
        <v>-19839312.390000001</v>
      </c>
      <c r="T384" s="186">
        <v>-19578082.43</v>
      </c>
      <c r="U384" s="186">
        <v>-19452551.329999998</v>
      </c>
      <c r="V384" s="186">
        <v>-18154311.649999999</v>
      </c>
      <c r="W384" s="186">
        <v>-18206607.43</v>
      </c>
      <c r="X384" s="186">
        <v>-18437175.579999998</v>
      </c>
      <c r="Y384" s="186">
        <v>-18266856.670000002</v>
      </c>
      <c r="Z384" s="186">
        <v>-19824191.609999999</v>
      </c>
      <c r="AA384" s="186">
        <v>-20664373.77</v>
      </c>
      <c r="AB384" s="186">
        <v>-24152825.280000001</v>
      </c>
      <c r="AC384" s="186">
        <v>-23167534.329999998</v>
      </c>
      <c r="AD384" s="186">
        <v>-21857698.309999999</v>
      </c>
      <c r="AE384" s="186">
        <v>-20924644.140000001</v>
      </c>
      <c r="AF384" s="186">
        <v>-20331094.66</v>
      </c>
      <c r="AG384" s="186">
        <v>-20241572.559999999</v>
      </c>
      <c r="AH384" s="186">
        <v>-19351148.609999999</v>
      </c>
      <c r="AI384" s="186">
        <v>-19315518.739999998</v>
      </c>
      <c r="AJ384" s="186">
        <v>-19236912.239999998</v>
      </c>
      <c r="AK384" s="186">
        <v>-22300343.59</v>
      </c>
      <c r="AL384" s="186">
        <v>-22360616.579999998</v>
      </c>
      <c r="AM384" s="186">
        <v>-22355891.449999999</v>
      </c>
      <c r="AN384" s="186">
        <v>-21161926.59</v>
      </c>
      <c r="AO384" s="186">
        <v>-20620416.379999999</v>
      </c>
      <c r="AP384" s="186">
        <v>-20507456.300000001</v>
      </c>
      <c r="AQ384" s="186">
        <v>-20413640.969999999</v>
      </c>
      <c r="AR384" s="186">
        <v>-20432843.289999999</v>
      </c>
      <c r="AS384" s="186">
        <v>-20297996.550000001</v>
      </c>
      <c r="AT384" s="186">
        <v>-20541592.899999999</v>
      </c>
      <c r="AU384" s="186">
        <v>-20554803.670000002</v>
      </c>
      <c r="AV384" s="186">
        <v>-20565576.579999998</v>
      </c>
      <c r="AW384" s="186">
        <v>-20341899.539999999</v>
      </c>
      <c r="AX384" s="186">
        <v>-21322856.960000001</v>
      </c>
      <c r="AY384" s="186">
        <v>-21760127.010000002</v>
      </c>
      <c r="AZ384" s="186">
        <v>348251.87</v>
      </c>
      <c r="BA384" s="186">
        <v>1017190.28</v>
      </c>
      <c r="BB384" s="186">
        <v>1401501.7</v>
      </c>
      <c r="BC384" s="186">
        <v>1862357.43</v>
      </c>
      <c r="BD384" s="186">
        <v>2154225.65</v>
      </c>
      <c r="BE384" s="186">
        <v>2366851.79</v>
      </c>
      <c r="BF384" s="186">
        <v>2708484.43</v>
      </c>
      <c r="BG384" s="186">
        <v>2909110.61</v>
      </c>
      <c r="BH384" s="186">
        <v>2963676.18</v>
      </c>
      <c r="BI384" s="186">
        <v>1556885.53</v>
      </c>
      <c r="BJ384" s="186">
        <v>1457849.79</v>
      </c>
      <c r="BK384" s="186">
        <v>2129335.42</v>
      </c>
      <c r="BL384" s="186">
        <v>-35587.949999999997</v>
      </c>
      <c r="BM384" s="186">
        <v>436968.28</v>
      </c>
      <c r="BN384" s="186">
        <v>733890.34</v>
      </c>
      <c r="BO384" s="186">
        <v>740433.61</v>
      </c>
      <c r="BP384" s="186">
        <v>755782.57</v>
      </c>
      <c r="BQ384" s="186">
        <v>758433.23</v>
      </c>
      <c r="BR384" s="186">
        <v>859416.56</v>
      </c>
      <c r="BS384" s="186">
        <v>858585.79</v>
      </c>
      <c r="BT384" s="186">
        <v>831583.04</v>
      </c>
      <c r="BU384" s="186">
        <v>581831.12</v>
      </c>
      <c r="BV384" s="186">
        <v>509381.51</v>
      </c>
      <c r="BW384" s="186">
        <v>501579.95</v>
      </c>
      <c r="BX384" s="186">
        <v>387992.55</v>
      </c>
      <c r="BY384" s="186">
        <v>342649.3</v>
      </c>
      <c r="BZ384" s="186">
        <v>324836.90000000002</v>
      </c>
      <c r="CA384" s="186">
        <v>606250.02</v>
      </c>
      <c r="CB384" s="186">
        <v>575891.44999999995</v>
      </c>
      <c r="CC384" s="186">
        <v>536458.66</v>
      </c>
      <c r="CD384" s="186">
        <v>621431.22</v>
      </c>
      <c r="CE384" s="186">
        <v>594787.87</v>
      </c>
      <c r="CF384" s="186">
        <v>150291.56</v>
      </c>
      <c r="CG384" s="186">
        <v>163695.34</v>
      </c>
      <c r="CH384" s="186">
        <v>1020338.65</v>
      </c>
      <c r="CI384" s="186">
        <v>999348.48</v>
      </c>
      <c r="CJ384" s="186">
        <v>-899868.87</v>
      </c>
      <c r="CK384" s="186">
        <v>-969779.28</v>
      </c>
      <c r="CL384" s="186">
        <v>-1054797.0900000001</v>
      </c>
      <c r="CM384" s="186">
        <v>-942066.45</v>
      </c>
      <c r="CN384" s="186">
        <v>-976197.79</v>
      </c>
      <c r="CO384" s="186">
        <v>-1036258.57</v>
      </c>
      <c r="CP384" s="186">
        <v>-974247.47</v>
      </c>
      <c r="CQ384" s="186">
        <v>-1169066.31</v>
      </c>
      <c r="CR384" s="186">
        <v>-1205227</v>
      </c>
      <c r="CS384" s="186">
        <v>-706411.27</v>
      </c>
      <c r="CT384" s="186">
        <v>-1994020.58</v>
      </c>
      <c r="CU384" s="186">
        <v>-3742579.62</v>
      </c>
      <c r="CV384" s="186">
        <v>-3015893.05</v>
      </c>
    </row>
    <row r="385" spans="1:100" ht="15">
      <c r="R385" s="393"/>
      <c r="BY385" s="186"/>
      <c r="BZ385" s="186"/>
      <c r="CA385" s="186"/>
      <c r="CB385" s="186"/>
      <c r="CC385" s="186"/>
      <c r="CD385" s="186"/>
      <c r="CE385" s="186"/>
      <c r="CF385" s="186"/>
      <c r="CG385" s="186"/>
      <c r="CH385" s="186"/>
      <c r="CI385" s="186"/>
      <c r="CJ385" s="186"/>
      <c r="CK385" s="186"/>
      <c r="CL385" s="186"/>
      <c r="CM385" s="186"/>
      <c r="CN385" s="186"/>
      <c r="CO385" s="186"/>
      <c r="CP385" s="186"/>
      <c r="CQ385" s="186"/>
      <c r="CR385" s="186"/>
      <c r="CS385" s="186"/>
      <c r="CT385" s="186"/>
      <c r="CU385" s="186"/>
      <c r="CV385" s="186"/>
    </row>
    <row r="386" spans="1:100" ht="15">
      <c r="P386" s="474">
        <f>+P362+P363+P364</f>
        <v>-325074012.11000001</v>
      </c>
      <c r="R386" s="393"/>
      <c r="AB386" s="474">
        <v>-348546295.35000002</v>
      </c>
      <c r="AC386" s="474">
        <v>-353843675.64000005</v>
      </c>
      <c r="AD386" s="474">
        <v>-353463281.07000005</v>
      </c>
      <c r="AE386" s="474">
        <v>-355836446.54000002</v>
      </c>
      <c r="AF386" s="474">
        <f>+AF362+AF363+AF364</f>
        <v>-358782461</v>
      </c>
      <c r="AG386" s="474">
        <f>+AG362+AG363+AG364</f>
        <v>-347857021.10000002</v>
      </c>
      <c r="AH386" s="474">
        <f>+AH362+AH363+AH364</f>
        <v>-341087092.20000005</v>
      </c>
      <c r="AI386" s="474">
        <f>+AI362+AI363+AI364</f>
        <v>-343703189.85000002</v>
      </c>
      <c r="AJ386" s="474">
        <f t="shared" ref="AJ386:AW386" si="26">+AJ362+AJ363+AJ364</f>
        <v>-345723065.63</v>
      </c>
      <c r="AK386" s="474">
        <f t="shared" si="26"/>
        <v>-347682041.71000004</v>
      </c>
      <c r="AL386" s="474">
        <f t="shared" si="26"/>
        <v>-350626022.57000005</v>
      </c>
      <c r="AM386" s="474">
        <f t="shared" si="26"/>
        <v>-347772076.19000006</v>
      </c>
      <c r="AN386" s="474">
        <f t="shared" si="26"/>
        <v>-349825325.24000001</v>
      </c>
      <c r="AO386" s="474">
        <f t="shared" si="26"/>
        <v>-355190154.12</v>
      </c>
      <c r="AP386" s="474">
        <f t="shared" si="26"/>
        <v>-358054052.63</v>
      </c>
      <c r="AQ386" s="474">
        <f t="shared" si="26"/>
        <v>-362590844.06000006</v>
      </c>
      <c r="AR386" s="474">
        <f t="shared" si="26"/>
        <v>-366421812.09000003</v>
      </c>
      <c r="AS386" s="474">
        <f t="shared" si="26"/>
        <v>-374850895.80000001</v>
      </c>
      <c r="AT386" s="474">
        <f t="shared" si="26"/>
        <v>-376932514.87</v>
      </c>
      <c r="AU386" s="474">
        <f t="shared" si="26"/>
        <v>-379691398.63</v>
      </c>
      <c r="AV386" s="474">
        <f t="shared" si="26"/>
        <v>-380102174.06999999</v>
      </c>
      <c r="AW386" s="474">
        <f t="shared" si="26"/>
        <v>-382810092.5</v>
      </c>
      <c r="AX386" s="474">
        <f t="shared" ref="AX386:BC386" si="27">+AX362+AX363+AX364</f>
        <v>-385440242.40999997</v>
      </c>
      <c r="AY386" s="474">
        <f t="shared" si="27"/>
        <v>-388546162.23000002</v>
      </c>
      <c r="AZ386" s="474">
        <f t="shared" si="27"/>
        <v>-394130281.30000001</v>
      </c>
      <c r="BA386" s="474">
        <f t="shared" si="27"/>
        <v>-403432387.59000003</v>
      </c>
      <c r="BB386" s="474">
        <f t="shared" si="27"/>
        <v>-403570338.27999997</v>
      </c>
      <c r="BC386" s="474">
        <f t="shared" si="27"/>
        <v>-405220907</v>
      </c>
      <c r="BD386" s="474">
        <f t="shared" ref="BD386:BI386" si="28">+BD362+BD363+BD364</f>
        <v>-410525808.63999999</v>
      </c>
      <c r="BE386" s="474">
        <f t="shared" si="28"/>
        <v>-412757829.34000003</v>
      </c>
      <c r="BF386" s="474">
        <f t="shared" si="28"/>
        <v>-415854204.33999997</v>
      </c>
      <c r="BG386" s="474">
        <f t="shared" si="28"/>
        <v>-418959474.53999996</v>
      </c>
      <c r="BH386" s="474">
        <f t="shared" si="28"/>
        <v>-420402137.18000001</v>
      </c>
      <c r="BI386" s="474">
        <f t="shared" si="28"/>
        <v>-424100087.69</v>
      </c>
      <c r="BJ386" s="474">
        <v>-426903360.92000002</v>
      </c>
      <c r="BK386" s="474">
        <v>-431089900.25</v>
      </c>
      <c r="BL386" s="474">
        <v>-436583256.00999999</v>
      </c>
      <c r="BM386" s="474">
        <f>+BM362+BM363+BM364</f>
        <v>-443201201.89999998</v>
      </c>
      <c r="BN386" s="474">
        <f>+BN362+BN363+BN364</f>
        <v>-472249371.39999998</v>
      </c>
      <c r="BO386" s="474">
        <f>+BO362+BO363+BO364</f>
        <v>-477745421.70999998</v>
      </c>
      <c r="BP386" s="474">
        <v>-482972351.89999998</v>
      </c>
      <c r="BQ386" s="474">
        <v>-504574854.97000003</v>
      </c>
      <c r="BR386" s="474">
        <v>-508340028.33999997</v>
      </c>
      <c r="BS386" s="474">
        <f t="shared" ref="BS386:BX386" si="29">+BS362+BS363+BS364</f>
        <v>-511398843.72000003</v>
      </c>
      <c r="BT386" s="474">
        <f t="shared" si="29"/>
        <v>-501665462.88</v>
      </c>
      <c r="BU386" s="474">
        <f t="shared" si="29"/>
        <v>-530349322.50999999</v>
      </c>
      <c r="BV386" s="474">
        <f t="shared" si="29"/>
        <v>-533774931.60000002</v>
      </c>
      <c r="BW386" s="474">
        <f t="shared" si="29"/>
        <v>-527592012.31</v>
      </c>
      <c r="BX386" s="474">
        <f t="shared" si="29"/>
        <v>-531653416</v>
      </c>
      <c r="BY386" s="474">
        <f t="shared" ref="BY386:CD386" si="30">+BY362+BY363+BY364</f>
        <v>-539329033.62</v>
      </c>
      <c r="BZ386" s="474">
        <f t="shared" si="30"/>
        <v>-573380849.53999996</v>
      </c>
      <c r="CA386" s="474">
        <f t="shared" si="30"/>
        <v>-578225632.72000003</v>
      </c>
      <c r="CB386" s="474">
        <f t="shared" si="30"/>
        <v>-581936361</v>
      </c>
      <c r="CC386" s="474">
        <f t="shared" si="30"/>
        <v>-597083839.84000003</v>
      </c>
      <c r="CD386" s="474">
        <f t="shared" si="30"/>
        <v>-600293632.98000002</v>
      </c>
      <c r="CE386" s="474">
        <f t="shared" ref="CE386:CJ386" si="31">+CE362+CE363+CE364</f>
        <v>-603389766.39999998</v>
      </c>
      <c r="CF386" s="474">
        <f t="shared" si="31"/>
        <v>-641618721.25</v>
      </c>
      <c r="CG386" s="474">
        <f t="shared" si="31"/>
        <v>-645034078.89999998</v>
      </c>
      <c r="CH386" s="474">
        <f t="shared" si="31"/>
        <v>-647980956.20000005</v>
      </c>
      <c r="CI386" s="474">
        <f t="shared" si="31"/>
        <v>-657801539.28000009</v>
      </c>
      <c r="CJ386" s="474">
        <f t="shared" si="31"/>
        <v>-662421104.25999999</v>
      </c>
      <c r="CK386" s="474">
        <f>+CK362+CK363+CK364</f>
        <v>-673816591.59000003</v>
      </c>
      <c r="CL386" s="474">
        <f>+CL362+CL363+CL364</f>
        <v>-709169890.69000006</v>
      </c>
      <c r="CM386" s="474">
        <f>+CM362+CM363+CM364</f>
        <v>-716860691.16000009</v>
      </c>
      <c r="CN386" s="474">
        <v>-697458498.2700001</v>
      </c>
      <c r="CO386" s="474">
        <v>-722981920.41000009</v>
      </c>
      <c r="CP386" s="474">
        <v>-728424538.59000003</v>
      </c>
      <c r="CQ386" s="474">
        <v>-732859141.05000007</v>
      </c>
      <c r="CR386" s="474">
        <v>-753966894.48000002</v>
      </c>
      <c r="CS386" s="474">
        <v>-759522822.35000002</v>
      </c>
      <c r="CT386" s="474">
        <f>+CT362+CT363+CT364</f>
        <v>-764628509.5</v>
      </c>
      <c r="CU386" s="474">
        <f>+CU362+CU363+CU364</f>
        <v>-780671338.2700001</v>
      </c>
      <c r="CV386" s="474">
        <f>+CV362+CV363+CV364</f>
        <v>-786533938.06000006</v>
      </c>
    </row>
    <row r="387" spans="1:100" ht="15">
      <c r="P387" s="476">
        <f>+P366+P367</f>
        <v>-241354349.40000001</v>
      </c>
      <c r="R387" s="393"/>
      <c r="AB387" s="476">
        <v>-261337087.22999999</v>
      </c>
      <c r="AC387" s="476">
        <v>-261338791.66999999</v>
      </c>
      <c r="AD387" s="476">
        <v>-261340496.11000001</v>
      </c>
      <c r="AE387" s="476">
        <v>-261342200.55000001</v>
      </c>
      <c r="AF387" s="476">
        <f>+AF366+AF367</f>
        <v>-261343904.99000001</v>
      </c>
      <c r="AG387" s="476">
        <f>+AG366+AG367</f>
        <v>-261345609.43000001</v>
      </c>
      <c r="AH387" s="476">
        <f>+AH366+AH367</f>
        <v>-261347313.87</v>
      </c>
      <c r="AI387" s="476">
        <f>+AI366+AI367</f>
        <v>-261349018.31</v>
      </c>
      <c r="AJ387" s="476">
        <f t="shared" ref="AJ387:AW387" si="32">+AJ366+AJ367</f>
        <v>-261350722.75</v>
      </c>
      <c r="AK387" s="476">
        <f t="shared" si="32"/>
        <v>-261352427.19</v>
      </c>
      <c r="AL387" s="476">
        <f t="shared" si="32"/>
        <v>-261354131.63</v>
      </c>
      <c r="AM387" s="476">
        <f t="shared" si="32"/>
        <v>-261355836.06999999</v>
      </c>
      <c r="AN387" s="476">
        <f t="shared" si="32"/>
        <v>-261357540.50999999</v>
      </c>
      <c r="AO387" s="476">
        <f t="shared" si="32"/>
        <v>-261359244.94999999</v>
      </c>
      <c r="AP387" s="476">
        <f t="shared" si="32"/>
        <v>-261360949.38999999</v>
      </c>
      <c r="AQ387" s="476">
        <f t="shared" si="32"/>
        <v>-261362653.83000001</v>
      </c>
      <c r="AR387" s="476">
        <f t="shared" si="32"/>
        <v>-261364358.27000001</v>
      </c>
      <c r="AS387" s="476">
        <f t="shared" si="32"/>
        <v>-261366062.71000001</v>
      </c>
      <c r="AT387" s="476">
        <f t="shared" si="32"/>
        <v>-261367767.15000001</v>
      </c>
      <c r="AU387" s="476">
        <f t="shared" si="32"/>
        <v>-261369471.59</v>
      </c>
      <c r="AV387" s="476">
        <f t="shared" si="32"/>
        <v>-261371176.03</v>
      </c>
      <c r="AW387" s="476">
        <f t="shared" si="32"/>
        <v>-261372880.47</v>
      </c>
      <c r="AX387" s="476">
        <f t="shared" ref="AX387:BC387" si="33">+AX366+AX367</f>
        <v>-261374584.91</v>
      </c>
      <c r="AY387" s="476">
        <f t="shared" si="33"/>
        <v>-261376289.34999999</v>
      </c>
      <c r="AZ387" s="476">
        <f t="shared" si="33"/>
        <v>-261377993.78999999</v>
      </c>
      <c r="BA387" s="476">
        <f t="shared" si="33"/>
        <v>-261379698.22999999</v>
      </c>
      <c r="BB387" s="476">
        <f t="shared" si="33"/>
        <v>-261381402.66999999</v>
      </c>
      <c r="BC387" s="476">
        <f t="shared" si="33"/>
        <v>-261383107.11000001</v>
      </c>
      <c r="BD387" s="476">
        <f t="shared" ref="BD387:BI387" si="34">+BD366+BD367</f>
        <v>-261384811.55000001</v>
      </c>
      <c r="BE387" s="476">
        <f t="shared" si="34"/>
        <v>-211386515.99000001</v>
      </c>
      <c r="BF387" s="476">
        <f t="shared" si="34"/>
        <v>-286193377.49000001</v>
      </c>
      <c r="BG387" s="476">
        <f t="shared" si="34"/>
        <v>-285990157.00999999</v>
      </c>
      <c r="BH387" s="476">
        <f t="shared" si="34"/>
        <v>-285992978.12</v>
      </c>
      <c r="BI387" s="476">
        <f t="shared" si="34"/>
        <v>-285995799.23000002</v>
      </c>
      <c r="BJ387" s="476">
        <v>-310871216.29000002</v>
      </c>
      <c r="BK387" s="476">
        <v>-310874384.55000001</v>
      </c>
      <c r="BL387" s="476">
        <v>-310877552.81</v>
      </c>
      <c r="BM387" s="476">
        <f>+BM366+BM367</f>
        <v>-310880721.06999999</v>
      </c>
      <c r="BN387" s="476">
        <f>+BN366+BN367</f>
        <v>-310883889.32999998</v>
      </c>
      <c r="BO387" s="476">
        <f>+BO366+BO367</f>
        <v>-310887057.58999997</v>
      </c>
      <c r="BP387" s="476">
        <v>-310890225.85000002</v>
      </c>
      <c r="BQ387" s="476">
        <v>-310893394.11000001</v>
      </c>
      <c r="BR387" s="476">
        <v>-310896562.37</v>
      </c>
      <c r="BS387" s="476">
        <f t="shared" ref="BS387:BX387" si="35">+BS366+BS367</f>
        <v>-335593230.63</v>
      </c>
      <c r="BT387" s="476">
        <f t="shared" si="35"/>
        <v>-335597223.38999999</v>
      </c>
      <c r="BU387" s="476">
        <f t="shared" si="35"/>
        <v>-335601217.80000001</v>
      </c>
      <c r="BV387" s="476">
        <f t="shared" si="35"/>
        <v>-335605212.20999998</v>
      </c>
      <c r="BW387" s="476">
        <f t="shared" si="35"/>
        <v>-335609206.62</v>
      </c>
      <c r="BX387" s="476">
        <f t="shared" si="35"/>
        <v>-335613201.02999997</v>
      </c>
      <c r="BY387" s="476">
        <f t="shared" ref="BY387:CD387" si="36">+BY366+BY367</f>
        <v>-335617195.44</v>
      </c>
      <c r="BZ387" s="476">
        <f t="shared" si="36"/>
        <v>-335621189.85000002</v>
      </c>
      <c r="CA387" s="476">
        <f t="shared" si="36"/>
        <v>-335625184.25999999</v>
      </c>
      <c r="CB387" s="476">
        <f t="shared" si="36"/>
        <v>-335629178.67000002</v>
      </c>
      <c r="CC387" s="476">
        <f t="shared" si="36"/>
        <v>-335633173.07999998</v>
      </c>
      <c r="CD387" s="476">
        <f t="shared" si="36"/>
        <v>-335637167.49000001</v>
      </c>
      <c r="CE387" s="476">
        <f t="shared" ref="CE387:CJ387" si="37">+CE366+CE367</f>
        <v>-335641161.89999998</v>
      </c>
      <c r="CF387" s="476">
        <f t="shared" si="37"/>
        <v>-335645156.31</v>
      </c>
      <c r="CG387" s="476">
        <f t="shared" si="37"/>
        <v>-335649150.72000003</v>
      </c>
      <c r="CH387" s="476">
        <f t="shared" si="37"/>
        <v>-335653145.13</v>
      </c>
      <c r="CI387" s="476">
        <f t="shared" si="37"/>
        <v>-335657139.54000002</v>
      </c>
      <c r="CJ387" s="476">
        <f t="shared" si="37"/>
        <v>-335661133.94999999</v>
      </c>
      <c r="CK387" s="476">
        <f>+CK366+CK367</f>
        <v>-335665128.36000001</v>
      </c>
      <c r="CL387" s="476">
        <f>+CL366+CL367</f>
        <v>-335669122.76999998</v>
      </c>
      <c r="CM387" s="476">
        <f>+CM366+CM367</f>
        <v>-565045603.71000004</v>
      </c>
      <c r="CN387" s="476">
        <v>-565053256.14999998</v>
      </c>
      <c r="CO387" s="476">
        <v>-518296407.08999997</v>
      </c>
      <c r="CP387" s="476">
        <v>-518304238.02999997</v>
      </c>
      <c r="CQ387" s="476">
        <v>-518312068.97000003</v>
      </c>
      <c r="CR387" s="476">
        <v>-518319899.91000003</v>
      </c>
      <c r="CS387" s="476">
        <v>-518327730.85000002</v>
      </c>
      <c r="CT387" s="476">
        <f>+CT366+CT367</f>
        <v>-518335561.79000002</v>
      </c>
      <c r="CU387" s="476">
        <f>+CU366+CU367</f>
        <v>-518343392.73000002</v>
      </c>
      <c r="CV387" s="476">
        <f>+CV366+CV367</f>
        <v>-518351223.67000002</v>
      </c>
    </row>
    <row r="388" spans="1:100" ht="15">
      <c r="R388" s="393"/>
    </row>
    <row r="389" spans="1:100" ht="15">
      <c r="R389" s="393"/>
      <c r="AB389" s="430">
        <f>SUM(AB362:AB384)+SUM(AB329:AB361)</f>
        <v>0</v>
      </c>
      <c r="AC389" s="430">
        <v>0</v>
      </c>
      <c r="AD389" s="430">
        <v>0</v>
      </c>
      <c r="AE389" s="430">
        <v>0</v>
      </c>
      <c r="AF389" s="430">
        <f>SUM(AF362:AF384)+SUM(AF329:AF361)</f>
        <v>0</v>
      </c>
      <c r="AG389" s="430">
        <f>SUM(AG362:AG384)+SUM(AG329:AG361)</f>
        <v>0</v>
      </c>
      <c r="AH389" s="430">
        <f>SUM(AH362:AH384)+SUM(AH329:AH361)</f>
        <v>0</v>
      </c>
      <c r="AI389" s="430">
        <f>SUM(AI329:AI384)</f>
        <v>-4.8428773880004883E-8</v>
      </c>
      <c r="AJ389" s="430">
        <f t="shared" ref="AJ389:AW389" si="38">SUM(AJ329:AJ384)</f>
        <v>7.0780515670776367E-8</v>
      </c>
      <c r="AK389" s="430">
        <f t="shared" si="38"/>
        <v>-1.1548399925231934E-7</v>
      </c>
      <c r="AL389" s="430">
        <f t="shared" si="38"/>
        <v>-1.9371509552001953E-7</v>
      </c>
      <c r="AM389" s="430">
        <f t="shared" si="38"/>
        <v>-1.0058283805847168E-7</v>
      </c>
      <c r="AN389" s="430">
        <f t="shared" si="38"/>
        <v>-3.8370490074157715E-7</v>
      </c>
      <c r="AO389" s="430">
        <f t="shared" si="38"/>
        <v>-6.3329935073852539E-8</v>
      </c>
      <c r="AP389" s="430">
        <f t="shared" si="38"/>
        <v>-4.8428773880004883E-8</v>
      </c>
      <c r="AQ389" s="430">
        <f t="shared" si="38"/>
        <v>0</v>
      </c>
      <c r="AR389" s="430">
        <f t="shared" si="38"/>
        <v>-9.6857547760009766E-8</v>
      </c>
      <c r="AS389" s="430">
        <f t="shared" si="38"/>
        <v>-7.8231096267700195E-8</v>
      </c>
      <c r="AT389" s="430">
        <f t="shared" si="38"/>
        <v>6.7055225372314453E-8</v>
      </c>
      <c r="AU389" s="430">
        <f t="shared" si="38"/>
        <v>-3.1292438507080078E-7</v>
      </c>
      <c r="AV389" s="430">
        <f t="shared" si="38"/>
        <v>-1.9371509552001953E-7</v>
      </c>
      <c r="AW389" s="430">
        <f t="shared" si="38"/>
        <v>-6.7055225372314453E-8</v>
      </c>
      <c r="AX389" s="430">
        <f t="shared" ref="AX389:BC389" si="39">SUM(AX329:AX384)</f>
        <v>1.2665987014770508E-7</v>
      </c>
      <c r="AY389" s="430">
        <f t="shared" si="39"/>
        <v>0</v>
      </c>
      <c r="AZ389" s="430">
        <f t="shared" si="39"/>
        <v>-2.7299392968416214E-7</v>
      </c>
      <c r="BA389" s="430">
        <f>SUM(BA329:BA384)</f>
        <v>-9.0571120381355286E-8</v>
      </c>
      <c r="BB389" s="430">
        <f t="shared" si="39"/>
        <v>-0.99999998812563717</v>
      </c>
      <c r="BC389" s="430">
        <f t="shared" si="39"/>
        <v>-6.6822394728660583E-8</v>
      </c>
      <c r="BD389" s="430">
        <f t="shared" ref="BD389:BI389" si="40">SUM(BD329:BD384)</f>
        <v>-9.5460563898086548E-8</v>
      </c>
      <c r="BE389" s="430">
        <f t="shared" si="40"/>
        <v>-5.1222741603851318E-8</v>
      </c>
      <c r="BF389" s="430">
        <f t="shared" si="40"/>
        <v>0.99999975459650159</v>
      </c>
      <c r="BG389" s="430">
        <f t="shared" si="40"/>
        <v>1.0477378964424133E-7</v>
      </c>
      <c r="BH389" s="430">
        <f t="shared" si="40"/>
        <v>-3.6787241697311401E-8</v>
      </c>
      <c r="BI389" s="430">
        <f t="shared" si="40"/>
        <v>3.564637154340744E-7</v>
      </c>
      <c r="BJ389" s="430">
        <f t="shared" ref="BJ389:BO389" si="41">SUM(BJ329:BJ384)</f>
        <v>-2.1420419216156006E-8</v>
      </c>
      <c r="BK389" s="430">
        <f t="shared" si="41"/>
        <v>4.2840838432312012E-8</v>
      </c>
      <c r="BL389" s="430">
        <f t="shared" si="41"/>
        <v>-3.9934820961207151E-7</v>
      </c>
      <c r="BM389" s="430">
        <f t="shared" si="41"/>
        <v>-2.0978040993213654E-7</v>
      </c>
      <c r="BN389" s="430">
        <f t="shared" si="41"/>
        <v>-3.3411197364330292E-8</v>
      </c>
      <c r="BO389" s="430">
        <f t="shared" si="41"/>
        <v>6.4133200794458389E-7</v>
      </c>
      <c r="BP389" s="430">
        <f t="shared" ref="BP389:BU389" si="42">SUM(BP329:BP384)</f>
        <v>-8.2305632531642914E-8</v>
      </c>
      <c r="BQ389" s="430">
        <f t="shared" si="42"/>
        <v>2.1932646632194519E-7</v>
      </c>
      <c r="BR389" s="430">
        <f t="shared" si="42"/>
        <v>-2.7054920792579651E-7</v>
      </c>
      <c r="BS389" s="430">
        <f t="shared" si="42"/>
        <v>-2.1420419216156006E-8</v>
      </c>
      <c r="BT389" s="430">
        <f t="shared" si="42"/>
        <v>1.2759119272232056E-7</v>
      </c>
      <c r="BU389" s="430">
        <f t="shared" si="42"/>
        <v>1.4423858374357224E-7</v>
      </c>
      <c r="BV389" s="430">
        <f t="shared" ref="BV389:CA389" si="43">SUM(BV329:BV384)</f>
        <v>-1.0000001990702003</v>
      </c>
      <c r="BW389" s="430">
        <f t="shared" si="43"/>
        <v>-0.99999986885813996</v>
      </c>
      <c r="BX389" s="430">
        <f t="shared" si="43"/>
        <v>-1.1932570487260818E-8</v>
      </c>
      <c r="BY389" s="430">
        <f t="shared" si="43"/>
        <v>-3.0995579436421394E-7</v>
      </c>
      <c r="BZ389" s="430">
        <f t="shared" si="43"/>
        <v>-4.8277433961629868E-7</v>
      </c>
      <c r="CA389" s="430">
        <f t="shared" si="43"/>
        <v>-1.0710209608078003E-8</v>
      </c>
      <c r="CB389" s="430">
        <f t="shared" ref="CB389:CG389" si="44">SUM(CB329:CB384)</f>
        <v>-7.7532604336738586E-8</v>
      </c>
      <c r="CC389" s="430">
        <f t="shared" si="44"/>
        <v>3.016320988535881E-7</v>
      </c>
      <c r="CD389" s="430">
        <f t="shared" si="44"/>
        <v>1.203734427690506E-7</v>
      </c>
      <c r="CE389" s="430">
        <f t="shared" si="44"/>
        <v>-2.4319160729646683E-7</v>
      </c>
      <c r="CF389" s="430">
        <f t="shared" si="44"/>
        <v>-8.070492185652256E-7</v>
      </c>
      <c r="CG389" s="430">
        <f t="shared" si="44"/>
        <v>3.540480975061655E-7</v>
      </c>
      <c r="CH389" s="430">
        <f t="shared" ref="CH389:CM389" si="45">SUM(CH329:CH384)</f>
        <v>-3.9336737245321274E-7</v>
      </c>
      <c r="CI389" s="430">
        <f t="shared" si="45"/>
        <v>-1.3830140233039856E-7</v>
      </c>
      <c r="CJ389" s="430">
        <f t="shared" si="45"/>
        <v>-6.8068038672208786E-7</v>
      </c>
      <c r="CK389" s="430">
        <f t="shared" si="45"/>
        <v>-2.8638169169425964E-8</v>
      </c>
      <c r="CL389" s="430">
        <f t="shared" si="45"/>
        <v>-1.4551915228366852E-7</v>
      </c>
      <c r="CM389" s="430">
        <f t="shared" si="45"/>
        <v>3.1595118343830109E-7</v>
      </c>
      <c r="CN389" s="430">
        <f t="shared" ref="CN389:CS389" si="46">SUM(CN329:CN384)</f>
        <v>6.4726918935775757E-7</v>
      </c>
      <c r="CO389" s="430">
        <f t="shared" si="46"/>
        <v>-3.6903657019138336E-8</v>
      </c>
      <c r="CP389" s="430">
        <f t="shared" si="46"/>
        <v>-1.5017576515674591E-7</v>
      </c>
      <c r="CQ389" s="430">
        <f t="shared" si="46"/>
        <v>-5.7276338338851929E-8</v>
      </c>
      <c r="CR389" s="430">
        <f t="shared" si="46"/>
        <v>8.9406967163085938E-8</v>
      </c>
      <c r="CS389" s="430">
        <f t="shared" si="46"/>
        <v>-3.1711533665657043E-7</v>
      </c>
      <c r="CT389" s="430">
        <f>SUM(CT329:CT384)</f>
        <v>-1.0617077350616455E-7</v>
      </c>
      <c r="CU389" s="430">
        <f>SUM(CU329:CU384)</f>
        <v>4.2188912630081177E-7</v>
      </c>
      <c r="CV389" s="430">
        <f>SUM(CV329:CV384)</f>
        <v>-2.859160304069519E-7</v>
      </c>
    </row>
    <row r="391" spans="1:100">
      <c r="AC391" s="430">
        <v>0</v>
      </c>
      <c r="AD391" s="430">
        <v>0</v>
      </c>
      <c r="AE391" s="430">
        <v>0</v>
      </c>
      <c r="AF391" s="430">
        <f t="shared" ref="AF391:BW391" si="47">SUM(AF362:AF384)-SUM(AF169:AF324)</f>
        <v>0</v>
      </c>
      <c r="AG391" s="430">
        <f t="shared" si="47"/>
        <v>0</v>
      </c>
      <c r="AH391" s="430">
        <f t="shared" si="47"/>
        <v>199682.99999964237</v>
      </c>
      <c r="AI391" s="430">
        <f t="shared" si="47"/>
        <v>266805</v>
      </c>
      <c r="AJ391" s="430">
        <f t="shared" si="47"/>
        <v>334211.00000011921</v>
      </c>
      <c r="AK391" s="430">
        <f t="shared" si="47"/>
        <v>401903.99999988079</v>
      </c>
      <c r="AL391" s="430">
        <f t="shared" si="47"/>
        <v>469886</v>
      </c>
      <c r="AM391" s="430">
        <f t="shared" si="47"/>
        <v>584615.99999952316</v>
      </c>
      <c r="AN391" s="430">
        <f t="shared" si="47"/>
        <v>676558.00000035763</v>
      </c>
      <c r="AO391" s="430">
        <f t="shared" si="47"/>
        <v>768482.99999940395</v>
      </c>
      <c r="AP391" s="430">
        <f t="shared" si="47"/>
        <v>860803.99999976158</v>
      </c>
      <c r="AQ391" s="430">
        <f t="shared" si="47"/>
        <v>953522.99999976158</v>
      </c>
      <c r="AR391" s="430">
        <f t="shared" si="47"/>
        <v>989835</v>
      </c>
      <c r="AS391" s="430">
        <f t="shared" si="47"/>
        <v>1026083.0000001192</v>
      </c>
      <c r="AT391" s="430">
        <f t="shared" si="47"/>
        <v>1062266</v>
      </c>
      <c r="AU391" s="430">
        <f t="shared" si="47"/>
        <v>1098383.0000004768</v>
      </c>
      <c r="AV391" s="430">
        <f t="shared" si="47"/>
        <v>1134433.0000002384</v>
      </c>
      <c r="AW391" s="430">
        <f t="shared" si="47"/>
        <v>1170415.9999997616</v>
      </c>
      <c r="AX391" s="430">
        <f t="shared" si="47"/>
        <v>1186464.9999997616</v>
      </c>
      <c r="AY391" s="430">
        <f t="shared" si="47"/>
        <v>1202280.9999995232</v>
      </c>
      <c r="AZ391" s="430">
        <f t="shared" si="47"/>
        <v>1217863.9999997616</v>
      </c>
      <c r="BA391" s="430">
        <f t="shared" si="47"/>
        <v>1232547.9999995232</v>
      </c>
      <c r="BB391" s="430">
        <f t="shared" si="47"/>
        <v>1246988.0000004768</v>
      </c>
      <c r="BC391" s="430">
        <f t="shared" si="47"/>
        <v>1261182</v>
      </c>
      <c r="BD391" s="430">
        <f t="shared" si="47"/>
        <v>1275128.9999997616</v>
      </c>
      <c r="BE391" s="430">
        <f t="shared" si="47"/>
        <v>1288826.0000002384</v>
      </c>
      <c r="BF391" s="430">
        <f t="shared" si="47"/>
        <v>1302271.9999997616</v>
      </c>
      <c r="BG391" s="430">
        <f t="shared" si="47"/>
        <v>1315463.9999997616</v>
      </c>
      <c r="BH391" s="430">
        <f t="shared" si="47"/>
        <v>1328400.9999995232</v>
      </c>
      <c r="BI391" s="430">
        <f t="shared" si="47"/>
        <v>1341079.9999992847</v>
      </c>
      <c r="BJ391" s="430">
        <f t="shared" si="47"/>
        <v>1353498.9999995232</v>
      </c>
      <c r="BK391" s="430">
        <f t="shared" si="47"/>
        <v>1365655.9999995232</v>
      </c>
      <c r="BL391" s="430">
        <f t="shared" si="47"/>
        <v>1377548.9999997616</v>
      </c>
      <c r="BM391" s="430">
        <f t="shared" si="47"/>
        <v>1388511</v>
      </c>
      <c r="BN391" s="430">
        <f t="shared" si="47"/>
        <v>1399198.9999997616</v>
      </c>
      <c r="BO391" s="430">
        <f t="shared" si="47"/>
        <v>1409611</v>
      </c>
      <c r="BP391" s="430">
        <f t="shared" si="47"/>
        <v>1419743.9999997616</v>
      </c>
      <c r="BQ391" s="430">
        <f t="shared" si="47"/>
        <v>1429595.9999995232</v>
      </c>
      <c r="BR391" s="430">
        <f t="shared" si="47"/>
        <v>1439164</v>
      </c>
      <c r="BS391" s="430">
        <f t="shared" si="47"/>
        <v>1448446.9999997616</v>
      </c>
      <c r="BT391" s="430">
        <f t="shared" si="47"/>
        <v>1457441.9999997616</v>
      </c>
      <c r="BU391" s="430">
        <f t="shared" si="47"/>
        <v>1466145.9999992847</v>
      </c>
      <c r="BV391" s="430">
        <f t="shared" si="47"/>
        <v>1474556</v>
      </c>
      <c r="BW391" s="430">
        <f t="shared" si="47"/>
        <v>1482670.9999992847</v>
      </c>
      <c r="BX391" s="430">
        <f t="shared" ref="BX391:CC391" si="48">SUM(BX362:BX384)-SUM(BX169:BX324)</f>
        <v>1490488.9999997616</v>
      </c>
      <c r="BY391" s="430">
        <f t="shared" si="48"/>
        <v>1497342.9999997616</v>
      </c>
      <c r="BZ391" s="430">
        <f t="shared" si="48"/>
        <v>1503890</v>
      </c>
      <c r="CA391" s="430">
        <f t="shared" si="48"/>
        <v>1510126.0000011921</v>
      </c>
      <c r="CB391" s="430">
        <f t="shared" si="48"/>
        <v>1531725.9999997616</v>
      </c>
      <c r="CC391" s="430">
        <f t="shared" si="48"/>
        <v>1553140.0000002384</v>
      </c>
      <c r="CD391" s="430">
        <f t="shared" ref="CD391:CJ391" si="49">SUM(CD362:CD384)-SUM(CD169:CD324)</f>
        <v>1574365.0000011921</v>
      </c>
      <c r="CE391" s="430">
        <f t="shared" si="49"/>
        <v>1595402.0000009537</v>
      </c>
      <c r="CF391" s="430">
        <f t="shared" si="49"/>
        <v>1616247.0000007153</v>
      </c>
      <c r="CG391" s="430">
        <f t="shared" si="49"/>
        <v>1636898.9999997616</v>
      </c>
      <c r="CH391" s="430">
        <f t="shared" si="49"/>
        <v>1662840</v>
      </c>
      <c r="CI391" s="430">
        <f t="shared" si="49"/>
        <v>1688630.9999997616</v>
      </c>
      <c r="CJ391" s="430">
        <f t="shared" si="49"/>
        <v>-802796.50999975204</v>
      </c>
      <c r="CK391" s="430">
        <f t="shared" ref="CK391:CP391" si="50">SUM(CK362:CK384)-SUM(CK169:CK324)</f>
        <v>1739094</v>
      </c>
      <c r="CL391" s="430">
        <f t="shared" si="50"/>
        <v>1763758.0000007153</v>
      </c>
      <c r="CM391" s="430">
        <f t="shared" si="50"/>
        <v>1788261.0000004768</v>
      </c>
      <c r="CN391" s="430">
        <f t="shared" si="50"/>
        <v>1812601.9999997616</v>
      </c>
      <c r="CO391" s="430">
        <f t="shared" si="50"/>
        <v>1836778.9999995232</v>
      </c>
      <c r="CP391" s="430">
        <f t="shared" si="50"/>
        <v>1860791</v>
      </c>
      <c r="CQ391" s="430">
        <f t="shared" ref="CQ391:CV391" si="51">SUM(CQ362:CQ384)-SUM(CQ169:CQ324)</f>
        <v>1884637</v>
      </c>
      <c r="CR391" s="430">
        <f t="shared" si="51"/>
        <v>1908314.9999992847</v>
      </c>
      <c r="CS391" s="430">
        <f t="shared" si="51"/>
        <v>1931823.9999992847</v>
      </c>
      <c r="CT391" s="430">
        <f t="shared" si="51"/>
        <v>1955161.9999997616</v>
      </c>
      <c r="CU391" s="430">
        <f t="shared" si="51"/>
        <v>1978329.0000004768</v>
      </c>
      <c r="CV391" s="430">
        <f t="shared" si="51"/>
        <v>2001320.9999995232</v>
      </c>
    </row>
    <row r="392" spans="1:100">
      <c r="AH392" s="430">
        <f>+AH391+AH299</f>
        <v>-3.5762786865234375E-7</v>
      </c>
      <c r="AI392" s="430">
        <f>+AI391+AI299</f>
        <v>0</v>
      </c>
      <c r="AJ392" s="430">
        <f t="shared" ref="AJ392:AW392" si="52">+AJ391+AJ299</f>
        <v>1.1920928955078125E-7</v>
      </c>
      <c r="AK392" s="430">
        <f t="shared" si="52"/>
        <v>-1.1920928955078125E-7</v>
      </c>
      <c r="AL392" s="430">
        <f t="shared" si="52"/>
        <v>0</v>
      </c>
      <c r="AM392" s="430">
        <f t="shared" si="52"/>
        <v>-4.76837158203125E-7</v>
      </c>
      <c r="AN392" s="430">
        <f t="shared" si="52"/>
        <v>3.5762786865234375E-7</v>
      </c>
      <c r="AO392" s="430">
        <f t="shared" si="52"/>
        <v>-5.9604644775390625E-7</v>
      </c>
      <c r="AP392" s="430">
        <f t="shared" si="52"/>
        <v>-2.384185791015625E-7</v>
      </c>
      <c r="AQ392" s="430">
        <f t="shared" si="52"/>
        <v>-2.384185791015625E-7</v>
      </c>
      <c r="AR392" s="430">
        <f t="shared" si="52"/>
        <v>0</v>
      </c>
      <c r="AS392" s="430">
        <f t="shared" si="52"/>
        <v>1.1920928955078125E-7</v>
      </c>
      <c r="AT392" s="430">
        <f>+AT391+AT299</f>
        <v>0</v>
      </c>
      <c r="AU392" s="430">
        <f t="shared" si="52"/>
        <v>4.76837158203125E-7</v>
      </c>
      <c r="AV392" s="430">
        <f t="shared" si="52"/>
        <v>2.384185791015625E-7</v>
      </c>
      <c r="AW392" s="430">
        <f t="shared" si="52"/>
        <v>-2.384185791015625E-7</v>
      </c>
      <c r="AX392" s="430">
        <f t="shared" ref="AX392:BC392" si="53">+AX391+AX299</f>
        <v>-2.384185791015625E-7</v>
      </c>
      <c r="AY392" s="430">
        <f t="shared" si="53"/>
        <v>-4.76837158203125E-7</v>
      </c>
      <c r="AZ392" s="430">
        <f t="shared" si="53"/>
        <v>-2.384185791015625E-7</v>
      </c>
      <c r="BA392" s="430">
        <f t="shared" si="53"/>
        <v>-4.76837158203125E-7</v>
      </c>
      <c r="BB392" s="430">
        <f t="shared" si="53"/>
        <v>4.76837158203125E-7</v>
      </c>
      <c r="BC392" s="430">
        <f t="shared" si="53"/>
        <v>0</v>
      </c>
      <c r="BD392" s="430">
        <f t="shared" ref="BD392:BI392" si="54">+BD391+BD299</f>
        <v>-2.384185791015625E-7</v>
      </c>
      <c r="BE392" s="430">
        <f t="shared" si="54"/>
        <v>2.384185791015625E-7</v>
      </c>
      <c r="BF392" s="430">
        <f t="shared" si="54"/>
        <v>-2.384185791015625E-7</v>
      </c>
      <c r="BG392" s="430">
        <f t="shared" si="54"/>
        <v>-2.384185791015625E-7</v>
      </c>
      <c r="BH392" s="430">
        <f t="shared" si="54"/>
        <v>-4.76837158203125E-7</v>
      </c>
      <c r="BI392" s="430">
        <f t="shared" si="54"/>
        <v>-7.152557373046875E-7</v>
      </c>
      <c r="BJ392" s="430">
        <f t="shared" ref="BJ392:BO392" si="55">+BJ391+BJ299</f>
        <v>-4.76837158203125E-7</v>
      </c>
      <c r="BK392" s="430">
        <f t="shared" si="55"/>
        <v>-4.76837158203125E-7</v>
      </c>
      <c r="BL392" s="430">
        <f t="shared" si="55"/>
        <v>-2.384185791015625E-7</v>
      </c>
      <c r="BM392" s="430">
        <f t="shared" si="55"/>
        <v>0</v>
      </c>
      <c r="BN392" s="430">
        <f t="shared" si="55"/>
        <v>-2.384185791015625E-7</v>
      </c>
      <c r="BO392" s="430">
        <f t="shared" si="55"/>
        <v>0</v>
      </c>
      <c r="BP392" s="430">
        <f t="shared" ref="BP392:BU392" si="56">+BP391+BP299</f>
        <v>-2.384185791015625E-7</v>
      </c>
      <c r="BQ392" s="430">
        <f t="shared" si="56"/>
        <v>-4.76837158203125E-7</v>
      </c>
      <c r="BR392" s="430">
        <f t="shared" si="56"/>
        <v>0</v>
      </c>
      <c r="BS392" s="430">
        <f t="shared" si="56"/>
        <v>-2.384185791015625E-7</v>
      </c>
      <c r="BT392" s="430">
        <f t="shared" si="56"/>
        <v>-2.384185791015625E-7</v>
      </c>
      <c r="BU392" s="430">
        <f t="shared" si="56"/>
        <v>-7.152557373046875E-7</v>
      </c>
      <c r="BV392" s="430">
        <f t="shared" ref="BV392:CA392" si="57">+BV391+BV299</f>
        <v>0</v>
      </c>
      <c r="BW392" s="430">
        <f t="shared" si="57"/>
        <v>-7.152557373046875E-7</v>
      </c>
      <c r="BX392" s="430">
        <f t="shared" si="57"/>
        <v>-2.384185791015625E-7</v>
      </c>
      <c r="BY392" s="430">
        <f t="shared" si="57"/>
        <v>-2.384185791015625E-7</v>
      </c>
      <c r="BZ392" s="430">
        <f t="shared" si="57"/>
        <v>0</v>
      </c>
      <c r="CA392" s="430">
        <f t="shared" si="57"/>
        <v>1.1920928955078125E-6</v>
      </c>
      <c r="CB392" s="430">
        <f t="shared" ref="CB392:CG392" si="58">+CB391+CB299</f>
        <v>-2.384185791015625E-7</v>
      </c>
      <c r="CC392" s="430">
        <f t="shared" si="58"/>
        <v>2.384185791015625E-7</v>
      </c>
      <c r="CD392" s="430">
        <f t="shared" si="58"/>
        <v>1.1920928955078125E-6</v>
      </c>
      <c r="CE392" s="430">
        <f t="shared" si="58"/>
        <v>9.5367431640625E-7</v>
      </c>
      <c r="CF392" s="430">
        <f t="shared" si="58"/>
        <v>7.152557373046875E-7</v>
      </c>
      <c r="CG392" s="430">
        <f t="shared" si="58"/>
        <v>-2.384185791015625E-7</v>
      </c>
      <c r="CH392" s="430">
        <f t="shared" ref="CH392:CM392" si="59">+CH391+CH299</f>
        <v>0</v>
      </c>
      <c r="CI392" s="430">
        <f t="shared" si="59"/>
        <v>-2.384185791015625E-7</v>
      </c>
      <c r="CJ392" s="430">
        <f t="shared" si="59"/>
        <v>-2517180.509999752</v>
      </c>
      <c r="CK392" s="430">
        <f t="shared" si="59"/>
        <v>0</v>
      </c>
      <c r="CL392" s="430">
        <f t="shared" si="59"/>
        <v>7.152557373046875E-7</v>
      </c>
      <c r="CM392" s="430">
        <f t="shared" si="59"/>
        <v>4.76837158203125E-7</v>
      </c>
      <c r="CN392" s="430">
        <f t="shared" ref="CN392:CS392" si="60">+CN391+CN299</f>
        <v>-2.384185791015625E-7</v>
      </c>
      <c r="CO392" s="430">
        <f t="shared" si="60"/>
        <v>-4.76837158203125E-7</v>
      </c>
      <c r="CP392" s="430">
        <f t="shared" si="60"/>
        <v>0</v>
      </c>
      <c r="CQ392" s="430">
        <f t="shared" si="60"/>
        <v>0</v>
      </c>
      <c r="CR392" s="430">
        <f t="shared" si="60"/>
        <v>-7.152557373046875E-7</v>
      </c>
      <c r="CS392" s="430">
        <f t="shared" si="60"/>
        <v>-7.152557373046875E-7</v>
      </c>
      <c r="CT392" s="430">
        <f>+CT391+CT299</f>
        <v>-2.384185791015625E-7</v>
      </c>
      <c r="CU392" s="430">
        <f>+CU391+CU299</f>
        <v>4.76837158203125E-7</v>
      </c>
      <c r="CV392" s="430">
        <f>+CV391+CV299</f>
        <v>-4.76837158203125E-7</v>
      </c>
    </row>
    <row r="393" spans="1:100">
      <c r="AH393" s="430">
        <f t="shared" ref="AH393:BW393" si="61">SUM(AH329:AH361)-SUM(AH5:AH168)</f>
        <v>-199683.00000023842</v>
      </c>
      <c r="AI393" s="430">
        <f t="shared" si="61"/>
        <v>-266804.99999976158</v>
      </c>
      <c r="AJ393" s="430">
        <f t="shared" si="61"/>
        <v>-334211.00000011921</v>
      </c>
      <c r="AK393" s="430">
        <f t="shared" si="61"/>
        <v>-401903.99999988079</v>
      </c>
      <c r="AL393" s="430">
        <f t="shared" si="61"/>
        <v>-469885.99999976158</v>
      </c>
      <c r="AM393" s="430">
        <f t="shared" si="61"/>
        <v>-584615.99999988079</v>
      </c>
      <c r="AN393" s="430">
        <f t="shared" si="61"/>
        <v>-676558.00000023842</v>
      </c>
      <c r="AO393" s="430">
        <f t="shared" si="61"/>
        <v>-768483.00000011921</v>
      </c>
      <c r="AP393" s="430">
        <f t="shared" si="61"/>
        <v>-860803.99999976158</v>
      </c>
      <c r="AQ393" s="430">
        <f t="shared" si="61"/>
        <v>-953523.00000011921</v>
      </c>
      <c r="AR393" s="430">
        <f t="shared" si="61"/>
        <v>-989834.99999988079</v>
      </c>
      <c r="AS393" s="430">
        <f t="shared" si="61"/>
        <v>-1026083</v>
      </c>
      <c r="AT393" s="430">
        <f t="shared" si="61"/>
        <v>-1062266.0000002384</v>
      </c>
      <c r="AU393" s="430">
        <f t="shared" si="61"/>
        <v>-1098383.0000004768</v>
      </c>
      <c r="AV393" s="430">
        <f t="shared" si="61"/>
        <v>-1134432.9999997616</v>
      </c>
      <c r="AW393" s="430">
        <f t="shared" si="61"/>
        <v>-1170415.9999997616</v>
      </c>
      <c r="AX393" s="430">
        <f t="shared" si="61"/>
        <v>-1186464.9999997616</v>
      </c>
      <c r="AY393" s="430">
        <f t="shared" si="61"/>
        <v>-1202281</v>
      </c>
      <c r="AZ393" s="430">
        <f t="shared" si="61"/>
        <v>-1217864</v>
      </c>
      <c r="BA393" s="430">
        <f t="shared" si="61"/>
        <v>-1232548.0000007153</v>
      </c>
      <c r="BB393" s="430">
        <f t="shared" si="61"/>
        <v>-1246989.0000002384</v>
      </c>
      <c r="BC393" s="430">
        <f t="shared" si="61"/>
        <v>-1261182.0000002384</v>
      </c>
      <c r="BD393" s="430">
        <f t="shared" si="61"/>
        <v>-1275129</v>
      </c>
      <c r="BE393" s="430">
        <f t="shared" si="61"/>
        <v>-1288826.0000004768</v>
      </c>
      <c r="BF393" s="430">
        <f t="shared" si="61"/>
        <v>-1302271.0000004768</v>
      </c>
      <c r="BG393" s="430">
        <f t="shared" si="61"/>
        <v>-1315463.9999997616</v>
      </c>
      <c r="BH393" s="430">
        <f t="shared" si="61"/>
        <v>-1328401</v>
      </c>
      <c r="BI393" s="430">
        <f t="shared" si="61"/>
        <v>-1341080.0000004768</v>
      </c>
      <c r="BJ393" s="430">
        <f t="shared" si="61"/>
        <v>-1353498.9999992847</v>
      </c>
      <c r="BK393" s="430">
        <f t="shared" si="61"/>
        <v>-1365655.9999995232</v>
      </c>
      <c r="BL393" s="430">
        <f t="shared" si="61"/>
        <v>-1377549</v>
      </c>
      <c r="BM393" s="430">
        <f t="shared" si="61"/>
        <v>-1388510.9999995232</v>
      </c>
      <c r="BN393" s="430">
        <f t="shared" si="61"/>
        <v>-1399198.9999992847</v>
      </c>
      <c r="BO393" s="430">
        <f t="shared" si="61"/>
        <v>-1409611</v>
      </c>
      <c r="BP393" s="430">
        <f t="shared" si="61"/>
        <v>-1419744</v>
      </c>
      <c r="BQ393" s="430">
        <f t="shared" si="61"/>
        <v>-1429595.9999990463</v>
      </c>
      <c r="BR393" s="430">
        <f t="shared" si="61"/>
        <v>-1439164.0000002384</v>
      </c>
      <c r="BS393" s="430">
        <f t="shared" si="61"/>
        <v>-1448447.0000002384</v>
      </c>
      <c r="BT393" s="430">
        <f t="shared" si="61"/>
        <v>-1457442</v>
      </c>
      <c r="BU393" s="430">
        <f t="shared" si="61"/>
        <v>-1466146.0000002384</v>
      </c>
      <c r="BV393" s="430">
        <f t="shared" si="61"/>
        <v>-1474557.0000002384</v>
      </c>
      <c r="BW393" s="430">
        <f t="shared" si="61"/>
        <v>-1482672</v>
      </c>
      <c r="BX393" s="430">
        <f t="shared" ref="BX393:CC393" si="62">SUM(BX329:BX361)-SUM(BX5:BX168)</f>
        <v>-1490488.9999992847</v>
      </c>
      <c r="BY393" s="430">
        <f t="shared" si="62"/>
        <v>-1497342.9999997616</v>
      </c>
      <c r="BZ393" s="430">
        <f t="shared" si="62"/>
        <v>-1503889.9999997616</v>
      </c>
      <c r="CA393" s="430">
        <f t="shared" si="62"/>
        <v>-1510125.9999992847</v>
      </c>
      <c r="CB393" s="430">
        <f t="shared" si="62"/>
        <v>-1531726.0000002384</v>
      </c>
      <c r="CC393" s="430">
        <f t="shared" si="62"/>
        <v>-1553140.0000004768</v>
      </c>
      <c r="CD393" s="430">
        <f t="shared" ref="CD393:CJ393" si="63">SUM(CD329:CD361)-SUM(CD5:CD168)</f>
        <v>-1574365.0000002384</v>
      </c>
      <c r="CE393" s="430">
        <f t="shared" si="63"/>
        <v>-1595401.9999997616</v>
      </c>
      <c r="CF393" s="430">
        <f t="shared" si="63"/>
        <v>-3819979.0000002384</v>
      </c>
      <c r="CG393" s="430">
        <f t="shared" si="63"/>
        <v>-7179703.0000002384</v>
      </c>
      <c r="CH393" s="430">
        <f t="shared" si="63"/>
        <v>-1662840.0000007153</v>
      </c>
      <c r="CI393" s="430">
        <f t="shared" si="63"/>
        <v>-1688630.9999997616</v>
      </c>
      <c r="CJ393" s="430">
        <f t="shared" si="63"/>
        <v>802796.50999999046</v>
      </c>
      <c r="CK393" s="430">
        <f t="shared" ref="CK393:CP393" si="64">SUM(CK329:CK361)-SUM(CK5:CK168)</f>
        <v>-1739093.9999997616</v>
      </c>
      <c r="CL393" s="430">
        <f t="shared" si="64"/>
        <v>-1763757.9999997616</v>
      </c>
      <c r="CM393" s="430">
        <f t="shared" si="64"/>
        <v>-1788260.9999985695</v>
      </c>
      <c r="CN393" s="430">
        <f t="shared" si="64"/>
        <v>-1812601.9999995232</v>
      </c>
      <c r="CO393" s="430">
        <f t="shared" si="64"/>
        <v>-1836779</v>
      </c>
      <c r="CP393" s="430">
        <f t="shared" si="64"/>
        <v>-1860790.9999995232</v>
      </c>
      <c r="CQ393" s="430">
        <f t="shared" ref="CQ393:CV393" si="65">SUM(CQ329:CQ361)-SUM(CQ5:CQ168)</f>
        <v>-1884636.9999990463</v>
      </c>
      <c r="CR393" s="430">
        <f t="shared" si="65"/>
        <v>-1908314.9999992847</v>
      </c>
      <c r="CS393" s="430">
        <f t="shared" si="65"/>
        <v>-1931824.0000002384</v>
      </c>
      <c r="CT393" s="430">
        <f t="shared" si="65"/>
        <v>-1955162.0000002384</v>
      </c>
      <c r="CU393" s="430">
        <f t="shared" si="65"/>
        <v>-1978328.9999997616</v>
      </c>
      <c r="CV393" s="430">
        <f t="shared" si="65"/>
        <v>-2001320.9999997616</v>
      </c>
    </row>
    <row r="394" spans="1:100">
      <c r="AH394" s="430">
        <f t="shared" ref="AH394:BB394" si="66">+AH393-AH299</f>
        <v>-2.384185791015625E-7</v>
      </c>
      <c r="AI394" s="430">
        <f t="shared" si="66"/>
        <v>2.384185791015625E-7</v>
      </c>
      <c r="AJ394" s="430">
        <f t="shared" si="66"/>
        <v>-1.1920928955078125E-7</v>
      </c>
      <c r="AK394" s="430">
        <f t="shared" si="66"/>
        <v>1.1920928955078125E-7</v>
      </c>
      <c r="AL394" s="430">
        <f t="shared" si="66"/>
        <v>2.384185791015625E-7</v>
      </c>
      <c r="AM394" s="430">
        <f t="shared" si="66"/>
        <v>1.1920928955078125E-7</v>
      </c>
      <c r="AN394" s="430">
        <f t="shared" si="66"/>
        <v>-2.384185791015625E-7</v>
      </c>
      <c r="AO394" s="430">
        <f t="shared" si="66"/>
        <v>-1.1920928955078125E-7</v>
      </c>
      <c r="AP394" s="430">
        <f t="shared" si="66"/>
        <v>2.384185791015625E-7</v>
      </c>
      <c r="AQ394" s="430">
        <f t="shared" si="66"/>
        <v>-1.1920928955078125E-7</v>
      </c>
      <c r="AR394" s="430">
        <f t="shared" si="66"/>
        <v>1.1920928955078125E-7</v>
      </c>
      <c r="AS394" s="430">
        <f t="shared" si="66"/>
        <v>0</v>
      </c>
      <c r="AT394" s="430">
        <f t="shared" si="66"/>
        <v>-2.384185791015625E-7</v>
      </c>
      <c r="AU394" s="430">
        <f t="shared" si="66"/>
        <v>-4.76837158203125E-7</v>
      </c>
      <c r="AV394" s="430">
        <f t="shared" si="66"/>
        <v>2.384185791015625E-7</v>
      </c>
      <c r="AW394" s="430">
        <f t="shared" si="66"/>
        <v>2.384185791015625E-7</v>
      </c>
      <c r="AX394" s="430">
        <f t="shared" si="66"/>
        <v>2.384185791015625E-7</v>
      </c>
      <c r="AY394" s="430">
        <f t="shared" si="66"/>
        <v>0</v>
      </c>
      <c r="AZ394" s="430">
        <f t="shared" si="66"/>
        <v>0</v>
      </c>
      <c r="BA394" s="430">
        <f t="shared" si="66"/>
        <v>-7.152557373046875E-7</v>
      </c>
      <c r="BB394" s="430">
        <f t="shared" si="66"/>
        <v>-1.0000002384185791</v>
      </c>
      <c r="BC394" s="430">
        <f t="shared" ref="BC394:BH394" si="67">+BC393-BC299</f>
        <v>-2.384185791015625E-7</v>
      </c>
      <c r="BD394" s="430">
        <f t="shared" si="67"/>
        <v>0</v>
      </c>
      <c r="BE394" s="430">
        <f t="shared" si="67"/>
        <v>-4.76837158203125E-7</v>
      </c>
      <c r="BF394" s="430">
        <f t="shared" si="67"/>
        <v>0.9999995231628418</v>
      </c>
      <c r="BG394" s="430">
        <f t="shared" si="67"/>
        <v>2.384185791015625E-7</v>
      </c>
      <c r="BH394" s="430">
        <f t="shared" si="67"/>
        <v>0</v>
      </c>
      <c r="BI394" s="430">
        <f>+BI393-BI299</f>
        <v>-4.76837158203125E-7</v>
      </c>
      <c r="BJ394" s="430">
        <f t="shared" ref="BJ394:BO394" si="68">+BJ393-BJ299</f>
        <v>7.152557373046875E-7</v>
      </c>
      <c r="BK394" s="430">
        <f t="shared" si="68"/>
        <v>4.76837158203125E-7</v>
      </c>
      <c r="BL394" s="430">
        <f t="shared" si="68"/>
        <v>0</v>
      </c>
      <c r="BM394" s="430">
        <f t="shared" si="68"/>
        <v>4.76837158203125E-7</v>
      </c>
      <c r="BN394" s="430">
        <f t="shared" si="68"/>
        <v>7.152557373046875E-7</v>
      </c>
      <c r="BO394" s="430">
        <f t="shared" si="68"/>
        <v>0</v>
      </c>
      <c r="BP394" s="430">
        <f t="shared" ref="BP394:BU394" si="69">+BP393-BP299</f>
        <v>0</v>
      </c>
      <c r="BQ394" s="430">
        <f t="shared" si="69"/>
        <v>9.5367431640625E-7</v>
      </c>
      <c r="BR394" s="430">
        <f t="shared" si="69"/>
        <v>-2.384185791015625E-7</v>
      </c>
      <c r="BS394" s="430">
        <f t="shared" si="69"/>
        <v>-2.384185791015625E-7</v>
      </c>
      <c r="BT394" s="430">
        <f t="shared" si="69"/>
        <v>0</v>
      </c>
      <c r="BU394" s="430">
        <f t="shared" si="69"/>
        <v>-2.384185791015625E-7</v>
      </c>
      <c r="BV394" s="430">
        <f t="shared" ref="BV394:CA394" si="70">+BV393-BV299</f>
        <v>-1.0000002384185791</v>
      </c>
      <c r="BW394" s="430">
        <f t="shared" si="70"/>
        <v>-1</v>
      </c>
      <c r="BX394" s="430">
        <f t="shared" si="70"/>
        <v>7.152557373046875E-7</v>
      </c>
      <c r="BY394" s="430">
        <f t="shared" si="70"/>
        <v>2.384185791015625E-7</v>
      </c>
      <c r="BZ394" s="430">
        <f t="shared" si="70"/>
        <v>2.384185791015625E-7</v>
      </c>
      <c r="CA394" s="430">
        <f t="shared" si="70"/>
        <v>7.152557373046875E-7</v>
      </c>
      <c r="CB394" s="430">
        <f t="shared" ref="CB394:CG394" si="71">+CB393-CB299</f>
        <v>-2.384185791015625E-7</v>
      </c>
      <c r="CC394" s="430">
        <f t="shared" si="71"/>
        <v>-4.76837158203125E-7</v>
      </c>
      <c r="CD394" s="430">
        <f t="shared" si="71"/>
        <v>-2.384185791015625E-7</v>
      </c>
      <c r="CE394" s="430">
        <f t="shared" si="71"/>
        <v>2.384185791015625E-7</v>
      </c>
      <c r="CF394" s="430">
        <f t="shared" si="71"/>
        <v>-2203732.0000002384</v>
      </c>
      <c r="CG394" s="430">
        <f t="shared" si="71"/>
        <v>-5542804.0000002384</v>
      </c>
      <c r="CH394" s="430">
        <f t="shared" ref="CH394:CM394" si="72">+CH393-CH299</f>
        <v>-7.152557373046875E-7</v>
      </c>
      <c r="CI394" s="430">
        <f t="shared" si="72"/>
        <v>2.384185791015625E-7</v>
      </c>
      <c r="CJ394" s="430">
        <f t="shared" si="72"/>
        <v>2517180.5099999905</v>
      </c>
      <c r="CK394" s="430">
        <f t="shared" si="72"/>
        <v>2.384185791015625E-7</v>
      </c>
      <c r="CL394" s="430">
        <f t="shared" si="72"/>
        <v>2.384185791015625E-7</v>
      </c>
      <c r="CM394" s="430">
        <f t="shared" si="72"/>
        <v>1.430511474609375E-6</v>
      </c>
      <c r="CN394" s="430">
        <f t="shared" ref="CN394:CS394" si="73">+CN393-CN299</f>
        <v>4.76837158203125E-7</v>
      </c>
      <c r="CO394" s="430">
        <f t="shared" si="73"/>
        <v>0</v>
      </c>
      <c r="CP394" s="430">
        <f t="shared" si="73"/>
        <v>4.76837158203125E-7</v>
      </c>
      <c r="CQ394" s="430">
        <f t="shared" si="73"/>
        <v>9.5367431640625E-7</v>
      </c>
      <c r="CR394" s="430">
        <f t="shared" si="73"/>
        <v>7.152557373046875E-7</v>
      </c>
      <c r="CS394" s="430">
        <f t="shared" si="73"/>
        <v>-2.384185791015625E-7</v>
      </c>
      <c r="CT394" s="430">
        <f>+CT393-CT299</f>
        <v>-2.384185791015625E-7</v>
      </c>
      <c r="CU394" s="430">
        <f>+CU393-CU299</f>
        <v>2.384185791015625E-7</v>
      </c>
      <c r="CV394" s="430">
        <f>+CV393-CV299</f>
        <v>2.384185791015625E-7</v>
      </c>
    </row>
    <row r="396" spans="1:100">
      <c r="A396" t="s">
        <v>2397</v>
      </c>
      <c r="BL396" s="430">
        <f t="shared" ref="BL396:BW396" si="74">SUM(BL362:BL384)</f>
        <v>-1224685887.01</v>
      </c>
      <c r="BM396" s="430">
        <f t="shared" si="74"/>
        <v>-1245851925.2299998</v>
      </c>
      <c r="BN396" s="430">
        <f t="shared" si="74"/>
        <v>-1246408909.2300003</v>
      </c>
      <c r="BO396" s="430">
        <f t="shared" si="74"/>
        <v>-1257593647.8700001</v>
      </c>
      <c r="BP396" s="430">
        <f t="shared" si="74"/>
        <v>-1261451991.4100001</v>
      </c>
      <c r="BQ396" s="430">
        <f t="shared" si="74"/>
        <v>-1273924807.7200003</v>
      </c>
      <c r="BR396" s="430">
        <f t="shared" si="74"/>
        <v>-1285251394.0599999</v>
      </c>
      <c r="BS396" s="430">
        <f t="shared" si="74"/>
        <v>-1298898817.21</v>
      </c>
      <c r="BT396" s="430">
        <f t="shared" si="74"/>
        <v>-1317782362.8100002</v>
      </c>
      <c r="BU396" s="430">
        <f t="shared" si="74"/>
        <v>-1340764338.6000004</v>
      </c>
      <c r="BV396" s="430">
        <f t="shared" si="74"/>
        <v>-1357190300.23</v>
      </c>
      <c r="BW396" s="430">
        <f t="shared" si="74"/>
        <v>-1382140359.9400001</v>
      </c>
      <c r="BX396" s="430">
        <f t="shared" ref="BX396:CC396" si="75">SUM(BX362:BX384)</f>
        <v>-1406757195.1299999</v>
      </c>
      <c r="BY396" s="430">
        <f t="shared" si="75"/>
        <v>-1428603576.7200005</v>
      </c>
      <c r="BZ396" s="430">
        <f t="shared" si="75"/>
        <v>-1440657003.7799997</v>
      </c>
      <c r="CA396" s="430">
        <f t="shared" si="75"/>
        <v>-1451715116.9100001</v>
      </c>
      <c r="CB396" s="430">
        <f t="shared" si="75"/>
        <v>-1470020729.1400003</v>
      </c>
      <c r="CC396" s="430">
        <f t="shared" si="75"/>
        <v>-1493213205.5600002</v>
      </c>
      <c r="CD396" s="430">
        <f t="shared" ref="CD396:CJ396" si="76">SUM(CD362:CD384)</f>
        <v>-1515171815.78</v>
      </c>
      <c r="CE396" s="430">
        <f t="shared" si="76"/>
        <v>-1535872168.5000002</v>
      </c>
      <c r="CF396" s="430">
        <f t="shared" si="76"/>
        <v>-1572823223.9700003</v>
      </c>
      <c r="CG396" s="430">
        <f t="shared" si="76"/>
        <v>-1598138498.7300003</v>
      </c>
      <c r="CH396" s="430">
        <f t="shared" si="76"/>
        <v>-1630045057.9200001</v>
      </c>
      <c r="CI396" s="430">
        <f t="shared" si="76"/>
        <v>-1664498657.7900002</v>
      </c>
      <c r="CJ396" s="430">
        <f t="shared" si="76"/>
        <v>-1714605078.1199999</v>
      </c>
      <c r="CK396" s="430">
        <f t="shared" ref="CK396:CP396" si="77">SUM(CK362:CK384)</f>
        <v>-1742610525.9999998</v>
      </c>
      <c r="CL396" s="430">
        <f t="shared" si="77"/>
        <v>-1765420000.3699999</v>
      </c>
      <c r="CM396" s="430">
        <f t="shared" si="77"/>
        <v>-1781368533.6600001</v>
      </c>
      <c r="CN396" s="430">
        <f t="shared" si="77"/>
        <v>-1797765653.9400001</v>
      </c>
      <c r="CO396" s="430">
        <f t="shared" si="77"/>
        <v>-1806154158.4800005</v>
      </c>
      <c r="CP396" s="430">
        <f t="shared" si="77"/>
        <v>-1825581512.2899997</v>
      </c>
      <c r="CQ396" s="430">
        <f t="shared" ref="CQ396:CV396" si="78">SUM(CQ362:CQ384)</f>
        <v>-1851639499.4400001</v>
      </c>
      <c r="CR396" s="430">
        <f t="shared" si="78"/>
        <v>-1869701885.3400002</v>
      </c>
      <c r="CS396" s="430">
        <f t="shared" si="78"/>
        <v>-1892848811.7600002</v>
      </c>
      <c r="CT396" s="430">
        <f t="shared" si="78"/>
        <v>-1927505708.0899997</v>
      </c>
      <c r="CU396" s="430">
        <f t="shared" si="78"/>
        <v>-1958911460.7200003</v>
      </c>
      <c r="CV396" s="430">
        <f t="shared" si="78"/>
        <v>-1990225377.3999999</v>
      </c>
    </row>
    <row r="397" spans="1:100">
      <c r="A397" t="s">
        <v>2396</v>
      </c>
      <c r="BL397" s="430">
        <f>+-'Bal Sheet'!DI105*1000</f>
        <v>-1224685887.01</v>
      </c>
      <c r="BM397" s="430">
        <f>+-'Bal Sheet'!DJ105*1000</f>
        <v>-1245851925.23</v>
      </c>
      <c r="BN397" s="430">
        <f>+-'Bal Sheet'!DK105*1000</f>
        <v>-1246408909.2299998</v>
      </c>
      <c r="BO397" s="430">
        <f>+-'Bal Sheet'!DL105*1000</f>
        <v>-1257593647.8699999</v>
      </c>
      <c r="BP397" s="430">
        <f>+-'Bal Sheet'!DM105*1000</f>
        <v>-1261451991.4100001</v>
      </c>
      <c r="BQ397" s="430">
        <f>+-'Bal Sheet'!DN105*1000</f>
        <v>-1273924807.72</v>
      </c>
      <c r="BR397" s="430">
        <f>+-'Bal Sheet'!DO105*1000</f>
        <v>-1285251394.0600002</v>
      </c>
      <c r="BS397" s="430">
        <f>+-'Bal Sheet'!DP105*1000</f>
        <v>-1298898817.21</v>
      </c>
      <c r="BT397" s="430">
        <f>+-'Bal Sheet'!DQ105*1000</f>
        <v>-1317782362.8099999</v>
      </c>
      <c r="BU397" s="430">
        <f>+-'Bal Sheet'!DR105*1000</f>
        <v>-1340764338.6000001</v>
      </c>
      <c r="BV397" s="430">
        <f>+-'Bal Sheet'!DS105*1000</f>
        <v>-1357190300.23</v>
      </c>
      <c r="BW397" s="430">
        <f>+-'Bal Sheet'!DT105*1000</f>
        <v>-1382140359.9399998</v>
      </c>
      <c r="BX397" s="430">
        <f>+-'Bal Sheet'!DU105*1000</f>
        <v>-1406757195.1300001</v>
      </c>
      <c r="BY397" s="430">
        <f>+-'Bal Sheet'!DV105*1000</f>
        <v>-1428603576.72</v>
      </c>
      <c r="BZ397" s="430">
        <f>+-'Bal Sheet'!DW105*1000</f>
        <v>-1440657003.78</v>
      </c>
      <c r="CA397" s="430">
        <f>+-'Bal Sheet'!DX105*1000</f>
        <v>-1451715116.9099998</v>
      </c>
      <c r="CB397" s="430">
        <f>+-'Bal Sheet'!DY105*1000</f>
        <v>-1470020729.1400001</v>
      </c>
      <c r="CC397" s="430">
        <f>+-'Bal Sheet'!DZ105*1000</f>
        <v>-1493213205.5599999</v>
      </c>
      <c r="CD397" s="430">
        <f>+-'Bal Sheet'!EA105*1000</f>
        <v>-1515171815.78</v>
      </c>
      <c r="CE397" s="430">
        <f>+-'Bal Sheet'!EB105*1000</f>
        <v>-1535872168.5000002</v>
      </c>
      <c r="CF397" s="430">
        <f>+-'Bal Sheet'!EC105*1000</f>
        <v>-1572823223.9700003</v>
      </c>
      <c r="CG397" s="430">
        <f>+-'Bal Sheet'!ED105*1000</f>
        <v>-1598138498.73</v>
      </c>
      <c r="CH397" s="430">
        <f>+-'Bal Sheet'!EE105*1000</f>
        <v>-1630045057.9200001</v>
      </c>
      <c r="CI397" s="430">
        <f>+-'Bal Sheet'!EF105*1000</f>
        <v>-1664498657.7900002</v>
      </c>
      <c r="CJ397" s="430">
        <f>+-'Bal Sheet'!EG105*1000</f>
        <v>-1714605078.1199999</v>
      </c>
      <c r="CK397" s="430">
        <f>+-'Bal Sheet'!EH105*1000</f>
        <v>-1742610526</v>
      </c>
      <c r="CL397" s="430">
        <f>+-'Bal Sheet'!EI105*1000</f>
        <v>-1765420000.3700001</v>
      </c>
      <c r="CM397" s="430">
        <f>+-'Bal Sheet'!EJ105*1000</f>
        <v>-1781368533.6599998</v>
      </c>
      <c r="CN397" s="430">
        <f>+-'Bal Sheet'!EK105*1000</f>
        <v>-1797765653.9400001</v>
      </c>
      <c r="CO397" s="430">
        <f>+-'Bal Sheet'!EL105*1000</f>
        <v>-1806154158.4800003</v>
      </c>
      <c r="CP397" s="430">
        <f>+-'Bal Sheet'!EM105*1000</f>
        <v>-1825581512.29</v>
      </c>
      <c r="CQ397" s="430">
        <f>+-'Bal Sheet'!EN105*1000</f>
        <v>-1851639499.4400001</v>
      </c>
      <c r="CR397" s="430">
        <f>+-'Bal Sheet'!EO105*1000</f>
        <v>-1869701885.3400002</v>
      </c>
      <c r="CS397" s="430">
        <f>+-'Bal Sheet'!EP105*1000</f>
        <v>-1892848811.7600002</v>
      </c>
      <c r="CT397" s="430">
        <f>+-'Bal Sheet'!EQ105*1000</f>
        <v>-1927505708.0900004</v>
      </c>
      <c r="CU397" s="430">
        <f>+-'Bal Sheet'!ER105*1000</f>
        <v>-1958911460.7199998</v>
      </c>
      <c r="CV397" s="430">
        <f>+-'Bal Sheet'!ES105*1000</f>
        <v>-1990225377.4000003</v>
      </c>
    </row>
    <row r="398" spans="1:100">
      <c r="A398" t="s">
        <v>489</v>
      </c>
      <c r="BL398" s="430">
        <f t="shared" ref="BL398:BW398" si="79">+BL396-BL397</f>
        <v>0</v>
      </c>
      <c r="BM398" s="430">
        <f t="shared" si="79"/>
        <v>0</v>
      </c>
      <c r="BN398" s="430">
        <f t="shared" si="79"/>
        <v>0</v>
      </c>
      <c r="BO398" s="430">
        <f t="shared" si="79"/>
        <v>0</v>
      </c>
      <c r="BP398" s="430">
        <f t="shared" si="79"/>
        <v>0</v>
      </c>
      <c r="BQ398" s="430">
        <f t="shared" si="79"/>
        <v>0</v>
      </c>
      <c r="BR398" s="430">
        <f t="shared" si="79"/>
        <v>0</v>
      </c>
      <c r="BS398" s="430">
        <f t="shared" si="79"/>
        <v>0</v>
      </c>
      <c r="BT398" s="430">
        <f t="shared" si="79"/>
        <v>0</v>
      </c>
      <c r="BU398" s="430">
        <f t="shared" si="79"/>
        <v>0</v>
      </c>
      <c r="BV398" s="430">
        <f t="shared" si="79"/>
        <v>0</v>
      </c>
      <c r="BW398" s="430">
        <f t="shared" si="79"/>
        <v>0</v>
      </c>
      <c r="BX398" s="430">
        <f t="shared" ref="BX398:CC398" si="80">+BX396-BX397</f>
        <v>0</v>
      </c>
      <c r="BY398" s="430">
        <f t="shared" si="80"/>
        <v>0</v>
      </c>
      <c r="BZ398" s="430">
        <f t="shared" si="80"/>
        <v>0</v>
      </c>
      <c r="CA398" s="430">
        <f t="shared" si="80"/>
        <v>0</v>
      </c>
      <c r="CB398" s="430">
        <f t="shared" si="80"/>
        <v>0</v>
      </c>
      <c r="CC398" s="430">
        <f t="shared" si="80"/>
        <v>0</v>
      </c>
      <c r="CD398" s="430">
        <f t="shared" ref="CD398:CJ398" si="81">+CD396-CD397</f>
        <v>0</v>
      </c>
      <c r="CE398" s="430">
        <f t="shared" si="81"/>
        <v>0</v>
      </c>
      <c r="CF398" s="430">
        <f t="shared" si="81"/>
        <v>0</v>
      </c>
      <c r="CG398" s="430">
        <f t="shared" si="81"/>
        <v>0</v>
      </c>
      <c r="CH398" s="430">
        <f t="shared" si="81"/>
        <v>0</v>
      </c>
      <c r="CI398" s="430">
        <f t="shared" si="81"/>
        <v>0</v>
      </c>
      <c r="CJ398" s="430">
        <f t="shared" si="81"/>
        <v>0</v>
      </c>
      <c r="CK398" s="430">
        <f t="shared" ref="CK398:CP398" si="82">+CK396-CK397</f>
        <v>0</v>
      </c>
      <c r="CL398" s="430">
        <f t="shared" si="82"/>
        <v>0</v>
      </c>
      <c r="CM398" s="430">
        <f t="shared" si="82"/>
        <v>0</v>
      </c>
      <c r="CN398" s="430">
        <f t="shared" si="82"/>
        <v>0</v>
      </c>
      <c r="CO398" s="430">
        <f t="shared" si="82"/>
        <v>0</v>
      </c>
      <c r="CP398" s="430">
        <f t="shared" si="82"/>
        <v>0</v>
      </c>
      <c r="CQ398" s="430">
        <f t="shared" ref="CQ398:CV398" si="83">+CQ396-CQ397</f>
        <v>0</v>
      </c>
      <c r="CR398" s="430">
        <f t="shared" si="83"/>
        <v>0</v>
      </c>
      <c r="CS398" s="430">
        <f t="shared" si="83"/>
        <v>0</v>
      </c>
      <c r="CT398" s="430">
        <f t="shared" si="83"/>
        <v>0</v>
      </c>
      <c r="CU398" s="430">
        <f t="shared" si="83"/>
        <v>0</v>
      </c>
      <c r="CV398" s="430">
        <f t="shared" si="83"/>
        <v>0</v>
      </c>
    </row>
  </sheetData>
  <phoneticPr fontId="65" type="noConversion"/>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workbookViewId="0"/>
  </sheetViews>
  <sheetFormatPr defaultRowHeight="12.75"/>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pageSetUpPr fitToPage="1"/>
  </sheetPr>
  <dimension ref="A1:IA134"/>
  <sheetViews>
    <sheetView workbookViewId="0"/>
  </sheetViews>
  <sheetFormatPr defaultRowHeight="12.75"/>
  <cols>
    <col min="1" max="1" width="39.5703125" bestFit="1" customWidth="1"/>
    <col min="2" max="13" width="14.85546875" style="57" hidden="1" customWidth="1"/>
    <col min="14" max="29" width="14.85546875" style="35" hidden="1" customWidth="1"/>
    <col min="30" max="44" width="14.85546875" style="57" hidden="1" customWidth="1"/>
    <col min="45" max="109" width="15.42578125" style="57" hidden="1" customWidth="1"/>
    <col min="110" max="113" width="17.140625" style="57" hidden="1" customWidth="1"/>
    <col min="114" max="120" width="16.5703125" style="57" hidden="1" customWidth="1"/>
    <col min="121" max="121" width="0.140625" style="57" hidden="1" customWidth="1"/>
    <col min="122" max="124" width="17.140625" style="57" hidden="1" customWidth="1"/>
    <col min="125" max="134" width="17.85546875" style="57" hidden="1" customWidth="1"/>
    <col min="135" max="135" width="18.7109375" style="57" hidden="1" customWidth="1"/>
    <col min="136" max="136" width="17.85546875" style="57" hidden="1" customWidth="1"/>
    <col min="137" max="137" width="16.7109375" style="57" bestFit="1" customWidth="1"/>
    <col min="138" max="149" width="17.85546875" style="57" bestFit="1" customWidth="1"/>
    <col min="150" max="150" width="19.140625" bestFit="1" customWidth="1"/>
    <col min="151" max="152" width="3.42578125" style="56" customWidth="1"/>
    <col min="153" max="203" width="16.5703125" style="35" hidden="1" customWidth="1"/>
    <col min="204" max="219" width="16.5703125" style="35" customWidth="1"/>
    <col min="220" max="220" width="22.42578125" bestFit="1" customWidth="1"/>
    <col min="221" max="221" width="15.7109375" bestFit="1" customWidth="1"/>
    <col min="222" max="232" width="10.28515625" bestFit="1" customWidth="1"/>
  </cols>
  <sheetData>
    <row r="1" spans="1:235">
      <c r="A1" s="552">
        <v>12</v>
      </c>
      <c r="B1" s="133"/>
      <c r="C1" s="133"/>
      <c r="D1" s="133"/>
      <c r="E1" s="133"/>
      <c r="F1" s="133"/>
      <c r="G1" s="133"/>
      <c r="H1" s="133"/>
      <c r="I1" s="133"/>
      <c r="J1" s="133"/>
      <c r="K1" s="133"/>
      <c r="L1" s="133"/>
      <c r="M1" s="133"/>
      <c r="N1" s="123"/>
      <c r="O1" s="123"/>
      <c r="P1" s="123"/>
      <c r="Q1" s="123"/>
      <c r="R1" s="123"/>
      <c r="S1" s="123"/>
      <c r="T1" s="123"/>
      <c r="U1" s="123"/>
      <c r="V1" s="123"/>
      <c r="W1" s="123"/>
      <c r="X1" s="123"/>
      <c r="Y1" s="123"/>
      <c r="Z1" s="123"/>
      <c r="AA1" s="123"/>
      <c r="AB1" s="123"/>
      <c r="AC1" s="12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5"/>
      <c r="EU1" s="156"/>
      <c r="EV1" s="156"/>
    </row>
    <row r="2" spans="1:235" ht="15.75">
      <c r="A2" s="33" t="s">
        <v>568</v>
      </c>
      <c r="B2" s="133"/>
      <c r="C2" s="133"/>
      <c r="D2" s="133"/>
      <c r="E2" s="133"/>
      <c r="F2" s="133"/>
      <c r="G2" s="133"/>
      <c r="H2" s="133"/>
      <c r="I2" s="133"/>
      <c r="J2" s="133"/>
      <c r="K2" s="133"/>
      <c r="L2" s="133"/>
      <c r="M2" s="133"/>
      <c r="N2" s="123"/>
      <c r="O2" s="123"/>
      <c r="P2" s="123"/>
      <c r="Q2" s="123"/>
      <c r="R2" s="123"/>
      <c r="S2" s="123"/>
      <c r="T2" s="123"/>
      <c r="U2" s="123"/>
      <c r="V2" s="123"/>
      <c r="W2" s="123"/>
      <c r="X2" s="123"/>
      <c r="Y2" s="123"/>
      <c r="Z2" s="123"/>
      <c r="AA2" s="123"/>
      <c r="AB2" s="123"/>
      <c r="AC2" s="12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5"/>
      <c r="EU2" s="156"/>
      <c r="EV2" s="156"/>
    </row>
    <row r="3" spans="1:235" ht="15.75">
      <c r="A3" s="32" t="s">
        <v>419</v>
      </c>
      <c r="B3" s="133"/>
      <c r="C3" s="133"/>
      <c r="D3" s="133"/>
      <c r="E3" s="133"/>
      <c r="F3" s="133"/>
      <c r="G3" s="133"/>
      <c r="H3" s="133"/>
      <c r="I3" s="133"/>
      <c r="J3" s="133"/>
      <c r="K3" s="133"/>
      <c r="L3" s="133"/>
      <c r="M3" s="133"/>
      <c r="N3" s="123"/>
      <c r="O3" s="123"/>
      <c r="P3" s="123"/>
      <c r="Q3" s="123"/>
      <c r="R3" s="123"/>
      <c r="S3" s="123"/>
      <c r="T3" s="123"/>
      <c r="U3" s="123"/>
      <c r="V3" s="123"/>
      <c r="W3" s="123"/>
      <c r="X3" s="123"/>
      <c r="Y3" s="123"/>
      <c r="Z3" s="123"/>
      <c r="AA3" s="123"/>
      <c r="AB3" s="123"/>
      <c r="AC3" s="12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5"/>
      <c r="EU3" s="156"/>
      <c r="EV3" s="156"/>
    </row>
    <row r="4" spans="1:235" ht="15.75">
      <c r="A4" s="32"/>
      <c r="B4" s="133"/>
      <c r="C4" s="133"/>
      <c r="D4" s="133"/>
      <c r="E4" s="133"/>
      <c r="F4" s="133"/>
      <c r="G4" s="133"/>
      <c r="H4" s="133"/>
      <c r="I4" s="133"/>
      <c r="J4" s="133"/>
      <c r="K4" s="133"/>
      <c r="L4" s="133"/>
      <c r="M4" s="133"/>
      <c r="N4" s="123"/>
      <c r="O4" s="123"/>
      <c r="P4" s="123"/>
      <c r="Q4" s="141" t="s">
        <v>512</v>
      </c>
      <c r="S4" s="123"/>
      <c r="T4" s="123"/>
      <c r="V4" s="123"/>
      <c r="W4" s="123"/>
      <c r="Y4" s="123"/>
      <c r="Z4" s="123"/>
      <c r="AA4" s="123"/>
      <c r="AB4" s="123"/>
      <c r="AC4" s="12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066" t="str">
        <f>+Input!A6</f>
        <v>12/31/2021</v>
      </c>
      <c r="EU4" s="800"/>
      <c r="EV4" s="800"/>
    </row>
    <row r="5" spans="1:235">
      <c r="ET5" s="358" t="s">
        <v>213</v>
      </c>
      <c r="EU5" s="286"/>
      <c r="EV5" s="286"/>
    </row>
    <row r="6" spans="1:235">
      <c r="B6" s="134">
        <v>40071</v>
      </c>
      <c r="C6" s="134">
        <v>40101</v>
      </c>
      <c r="D6" s="134">
        <v>40131</v>
      </c>
      <c r="E6" s="134">
        <v>40161</v>
      </c>
      <c r="F6" s="134">
        <v>40191</v>
      </c>
      <c r="G6" s="134">
        <v>40221</v>
      </c>
      <c r="H6" s="134">
        <v>40251</v>
      </c>
      <c r="I6" s="134">
        <v>40281</v>
      </c>
      <c r="J6" s="134">
        <v>40311</v>
      </c>
      <c r="K6" s="134">
        <v>40341</v>
      </c>
      <c r="L6" s="134">
        <v>40371</v>
      </c>
      <c r="M6" s="134">
        <v>40401</v>
      </c>
      <c r="N6" s="49">
        <v>40431</v>
      </c>
      <c r="O6" s="49">
        <v>40461</v>
      </c>
      <c r="P6" s="49">
        <v>40491</v>
      </c>
      <c r="Q6" s="49">
        <v>40521</v>
      </c>
      <c r="R6" s="49">
        <v>40551</v>
      </c>
      <c r="S6" s="49">
        <v>40581</v>
      </c>
      <c r="T6" s="49">
        <v>40611</v>
      </c>
      <c r="U6" s="49">
        <v>40641</v>
      </c>
      <c r="V6" s="49">
        <v>40671</v>
      </c>
      <c r="W6" s="49">
        <v>40701</v>
      </c>
      <c r="X6" s="49">
        <v>40731</v>
      </c>
      <c r="Y6" s="49">
        <v>40761</v>
      </c>
      <c r="Z6" s="49">
        <v>40791</v>
      </c>
      <c r="AA6" s="49">
        <v>40821</v>
      </c>
      <c r="AB6" s="49">
        <v>40851</v>
      </c>
      <c r="AC6" s="49">
        <v>40881</v>
      </c>
      <c r="AD6" s="134">
        <v>40911</v>
      </c>
      <c r="AE6" s="134">
        <v>40941</v>
      </c>
      <c r="AF6" s="134">
        <v>40971</v>
      </c>
      <c r="AG6" s="134">
        <v>41001</v>
      </c>
      <c r="AH6" s="134">
        <v>41031</v>
      </c>
      <c r="AI6" s="134">
        <v>41061</v>
      </c>
      <c r="AJ6" s="134">
        <v>41091</v>
      </c>
      <c r="AK6" s="134">
        <v>41122</v>
      </c>
      <c r="AL6" s="134">
        <v>41153</v>
      </c>
      <c r="AM6" s="134">
        <v>41184</v>
      </c>
      <c r="AN6" s="134">
        <v>41215</v>
      </c>
      <c r="AO6" s="134">
        <v>41246</v>
      </c>
      <c r="AP6" s="134">
        <v>41277</v>
      </c>
      <c r="AQ6" s="134">
        <v>41308</v>
      </c>
      <c r="AR6" s="134">
        <v>41339</v>
      </c>
      <c r="AS6" s="134">
        <v>41370</v>
      </c>
      <c r="AT6" s="134">
        <v>41401</v>
      </c>
      <c r="AU6" s="134">
        <v>41432</v>
      </c>
      <c r="AV6" s="134">
        <v>41463</v>
      </c>
      <c r="AW6" s="134">
        <v>41494</v>
      </c>
      <c r="AX6" s="134">
        <v>41525</v>
      </c>
      <c r="AY6" s="134">
        <v>41556</v>
      </c>
      <c r="AZ6" s="134">
        <v>41587</v>
      </c>
      <c r="BA6" s="134">
        <v>41618</v>
      </c>
      <c r="BB6" s="134">
        <f t="shared" ref="BB6:BG6" si="0">+BA6+31</f>
        <v>41649</v>
      </c>
      <c r="BC6" s="134">
        <f t="shared" si="0"/>
        <v>41680</v>
      </c>
      <c r="BD6" s="134">
        <f t="shared" si="0"/>
        <v>41711</v>
      </c>
      <c r="BE6" s="134">
        <f t="shared" si="0"/>
        <v>41742</v>
      </c>
      <c r="BF6" s="134">
        <f t="shared" si="0"/>
        <v>41773</v>
      </c>
      <c r="BG6" s="134">
        <f t="shared" si="0"/>
        <v>41804</v>
      </c>
      <c r="BH6" s="134">
        <f t="shared" ref="BH6:BM6" si="1">+BG6+31</f>
        <v>41835</v>
      </c>
      <c r="BI6" s="134">
        <f t="shared" si="1"/>
        <v>41866</v>
      </c>
      <c r="BJ6" s="134">
        <f t="shared" si="1"/>
        <v>41897</v>
      </c>
      <c r="BK6" s="134">
        <f t="shared" si="1"/>
        <v>41928</v>
      </c>
      <c r="BL6" s="134">
        <f t="shared" si="1"/>
        <v>41959</v>
      </c>
      <c r="BM6" s="134">
        <f t="shared" si="1"/>
        <v>41990</v>
      </c>
      <c r="BN6" s="134">
        <v>42021</v>
      </c>
      <c r="BO6" s="134">
        <v>42052</v>
      </c>
      <c r="BP6" s="134">
        <v>42083</v>
      </c>
      <c r="BQ6" s="134">
        <v>42114</v>
      </c>
      <c r="BR6" s="134">
        <v>42145</v>
      </c>
      <c r="BS6" s="134">
        <v>42176</v>
      </c>
      <c r="BT6" s="134">
        <v>42207</v>
      </c>
      <c r="BU6" s="134">
        <v>42238</v>
      </c>
      <c r="BV6" s="134">
        <v>42269</v>
      </c>
      <c r="BW6" s="134">
        <v>42300</v>
      </c>
      <c r="BX6" s="134">
        <v>42331</v>
      </c>
      <c r="BY6" s="134">
        <v>42362</v>
      </c>
      <c r="BZ6" s="134">
        <v>42393</v>
      </c>
      <c r="CA6" s="134">
        <v>42424</v>
      </c>
      <c r="CB6" s="134">
        <v>42455</v>
      </c>
      <c r="CC6" s="134">
        <v>42486</v>
      </c>
      <c r="CD6" s="134">
        <v>42517</v>
      </c>
      <c r="CE6" s="134">
        <v>42548</v>
      </c>
      <c r="CF6" s="134">
        <f t="shared" ref="CF6:CN6" si="2">+CE6+31</f>
        <v>42579</v>
      </c>
      <c r="CG6" s="134">
        <f t="shared" si="2"/>
        <v>42610</v>
      </c>
      <c r="CH6" s="134">
        <f t="shared" si="2"/>
        <v>42641</v>
      </c>
      <c r="CI6" s="134">
        <v>42672</v>
      </c>
      <c r="CJ6" s="134">
        <v>42703</v>
      </c>
      <c r="CK6" s="134">
        <v>42734</v>
      </c>
      <c r="CL6" s="134">
        <f t="shared" si="2"/>
        <v>42765</v>
      </c>
      <c r="CM6" s="134">
        <f>+CL6+28</f>
        <v>42793</v>
      </c>
      <c r="CN6" s="134">
        <f t="shared" si="2"/>
        <v>42824</v>
      </c>
      <c r="CO6" s="134">
        <v>42855</v>
      </c>
      <c r="CP6" s="134">
        <v>42886</v>
      </c>
      <c r="CQ6" s="134">
        <v>42916</v>
      </c>
      <c r="CR6" s="134">
        <f t="shared" ref="CR6:DI6" si="3">+CQ6+30</f>
        <v>42946</v>
      </c>
      <c r="CS6" s="134">
        <f t="shared" si="3"/>
        <v>42976</v>
      </c>
      <c r="CT6" s="134">
        <f t="shared" si="3"/>
        <v>43006</v>
      </c>
      <c r="CU6" s="134">
        <f t="shared" si="3"/>
        <v>43036</v>
      </c>
      <c r="CV6" s="134">
        <f t="shared" si="3"/>
        <v>43066</v>
      </c>
      <c r="CW6" s="134">
        <f t="shared" si="3"/>
        <v>43096</v>
      </c>
      <c r="CX6" s="134">
        <f t="shared" si="3"/>
        <v>43126</v>
      </c>
      <c r="CY6" s="134">
        <f t="shared" si="3"/>
        <v>43156</v>
      </c>
      <c r="CZ6" s="134">
        <f t="shared" si="3"/>
        <v>43186</v>
      </c>
      <c r="DA6" s="134">
        <f t="shared" si="3"/>
        <v>43216</v>
      </c>
      <c r="DB6" s="134">
        <f t="shared" si="3"/>
        <v>43246</v>
      </c>
      <c r="DC6" s="134">
        <f t="shared" si="3"/>
        <v>43276</v>
      </c>
      <c r="DD6" s="134">
        <f t="shared" si="3"/>
        <v>43306</v>
      </c>
      <c r="DE6" s="134">
        <f t="shared" si="3"/>
        <v>43336</v>
      </c>
      <c r="DF6" s="134">
        <f t="shared" si="3"/>
        <v>43366</v>
      </c>
      <c r="DG6" s="134">
        <f t="shared" si="3"/>
        <v>43396</v>
      </c>
      <c r="DH6" s="134">
        <f t="shared" si="3"/>
        <v>43426</v>
      </c>
      <c r="DI6" s="134">
        <f t="shared" si="3"/>
        <v>43456</v>
      </c>
      <c r="DJ6" s="134">
        <f t="shared" ref="DJ6:DO6" si="4">+DI6+30</f>
        <v>43486</v>
      </c>
      <c r="DK6" s="134">
        <f t="shared" si="4"/>
        <v>43516</v>
      </c>
      <c r="DL6" s="134">
        <f t="shared" si="4"/>
        <v>43546</v>
      </c>
      <c r="DM6" s="134">
        <f t="shared" si="4"/>
        <v>43576</v>
      </c>
      <c r="DN6" s="134">
        <f t="shared" si="4"/>
        <v>43606</v>
      </c>
      <c r="DO6" s="134">
        <f t="shared" si="4"/>
        <v>43636</v>
      </c>
      <c r="DP6" s="134">
        <f t="shared" ref="DP6:DU6" si="5">+DO6+30</f>
        <v>43666</v>
      </c>
      <c r="DQ6" s="134">
        <f t="shared" si="5"/>
        <v>43696</v>
      </c>
      <c r="DR6" s="134">
        <f t="shared" si="5"/>
        <v>43726</v>
      </c>
      <c r="DS6" s="134">
        <f t="shared" si="5"/>
        <v>43756</v>
      </c>
      <c r="DT6" s="134">
        <f t="shared" si="5"/>
        <v>43786</v>
      </c>
      <c r="DU6" s="134">
        <f t="shared" si="5"/>
        <v>43816</v>
      </c>
      <c r="DV6" s="134">
        <f t="shared" ref="DV6:EM6" si="6">+DU6+30</f>
        <v>43846</v>
      </c>
      <c r="DW6" s="134">
        <f t="shared" si="6"/>
        <v>43876</v>
      </c>
      <c r="DX6" s="134">
        <f t="shared" si="6"/>
        <v>43906</v>
      </c>
      <c r="DY6" s="134">
        <f t="shared" si="6"/>
        <v>43936</v>
      </c>
      <c r="DZ6" s="134">
        <f t="shared" si="6"/>
        <v>43966</v>
      </c>
      <c r="EA6" s="134">
        <f t="shared" si="6"/>
        <v>43996</v>
      </c>
      <c r="EB6" s="134">
        <f t="shared" si="6"/>
        <v>44026</v>
      </c>
      <c r="EC6" s="134">
        <f t="shared" si="6"/>
        <v>44056</v>
      </c>
      <c r="ED6" s="134">
        <f t="shared" si="6"/>
        <v>44086</v>
      </c>
      <c r="EE6" s="134">
        <f t="shared" si="6"/>
        <v>44116</v>
      </c>
      <c r="EF6" s="134">
        <f t="shared" si="6"/>
        <v>44146</v>
      </c>
      <c r="EG6" s="134">
        <f t="shared" si="6"/>
        <v>44176</v>
      </c>
      <c r="EH6" s="134">
        <f t="shared" si="6"/>
        <v>44206</v>
      </c>
      <c r="EI6" s="134">
        <f t="shared" si="6"/>
        <v>44236</v>
      </c>
      <c r="EJ6" s="134">
        <f t="shared" si="6"/>
        <v>44266</v>
      </c>
      <c r="EK6" s="134">
        <f t="shared" si="6"/>
        <v>44296</v>
      </c>
      <c r="EL6" s="134">
        <f t="shared" si="6"/>
        <v>44326</v>
      </c>
      <c r="EM6" s="134">
        <f t="shared" si="6"/>
        <v>44356</v>
      </c>
      <c r="EN6" s="134">
        <f t="shared" ref="EN6:ES6" si="7">+EM6+30</f>
        <v>44386</v>
      </c>
      <c r="EO6" s="134">
        <f t="shared" si="7"/>
        <v>44416</v>
      </c>
      <c r="EP6" s="134">
        <f t="shared" si="7"/>
        <v>44446</v>
      </c>
      <c r="EQ6" s="134">
        <f t="shared" si="7"/>
        <v>44476</v>
      </c>
      <c r="ER6" s="134">
        <f t="shared" si="7"/>
        <v>44506</v>
      </c>
      <c r="ES6" s="134">
        <f t="shared" si="7"/>
        <v>44536</v>
      </c>
      <c r="ET6" s="359" t="s">
        <v>421</v>
      </c>
      <c r="EU6" s="286"/>
      <c r="EV6" s="286"/>
      <c r="EW6" s="134">
        <v>42548</v>
      </c>
      <c r="EX6" s="134">
        <v>42579</v>
      </c>
      <c r="EY6" s="134">
        <v>42610</v>
      </c>
      <c r="EZ6" s="134">
        <v>42641</v>
      </c>
      <c r="FA6" s="134">
        <v>42672</v>
      </c>
      <c r="FB6" s="134">
        <v>42703</v>
      </c>
      <c r="FC6" s="134">
        <v>42734</v>
      </c>
      <c r="FD6" s="134">
        <f t="shared" ref="FD6:GI6" si="8">+CL6</f>
        <v>42765</v>
      </c>
      <c r="FE6" s="134">
        <f t="shared" si="8"/>
        <v>42793</v>
      </c>
      <c r="FF6" s="134">
        <f t="shared" si="8"/>
        <v>42824</v>
      </c>
      <c r="FG6" s="134">
        <f t="shared" si="8"/>
        <v>42855</v>
      </c>
      <c r="FH6" s="134">
        <f t="shared" si="8"/>
        <v>42886</v>
      </c>
      <c r="FI6" s="134">
        <f t="shared" si="8"/>
        <v>42916</v>
      </c>
      <c r="FJ6" s="134">
        <f t="shared" si="8"/>
        <v>42946</v>
      </c>
      <c r="FK6" s="134">
        <f t="shared" si="8"/>
        <v>42976</v>
      </c>
      <c r="FL6" s="134">
        <f t="shared" si="8"/>
        <v>43006</v>
      </c>
      <c r="FM6" s="134">
        <f t="shared" si="8"/>
        <v>43036</v>
      </c>
      <c r="FN6" s="134">
        <f t="shared" si="8"/>
        <v>43066</v>
      </c>
      <c r="FO6" s="134">
        <f t="shared" si="8"/>
        <v>43096</v>
      </c>
      <c r="FP6" s="134">
        <f t="shared" si="8"/>
        <v>43126</v>
      </c>
      <c r="FQ6" s="134">
        <f t="shared" si="8"/>
        <v>43156</v>
      </c>
      <c r="FR6" s="134">
        <f t="shared" si="8"/>
        <v>43186</v>
      </c>
      <c r="FS6" s="134">
        <f t="shared" si="8"/>
        <v>43216</v>
      </c>
      <c r="FT6" s="134">
        <f t="shared" si="8"/>
        <v>43246</v>
      </c>
      <c r="FU6" s="134">
        <f t="shared" si="8"/>
        <v>43276</v>
      </c>
      <c r="FV6" s="134">
        <f t="shared" si="8"/>
        <v>43306</v>
      </c>
      <c r="FW6" s="134">
        <f t="shared" si="8"/>
        <v>43336</v>
      </c>
      <c r="FX6" s="134">
        <f t="shared" si="8"/>
        <v>43366</v>
      </c>
      <c r="FY6" s="134">
        <f t="shared" si="8"/>
        <v>43396</v>
      </c>
      <c r="FZ6" s="134">
        <f t="shared" si="8"/>
        <v>43426</v>
      </c>
      <c r="GA6" s="134">
        <f t="shared" si="8"/>
        <v>43456</v>
      </c>
      <c r="GB6" s="134">
        <f t="shared" si="8"/>
        <v>43486</v>
      </c>
      <c r="GC6" s="134">
        <f t="shared" si="8"/>
        <v>43516</v>
      </c>
      <c r="GD6" s="134">
        <f t="shared" si="8"/>
        <v>43546</v>
      </c>
      <c r="GE6" s="134">
        <f t="shared" si="8"/>
        <v>43576</v>
      </c>
      <c r="GF6" s="134">
        <f t="shared" si="8"/>
        <v>43606</v>
      </c>
      <c r="GG6" s="134">
        <f t="shared" si="8"/>
        <v>43636</v>
      </c>
      <c r="GH6" s="134">
        <f t="shared" si="8"/>
        <v>43666</v>
      </c>
      <c r="GI6" s="134">
        <f t="shared" si="8"/>
        <v>43696</v>
      </c>
      <c r="GJ6" s="134">
        <f t="shared" ref="GJ6:HK6" si="9">+DR6</f>
        <v>43726</v>
      </c>
      <c r="GK6" s="134">
        <f t="shared" si="9"/>
        <v>43756</v>
      </c>
      <c r="GL6" s="134">
        <f t="shared" si="9"/>
        <v>43786</v>
      </c>
      <c r="GM6" s="134">
        <f t="shared" si="9"/>
        <v>43816</v>
      </c>
      <c r="GN6" s="134">
        <f t="shared" si="9"/>
        <v>43846</v>
      </c>
      <c r="GO6" s="134">
        <f t="shared" si="9"/>
        <v>43876</v>
      </c>
      <c r="GP6" s="134">
        <f t="shared" si="9"/>
        <v>43906</v>
      </c>
      <c r="GQ6" s="134">
        <f t="shared" si="9"/>
        <v>43936</v>
      </c>
      <c r="GR6" s="134">
        <f t="shared" si="9"/>
        <v>43966</v>
      </c>
      <c r="GS6" s="134">
        <f t="shared" si="9"/>
        <v>43996</v>
      </c>
      <c r="GT6" s="134">
        <f t="shared" si="9"/>
        <v>44026</v>
      </c>
      <c r="GU6" s="134">
        <f t="shared" si="9"/>
        <v>44056</v>
      </c>
      <c r="GV6" s="134">
        <f t="shared" si="9"/>
        <v>44086</v>
      </c>
      <c r="GW6" s="134">
        <f t="shared" si="9"/>
        <v>44116</v>
      </c>
      <c r="GX6" s="134">
        <f t="shared" si="9"/>
        <v>44146</v>
      </c>
      <c r="GY6" s="134">
        <f t="shared" si="9"/>
        <v>44176</v>
      </c>
      <c r="GZ6" s="134">
        <f t="shared" si="9"/>
        <v>44206</v>
      </c>
      <c r="HA6" s="134">
        <f t="shared" si="9"/>
        <v>44236</v>
      </c>
      <c r="HB6" s="134">
        <f t="shared" si="9"/>
        <v>44266</v>
      </c>
      <c r="HC6" s="134">
        <f t="shared" si="9"/>
        <v>44296</v>
      </c>
      <c r="HD6" s="134">
        <f t="shared" si="9"/>
        <v>44326</v>
      </c>
      <c r="HE6" s="134">
        <f t="shared" si="9"/>
        <v>44356</v>
      </c>
      <c r="HF6" s="134">
        <f t="shared" si="9"/>
        <v>44386</v>
      </c>
      <c r="HG6" s="134">
        <f t="shared" si="9"/>
        <v>44416</v>
      </c>
      <c r="HH6" s="134">
        <f t="shared" si="9"/>
        <v>44446</v>
      </c>
      <c r="HI6" s="134">
        <f t="shared" si="9"/>
        <v>44476</v>
      </c>
      <c r="HJ6" s="134">
        <f t="shared" si="9"/>
        <v>44506</v>
      </c>
      <c r="HK6" s="134">
        <f t="shared" si="9"/>
        <v>44536</v>
      </c>
    </row>
    <row r="7" spans="1:235">
      <c r="A7" s="31" t="s">
        <v>216</v>
      </c>
      <c r="ET7" s="360"/>
      <c r="EU7" s="259"/>
      <c r="EV7" s="259"/>
    </row>
    <row r="8" spans="1:235" ht="15.75">
      <c r="A8" s="32"/>
      <c r="ET8" s="360"/>
      <c r="EU8" s="259"/>
      <c r="EV8" s="259"/>
    </row>
    <row r="9" spans="1:235">
      <c r="A9" s="4" t="s">
        <v>217</v>
      </c>
      <c r="ET9" s="360"/>
      <c r="EU9" s="259"/>
      <c r="EV9" s="259"/>
      <c r="HL9" s="49"/>
      <c r="HM9" s="49"/>
      <c r="HN9" s="49"/>
      <c r="HO9" s="49"/>
      <c r="HP9" s="49"/>
      <c r="HQ9" s="49"/>
      <c r="HR9" s="49"/>
      <c r="HS9" s="49"/>
      <c r="HT9" s="49"/>
      <c r="HU9" s="49"/>
      <c r="HV9" s="49"/>
      <c r="HW9" s="49"/>
      <c r="HX9" s="49"/>
      <c r="HY9" s="49"/>
      <c r="HZ9" s="49"/>
      <c r="IA9" s="49"/>
    </row>
    <row r="10" spans="1:235">
      <c r="A10" s="27" t="s">
        <v>218</v>
      </c>
      <c r="B10" s="122">
        <v>1000383.48138</v>
      </c>
      <c r="C10" s="122">
        <v>1012059.21438</v>
      </c>
      <c r="D10" s="122">
        <v>1017214.21938</v>
      </c>
      <c r="E10" s="122">
        <v>1011935.19038</v>
      </c>
      <c r="F10" s="122">
        <v>1014806.4993800001</v>
      </c>
      <c r="G10" s="122">
        <v>1016981.69238</v>
      </c>
      <c r="H10" s="122">
        <v>1019398.81438</v>
      </c>
      <c r="I10" s="122">
        <v>1021742.44138</v>
      </c>
      <c r="J10" s="122">
        <v>1024002.65238</v>
      </c>
      <c r="K10" s="122">
        <v>1025266.43938</v>
      </c>
      <c r="L10" s="122">
        <v>1028407.73338</v>
      </c>
      <c r="M10" s="122">
        <v>1033631.6613799999</v>
      </c>
      <c r="N10" s="122">
        <v>1035786.32138</v>
      </c>
      <c r="O10" s="122">
        <v>1039181</v>
      </c>
      <c r="P10" s="122">
        <v>1043147</v>
      </c>
      <c r="Q10" s="122">
        <v>1055319</v>
      </c>
      <c r="R10" s="122">
        <v>1057598</v>
      </c>
      <c r="S10" s="122">
        <v>1064198</v>
      </c>
      <c r="T10" s="122">
        <v>1070054</v>
      </c>
      <c r="U10" s="122">
        <v>1073172</v>
      </c>
      <c r="V10" s="122">
        <v>1074248</v>
      </c>
      <c r="W10" s="122">
        <v>1074763</v>
      </c>
      <c r="X10" s="122">
        <v>1077492</v>
      </c>
      <c r="Y10" s="122">
        <v>1082396</v>
      </c>
      <c r="Z10" s="122">
        <v>1084837</v>
      </c>
      <c r="AA10" s="122">
        <v>1089187</v>
      </c>
      <c r="AB10" s="122">
        <v>1096122</v>
      </c>
      <c r="AC10" s="122">
        <v>1108506.2919999999</v>
      </c>
      <c r="AD10" s="122">
        <v>1110081</v>
      </c>
      <c r="AE10" s="122">
        <v>1116674</v>
      </c>
      <c r="AF10" s="122">
        <v>1123256</v>
      </c>
      <c r="AG10" s="122">
        <v>1127395</v>
      </c>
      <c r="AH10" s="122">
        <v>1130162</v>
      </c>
      <c r="AI10" s="122">
        <v>1135775.2035000001</v>
      </c>
      <c r="AJ10" s="122">
        <v>1139817.28746</v>
      </c>
      <c r="AK10" s="122">
        <v>1148042.3178000001</v>
      </c>
      <c r="AL10" s="122">
        <v>1153638.7448400001</v>
      </c>
      <c r="AM10" s="238">
        <v>1163197.1286299999</v>
      </c>
      <c r="AN10" s="238">
        <v>1164617.1001599997</v>
      </c>
      <c r="AO10" s="238">
        <v>1165832.96612</v>
      </c>
      <c r="AP10" s="238">
        <v>1191695.0202299999</v>
      </c>
      <c r="AQ10" s="238">
        <v>1194713.3135599999</v>
      </c>
      <c r="AR10" s="238">
        <v>1197983.8481800002</v>
      </c>
      <c r="AS10" s="298">
        <v>1208554.98621</v>
      </c>
      <c r="AT10" s="298">
        <v>1211055.01241</v>
      </c>
      <c r="AU10" s="298">
        <v>1212829.19606</v>
      </c>
      <c r="AV10" s="298">
        <v>1213837.9348500001</v>
      </c>
      <c r="AW10" s="298">
        <v>1219378.6431</v>
      </c>
      <c r="AX10" s="298">
        <v>1221911.6483400001</v>
      </c>
      <c r="AY10" s="288">
        <v>1231799.79073</v>
      </c>
      <c r="AZ10" s="288">
        <v>1234926.7785100001</v>
      </c>
      <c r="BA10" s="403">
        <v>1243593.91653</v>
      </c>
      <c r="BB10" s="403">
        <v>1241152.2440299999</v>
      </c>
      <c r="BC10" s="403">
        <v>1243192.35277</v>
      </c>
      <c r="BD10" s="403">
        <v>1247629.61157</v>
      </c>
      <c r="BE10" s="403">
        <v>1253713.2153999999</v>
      </c>
      <c r="BF10" s="403">
        <v>1257097.21006</v>
      </c>
      <c r="BG10" s="288">
        <v>1259695.8877000001</v>
      </c>
      <c r="BH10" s="288">
        <v>1270534.1354099999</v>
      </c>
      <c r="BI10" s="288">
        <v>1275271.2673699998</v>
      </c>
      <c r="BJ10" s="288">
        <v>1280761.19805</v>
      </c>
      <c r="BK10" s="288">
        <v>1290475.8940399999</v>
      </c>
      <c r="BL10" s="288">
        <v>1296307.4943499998</v>
      </c>
      <c r="BM10" s="288">
        <v>1302933.0566</v>
      </c>
      <c r="BN10" s="288">
        <v>1307842.7940100001</v>
      </c>
      <c r="BO10" s="288">
        <v>1308613.10653</v>
      </c>
      <c r="BP10" s="288">
        <v>1312708.80837</v>
      </c>
      <c r="BQ10" s="288">
        <v>1328279.1166700001</v>
      </c>
      <c r="BR10" s="288">
        <v>1336152.5351100001</v>
      </c>
      <c r="BS10" s="288">
        <v>1353060.9158300001</v>
      </c>
      <c r="BT10" s="288">
        <v>1356619.9553400001</v>
      </c>
      <c r="BU10" s="288">
        <v>1360371.1220799999</v>
      </c>
      <c r="BV10" s="288">
        <v>1367547.4531599998</v>
      </c>
      <c r="BW10" s="288">
        <v>1373196.6223300002</v>
      </c>
      <c r="BX10" s="288">
        <v>1381752.1126399999</v>
      </c>
      <c r="BY10" s="288">
        <v>1392247.9954000001</v>
      </c>
      <c r="BZ10" s="288">
        <v>1402416.7175799999</v>
      </c>
      <c r="CA10" s="288">
        <v>1407641.41622</v>
      </c>
      <c r="CB10" s="288">
        <v>1412890.3059700001</v>
      </c>
      <c r="CC10" s="288">
        <v>1418939.5344799999</v>
      </c>
      <c r="CD10" s="288">
        <v>1422503.3082900001</v>
      </c>
      <c r="CE10" s="507">
        <v>1448413.4322600001</v>
      </c>
      <c r="CF10" s="507">
        <v>1456443.11534</v>
      </c>
      <c r="CG10" s="507">
        <v>1463500.57975</v>
      </c>
      <c r="CH10" s="507">
        <v>1467566.9068499999</v>
      </c>
      <c r="CI10" s="507">
        <v>1484557.5321499999</v>
      </c>
      <c r="CJ10" s="507">
        <v>1491840.2966299998</v>
      </c>
      <c r="CK10" s="507">
        <v>1507435.70845</v>
      </c>
      <c r="CL10" s="507">
        <v>1516479.3960599999</v>
      </c>
      <c r="CM10" s="507">
        <v>1522482.59812</v>
      </c>
      <c r="CN10" s="507">
        <v>1532923.7282799999</v>
      </c>
      <c r="CO10" s="507">
        <v>1538485.7622700001</v>
      </c>
      <c r="CP10" s="507">
        <v>1544475.81485</v>
      </c>
      <c r="CQ10" s="507">
        <v>1550986.0935799999</v>
      </c>
      <c r="CR10" s="507">
        <v>1558211.3684700001</v>
      </c>
      <c r="CS10" s="507">
        <v>1568715.7838200002</v>
      </c>
      <c r="CT10" s="507">
        <v>1583973.7129200001</v>
      </c>
      <c r="CU10" s="507">
        <v>1594889.40692</v>
      </c>
      <c r="CV10" s="507">
        <v>1602746.9758200003</v>
      </c>
      <c r="CW10" s="507">
        <v>1613151.6469700001</v>
      </c>
      <c r="CX10" s="507">
        <v>1626036.6806799998</v>
      </c>
      <c r="CY10" s="507">
        <v>1633022.50082</v>
      </c>
      <c r="CZ10" s="507">
        <v>1644964.51902</v>
      </c>
      <c r="DA10" s="507">
        <v>1652084.33185</v>
      </c>
      <c r="DB10" s="507">
        <v>1668298.5418</v>
      </c>
      <c r="DC10" s="507">
        <v>1675825.4123499999</v>
      </c>
      <c r="DD10" s="507">
        <v>1684329.0998600002</v>
      </c>
      <c r="DE10" s="507">
        <v>1694202.0364999999</v>
      </c>
      <c r="DF10" s="507">
        <v>1701086.99468</v>
      </c>
      <c r="DG10" s="507">
        <v>1712322.8655000001</v>
      </c>
      <c r="DH10" s="507">
        <v>1738754.2584599999</v>
      </c>
      <c r="DI10" s="507">
        <v>1762065.90906</v>
      </c>
      <c r="DJ10" s="507">
        <v>1774055.2858499999</v>
      </c>
      <c r="DK10" s="507">
        <v>1792772.51712</v>
      </c>
      <c r="DL10" s="507">
        <v>1809184.9008500001</v>
      </c>
      <c r="DM10" s="507">
        <v>1821273.9876299999</v>
      </c>
      <c r="DN10" s="507">
        <v>1834439.00239</v>
      </c>
      <c r="DO10" s="507">
        <v>1850083.69731</v>
      </c>
      <c r="DP10" s="507">
        <v>1862268.7733399998</v>
      </c>
      <c r="DQ10" s="507">
        <v>1870726.0528199999</v>
      </c>
      <c r="DR10" s="507">
        <v>1889758.3285300001</v>
      </c>
      <c r="DS10" s="507">
        <v>1900765.04259</v>
      </c>
      <c r="DT10" s="507">
        <v>1924455.1345200001</v>
      </c>
      <c r="DU10" s="507">
        <v>1940875.5429699998</v>
      </c>
      <c r="DV10" s="507">
        <v>1950239.5700700001</v>
      </c>
      <c r="DW10" s="507">
        <v>1964551.3654700001</v>
      </c>
      <c r="DX10" s="507">
        <v>1982872.32278</v>
      </c>
      <c r="DY10" s="507">
        <v>1996012.2223</v>
      </c>
      <c r="DZ10" s="507">
        <v>2008227.86421</v>
      </c>
      <c r="EA10" s="507">
        <v>2022803.4492200001</v>
      </c>
      <c r="EB10" s="507">
        <v>2033865.6456100002</v>
      </c>
      <c r="EC10" s="507">
        <v>2053556.69197</v>
      </c>
      <c r="ED10" s="507">
        <v>2069622.9344300001</v>
      </c>
      <c r="EE10" s="507">
        <v>2147906.9921900001</v>
      </c>
      <c r="EF10" s="507">
        <v>2168569.5812599999</v>
      </c>
      <c r="EG10" s="507">
        <v>2190266.0963099999</v>
      </c>
      <c r="EH10" s="507">
        <v>2210640.8616399998</v>
      </c>
      <c r="EI10" s="507">
        <v>2218263.1992799998</v>
      </c>
      <c r="EJ10" s="507">
        <v>2237535.2581700003</v>
      </c>
      <c r="EK10" s="507">
        <v>2312458.6691000001</v>
      </c>
      <c r="EL10" s="507">
        <v>2326859.5079699997</v>
      </c>
      <c r="EM10" s="507">
        <v>2339306.6069899998</v>
      </c>
      <c r="EN10" s="507">
        <v>2349282.6089499998</v>
      </c>
      <c r="EO10" s="507">
        <v>2360423.2762099998</v>
      </c>
      <c r="EP10" s="507">
        <v>2370466.1430699998</v>
      </c>
      <c r="EQ10" s="507">
        <f>(VLOOKUP("101",'Input BS ACCTS'!$A$5:$DD$1052,98,FALSE)+VLOOKUP("104",'Input BS ACCTS'!$A$5:$DD$1052,98,FALSE)+VLOOKUP("106",'Input BS ACCTS'!$A$5:$DD$1052,98,FALSE))/1000</f>
        <v>2381121.9106900003</v>
      </c>
      <c r="ER10" s="507">
        <f>(VLOOKUP("101",'Input BS ACCTS'!$A$5:$DD$1052,99,FALSE)+VLOOKUP("104",'Input BS ACCTS'!$A$5:$DD$1052,99,FALSE)+VLOOKUP("106",'Input BS ACCTS'!$A$5:$DD$1052,99,FALSE))/1000</f>
        <v>2455392.2096199999</v>
      </c>
      <c r="ES10" s="507">
        <f>(VLOOKUP("101",'Input BS ACCTS'!$A$5:$DD$1052,100,FALSE)+VLOOKUP("104",'Input BS ACCTS'!$A$5:$DD$1052,100,FALSE)+VLOOKUP("106",'Input BS ACCTS'!$A$5:$DD$1052,100,FALSE))/1000</f>
        <v>2478715.9542</v>
      </c>
      <c r="ET10" s="467">
        <f>SUM(EG10:ES10)/13</f>
        <v>2325440.9463230767</v>
      </c>
      <c r="EU10" s="801"/>
      <c r="EV10" s="801"/>
      <c r="EW10" s="509">
        <v>-7851.9769999999999</v>
      </c>
      <c r="EX10" s="509">
        <v>-7851.9769999999999</v>
      </c>
      <c r="EY10" s="509">
        <v>-7851.9769999999999</v>
      </c>
      <c r="EZ10" s="509">
        <v>-7851.9769999999999</v>
      </c>
      <c r="FA10" s="509">
        <v>-7851.9769999999999</v>
      </c>
      <c r="FB10" s="509">
        <v>-10596.977000000001</v>
      </c>
      <c r="FC10" s="509">
        <v>-10596.977000000001</v>
      </c>
      <c r="FD10" s="509">
        <f>+'Input BS ACCTS'!AO7/1000</f>
        <v>-10596.977000000001</v>
      </c>
      <c r="FE10" s="509">
        <f>+'Input BS ACCTS'!AP7/1000</f>
        <v>-10596.977000000001</v>
      </c>
      <c r="FF10" s="509">
        <f>+'Input BS ACCTS'!AQ7/1000</f>
        <v>-10596.977000000001</v>
      </c>
      <c r="FG10" s="509">
        <f>+'Input BS ACCTS'!AR7/1000</f>
        <v>-10596.977000000001</v>
      </c>
      <c r="FH10" s="509">
        <f>+'Input BS ACCTS'!AS7/1000</f>
        <v>-10596.977000000001</v>
      </c>
      <c r="FI10" s="509">
        <f>+'Input BS ACCTS'!AT7/1000</f>
        <v>-10596.977000000001</v>
      </c>
      <c r="FJ10" s="509">
        <f>+'Input BS ACCTS'!AU7/1000</f>
        <v>-10596.977000000001</v>
      </c>
      <c r="FK10" s="509">
        <f>+'Input BS ACCTS'!AV7/1000</f>
        <v>-10596.977000000001</v>
      </c>
      <c r="FL10" s="509">
        <f>+'Input BS ACCTS'!AW7/1000</f>
        <v>-10596.977000000001</v>
      </c>
      <c r="FM10" s="509">
        <f>+'Input BS ACCTS'!AX7/1000</f>
        <v>-10596.977000000001</v>
      </c>
      <c r="FN10" s="509">
        <f>+'Input BS ACCTS'!AY7/1000</f>
        <v>-10596.977000000001</v>
      </c>
      <c r="FO10" s="509">
        <f>+'Input BS ACCTS'!AZ7/1000</f>
        <v>-10596.977000000001</v>
      </c>
      <c r="FP10" s="509">
        <f>+'Input BS ACCTS'!BA7/1000</f>
        <v>-10596.977000000001</v>
      </c>
      <c r="FQ10" s="509">
        <f>+'Input BS ACCTS'!BB7/1000</f>
        <v>-10596.977000000001</v>
      </c>
      <c r="FR10" s="509">
        <f>+'Input BS ACCTS'!BC7/1000</f>
        <v>-10596.977000000001</v>
      </c>
      <c r="FS10" s="509">
        <f>+'Input BS ACCTS'!BD7/1000</f>
        <v>-10596.977000000001</v>
      </c>
      <c r="FT10" s="509">
        <f>+'Input BS ACCTS'!BE7/1000</f>
        <v>-10596.977000000001</v>
      </c>
      <c r="FU10" s="509">
        <f>+'Input BS ACCTS'!BF7/1000</f>
        <v>-10596.977000000001</v>
      </c>
      <c r="FV10" s="509">
        <f>+'Input BS ACCTS'!BG7/1000</f>
        <v>-10596.977000000001</v>
      </c>
      <c r="FW10" s="509">
        <f>+'Input BS ACCTS'!BH7/1000</f>
        <v>-10596.977000000001</v>
      </c>
      <c r="FX10" s="509">
        <f>+'Input BS ACCTS'!BI7/1000</f>
        <v>-10596.977000000001</v>
      </c>
      <c r="FY10" s="509">
        <f>+'Input BS ACCTS'!BJ7/1000</f>
        <v>-10596.977000000001</v>
      </c>
      <c r="FZ10" s="509">
        <f>+'Input BS ACCTS'!BK7/1000</f>
        <v>-10596.977000000001</v>
      </c>
      <c r="GA10" s="509">
        <f>+'Input BS ACCTS'!BL7/1000</f>
        <v>-10596.977000000001</v>
      </c>
      <c r="GB10" s="509">
        <f>+'Input BS ACCTS'!BM7/1000</f>
        <v>-10596.977000000001</v>
      </c>
      <c r="GC10" s="509">
        <f>+'Input BS ACCTS'!BN7/1000</f>
        <v>-10596.977000000001</v>
      </c>
      <c r="GD10" s="509">
        <f>+'Input BS ACCTS'!BO7/1000</f>
        <v>-10596.977000000001</v>
      </c>
      <c r="GE10" s="509">
        <f>+'Input BS ACCTS'!BP7/1000</f>
        <v>-10596.977000000001</v>
      </c>
      <c r="GF10" s="509">
        <f>+'Input BS ACCTS'!BQ7/1000</f>
        <v>-10596.977000000001</v>
      </c>
      <c r="GG10" s="509">
        <f>+'Input BS ACCTS'!BR7/1000</f>
        <v>-10596.977000000001</v>
      </c>
      <c r="GH10" s="509">
        <f>+'Input BS ACCTS'!BS7/1000</f>
        <v>-10596.977000000001</v>
      </c>
      <c r="GI10" s="509">
        <f>+'Input BS ACCTS'!BT7/1000</f>
        <v>-10596.977000000001</v>
      </c>
      <c r="GJ10" s="509">
        <f>+'Input BS ACCTS'!BU7/1000</f>
        <v>-10596.977000000001</v>
      </c>
      <c r="GK10" s="509">
        <f>+'Input BS ACCTS'!BV7/1000</f>
        <v>-10596.977000000001</v>
      </c>
      <c r="GL10" s="509">
        <f>+'Input BS ACCTS'!BW7/1000</f>
        <v>-10596.977000000001</v>
      </c>
      <c r="GM10" s="509">
        <f>+'Input BS ACCTS'!BX7/1000</f>
        <v>-10596.977000000001</v>
      </c>
      <c r="GN10" s="509">
        <f>+'Input BS ACCTS'!BY7/1000</f>
        <v>-10596.977000000001</v>
      </c>
      <c r="GO10" s="509">
        <f>+'Input BS ACCTS'!BZ7/1000</f>
        <v>-10596.977000000001</v>
      </c>
      <c r="GP10" s="509">
        <f>+'Input BS ACCTS'!CA7/1000</f>
        <v>-10596.977000000001</v>
      </c>
      <c r="GQ10" s="509">
        <f>+'Input BS ACCTS'!CB7/1000</f>
        <v>-10596.977000000001</v>
      </c>
      <c r="GR10" s="509">
        <f>+'Input BS ACCTS'!CC7/1000</f>
        <v>-10596.977000000001</v>
      </c>
      <c r="GS10" s="509">
        <f>+'Input BS ACCTS'!CD7/1000</f>
        <v>-10596.977000000001</v>
      </c>
      <c r="GT10" s="509">
        <f>+'Input BS ACCTS'!CE7/1000</f>
        <v>-10596.977000000001</v>
      </c>
      <c r="GU10" s="509">
        <f>+'Input BS ACCTS'!CF7/1000</f>
        <v>-10596.977000000001</v>
      </c>
      <c r="GV10" s="509">
        <f>+'Input BS ACCTS'!CG7/1000</f>
        <v>-10596.977000000001</v>
      </c>
      <c r="GW10" s="509">
        <f>+'Input BS ACCTS'!CH7/1000</f>
        <v>-10596.977000000001</v>
      </c>
      <c r="GX10" s="509">
        <f>+'Input BS ACCTS'!CI7/1000</f>
        <v>-10596.977000000001</v>
      </c>
      <c r="GY10" s="509">
        <f>+'Input BS ACCTS'!CJ7/1000</f>
        <v>-10596.977000000001</v>
      </c>
      <c r="GZ10" s="509">
        <f>+'Input BS ACCTS'!CK7/1000</f>
        <v>-10596.977000000001</v>
      </c>
      <c r="HA10" s="509">
        <f>+'Input BS ACCTS'!CL7/1000</f>
        <v>-10596.977000000001</v>
      </c>
      <c r="HB10" s="509">
        <f>+'Input BS ACCTS'!CM7/1000</f>
        <v>-10596.977000000001</v>
      </c>
      <c r="HC10" s="509">
        <f>+'Input BS ACCTS'!CN7/1000</f>
        <v>-10596.977000000001</v>
      </c>
      <c r="HD10" s="509">
        <f>+'Input BS ACCTS'!CO7/1000</f>
        <v>-10596.977000000001</v>
      </c>
      <c r="HE10" s="509">
        <f>+'Input BS ACCTS'!CP7/1000</f>
        <v>-10596.977000000001</v>
      </c>
      <c r="HF10" s="509">
        <f>+'Input BS ACCTS'!CQ7/1000</f>
        <v>-10596.977000000001</v>
      </c>
      <c r="HG10" s="509">
        <f>+'Input BS ACCTS'!CR7/1000</f>
        <v>-10596.977000000001</v>
      </c>
      <c r="HH10" s="509">
        <f>+'Input BS ACCTS'!CS7/1000</f>
        <v>-10596.977000000001</v>
      </c>
      <c r="HI10" s="509">
        <f>+'Input BS ACCTS'!CT7/1000</f>
        <v>-10596.977000000001</v>
      </c>
      <c r="HJ10" s="509">
        <f>+'Input BS ACCTS'!CU7/1000</f>
        <v>-10596.977000000001</v>
      </c>
      <c r="HK10" s="509">
        <f>+'Input BS ACCTS'!CV7/1000</f>
        <v>-10596.977000000001</v>
      </c>
      <c r="HL10" s="515" t="s">
        <v>1688</v>
      </c>
      <c r="HM10" s="513">
        <v>1040001</v>
      </c>
      <c r="HN10" s="217"/>
      <c r="HO10" s="35"/>
      <c r="HP10" s="35"/>
      <c r="HQ10" s="35"/>
      <c r="HR10" s="35"/>
      <c r="HS10" s="35"/>
      <c r="HT10" s="35"/>
      <c r="HU10" s="35"/>
      <c r="HV10" s="35"/>
      <c r="HW10" s="35"/>
      <c r="HX10" s="35"/>
      <c r="HY10" s="35"/>
      <c r="HZ10" s="35"/>
      <c r="IA10" s="35"/>
    </row>
    <row r="11" spans="1:235">
      <c r="A11" s="27" t="s">
        <v>219</v>
      </c>
      <c r="B11" s="121">
        <v>228.95468</v>
      </c>
      <c r="C11" s="121">
        <v>228.95468</v>
      </c>
      <c r="D11" s="121">
        <v>228.95468</v>
      </c>
      <c r="E11" s="121">
        <v>228.95468</v>
      </c>
      <c r="F11" s="121">
        <v>228.95468</v>
      </c>
      <c r="G11" s="121">
        <v>228.95468</v>
      </c>
      <c r="H11" s="121">
        <v>228.95468</v>
      </c>
      <c r="I11" s="121">
        <v>228.95468</v>
      </c>
      <c r="J11" s="121">
        <v>228.95468</v>
      </c>
      <c r="K11" s="121">
        <v>228.95468</v>
      </c>
      <c r="L11" s="121">
        <v>228.95468</v>
      </c>
      <c r="M11" s="121">
        <v>228.95468</v>
      </c>
      <c r="N11" s="121">
        <v>228.95468</v>
      </c>
      <c r="O11" s="121">
        <v>229</v>
      </c>
      <c r="P11" s="121">
        <v>229</v>
      </c>
      <c r="Q11" s="121">
        <v>229</v>
      </c>
      <c r="R11" s="121">
        <v>229</v>
      </c>
      <c r="S11" s="121">
        <v>229</v>
      </c>
      <c r="T11" s="121">
        <v>229</v>
      </c>
      <c r="U11" s="121">
        <v>229</v>
      </c>
      <c r="V11" s="121">
        <v>229</v>
      </c>
      <c r="W11" s="121">
        <v>229</v>
      </c>
      <c r="X11" s="121">
        <v>229</v>
      </c>
      <c r="Y11" s="121">
        <v>229</v>
      </c>
      <c r="Z11" s="121">
        <v>229</v>
      </c>
      <c r="AA11" s="121">
        <v>229</v>
      </c>
      <c r="AB11" s="121">
        <v>229</v>
      </c>
      <c r="AC11" s="121">
        <v>228.95500000000001</v>
      </c>
      <c r="AD11" s="121">
        <v>229</v>
      </c>
      <c r="AE11" s="121">
        <v>229</v>
      </c>
      <c r="AF11" s="121">
        <v>229</v>
      </c>
      <c r="AG11" s="121">
        <v>229</v>
      </c>
      <c r="AH11" s="121">
        <v>229</v>
      </c>
      <c r="AI11" s="121">
        <v>228.95468</v>
      </c>
      <c r="AJ11" s="121">
        <v>228.95468</v>
      </c>
      <c r="AK11" s="121">
        <v>228.95468</v>
      </c>
      <c r="AL11" s="121">
        <v>228.95468</v>
      </c>
      <c r="AM11" s="213">
        <v>228.95468</v>
      </c>
      <c r="AN11" s="213">
        <v>228.95468</v>
      </c>
      <c r="AO11" s="213">
        <v>228.95468</v>
      </c>
      <c r="AP11" s="213">
        <v>228.95468</v>
      </c>
      <c r="AQ11" s="213">
        <v>228.95468</v>
      </c>
      <c r="AR11" s="213">
        <v>228.95468</v>
      </c>
      <c r="AS11" s="299">
        <v>228.95468</v>
      </c>
      <c r="AT11" s="301">
        <v>228.95468</v>
      </c>
      <c r="AU11" s="213">
        <v>228.95468</v>
      </c>
      <c r="AV11" s="213">
        <v>228.95468</v>
      </c>
      <c r="AW11" s="213">
        <v>228.95468</v>
      </c>
      <c r="AX11" s="213">
        <v>228.95468</v>
      </c>
      <c r="AY11" s="243">
        <v>228.95468</v>
      </c>
      <c r="AZ11" s="243">
        <v>228.95468</v>
      </c>
      <c r="BA11" s="387">
        <v>1937.5744499999998</v>
      </c>
      <c r="BB11" s="387">
        <v>1939.5515500000001</v>
      </c>
      <c r="BC11" s="387">
        <v>1939.5515500000001</v>
      </c>
      <c r="BD11" s="387">
        <v>2983.0163600000001</v>
      </c>
      <c r="BE11" s="387">
        <v>2983.0163600000001</v>
      </c>
      <c r="BF11" s="387">
        <v>2983.0163600000001</v>
      </c>
      <c r="BG11" s="243">
        <v>2983.0163600000001</v>
      </c>
      <c r="BH11" s="243">
        <v>2983.0163600000001</v>
      </c>
      <c r="BI11" s="243">
        <v>2983.0163600000001</v>
      </c>
      <c r="BJ11" s="243">
        <v>2983.0163600000001</v>
      </c>
      <c r="BK11" s="243">
        <v>2983.0669900000003</v>
      </c>
      <c r="BL11" s="243">
        <v>2983.0669900000003</v>
      </c>
      <c r="BM11" s="243">
        <v>2984.6337899999999</v>
      </c>
      <c r="BN11" s="243">
        <v>2984.6337899999999</v>
      </c>
      <c r="BO11" s="243">
        <v>2984.6337899999999</v>
      </c>
      <c r="BP11" s="243">
        <v>2984.6337899999999</v>
      </c>
      <c r="BQ11" s="243">
        <v>2984.6337899999999</v>
      </c>
      <c r="BR11" s="243">
        <v>2984.6337899999999</v>
      </c>
      <c r="BS11" s="243">
        <v>1939.5515500000001</v>
      </c>
      <c r="BT11" s="243">
        <v>1939.5515500000001</v>
      </c>
      <c r="BU11" s="243">
        <v>1939.5515500000001</v>
      </c>
      <c r="BV11" s="243">
        <v>1939.5515500000001</v>
      </c>
      <c r="BW11" s="243">
        <v>1939.5515500000001</v>
      </c>
      <c r="BX11" s="243">
        <v>1939.5515500000001</v>
      </c>
      <c r="BY11" s="243">
        <v>1939.5515500000001</v>
      </c>
      <c r="BZ11" s="243">
        <v>1939.5515500000001</v>
      </c>
      <c r="CA11" s="243">
        <v>1939.5515500000001</v>
      </c>
      <c r="CB11" s="243">
        <v>1939.5515500000001</v>
      </c>
      <c r="CC11" s="243">
        <v>1939.5515500000001</v>
      </c>
      <c r="CD11" s="243">
        <v>1939.5515500000001</v>
      </c>
      <c r="CE11" s="243">
        <v>1939.5515500000001</v>
      </c>
      <c r="CF11" s="243">
        <v>1939.5515500000001</v>
      </c>
      <c r="CG11" s="243">
        <v>1939.5515500000001</v>
      </c>
      <c r="CH11" s="243">
        <v>1939.5515500000001</v>
      </c>
      <c r="CI11" s="243">
        <v>1939.5515500000001</v>
      </c>
      <c r="CJ11" s="243">
        <v>1939.5515500000001</v>
      </c>
      <c r="CK11" s="243">
        <v>1939.5515500000001</v>
      </c>
      <c r="CL11" s="243">
        <v>1939.5515500000001</v>
      </c>
      <c r="CM11" s="243">
        <v>1939.5515500000001</v>
      </c>
      <c r="CN11" s="243">
        <v>1939.5515500000001</v>
      </c>
      <c r="CO11" s="243">
        <v>1939.5515500000001</v>
      </c>
      <c r="CP11" s="243">
        <v>1939.5515500000001</v>
      </c>
      <c r="CQ11" s="243">
        <v>1939.5515500000001</v>
      </c>
      <c r="CR11" s="243">
        <v>1939.5515500000001</v>
      </c>
      <c r="CS11" s="243">
        <v>1939.5515500000001</v>
      </c>
      <c r="CT11" s="243">
        <v>1939.5515500000001</v>
      </c>
      <c r="CU11" s="243">
        <v>1939.5515500000001</v>
      </c>
      <c r="CV11" s="243">
        <v>1939.5515500000001</v>
      </c>
      <c r="CW11" s="243">
        <v>1939.5515500000001</v>
      </c>
      <c r="CX11" s="243">
        <v>1939.5515500000001</v>
      </c>
      <c r="CY11" s="243">
        <v>1939.5515500000001</v>
      </c>
      <c r="CZ11" s="243">
        <v>1939.5515500000001</v>
      </c>
      <c r="DA11" s="243">
        <v>1939.5515500000001</v>
      </c>
      <c r="DB11" s="243">
        <v>1939.5515500000001</v>
      </c>
      <c r="DC11" s="243">
        <v>1939.5515500000001</v>
      </c>
      <c r="DD11" s="243">
        <v>1939.5515500000001</v>
      </c>
      <c r="DE11" s="243">
        <v>1939.5515500000001</v>
      </c>
      <c r="DF11" s="243">
        <v>1939.5515500000001</v>
      </c>
      <c r="DG11" s="243">
        <v>1939.5515500000001</v>
      </c>
      <c r="DH11" s="243">
        <v>1939.5515500000001</v>
      </c>
      <c r="DI11" s="243">
        <v>1939.5515500000001</v>
      </c>
      <c r="DJ11" s="243">
        <v>1939.5515500000001</v>
      </c>
      <c r="DK11" s="243">
        <v>1939.5515500000001</v>
      </c>
      <c r="DL11" s="243">
        <v>1939.5515500000001</v>
      </c>
      <c r="DM11" s="243">
        <v>1939.5515500000001</v>
      </c>
      <c r="DN11" s="243">
        <v>1939.5515500000001</v>
      </c>
      <c r="DO11" s="243">
        <v>1939.5515500000001</v>
      </c>
      <c r="DP11" s="243">
        <v>1939.5515500000001</v>
      </c>
      <c r="DQ11" s="243">
        <v>1939.5515500000001</v>
      </c>
      <c r="DR11" s="243">
        <v>1939.5515500000001</v>
      </c>
      <c r="DS11" s="243">
        <v>1939.5515500000001</v>
      </c>
      <c r="DT11" s="243">
        <v>1939.5515500000001</v>
      </c>
      <c r="DU11" s="243">
        <v>1939.5515500000001</v>
      </c>
      <c r="DV11" s="243">
        <v>1939.5515500000001</v>
      </c>
      <c r="DW11" s="243">
        <v>1939.5515500000001</v>
      </c>
      <c r="DX11" s="243">
        <v>1939.5515500000001</v>
      </c>
      <c r="DY11" s="243">
        <v>1939.5515500000001</v>
      </c>
      <c r="DZ11" s="243">
        <v>1939.5515500000001</v>
      </c>
      <c r="EA11" s="243">
        <v>1939.5515500000001</v>
      </c>
      <c r="EB11" s="243">
        <v>1939.5515500000001</v>
      </c>
      <c r="EC11" s="243">
        <v>1939.5515500000001</v>
      </c>
      <c r="ED11" s="243">
        <v>1939.5515500000001</v>
      </c>
      <c r="EE11" s="243">
        <v>1939.5515500000001</v>
      </c>
      <c r="EF11" s="243">
        <v>1939.5515500000001</v>
      </c>
      <c r="EG11" s="243">
        <v>1939.5515500000001</v>
      </c>
      <c r="EH11" s="243">
        <v>1939.5515500000001</v>
      </c>
      <c r="EI11" s="243">
        <v>1939.5515500000001</v>
      </c>
      <c r="EJ11" s="243">
        <v>1939.5515500000001</v>
      </c>
      <c r="EK11" s="243">
        <v>1939.5515500000001</v>
      </c>
      <c r="EL11" s="243">
        <v>1939.5515500000001</v>
      </c>
      <c r="EM11" s="243">
        <v>1939.5515500000001</v>
      </c>
      <c r="EN11" s="243">
        <v>1939.5515500000001</v>
      </c>
      <c r="EO11" s="243">
        <v>1939.5515500000001</v>
      </c>
      <c r="EP11" s="243">
        <v>1939.5515500000001</v>
      </c>
      <c r="EQ11" s="243">
        <f>(VLOOKUP("105",'Input BS ACCTS'!$A$5:$DD$1052,98,FALSE)+VLOOKUP("121",'Input BS ACCTS'!$A$5:$DD$1052,98,FALSE))/1000</f>
        <v>1939.5515500000001</v>
      </c>
      <c r="ER11" s="243">
        <f>(VLOOKUP("105",'Input BS ACCTS'!$A$5:$DD$1052,99,FALSE)+VLOOKUP("121",'Input BS ACCTS'!$A$5:$DD$1052,99,FALSE))/1000</f>
        <v>1939.5515500000001</v>
      </c>
      <c r="ES11" s="243">
        <f>(VLOOKUP("105",'Input BS ACCTS'!$A$5:$DD$1052,100,FALSE)+VLOOKUP("121",'Input BS ACCTS'!$A$5:$DD$1052,100,FALSE))/1000</f>
        <v>1939.5515500000001</v>
      </c>
      <c r="ET11" s="467">
        <f>SUM(EG11:ES11)/13</f>
        <v>1939.5515500000001</v>
      </c>
      <c r="EU11" s="801"/>
      <c r="EV11" s="801"/>
      <c r="HL11" s="35"/>
      <c r="HM11" s="253"/>
      <c r="HN11" s="217"/>
      <c r="HO11" s="35"/>
      <c r="HP11" s="35"/>
      <c r="HQ11" s="35"/>
      <c r="HR11" s="35"/>
      <c r="HS11" s="35"/>
      <c r="HT11" s="35"/>
      <c r="HU11" s="35"/>
      <c r="HV11" s="35"/>
      <c r="HW11" s="35"/>
      <c r="HX11" s="35"/>
      <c r="HY11" s="35"/>
      <c r="HZ11" s="35"/>
      <c r="IA11" s="35"/>
    </row>
    <row r="12" spans="1:235">
      <c r="A12" s="27" t="s">
        <v>4</v>
      </c>
      <c r="B12" s="121">
        <v>21076.176379999997</v>
      </c>
      <c r="C12" s="121">
        <v>11287.265379999999</v>
      </c>
      <c r="D12" s="121">
        <v>9161.8203799999992</v>
      </c>
      <c r="E12" s="121">
        <v>10548.024379999999</v>
      </c>
      <c r="F12" s="121">
        <v>9295.319379999999</v>
      </c>
      <c r="G12" s="121">
        <v>9800.5583799999986</v>
      </c>
      <c r="H12" s="121">
        <v>10084.919379999999</v>
      </c>
      <c r="I12" s="121">
        <v>10471.614379999999</v>
      </c>
      <c r="J12" s="121">
        <v>11469.785379999999</v>
      </c>
      <c r="K12" s="121">
        <v>14346.571379999999</v>
      </c>
      <c r="L12" s="121">
        <v>14754.55438</v>
      </c>
      <c r="M12" s="121">
        <v>13930.481379999999</v>
      </c>
      <c r="N12" s="121">
        <v>17122.969379999999</v>
      </c>
      <c r="O12" s="121">
        <v>18401</v>
      </c>
      <c r="P12" s="121">
        <v>21752</v>
      </c>
      <c r="Q12" s="121">
        <v>19456</v>
      </c>
      <c r="R12" s="121">
        <v>18345</v>
      </c>
      <c r="S12" s="121">
        <v>15773</v>
      </c>
      <c r="T12" s="121">
        <v>14395</v>
      </c>
      <c r="U12" s="121">
        <v>15099</v>
      </c>
      <c r="V12" s="121">
        <v>17152</v>
      </c>
      <c r="W12" s="121">
        <v>17887</v>
      </c>
      <c r="X12" s="121">
        <v>19465</v>
      </c>
      <c r="Y12" s="121">
        <v>19496</v>
      </c>
      <c r="Z12" s="121">
        <v>25203</v>
      </c>
      <c r="AA12" s="121">
        <v>27401</v>
      </c>
      <c r="AB12" s="121">
        <v>25588</v>
      </c>
      <c r="AC12" s="121">
        <v>24120</v>
      </c>
      <c r="AD12" s="121">
        <v>26549</v>
      </c>
      <c r="AE12" s="121">
        <v>25097</v>
      </c>
      <c r="AF12" s="121">
        <v>25159</v>
      </c>
      <c r="AG12" s="121">
        <v>26489</v>
      </c>
      <c r="AH12" s="121">
        <v>29547</v>
      </c>
      <c r="AI12" s="121">
        <v>34896.445709999993</v>
      </c>
      <c r="AJ12" s="121">
        <v>36192.018700000001</v>
      </c>
      <c r="AK12" s="121">
        <v>42253.209869999999</v>
      </c>
      <c r="AL12" s="121">
        <v>48591.969560000005</v>
      </c>
      <c r="AM12" s="213">
        <v>46246.762559999988</v>
      </c>
      <c r="AN12" s="213">
        <v>49331.14754999998</v>
      </c>
      <c r="AO12" s="213">
        <v>53323.410090000005</v>
      </c>
      <c r="AP12" s="213">
        <v>29928.145420000001</v>
      </c>
      <c r="AQ12" s="213">
        <v>29385.077720000001</v>
      </c>
      <c r="AR12" s="213">
        <v>28814.035899999999</v>
      </c>
      <c r="AS12" s="299">
        <v>22570.458589999998</v>
      </c>
      <c r="AT12" s="301">
        <v>25305.156210000001</v>
      </c>
      <c r="AU12" s="213">
        <v>28336.070600000003</v>
      </c>
      <c r="AV12" s="213">
        <v>32151.112209999999</v>
      </c>
      <c r="AW12" s="213">
        <v>31907.974120000003</v>
      </c>
      <c r="AX12" s="213">
        <v>33833.603670000004</v>
      </c>
      <c r="AY12" s="243">
        <v>30459.874319999999</v>
      </c>
      <c r="AZ12" s="243">
        <v>35410.125719999996</v>
      </c>
      <c r="BA12" s="387">
        <v>37999.178799999994</v>
      </c>
      <c r="BB12" s="387">
        <v>35807.420920000004</v>
      </c>
      <c r="BC12" s="387">
        <v>39501.44197</v>
      </c>
      <c r="BD12" s="387">
        <v>40111.903259999999</v>
      </c>
      <c r="BE12" s="387">
        <v>40338.458479999994</v>
      </c>
      <c r="BF12" s="387">
        <v>42218.89746</v>
      </c>
      <c r="BG12" s="243">
        <v>45750.44397</v>
      </c>
      <c r="BH12" s="243">
        <v>40929.057260000001</v>
      </c>
      <c r="BI12" s="243">
        <v>43483.99424</v>
      </c>
      <c r="BJ12" s="243">
        <v>44285.914039999996</v>
      </c>
      <c r="BK12" s="243">
        <v>40392.56151</v>
      </c>
      <c r="BL12" s="243">
        <v>40115.222409999995</v>
      </c>
      <c r="BM12" s="243">
        <v>46635.954680000003</v>
      </c>
      <c r="BN12" s="243">
        <v>46972.143590000007</v>
      </c>
      <c r="BO12" s="243">
        <v>42466.526619999997</v>
      </c>
      <c r="BP12" s="243">
        <v>44747.851289999999</v>
      </c>
      <c r="BQ12" s="243">
        <v>34317.936780000004</v>
      </c>
      <c r="BR12" s="243">
        <v>31350.733390000001</v>
      </c>
      <c r="BS12" s="243">
        <v>23330.873239999997</v>
      </c>
      <c r="BT12" s="243">
        <v>26918.285909999999</v>
      </c>
      <c r="BU12" s="243">
        <v>28581.241000000002</v>
      </c>
      <c r="BV12" s="243">
        <v>27609.368649999997</v>
      </c>
      <c r="BW12" s="243">
        <v>30037.295839999999</v>
      </c>
      <c r="BX12" s="243">
        <v>31116.400140000002</v>
      </c>
      <c r="BY12" s="243">
        <v>32173.444620000002</v>
      </c>
      <c r="BZ12" s="243">
        <v>26347.08584</v>
      </c>
      <c r="CA12" s="243">
        <v>34957.213459999999</v>
      </c>
      <c r="CB12" s="243">
        <v>38950.80947</v>
      </c>
      <c r="CC12" s="243">
        <v>40408.048750000002</v>
      </c>
      <c r="CD12" s="243">
        <v>47638.018750000003</v>
      </c>
      <c r="CE12" s="243">
        <v>31292.455239999999</v>
      </c>
      <c r="CF12" s="243">
        <v>31457.023140000001</v>
      </c>
      <c r="CG12" s="243">
        <v>32878.080419999998</v>
      </c>
      <c r="CH12" s="243">
        <v>39114.341970000001</v>
      </c>
      <c r="CI12" s="243">
        <v>30953.9758</v>
      </c>
      <c r="CJ12" s="243">
        <v>33838.173210000001</v>
      </c>
      <c r="CK12" s="243">
        <v>27484.71487</v>
      </c>
      <c r="CL12" s="243">
        <v>23589.092920000003</v>
      </c>
      <c r="CM12" s="243">
        <v>25860.519969999998</v>
      </c>
      <c r="CN12" s="243">
        <v>22431.305519999998</v>
      </c>
      <c r="CO12" s="243">
        <v>19601.49555</v>
      </c>
      <c r="CP12" s="243">
        <v>22896.68088</v>
      </c>
      <c r="CQ12" s="243">
        <v>23021.023920000003</v>
      </c>
      <c r="CR12" s="243">
        <v>24466.916819999999</v>
      </c>
      <c r="CS12" s="243">
        <v>26444.168329999997</v>
      </c>
      <c r="CT12" s="243">
        <v>19059.484760000003</v>
      </c>
      <c r="CU12" s="243">
        <v>18962.145</v>
      </c>
      <c r="CV12" s="243">
        <v>20898.478719999999</v>
      </c>
      <c r="CW12" s="243">
        <v>22182.235109999998</v>
      </c>
      <c r="CX12" s="243">
        <v>18556.747960000001</v>
      </c>
      <c r="CY12" s="243">
        <v>20715.951399999998</v>
      </c>
      <c r="CZ12" s="243">
        <v>22686.371660000001</v>
      </c>
      <c r="DA12" s="243">
        <v>24764.40857</v>
      </c>
      <c r="DB12" s="243">
        <v>22852.997649999998</v>
      </c>
      <c r="DC12" s="243">
        <v>25749.403039999997</v>
      </c>
      <c r="DD12" s="243">
        <v>27787.37155</v>
      </c>
      <c r="DE12" s="243">
        <v>32937.378980000001</v>
      </c>
      <c r="DF12" s="243">
        <v>42024.779399999999</v>
      </c>
      <c r="DG12" s="243">
        <v>49273.45001</v>
      </c>
      <c r="DH12" s="243">
        <v>40575.117020000005</v>
      </c>
      <c r="DI12" s="243">
        <v>32694.18089</v>
      </c>
      <c r="DJ12" s="243">
        <v>37233.262219999997</v>
      </c>
      <c r="DK12" s="243">
        <v>30935.389950000001</v>
      </c>
      <c r="DL12" s="243">
        <v>31118.917460000001</v>
      </c>
      <c r="DM12" s="243">
        <v>32041.115710000002</v>
      </c>
      <c r="DN12" s="243">
        <v>37503.290119999998</v>
      </c>
      <c r="DO12" s="243">
        <v>39013.136270000003</v>
      </c>
      <c r="DP12" s="243">
        <v>43393.05083</v>
      </c>
      <c r="DQ12" s="243">
        <v>55128.154759999998</v>
      </c>
      <c r="DR12" s="243">
        <v>55798.695200000002</v>
      </c>
      <c r="DS12" s="243">
        <v>62985.742700000003</v>
      </c>
      <c r="DT12" s="243">
        <v>59495.069459999999</v>
      </c>
      <c r="DU12" s="243">
        <v>71222.206430000006</v>
      </c>
      <c r="DV12" s="243">
        <v>87383.269209999999</v>
      </c>
      <c r="DW12" s="243">
        <v>89788.572590000011</v>
      </c>
      <c r="DX12" s="243">
        <v>92714.028870000009</v>
      </c>
      <c r="DY12" s="243">
        <v>105186.28393000001</v>
      </c>
      <c r="DZ12" s="243">
        <v>119487.89845000001</v>
      </c>
      <c r="EA12" s="243">
        <v>129123.89542</v>
      </c>
      <c r="EB12" s="243">
        <v>142981.95392</v>
      </c>
      <c r="EC12" s="243">
        <v>160185.91000999999</v>
      </c>
      <c r="ED12" s="243">
        <v>169862.75434000001</v>
      </c>
      <c r="EE12" s="243">
        <v>123028.33882999999</v>
      </c>
      <c r="EF12" s="243">
        <v>131449.52866000001</v>
      </c>
      <c r="EG12" s="243">
        <v>140807.87794999999</v>
      </c>
      <c r="EH12" s="243">
        <v>142689.49903000001</v>
      </c>
      <c r="EI12" s="243">
        <v>158270.83991000001</v>
      </c>
      <c r="EJ12" s="243">
        <v>168655.14324999999</v>
      </c>
      <c r="EK12" s="243">
        <v>116700.53018999999</v>
      </c>
      <c r="EL12" s="243">
        <v>118593.70979000001</v>
      </c>
      <c r="EM12" s="243">
        <v>130442.94962</v>
      </c>
      <c r="EN12" s="243">
        <v>145786.05718999999</v>
      </c>
      <c r="EO12" s="243">
        <v>159472.17224000001</v>
      </c>
      <c r="EP12" s="243">
        <v>174423.90746000002</v>
      </c>
      <c r="EQ12" s="243">
        <f>(VLOOKUP("107",'Input BS ACCTS'!$A$5:$DD$1052,98,FALSE))/1000</f>
        <v>191413.44262000002</v>
      </c>
      <c r="ER12" s="243">
        <f>(VLOOKUP("107",'Input BS ACCTS'!$A$5:$DD$1052,99,FALSE))/1000</f>
        <v>142092.42580000003</v>
      </c>
      <c r="ES12" s="243">
        <f>(VLOOKUP("107",'Input BS ACCTS'!$A$5:$DD$1052,100,FALSE))/1000</f>
        <v>147483.84961</v>
      </c>
      <c r="ET12" s="467">
        <f>SUM(EG12:ES12)/13</f>
        <v>148987.10805076922</v>
      </c>
      <c r="EU12" s="801"/>
      <c r="EV12" s="801"/>
      <c r="HL12" s="35"/>
      <c r="HM12" s="253"/>
      <c r="HN12" s="217"/>
      <c r="HO12" s="35"/>
      <c r="HP12" s="35"/>
      <c r="HQ12" s="35"/>
      <c r="HR12" s="35"/>
      <c r="HS12" s="35"/>
      <c r="HT12" s="35"/>
      <c r="HU12" s="35"/>
      <c r="HV12" s="35"/>
      <c r="HW12" s="35"/>
      <c r="HX12" s="35"/>
      <c r="HY12" s="35"/>
      <c r="HZ12" s="35"/>
      <c r="IA12" s="35"/>
    </row>
    <row r="13" spans="1:235">
      <c r="A13" s="27" t="s">
        <v>220</v>
      </c>
      <c r="B13" s="124">
        <v>5248.6708699999999</v>
      </c>
      <c r="C13" s="124">
        <v>5248.6708699999999</v>
      </c>
      <c r="D13" s="124">
        <v>5248.6708699999999</v>
      </c>
      <c r="E13" s="124">
        <v>5248.6708699999999</v>
      </c>
      <c r="F13" s="124">
        <v>5248.6708699999999</v>
      </c>
      <c r="G13" s="124">
        <v>5248.6708699999999</v>
      </c>
      <c r="H13" s="124">
        <v>5248.6708699999999</v>
      </c>
      <c r="I13" s="124">
        <v>5248.6708699999999</v>
      </c>
      <c r="J13" s="124">
        <v>5248.6708699999999</v>
      </c>
      <c r="K13" s="124">
        <v>5248.6708699999999</v>
      </c>
      <c r="L13" s="124">
        <v>5248.6708699999999</v>
      </c>
      <c r="M13" s="124">
        <v>5248.6708699999999</v>
      </c>
      <c r="N13" s="124">
        <v>5248.6708699999999</v>
      </c>
      <c r="O13" s="124">
        <v>5249</v>
      </c>
      <c r="P13" s="124">
        <v>5249</v>
      </c>
      <c r="Q13" s="124">
        <v>5249</v>
      </c>
      <c r="R13" s="124">
        <v>5249</v>
      </c>
      <c r="S13" s="124">
        <v>5249</v>
      </c>
      <c r="T13" s="124">
        <v>5249</v>
      </c>
      <c r="U13" s="124">
        <v>5249</v>
      </c>
      <c r="V13" s="124">
        <v>5032</v>
      </c>
      <c r="W13" s="124">
        <v>5032</v>
      </c>
      <c r="X13" s="124">
        <v>5032</v>
      </c>
      <c r="Y13" s="124">
        <v>5032</v>
      </c>
      <c r="Z13" s="124">
        <v>5032</v>
      </c>
      <c r="AA13" s="124">
        <v>5032</v>
      </c>
      <c r="AB13" s="124">
        <v>5032</v>
      </c>
      <c r="AC13" s="124">
        <v>5031.8969999999999</v>
      </c>
      <c r="AD13" s="124">
        <v>5031.8969999999999</v>
      </c>
      <c r="AE13" s="124">
        <v>5032</v>
      </c>
      <c r="AF13" s="124">
        <v>5032</v>
      </c>
      <c r="AG13" s="124">
        <v>5032</v>
      </c>
      <c r="AH13" s="124">
        <v>5032</v>
      </c>
      <c r="AI13" s="124">
        <v>5031.8972399999984</v>
      </c>
      <c r="AJ13" s="124">
        <v>5031.8972400000002</v>
      </c>
      <c r="AK13" s="124">
        <v>5031.8972400000002</v>
      </c>
      <c r="AL13" s="124">
        <v>5031.8972400000002</v>
      </c>
      <c r="AM13" s="235">
        <v>5031.8972399999984</v>
      </c>
      <c r="AN13" s="235">
        <v>5031.8972399999984</v>
      </c>
      <c r="AO13" s="235">
        <v>5031.8972400000002</v>
      </c>
      <c r="AP13" s="235">
        <v>5031.8972399999984</v>
      </c>
      <c r="AQ13" s="235">
        <v>5031.8972399999984</v>
      </c>
      <c r="AR13" s="235">
        <v>5031.8972400000002</v>
      </c>
      <c r="AS13" s="300">
        <v>5031.8972400000002</v>
      </c>
      <c r="AT13" s="302">
        <v>5031.8972400000002</v>
      </c>
      <c r="AU13" s="235">
        <v>5031.8972400000002</v>
      </c>
      <c r="AV13" s="235">
        <v>5031.8972400000002</v>
      </c>
      <c r="AW13" s="235">
        <v>5031.8972400000002</v>
      </c>
      <c r="AX13" s="235">
        <v>5031.8972400000002</v>
      </c>
      <c r="AY13" s="244">
        <v>5031.8972400000002</v>
      </c>
      <c r="AZ13" s="244">
        <v>5031.8972400000002</v>
      </c>
      <c r="BA13" s="404">
        <v>5031.8972400000002</v>
      </c>
      <c r="BB13" s="404">
        <v>5031.8972400000002</v>
      </c>
      <c r="BC13" s="404">
        <v>5031.8972400000002</v>
      </c>
      <c r="BD13" s="404">
        <v>5031.8972400000002</v>
      </c>
      <c r="BE13" s="404">
        <v>5031.8972400000002</v>
      </c>
      <c r="BF13" s="404">
        <v>5031.8972400000002</v>
      </c>
      <c r="BG13" s="244">
        <v>5031.8972400000002</v>
      </c>
      <c r="BH13" s="244">
        <v>5031.8972400000002</v>
      </c>
      <c r="BI13" s="244">
        <v>5031.8972400000002</v>
      </c>
      <c r="BJ13" s="244">
        <v>5031.8972400000002</v>
      </c>
      <c r="BK13" s="244">
        <v>5031.8972400000002</v>
      </c>
      <c r="BL13" s="244">
        <v>5031.8972400000002</v>
      </c>
      <c r="BM13" s="244">
        <v>5031.8972400000002</v>
      </c>
      <c r="BN13" s="244">
        <v>5031.8972400000002</v>
      </c>
      <c r="BO13" s="244">
        <v>5031.8972400000002</v>
      </c>
      <c r="BP13" s="244">
        <v>5031.8972400000002</v>
      </c>
      <c r="BQ13" s="244">
        <v>5031.8972400000002</v>
      </c>
      <c r="BR13" s="244">
        <v>5031.8972400000002</v>
      </c>
      <c r="BS13" s="244">
        <v>5031.8972400000002</v>
      </c>
      <c r="BT13" s="244">
        <v>5031.8972400000002</v>
      </c>
      <c r="BU13" s="244">
        <v>5031.8972400000002</v>
      </c>
      <c r="BV13" s="244">
        <v>5031.8972400000002</v>
      </c>
      <c r="BW13" s="244">
        <v>5031.8972400000002</v>
      </c>
      <c r="BX13" s="244">
        <v>5031.8972400000002</v>
      </c>
      <c r="BY13" s="244">
        <v>5031.8972400000002</v>
      </c>
      <c r="BZ13" s="244">
        <v>5031.8972400000002</v>
      </c>
      <c r="CA13" s="244">
        <v>5031.8972400000002</v>
      </c>
      <c r="CB13" s="244">
        <v>5031.8972400000002</v>
      </c>
      <c r="CC13" s="244">
        <v>5031.8972400000002</v>
      </c>
      <c r="CD13" s="244">
        <v>5031.8972400000002</v>
      </c>
      <c r="CE13" s="244">
        <v>5031.8972400000002</v>
      </c>
      <c r="CF13" s="244">
        <v>5031.8972400000002</v>
      </c>
      <c r="CG13" s="244">
        <v>5031.8972400000002</v>
      </c>
      <c r="CH13" s="244">
        <v>5031.8972400000002</v>
      </c>
      <c r="CI13" s="244">
        <v>5031.8972400000002</v>
      </c>
      <c r="CJ13" s="244">
        <v>5031.8972400000002</v>
      </c>
      <c r="CK13" s="244">
        <v>5031.8972400000002</v>
      </c>
      <c r="CL13" s="244">
        <v>5031.8972400000002</v>
      </c>
      <c r="CM13" s="244">
        <v>5031.8972400000002</v>
      </c>
      <c r="CN13" s="244">
        <v>5031.8972400000002</v>
      </c>
      <c r="CO13" s="244">
        <v>5031.8972400000002</v>
      </c>
      <c r="CP13" s="244">
        <v>5031.8972400000002</v>
      </c>
      <c r="CQ13" s="244">
        <v>5031.8972400000002</v>
      </c>
      <c r="CR13" s="244">
        <v>5031.8972400000002</v>
      </c>
      <c r="CS13" s="244">
        <v>5031.8972400000002</v>
      </c>
      <c r="CT13" s="244">
        <v>5031.8972400000002</v>
      </c>
      <c r="CU13" s="244">
        <v>5031.8972400000002</v>
      </c>
      <c r="CV13" s="244">
        <v>5031.8972400000002</v>
      </c>
      <c r="CW13" s="244">
        <v>5031.8972400000002</v>
      </c>
      <c r="CX13" s="244">
        <v>5031.8972400000002</v>
      </c>
      <c r="CY13" s="244">
        <v>5031.8972400000002</v>
      </c>
      <c r="CZ13" s="244">
        <v>5031.8972400000002</v>
      </c>
      <c r="DA13" s="244">
        <v>5031.8972400000002</v>
      </c>
      <c r="DB13" s="244">
        <v>5031.8972400000002</v>
      </c>
      <c r="DC13" s="244">
        <v>5031.8972400000002</v>
      </c>
      <c r="DD13" s="244">
        <v>5031.8972400000002</v>
      </c>
      <c r="DE13" s="244">
        <v>5031.8972400000002</v>
      </c>
      <c r="DF13" s="244">
        <v>5031.8972400000002</v>
      </c>
      <c r="DG13" s="244">
        <v>5031.8972400000002</v>
      </c>
      <c r="DH13" s="244">
        <v>5031.8972400000002</v>
      </c>
      <c r="DI13" s="244">
        <v>5031.8972400000002</v>
      </c>
      <c r="DJ13" s="244">
        <v>5031.8972400000002</v>
      </c>
      <c r="DK13" s="244">
        <v>5031.8972400000002</v>
      </c>
      <c r="DL13" s="244">
        <v>5031.8972400000002</v>
      </c>
      <c r="DM13" s="244">
        <v>5031.8972400000002</v>
      </c>
      <c r="DN13" s="244">
        <v>5031.8972400000002</v>
      </c>
      <c r="DO13" s="244">
        <v>5031.8972400000002</v>
      </c>
      <c r="DP13" s="244">
        <v>5031.8972400000002</v>
      </c>
      <c r="DQ13" s="244">
        <v>5031.8972400000002</v>
      </c>
      <c r="DR13" s="244">
        <v>5031.8972400000002</v>
      </c>
      <c r="DS13" s="244">
        <v>5031.8972400000002</v>
      </c>
      <c r="DT13" s="244">
        <v>5031.8972400000002</v>
      </c>
      <c r="DU13" s="244">
        <v>5031.8972400000002</v>
      </c>
      <c r="DV13" s="244">
        <v>5031.8972400000002</v>
      </c>
      <c r="DW13" s="244">
        <v>5031.8972400000002</v>
      </c>
      <c r="DX13" s="244">
        <v>5031.8972400000002</v>
      </c>
      <c r="DY13" s="244">
        <v>5031.8972400000002</v>
      </c>
      <c r="DZ13" s="244">
        <v>5031.8972400000002</v>
      </c>
      <c r="EA13" s="244">
        <v>5031.8972400000002</v>
      </c>
      <c r="EB13" s="244">
        <v>5031.8972400000002</v>
      </c>
      <c r="EC13" s="244">
        <v>5031.8972400000002</v>
      </c>
      <c r="ED13" s="244">
        <v>5031.8972400000002</v>
      </c>
      <c r="EE13" s="244">
        <v>5031.8972400000002</v>
      </c>
      <c r="EF13" s="244">
        <v>5031.8972400000002</v>
      </c>
      <c r="EG13" s="244">
        <v>5031.8972400000002</v>
      </c>
      <c r="EH13" s="244">
        <v>5031.8972400000002</v>
      </c>
      <c r="EI13" s="244">
        <v>5031.8972400000002</v>
      </c>
      <c r="EJ13" s="244">
        <v>5031.8972400000002</v>
      </c>
      <c r="EK13" s="244">
        <v>5031.8972400000002</v>
      </c>
      <c r="EL13" s="244">
        <v>5031.8972400000002</v>
      </c>
      <c r="EM13" s="244">
        <v>5031.8972400000002</v>
      </c>
      <c r="EN13" s="244">
        <v>5031.8972400000002</v>
      </c>
      <c r="EO13" s="244">
        <v>5031.8972400000002</v>
      </c>
      <c r="EP13" s="244">
        <v>5031.8972400000002</v>
      </c>
      <c r="EQ13" s="244">
        <f>(VLOOKUP("114",'Input BS ACCTS'!$A$5:$DD$1052,98,FALSE))/1000</f>
        <v>5031.8972400000002</v>
      </c>
      <c r="ER13" s="244">
        <f>(VLOOKUP("114",'Input BS ACCTS'!$A$5:$DD$1052,99,FALSE))/1000</f>
        <v>5031.8972400000002</v>
      </c>
      <c r="ES13" s="244">
        <f>(VLOOKUP("114",'Input BS ACCTS'!$A$5:$DD$1052,100,FALSE))/1000</f>
        <v>5031.8972400000002</v>
      </c>
      <c r="ET13" s="467">
        <f>SUM(EG13:ES13)/13</f>
        <v>5031.8972399999993</v>
      </c>
      <c r="EU13" s="801"/>
      <c r="EV13" s="801"/>
      <c r="HL13" s="35"/>
      <c r="HM13" s="253"/>
      <c r="HN13" s="217"/>
      <c r="HO13" s="35"/>
      <c r="HP13" s="35"/>
      <c r="HQ13" s="35"/>
      <c r="HR13" s="35"/>
      <c r="HS13" s="35"/>
      <c r="HT13" s="35"/>
      <c r="HU13" s="35"/>
      <c r="HV13" s="35"/>
      <c r="HW13" s="35"/>
      <c r="HX13" s="35"/>
      <c r="HY13" s="35"/>
      <c r="HZ13" s="35"/>
      <c r="IA13" s="35"/>
    </row>
    <row r="14" spans="1:235">
      <c r="A14" s="29" t="s">
        <v>221</v>
      </c>
      <c r="B14" s="125">
        <v>1026937.28331</v>
      </c>
      <c r="C14" s="125">
        <v>1028824.10531</v>
      </c>
      <c r="D14" s="125">
        <v>1031853.6653100001</v>
      </c>
      <c r="E14" s="125">
        <v>1027960.84031</v>
      </c>
      <c r="F14" s="125">
        <v>1029579.44431</v>
      </c>
      <c r="G14" s="125">
        <v>1032259.87631</v>
      </c>
      <c r="H14" s="125">
        <v>1034961.35931</v>
      </c>
      <c r="I14" s="125">
        <v>1037691.68131</v>
      </c>
      <c r="J14" s="125">
        <v>1040950.06331</v>
      </c>
      <c r="K14" s="125">
        <v>1045090.63631</v>
      </c>
      <c r="L14" s="125">
        <v>1048639.91331</v>
      </c>
      <c r="M14" s="125">
        <v>1053039.76831</v>
      </c>
      <c r="N14" s="125">
        <v>1058386.91631</v>
      </c>
      <c r="O14" s="125">
        <v>1063060</v>
      </c>
      <c r="P14" s="125">
        <v>1070377</v>
      </c>
      <c r="Q14" s="125">
        <v>1080253</v>
      </c>
      <c r="R14" s="125">
        <v>1081421</v>
      </c>
      <c r="S14" s="125">
        <v>1085449</v>
      </c>
      <c r="T14" s="125">
        <v>1089927</v>
      </c>
      <c r="U14" s="125">
        <v>1093749</v>
      </c>
      <c r="V14" s="125">
        <v>1096661</v>
      </c>
      <c r="W14" s="125">
        <v>1097911</v>
      </c>
      <c r="X14" s="125">
        <v>1102218</v>
      </c>
      <c r="Y14" s="125">
        <v>1107153</v>
      </c>
      <c r="Z14" s="125">
        <v>1115301</v>
      </c>
      <c r="AA14" s="125">
        <v>1121849</v>
      </c>
      <c r="AB14" s="125">
        <v>1126971</v>
      </c>
      <c r="AC14" s="125">
        <v>1137887.1440000001</v>
      </c>
      <c r="AD14" s="125">
        <v>1141890.8970000001</v>
      </c>
      <c r="AE14" s="125">
        <v>1147032</v>
      </c>
      <c r="AF14" s="125">
        <v>1153676</v>
      </c>
      <c r="AG14" s="125">
        <v>1159145</v>
      </c>
      <c r="AH14" s="125">
        <v>1164970</v>
      </c>
      <c r="AI14" s="125">
        <v>1175932.50113</v>
      </c>
      <c r="AJ14" s="125">
        <v>1181270.15808</v>
      </c>
      <c r="AK14" s="125">
        <v>1195556.37959</v>
      </c>
      <c r="AL14" s="125">
        <v>1207491.5663200002</v>
      </c>
      <c r="AM14" s="125">
        <v>1214704.7431099999</v>
      </c>
      <c r="AN14" s="125">
        <v>1219209.0996299996</v>
      </c>
      <c r="AO14" s="125">
        <v>1224417.2281299999</v>
      </c>
      <c r="AP14" s="125">
        <v>1226884.0175699999</v>
      </c>
      <c r="AQ14" s="125">
        <v>1229359.2431999999</v>
      </c>
      <c r="AR14" s="125">
        <v>1232058.7360000003</v>
      </c>
      <c r="AS14" s="125">
        <v>1236386.29672</v>
      </c>
      <c r="AT14" s="125">
        <v>1241621.0205399999</v>
      </c>
      <c r="AU14" s="125">
        <v>1246426.11858</v>
      </c>
      <c r="AV14" s="125">
        <v>1251249.8989800001</v>
      </c>
      <c r="AW14" s="125">
        <v>1256547.4691399999</v>
      </c>
      <c r="AX14" s="125">
        <v>1261006.1039300002</v>
      </c>
      <c r="AY14" s="125">
        <v>1267520.51697</v>
      </c>
      <c r="AZ14" s="125">
        <v>1275597.75615</v>
      </c>
      <c r="BA14" s="125">
        <v>1288562.5670200002</v>
      </c>
      <c r="BB14" s="125">
        <v>1283931.1137399999</v>
      </c>
      <c r="BC14" s="125">
        <v>1289665.2435300001</v>
      </c>
      <c r="BD14" s="125">
        <v>1295756.4284300001</v>
      </c>
      <c r="BE14" s="125">
        <v>1302066.58748</v>
      </c>
      <c r="BF14" s="125">
        <v>1307331.0211199999</v>
      </c>
      <c r="BG14" s="125">
        <v>1313461.2452700001</v>
      </c>
      <c r="BH14" s="125">
        <v>1319478.1062699999</v>
      </c>
      <c r="BI14" s="125">
        <v>1326770.1752099998</v>
      </c>
      <c r="BJ14" s="125">
        <v>1333062.02569</v>
      </c>
      <c r="BK14" s="125">
        <v>1338883.4197799999</v>
      </c>
      <c r="BL14" s="125">
        <v>1344437.6809899998</v>
      </c>
      <c r="BM14" s="125">
        <v>1357585.5423100002</v>
      </c>
      <c r="BN14" s="125">
        <v>1362831.4686300003</v>
      </c>
      <c r="BO14" s="125">
        <v>1359096.1641800001</v>
      </c>
      <c r="BP14" s="125">
        <v>1365473.1906900001</v>
      </c>
      <c r="BQ14" s="125">
        <v>1370613.5844800004</v>
      </c>
      <c r="BR14" s="125">
        <v>1375519.7995300002</v>
      </c>
      <c r="BS14" s="125">
        <v>1383363.2378600002</v>
      </c>
      <c r="BT14" s="125">
        <v>1390509.6900400002</v>
      </c>
      <c r="BU14" s="125">
        <v>1395923.8118699999</v>
      </c>
      <c r="BV14" s="125">
        <v>1402128.2705999999</v>
      </c>
      <c r="BW14" s="125">
        <v>1410205.3669600002</v>
      </c>
      <c r="BX14" s="125">
        <v>1419839.96157</v>
      </c>
      <c r="BY14" s="125">
        <v>1431392.8888100001</v>
      </c>
      <c r="BZ14" s="125">
        <v>1435735.2522100001</v>
      </c>
      <c r="CA14" s="125">
        <v>1449570.0784700001</v>
      </c>
      <c r="CB14" s="125">
        <v>1458812.5642300001</v>
      </c>
      <c r="CC14" s="125">
        <v>1466319.03202</v>
      </c>
      <c r="CD14" s="125">
        <v>1477112.7758300002</v>
      </c>
      <c r="CE14" s="125">
        <v>1486677.3362900002</v>
      </c>
      <c r="CF14" s="125">
        <v>1494871.58727</v>
      </c>
      <c r="CG14" s="125">
        <v>1503350.1089600001</v>
      </c>
      <c r="CH14" s="125">
        <v>1513652.6976099999</v>
      </c>
      <c r="CI14" s="125">
        <v>1522482.9567399998</v>
      </c>
      <c r="CJ14" s="125">
        <v>1532649.9186299997</v>
      </c>
      <c r="CK14" s="125">
        <v>1541891.8721100001</v>
      </c>
      <c r="CL14" s="125">
        <f t="shared" ref="CL14:CW14" si="10">SUM(CL10:CL13)</f>
        <v>1547039.93777</v>
      </c>
      <c r="CM14" s="125">
        <f t="shared" si="10"/>
        <v>1555314.5668800001</v>
      </c>
      <c r="CN14" s="125">
        <f t="shared" si="10"/>
        <v>1562326.4825899999</v>
      </c>
      <c r="CO14" s="125">
        <f t="shared" si="10"/>
        <v>1565058.7066100002</v>
      </c>
      <c r="CP14" s="125">
        <f t="shared" si="10"/>
        <v>1574343.9445200001</v>
      </c>
      <c r="CQ14" s="125">
        <f t="shared" si="10"/>
        <v>1580978.56629</v>
      </c>
      <c r="CR14" s="125">
        <f t="shared" si="10"/>
        <v>1589649.7340800001</v>
      </c>
      <c r="CS14" s="125">
        <f t="shared" si="10"/>
        <v>1602131.4009400003</v>
      </c>
      <c r="CT14" s="125">
        <f t="shared" si="10"/>
        <v>1610004.64647</v>
      </c>
      <c r="CU14" s="125">
        <f t="shared" si="10"/>
        <v>1620823.0007100001</v>
      </c>
      <c r="CV14" s="125">
        <f t="shared" si="10"/>
        <v>1630616.9033300004</v>
      </c>
      <c r="CW14" s="125">
        <f t="shared" si="10"/>
        <v>1642305.3308700002</v>
      </c>
      <c r="CX14" s="125">
        <f t="shared" ref="CX14:DC14" si="11">SUM(CX10:CX13)</f>
        <v>1651564.8774299999</v>
      </c>
      <c r="CY14" s="125">
        <f t="shared" si="11"/>
        <v>1660709.9010099999</v>
      </c>
      <c r="CZ14" s="125">
        <f t="shared" si="11"/>
        <v>1674622.33947</v>
      </c>
      <c r="DA14" s="125">
        <f t="shared" si="11"/>
        <v>1683820.18921</v>
      </c>
      <c r="DB14" s="125">
        <f t="shared" si="11"/>
        <v>1698122.9882400001</v>
      </c>
      <c r="DC14" s="125">
        <f t="shared" si="11"/>
        <v>1708546.2641799999</v>
      </c>
      <c r="DD14" s="125">
        <f t="shared" ref="DD14:DI14" si="12">SUM(DD10:DD13)</f>
        <v>1719087.9202000003</v>
      </c>
      <c r="DE14" s="125">
        <f t="shared" si="12"/>
        <v>1734110.86427</v>
      </c>
      <c r="DF14" s="125">
        <f t="shared" si="12"/>
        <v>1750083.2228699999</v>
      </c>
      <c r="DG14" s="125">
        <f t="shared" si="12"/>
        <v>1768567.7643000002</v>
      </c>
      <c r="DH14" s="125">
        <f t="shared" si="12"/>
        <v>1786300.82427</v>
      </c>
      <c r="DI14" s="125">
        <f t="shared" si="12"/>
        <v>1801731.53874</v>
      </c>
      <c r="DJ14" s="125">
        <f t="shared" ref="DJ14:DP14" si="13">SUM(DJ10:DJ13)</f>
        <v>1818259.9968599998</v>
      </c>
      <c r="DK14" s="125">
        <f t="shared" si="13"/>
        <v>1830679.35586</v>
      </c>
      <c r="DL14" s="125">
        <f t="shared" si="13"/>
        <v>1847275.2671000001</v>
      </c>
      <c r="DM14" s="125">
        <f t="shared" si="13"/>
        <v>1860286.55213</v>
      </c>
      <c r="DN14" s="125">
        <f t="shared" si="13"/>
        <v>1878913.7413000001</v>
      </c>
      <c r="DO14" s="125">
        <f t="shared" si="13"/>
        <v>1896068.2823699999</v>
      </c>
      <c r="DP14" s="125">
        <f t="shared" si="13"/>
        <v>1912633.27296</v>
      </c>
      <c r="DQ14" s="125">
        <f>SUM(DQ10:DQ13)</f>
        <v>1932825.65637</v>
      </c>
      <c r="DR14" s="125">
        <f>SUM(DR10:DR13)</f>
        <v>1952528.4725200001</v>
      </c>
      <c r="DS14" s="125">
        <f>SUM(DS10:DS13)</f>
        <v>1970722.2340800001</v>
      </c>
      <c r="DT14" s="125">
        <f>SUM(DT10:DT13)</f>
        <v>1990921.65277</v>
      </c>
      <c r="DU14" s="125">
        <f>SUM(DU10:DU13)</f>
        <v>2019069.1981899999</v>
      </c>
      <c r="DV14" s="125">
        <f t="shared" ref="DV14:EA14" si="14">SUM(DV10:DV13)</f>
        <v>2044594.2880700002</v>
      </c>
      <c r="DW14" s="125">
        <f t="shared" si="14"/>
        <v>2061311.3868500001</v>
      </c>
      <c r="DX14" s="125">
        <f t="shared" si="14"/>
        <v>2082557.8004400001</v>
      </c>
      <c r="DY14" s="125">
        <f t="shared" si="14"/>
        <v>2108169.9550199998</v>
      </c>
      <c r="DZ14" s="125">
        <f t="shared" si="14"/>
        <v>2134687.2114499998</v>
      </c>
      <c r="EA14" s="125">
        <f t="shared" si="14"/>
        <v>2158898.7934300001</v>
      </c>
      <c r="EB14" s="125">
        <f t="shared" ref="EB14:EG14" si="15">SUM(EB10:EB13)</f>
        <v>2183819.0483200001</v>
      </c>
      <c r="EC14" s="125">
        <f t="shared" si="15"/>
        <v>2220714.0507699996</v>
      </c>
      <c r="ED14" s="125">
        <f t="shared" si="15"/>
        <v>2246457.1375600002</v>
      </c>
      <c r="EE14" s="125">
        <f t="shared" si="15"/>
        <v>2277906.7798099997</v>
      </c>
      <c r="EF14" s="125">
        <f t="shared" si="15"/>
        <v>2306990.5587099995</v>
      </c>
      <c r="EG14" s="125">
        <f t="shared" si="15"/>
        <v>2338045.4230499999</v>
      </c>
      <c r="EH14" s="125">
        <f t="shared" ref="EH14:EM14" si="16">SUM(EH10:EH13)</f>
        <v>2360301.8094599997</v>
      </c>
      <c r="EI14" s="125">
        <f t="shared" si="16"/>
        <v>2383505.4879799997</v>
      </c>
      <c r="EJ14" s="125">
        <f t="shared" si="16"/>
        <v>2413161.8502100003</v>
      </c>
      <c r="EK14" s="125">
        <f t="shared" si="16"/>
        <v>2436130.6480799997</v>
      </c>
      <c r="EL14" s="125">
        <f t="shared" si="16"/>
        <v>2452424.6665499997</v>
      </c>
      <c r="EM14" s="125">
        <f t="shared" si="16"/>
        <v>2476721.0053999997</v>
      </c>
      <c r="EN14" s="125">
        <f t="shared" ref="EN14:ET14" si="17">SUM(EN10:EN13)</f>
        <v>2502040.1149299997</v>
      </c>
      <c r="EO14" s="125">
        <f t="shared" si="17"/>
        <v>2526866.8972399998</v>
      </c>
      <c r="EP14" s="125">
        <f t="shared" si="17"/>
        <v>2551861.4993199995</v>
      </c>
      <c r="EQ14" s="125">
        <f t="shared" si="17"/>
        <v>2579506.8021</v>
      </c>
      <c r="ER14" s="125">
        <f t="shared" si="17"/>
        <v>2604456.0842099995</v>
      </c>
      <c r="ES14" s="125">
        <f t="shared" si="17"/>
        <v>2633171.2525999998</v>
      </c>
      <c r="ET14" s="417">
        <f t="shared" si="17"/>
        <v>2481399.5031638457</v>
      </c>
      <c r="EU14" s="125"/>
      <c r="EV14" s="125"/>
      <c r="HL14" s="35"/>
      <c r="HM14" s="252"/>
      <c r="HN14" s="217"/>
      <c r="HO14" s="35"/>
      <c r="HP14" s="35"/>
      <c r="HQ14" s="35"/>
      <c r="HR14" s="35"/>
      <c r="HS14" s="35"/>
      <c r="HT14" s="35"/>
      <c r="HU14" s="35"/>
      <c r="HV14" s="35"/>
      <c r="HW14" s="35"/>
      <c r="HX14" s="35"/>
      <c r="HY14" s="35"/>
      <c r="HZ14" s="35"/>
      <c r="IA14" s="35"/>
    </row>
    <row r="15" spans="1:235">
      <c r="A15" s="27" t="s">
        <v>418</v>
      </c>
      <c r="B15" s="124">
        <v>-435716.70876000001</v>
      </c>
      <c r="C15" s="124">
        <v>-438829.28976000001</v>
      </c>
      <c r="D15" s="124">
        <v>-441799.95976</v>
      </c>
      <c r="E15" s="124">
        <v>-439954.39075999998</v>
      </c>
      <c r="F15" s="124">
        <v>-443228.07776000001</v>
      </c>
      <c r="G15" s="124">
        <v>-446424.49776</v>
      </c>
      <c r="H15" s="124">
        <v>-449890.69776000001</v>
      </c>
      <c r="I15" s="124">
        <v>-452931.21175999998</v>
      </c>
      <c r="J15" s="124">
        <v>-456289.49076000002</v>
      </c>
      <c r="K15" s="124">
        <v>-459238.15075999999</v>
      </c>
      <c r="L15" s="124">
        <v>-462565.44876</v>
      </c>
      <c r="M15" s="124">
        <v>-465702.50975999999</v>
      </c>
      <c r="N15" s="124">
        <v>-468709.52376000001</v>
      </c>
      <c r="O15" s="124">
        <v>-471993</v>
      </c>
      <c r="P15" s="124">
        <v>-475194</v>
      </c>
      <c r="Q15" s="124">
        <v>-474746</v>
      </c>
      <c r="R15" s="124">
        <v>-477405</v>
      </c>
      <c r="S15" s="124">
        <v>-480216</v>
      </c>
      <c r="T15" s="124">
        <v>-483433</v>
      </c>
      <c r="U15" s="124">
        <v>-486549</v>
      </c>
      <c r="V15" s="124">
        <v>-488285</v>
      </c>
      <c r="W15" s="124">
        <v>-495161</v>
      </c>
      <c r="X15" s="124">
        <v>-498409</v>
      </c>
      <c r="Y15" s="124">
        <v>-501483</v>
      </c>
      <c r="Z15" s="124">
        <v>-504552</v>
      </c>
      <c r="AA15" s="124">
        <v>-508204</v>
      </c>
      <c r="AB15" s="124">
        <v>-511187</v>
      </c>
      <c r="AC15" s="124">
        <v>-514180</v>
      </c>
      <c r="AD15" s="124">
        <v>-518078</v>
      </c>
      <c r="AE15" s="124">
        <v>-521673</v>
      </c>
      <c r="AF15" s="124">
        <v>-525462</v>
      </c>
      <c r="AG15" s="124">
        <v>-529056</v>
      </c>
      <c r="AH15" s="124">
        <v>-532297</v>
      </c>
      <c r="AI15" s="124">
        <v>-535655.64992999996</v>
      </c>
      <c r="AJ15" s="124">
        <v>-539080.41729999997</v>
      </c>
      <c r="AK15" s="124">
        <v>-542807.91246999998</v>
      </c>
      <c r="AL15" s="235">
        <v>-546325.49164000002</v>
      </c>
      <c r="AM15" s="235">
        <v>-550290.59129999997</v>
      </c>
      <c r="AN15" s="235">
        <v>-553314.38190000015</v>
      </c>
      <c r="AO15" s="235">
        <v>-556950.51393000002</v>
      </c>
      <c r="AP15" s="235">
        <v>-560307.40160999994</v>
      </c>
      <c r="AQ15" s="235">
        <v>-563287.28600999981</v>
      </c>
      <c r="AR15" s="235">
        <v>-567066.39884000004</v>
      </c>
      <c r="AS15" s="283">
        <v>-570442.04452</v>
      </c>
      <c r="AT15" s="283">
        <v>-574065.11288000003</v>
      </c>
      <c r="AU15" s="235">
        <v>-577826.68547000003</v>
      </c>
      <c r="AV15" s="235">
        <v>-581370.02381000004</v>
      </c>
      <c r="AW15" s="235">
        <v>-585637.07634000003</v>
      </c>
      <c r="AX15" s="235">
        <v>-588037.23888000008</v>
      </c>
      <c r="AY15" s="244">
        <v>-591523.88920999994</v>
      </c>
      <c r="AZ15" s="244">
        <v>-593062.44417999999</v>
      </c>
      <c r="BA15" s="404">
        <v>-595695.47701000003</v>
      </c>
      <c r="BB15" s="404">
        <v>-590413.85623999999</v>
      </c>
      <c r="BC15" s="404">
        <v>-593701.73338999995</v>
      </c>
      <c r="BD15" s="404">
        <v>-597393.61892000004</v>
      </c>
      <c r="BE15" s="404">
        <v>-601207.83354999998</v>
      </c>
      <c r="BF15" s="404">
        <v>-604838.32159000007</v>
      </c>
      <c r="BG15" s="244">
        <v>-608296.04910999991</v>
      </c>
      <c r="BH15" s="244">
        <v>-612115.61303000001</v>
      </c>
      <c r="BI15" s="244">
        <v>-615728.61861999996</v>
      </c>
      <c r="BJ15" s="244">
        <v>-619266.61305999989</v>
      </c>
      <c r="BK15" s="244">
        <v>-622783.88657000009</v>
      </c>
      <c r="BL15" s="244">
        <v>-626898.07539999997</v>
      </c>
      <c r="BM15" s="244">
        <v>-630525.97769000009</v>
      </c>
      <c r="BN15" s="244">
        <v>-634421.5038399999</v>
      </c>
      <c r="BO15" s="244">
        <v>-630163.07430000009</v>
      </c>
      <c r="BP15" s="244">
        <v>-633630.82870999991</v>
      </c>
      <c r="BQ15" s="244">
        <v>-637569.16462000005</v>
      </c>
      <c r="BR15" s="244">
        <v>-641287.15982000006</v>
      </c>
      <c r="BS15" s="244">
        <v>-645184.1746899999</v>
      </c>
      <c r="BT15" s="244">
        <v>-649230.18928000005</v>
      </c>
      <c r="BU15" s="244">
        <v>-653423.49766999995</v>
      </c>
      <c r="BV15" s="244">
        <v>-657149.37199999997</v>
      </c>
      <c r="BW15" s="244">
        <v>-661173.29270999995</v>
      </c>
      <c r="BX15" s="244">
        <v>-665467.65026999998</v>
      </c>
      <c r="BY15" s="244">
        <v>-668596.87520999997</v>
      </c>
      <c r="BZ15" s="244">
        <v>-672262.71578999993</v>
      </c>
      <c r="CA15" s="244">
        <v>-676591.87294999999</v>
      </c>
      <c r="CB15" s="244">
        <v>-680575.23612000002</v>
      </c>
      <c r="CC15" s="244">
        <v>-684816.50101999997</v>
      </c>
      <c r="CD15" s="244">
        <v>-689157.55523000006</v>
      </c>
      <c r="CE15" s="508">
        <v>-689010.98207000003</v>
      </c>
      <c r="CF15" s="508">
        <v>-693001.78477999999</v>
      </c>
      <c r="CG15" s="508">
        <v>-696244.72390999994</v>
      </c>
      <c r="CH15" s="508">
        <v>-700747.73003000009</v>
      </c>
      <c r="CI15" s="508">
        <v>-705029.62040000001</v>
      </c>
      <c r="CJ15" s="508">
        <v>-709325.47392000002</v>
      </c>
      <c r="CK15" s="508">
        <v>-691618.21486000007</v>
      </c>
      <c r="CL15" s="508">
        <v>-694592.30956000008</v>
      </c>
      <c r="CM15" s="508">
        <v>-697588.47759999987</v>
      </c>
      <c r="CN15" s="508">
        <v>-698719.32773999998</v>
      </c>
      <c r="CO15" s="508">
        <v>-697644.22645999992</v>
      </c>
      <c r="CP15" s="508">
        <v>-700445.57195000001</v>
      </c>
      <c r="CQ15" s="508">
        <v>-703019.45264000015</v>
      </c>
      <c r="CR15" s="508">
        <v>-705812.23461000004</v>
      </c>
      <c r="CS15" s="508">
        <v>-708424.44625000004</v>
      </c>
      <c r="CT15" s="508">
        <v>-711243.34077999997</v>
      </c>
      <c r="CU15" s="508">
        <v>-713977.76049999997</v>
      </c>
      <c r="CV15" s="508">
        <v>-716670.55470999994</v>
      </c>
      <c r="CW15" s="508">
        <v>-719063.08770000003</v>
      </c>
      <c r="CX15" s="508">
        <v>-722524.05842999998</v>
      </c>
      <c r="CY15" s="508">
        <v>-725240.92523000005</v>
      </c>
      <c r="CZ15" s="508">
        <v>-728378.98065000004</v>
      </c>
      <c r="DA15" s="508">
        <v>-731975.24098</v>
      </c>
      <c r="DB15" s="508">
        <v>-735409.20021000004</v>
      </c>
      <c r="DC15" s="508">
        <v>-738272.05023000005</v>
      </c>
      <c r="DD15" s="508">
        <v>-742118.98193000001</v>
      </c>
      <c r="DE15" s="508">
        <v>-745626.92359999986</v>
      </c>
      <c r="DF15" s="508">
        <v>-748882.24586000002</v>
      </c>
      <c r="DG15" s="508">
        <v>-751684.46262000001</v>
      </c>
      <c r="DH15" s="508">
        <v>-755466.39902000001</v>
      </c>
      <c r="DI15" s="508">
        <v>-758129.24977000011</v>
      </c>
      <c r="DJ15" s="508">
        <v>-760427.69818999991</v>
      </c>
      <c r="DK15" s="508">
        <v>-762641.73822000006</v>
      </c>
      <c r="DL15" s="508">
        <v>-765354.78642999998</v>
      </c>
      <c r="DM15" s="508">
        <v>-767752.14535000001</v>
      </c>
      <c r="DN15" s="508">
        <v>-769711.85453000001</v>
      </c>
      <c r="DO15" s="508">
        <v>-770920.02195000008</v>
      </c>
      <c r="DP15" s="508">
        <v>-772946.63339000009</v>
      </c>
      <c r="DQ15" s="508">
        <v>-775402.83401999995</v>
      </c>
      <c r="DR15" s="508">
        <v>-778136.92920000001</v>
      </c>
      <c r="DS15" s="508">
        <v>-780280.56389999995</v>
      </c>
      <c r="DT15" s="508">
        <v>-783184.96276000002</v>
      </c>
      <c r="DU15" s="508">
        <v>-784450.41515000002</v>
      </c>
      <c r="DV15" s="508">
        <v>-792431.4029300001</v>
      </c>
      <c r="DW15" s="508">
        <v>-788885.87992999994</v>
      </c>
      <c r="DX15" s="508">
        <v>-791623.00071000005</v>
      </c>
      <c r="DY15" s="508">
        <v>-794409.43769000005</v>
      </c>
      <c r="DZ15" s="508">
        <v>-797443.21300999995</v>
      </c>
      <c r="EA15" s="508">
        <v>-800239.97668000008</v>
      </c>
      <c r="EB15" s="508">
        <v>-802710.54394999996</v>
      </c>
      <c r="EC15" s="508">
        <v>-805792.91047</v>
      </c>
      <c r="ED15" s="508">
        <v>-808642.1054</v>
      </c>
      <c r="EE15" s="508">
        <v>-811709.59298000007</v>
      </c>
      <c r="EF15" s="508">
        <v>-814911.56380999996</v>
      </c>
      <c r="EG15" s="508">
        <v>-814871.25658000004</v>
      </c>
      <c r="EH15" s="508">
        <v>-819800.75636999996</v>
      </c>
      <c r="EI15" s="508">
        <v>-819721.29556000012</v>
      </c>
      <c r="EJ15" s="508">
        <v>-823257.64730999991</v>
      </c>
      <c r="EK15" s="508">
        <v>-826598.42756999994</v>
      </c>
      <c r="EL15" s="508">
        <v>-830025.61285999999</v>
      </c>
      <c r="EM15" s="508">
        <v>-832905.90847999998</v>
      </c>
      <c r="EN15" s="508">
        <v>-835760.94222000008</v>
      </c>
      <c r="EO15" s="508">
        <v>-839632.93908000004</v>
      </c>
      <c r="EP15" s="508">
        <v>-842707.3200500001</v>
      </c>
      <c r="EQ15" s="508">
        <f>(VLOOKUP("108",'Input BS ACCTS'!$A$5:$DD$1052,98,FALSE)+VLOOKUP("115",'Input BS ACCTS'!$A$5:$DD$1052,98,FALSE))/1000</f>
        <v>-844274.21498000005</v>
      </c>
      <c r="ER15" s="508">
        <f>(VLOOKUP("108",'Input BS ACCTS'!$A$5:$DD$1052,99,FALSE)+VLOOKUP("115",'Input BS ACCTS'!$A$5:$DD$1052,99,FALSE))/1000</f>
        <v>-845995.66951000004</v>
      </c>
      <c r="ES15" s="508">
        <f>(VLOOKUP("108",'Input BS ACCTS'!$A$5:$DD$1052,100,FALSE)+VLOOKUP("115",'Input BS ACCTS'!$A$5:$DD$1052,100,FALSE))/1000</f>
        <v>-854647.54587999999</v>
      </c>
      <c r="ET15" s="467">
        <f>SUM(EG15:ES15)/13</f>
        <v>-833092.27203461528</v>
      </c>
      <c r="EU15" s="801"/>
      <c r="EV15" s="801"/>
      <c r="EW15" s="509">
        <v>98.150999999999996</v>
      </c>
      <c r="EX15" s="509">
        <v>130.86799999999999</v>
      </c>
      <c r="EY15" s="509">
        <v>163.58500000000001</v>
      </c>
      <c r="EZ15" s="509">
        <v>196.30199999999999</v>
      </c>
      <c r="FA15" s="509">
        <v>229.01900000000001</v>
      </c>
      <c r="FB15" s="509">
        <v>284.61099999999999</v>
      </c>
      <c r="FC15" s="509">
        <v>328.76600000000002</v>
      </c>
      <c r="FD15" s="509">
        <f>+'Input BS ACCTS'!AO17/1000</f>
        <v>372.92099999999999</v>
      </c>
      <c r="FE15" s="509">
        <f>+'Input BS ACCTS'!AP17/1000</f>
        <v>417.07600000000002</v>
      </c>
      <c r="FF15" s="509">
        <f>+'Input BS ACCTS'!AQ17/1000</f>
        <v>461.23099999999999</v>
      </c>
      <c r="FG15" s="509">
        <f>+'Input BS ACCTS'!AR17/1000</f>
        <v>505.38600000000002</v>
      </c>
      <c r="FH15" s="509">
        <f>+'Input BS ACCTS'!AS17/1000</f>
        <v>549.54100000000005</v>
      </c>
      <c r="FI15" s="509">
        <f>+'Input BS ACCTS'!AT17/1000</f>
        <v>593.69600000000003</v>
      </c>
      <c r="FJ15" s="509">
        <f>+'Input BS ACCTS'!AU17/1000</f>
        <v>637.851</v>
      </c>
      <c r="FK15" s="509">
        <f>+'Input BS ACCTS'!AV17/1000</f>
        <v>682.00599999999997</v>
      </c>
      <c r="FL15" s="509">
        <f>+'Input BS ACCTS'!AW17/1000</f>
        <v>726.16099999999994</v>
      </c>
      <c r="FM15" s="509">
        <f>+'Input BS ACCTS'!AX17/1000</f>
        <v>770.31600000000003</v>
      </c>
      <c r="FN15" s="509">
        <f>+'Input BS ACCTS'!AY17/1000</f>
        <v>814.471</v>
      </c>
      <c r="FO15" s="509">
        <f>+'Input BS ACCTS'!AZ17/1000</f>
        <v>858.62599999999998</v>
      </c>
      <c r="FP15" s="509">
        <f>+'Input BS ACCTS'!BA17/1000</f>
        <v>902.78099999999995</v>
      </c>
      <c r="FQ15" s="509">
        <f>+'Input BS ACCTS'!BB17/1000</f>
        <v>946.93600000000004</v>
      </c>
      <c r="FR15" s="509">
        <f>+'Input BS ACCTS'!BC17/1000</f>
        <v>991.09100000000001</v>
      </c>
      <c r="FS15" s="509">
        <f>+'Input BS ACCTS'!BD17/1000</f>
        <v>1035.2460000000001</v>
      </c>
      <c r="FT15" s="509">
        <f>+'Input BS ACCTS'!BE17/1000</f>
        <v>1079.4010000000001</v>
      </c>
      <c r="FU15" s="509">
        <f>+'Input BS ACCTS'!BF17/1000</f>
        <v>1123.556</v>
      </c>
      <c r="FV15" s="509">
        <f>+'Input BS ACCTS'!BG17/1000</f>
        <v>1167.711</v>
      </c>
      <c r="FW15" s="509">
        <f>+'Input BS ACCTS'!BH17/1000</f>
        <v>1211.866</v>
      </c>
      <c r="FX15" s="509">
        <f>+'Input BS ACCTS'!BI17/1000</f>
        <v>1256.021</v>
      </c>
      <c r="FY15" s="509">
        <f>+'Input BS ACCTS'!BJ17/1000</f>
        <v>1300.1759999999999</v>
      </c>
      <c r="FZ15" s="509">
        <f>+'Input BS ACCTS'!BK17/1000</f>
        <v>1344.3309999999999</v>
      </c>
      <c r="GA15" s="509">
        <f>+'Input BS ACCTS'!BL17/1000</f>
        <v>1388.4860000000001</v>
      </c>
      <c r="GB15" s="509">
        <f>+'Input BS ACCTS'!BM17/1000</f>
        <v>1432.6410000000001</v>
      </c>
      <c r="GC15" s="509">
        <f>+'Input BS ACCTS'!BN17/1000</f>
        <v>1476.796</v>
      </c>
      <c r="GD15" s="509">
        <f>+'Input BS ACCTS'!BO17/1000</f>
        <v>1520.951</v>
      </c>
      <c r="GE15" s="509">
        <f>+'Input BS ACCTS'!BP17/1000</f>
        <v>1565.106</v>
      </c>
      <c r="GF15" s="509">
        <f>+'Input BS ACCTS'!BQ17/1000</f>
        <v>1609.261</v>
      </c>
      <c r="GG15" s="509">
        <f>+'Input BS ACCTS'!BR17/1000</f>
        <v>1653.4159999999999</v>
      </c>
      <c r="GH15" s="509">
        <f>+'Input BS ACCTS'!BS17/1000</f>
        <v>1697.5709999999999</v>
      </c>
      <c r="GI15" s="509">
        <f>+'Input BS ACCTS'!BT17/1000</f>
        <v>1741.7260000000001</v>
      </c>
      <c r="GJ15" s="509">
        <f>+'Input BS ACCTS'!BU17/1000</f>
        <v>1785.8810000000001</v>
      </c>
      <c r="GK15" s="509">
        <f>+'Input BS ACCTS'!BV17/1000</f>
        <v>1830.0360000000001</v>
      </c>
      <c r="GL15" s="509">
        <f>+'Input BS ACCTS'!BW17/1000</f>
        <v>1874.191</v>
      </c>
      <c r="GM15" s="509">
        <f>+'Input BS ACCTS'!BX17/1000</f>
        <v>1918.346</v>
      </c>
      <c r="GN15" s="509">
        <f>+'Input BS ACCTS'!BY17/1000</f>
        <v>1962.501</v>
      </c>
      <c r="GO15" s="509">
        <f>+'Input BS ACCTS'!BZ17/1000</f>
        <v>2006.6559999999999</v>
      </c>
      <c r="GP15" s="509">
        <f>+'Input BS ACCTS'!CA17/1000</f>
        <v>2050.8110000000001</v>
      </c>
      <c r="GQ15" s="509">
        <f>+'Input BS ACCTS'!CB17/1000</f>
        <v>2094.9659999999999</v>
      </c>
      <c r="GR15" s="509">
        <f>+'Input BS ACCTS'!CC17/1000</f>
        <v>2139.1210000000001</v>
      </c>
      <c r="GS15" s="509">
        <f>+'Input BS ACCTS'!CD17/1000</f>
        <v>2183.2759999999998</v>
      </c>
      <c r="GT15" s="509">
        <f>+'Input BS ACCTS'!CE17/1000</f>
        <v>2227.431</v>
      </c>
      <c r="GU15" s="509">
        <f>+'Input BS ACCTS'!CF17/1000</f>
        <v>2271.5859999999998</v>
      </c>
      <c r="GV15" s="509">
        <f>+'Input BS ACCTS'!CG17/1000</f>
        <v>2315.741</v>
      </c>
      <c r="GW15" s="509">
        <f>+'Input BS ACCTS'!CH17/1000</f>
        <v>2359.8960000000002</v>
      </c>
      <c r="GX15" s="509">
        <f>+'Input BS ACCTS'!CI17/1000</f>
        <v>2404.0509999999999</v>
      </c>
      <c r="GY15" s="509">
        <f>+'Input BS ACCTS'!CJ17/1000</f>
        <v>2448.2060000000001</v>
      </c>
      <c r="GZ15" s="509">
        <f>+'Input BS ACCTS'!CK17/1000</f>
        <v>2492.3609999999999</v>
      </c>
      <c r="HA15" s="509">
        <f>+'Input BS ACCTS'!CL17/1000</f>
        <v>2536.5160000000001</v>
      </c>
      <c r="HB15" s="509">
        <f>+'Input BS ACCTS'!CM17/1000</f>
        <v>2580.6709999999998</v>
      </c>
      <c r="HC15" s="509">
        <f>+'Input BS ACCTS'!CN17/1000</f>
        <v>2624.826</v>
      </c>
      <c r="HD15" s="509">
        <f>+'Input BS ACCTS'!CO17/1000</f>
        <v>2668.9810000000002</v>
      </c>
      <c r="HE15" s="509">
        <f>+'Input BS ACCTS'!CP17/1000</f>
        <v>2713.136</v>
      </c>
      <c r="HF15" s="509">
        <f>+'Input BS ACCTS'!CQ17/1000</f>
        <v>2757.2910000000002</v>
      </c>
      <c r="HG15" s="509">
        <f>+'Input BS ACCTS'!CR17/1000</f>
        <v>2801.4459999999999</v>
      </c>
      <c r="HH15" s="509">
        <f>+'Input BS ACCTS'!CS17/1000</f>
        <v>2845.6010000000001</v>
      </c>
      <c r="HI15" s="509">
        <f>+'Input BS ACCTS'!CT17/1000</f>
        <v>2889.7559999999999</v>
      </c>
      <c r="HJ15" s="509">
        <f>+'Input BS ACCTS'!CU17/1000</f>
        <v>2933.9110000000001</v>
      </c>
      <c r="HK15" s="509">
        <f>+'Input BS ACCTS'!CV17/1000</f>
        <v>2978.0659999999998</v>
      </c>
      <c r="HL15" s="515" t="s">
        <v>1687</v>
      </c>
      <c r="HM15" s="513">
        <v>1080901</v>
      </c>
      <c r="HN15" s="217"/>
      <c r="HO15" s="35"/>
      <c r="HP15" s="35"/>
      <c r="HQ15" s="35"/>
      <c r="HR15" s="35"/>
      <c r="HS15" s="35"/>
      <c r="HT15" s="35"/>
      <c r="HU15" s="35"/>
      <c r="HV15" s="35"/>
      <c r="HW15" s="35"/>
      <c r="HX15" s="35"/>
      <c r="HY15" s="35"/>
      <c r="HZ15" s="35"/>
      <c r="IA15" s="35"/>
    </row>
    <row r="16" spans="1:235">
      <c r="A16" s="29" t="s">
        <v>223</v>
      </c>
      <c r="B16" s="125">
        <v>591220.57455000002</v>
      </c>
      <c r="C16" s="125">
        <v>589994.81554999994</v>
      </c>
      <c r="D16" s="125">
        <v>590053.70555000007</v>
      </c>
      <c r="E16" s="125">
        <v>588006.44955000002</v>
      </c>
      <c r="F16" s="125">
        <v>586351.36655000004</v>
      </c>
      <c r="G16" s="125">
        <v>585835.37855000002</v>
      </c>
      <c r="H16" s="125">
        <v>585070.66154999996</v>
      </c>
      <c r="I16" s="125">
        <v>584760.46955000004</v>
      </c>
      <c r="J16" s="125">
        <v>584660.57254999992</v>
      </c>
      <c r="K16" s="125">
        <v>585852.48554999998</v>
      </c>
      <c r="L16" s="125">
        <v>586074.46454999992</v>
      </c>
      <c r="M16" s="125">
        <v>587337.25854999991</v>
      </c>
      <c r="N16" s="125">
        <v>589677.39254999999</v>
      </c>
      <c r="O16" s="125">
        <v>591067</v>
      </c>
      <c r="P16" s="125">
        <v>595183</v>
      </c>
      <c r="Q16" s="125">
        <v>605507</v>
      </c>
      <c r="R16" s="125">
        <v>604016</v>
      </c>
      <c r="S16" s="125">
        <v>605233</v>
      </c>
      <c r="T16" s="125">
        <v>606494</v>
      </c>
      <c r="U16" s="125">
        <v>607200</v>
      </c>
      <c r="V16" s="125">
        <v>608376</v>
      </c>
      <c r="W16" s="125">
        <v>602750</v>
      </c>
      <c r="X16" s="125">
        <v>603809</v>
      </c>
      <c r="Y16" s="125">
        <v>605670</v>
      </c>
      <c r="Z16" s="125">
        <v>610749</v>
      </c>
      <c r="AA16" s="125">
        <v>613645</v>
      </c>
      <c r="AB16" s="125">
        <v>615784</v>
      </c>
      <c r="AC16" s="125">
        <v>623707.14400000009</v>
      </c>
      <c r="AD16" s="125">
        <v>623812.89700000011</v>
      </c>
      <c r="AE16" s="125">
        <v>625359</v>
      </c>
      <c r="AF16" s="125">
        <v>628214</v>
      </c>
      <c r="AG16" s="125">
        <v>630089</v>
      </c>
      <c r="AH16" s="125">
        <v>632673</v>
      </c>
      <c r="AI16" s="125">
        <v>640276.85120000003</v>
      </c>
      <c r="AJ16" s="125">
        <v>642189.74077999999</v>
      </c>
      <c r="AK16" s="125">
        <v>652748.46712000004</v>
      </c>
      <c r="AL16" s="125">
        <v>661166.07468000019</v>
      </c>
      <c r="AM16" s="125">
        <v>664414.15180999995</v>
      </c>
      <c r="AN16" s="125">
        <v>665894.71772999945</v>
      </c>
      <c r="AO16" s="125">
        <v>667466.71419999993</v>
      </c>
      <c r="AP16" s="125">
        <v>666576.61595999997</v>
      </c>
      <c r="AQ16" s="125">
        <v>666071.9571900001</v>
      </c>
      <c r="AR16" s="125">
        <v>664992.33716000023</v>
      </c>
      <c r="AS16" s="125">
        <v>665944.25219999999</v>
      </c>
      <c r="AT16" s="125">
        <v>667555.90765999991</v>
      </c>
      <c r="AU16" s="125">
        <v>668599.43310999998</v>
      </c>
      <c r="AV16" s="125">
        <v>669879.87517000001</v>
      </c>
      <c r="AW16" s="125">
        <v>670910.39279999991</v>
      </c>
      <c r="AX16" s="125">
        <v>672968.86505000014</v>
      </c>
      <c r="AY16" s="125">
        <v>675996.62776000006</v>
      </c>
      <c r="AZ16" s="125">
        <v>682535.31197000004</v>
      </c>
      <c r="BA16" s="125">
        <v>692867.09001000016</v>
      </c>
      <c r="BB16" s="125">
        <v>693517.25749999995</v>
      </c>
      <c r="BC16" s="125">
        <v>695963.51014000014</v>
      </c>
      <c r="BD16" s="125">
        <v>698362.80951000005</v>
      </c>
      <c r="BE16" s="125">
        <v>700858.75393000001</v>
      </c>
      <c r="BF16" s="125">
        <v>702492.69952999987</v>
      </c>
      <c r="BG16" s="125">
        <v>705165.19616000017</v>
      </c>
      <c r="BH16" s="125">
        <v>707362.49323999987</v>
      </c>
      <c r="BI16" s="125">
        <v>711041.55658999982</v>
      </c>
      <c r="BJ16" s="125">
        <v>713795.41263000015</v>
      </c>
      <c r="BK16" s="125">
        <v>716099.53320999979</v>
      </c>
      <c r="BL16" s="125">
        <v>717539.60558999982</v>
      </c>
      <c r="BM16" s="125">
        <v>727059.56462000008</v>
      </c>
      <c r="BN16" s="125">
        <v>728409.96479000035</v>
      </c>
      <c r="BO16" s="125">
        <v>728933.08987999998</v>
      </c>
      <c r="BP16" s="125">
        <v>731842.36198000016</v>
      </c>
      <c r="BQ16" s="125">
        <v>733044.41986000037</v>
      </c>
      <c r="BR16" s="125">
        <v>734232.63971000013</v>
      </c>
      <c r="BS16" s="125">
        <v>738179.06317000033</v>
      </c>
      <c r="BT16" s="125">
        <v>741279.5007600002</v>
      </c>
      <c r="BU16" s="125">
        <v>742500.31419999991</v>
      </c>
      <c r="BV16" s="125">
        <v>744978.89859999996</v>
      </c>
      <c r="BW16" s="125">
        <v>749032.0742500003</v>
      </c>
      <c r="BX16" s="125">
        <v>754372.31130000006</v>
      </c>
      <c r="BY16" s="125">
        <v>762796.01360000018</v>
      </c>
      <c r="BZ16" s="125">
        <v>763472.53642000013</v>
      </c>
      <c r="CA16" s="125">
        <v>772978.20552000008</v>
      </c>
      <c r="CB16" s="125">
        <v>778237.32811000012</v>
      </c>
      <c r="CC16" s="125">
        <v>781502.53100000008</v>
      </c>
      <c r="CD16" s="125">
        <v>787955.22060000012</v>
      </c>
      <c r="CE16" s="125">
        <v>797666.35422000021</v>
      </c>
      <c r="CF16" s="125">
        <v>801869.80249000003</v>
      </c>
      <c r="CG16" s="125">
        <v>807105.38505000016</v>
      </c>
      <c r="CH16" s="125">
        <v>812904.96757999982</v>
      </c>
      <c r="CI16" s="125">
        <v>817453.33633999981</v>
      </c>
      <c r="CJ16" s="125">
        <v>823324.44470999972</v>
      </c>
      <c r="CK16" s="125">
        <v>850273.65725000005</v>
      </c>
      <c r="CL16" s="125">
        <f t="shared" ref="CL16:CW16" si="18">SUM(CL14:CL15)</f>
        <v>852447.62820999988</v>
      </c>
      <c r="CM16" s="125">
        <f t="shared" si="18"/>
        <v>857726.08928000019</v>
      </c>
      <c r="CN16" s="125">
        <f t="shared" si="18"/>
        <v>863607.15484999993</v>
      </c>
      <c r="CO16" s="125">
        <f t="shared" si="18"/>
        <v>867414.48015000031</v>
      </c>
      <c r="CP16" s="125">
        <f t="shared" si="18"/>
        <v>873898.37257000012</v>
      </c>
      <c r="CQ16" s="125">
        <f t="shared" si="18"/>
        <v>877959.11364999984</v>
      </c>
      <c r="CR16" s="125">
        <f t="shared" si="18"/>
        <v>883837.49947000004</v>
      </c>
      <c r="CS16" s="125">
        <f t="shared" si="18"/>
        <v>893706.95469000028</v>
      </c>
      <c r="CT16" s="125">
        <f t="shared" si="18"/>
        <v>898761.30569000007</v>
      </c>
      <c r="CU16" s="125">
        <f t="shared" si="18"/>
        <v>906845.24021000008</v>
      </c>
      <c r="CV16" s="125">
        <f t="shared" si="18"/>
        <v>913946.34862000041</v>
      </c>
      <c r="CW16" s="125">
        <f t="shared" si="18"/>
        <v>923242.24317000015</v>
      </c>
      <c r="CX16" s="125">
        <f t="shared" ref="CX16:DC16" si="19">SUM(CX14:CX15)</f>
        <v>929040.8189999999</v>
      </c>
      <c r="CY16" s="125">
        <f t="shared" si="19"/>
        <v>935468.97577999986</v>
      </c>
      <c r="CZ16" s="125">
        <f t="shared" si="19"/>
        <v>946243.35881999996</v>
      </c>
      <c r="DA16" s="125">
        <f t="shared" si="19"/>
        <v>951844.94822999998</v>
      </c>
      <c r="DB16" s="125">
        <f t="shared" si="19"/>
        <v>962713.78803000005</v>
      </c>
      <c r="DC16" s="125">
        <f t="shared" si="19"/>
        <v>970274.21394999989</v>
      </c>
      <c r="DD16" s="125">
        <f t="shared" ref="DD16:DI16" si="20">SUM(DD14:DD15)</f>
        <v>976968.93827000028</v>
      </c>
      <c r="DE16" s="125">
        <f t="shared" si="20"/>
        <v>988483.94067000016</v>
      </c>
      <c r="DF16" s="125">
        <f t="shared" si="20"/>
        <v>1001200.9770099999</v>
      </c>
      <c r="DG16" s="125">
        <f t="shared" si="20"/>
        <v>1016883.3016800001</v>
      </c>
      <c r="DH16" s="125">
        <f t="shared" si="20"/>
        <v>1030834.42525</v>
      </c>
      <c r="DI16" s="125">
        <f t="shared" si="20"/>
        <v>1043602.2889699999</v>
      </c>
      <c r="DJ16" s="125">
        <f t="shared" ref="DJ16:DX16" si="21">SUM(DJ14:DJ15)</f>
        <v>1057832.2986699999</v>
      </c>
      <c r="DK16" s="125">
        <f t="shared" si="21"/>
        <v>1068037.6176399998</v>
      </c>
      <c r="DL16" s="125">
        <f t="shared" si="21"/>
        <v>1081920.48067</v>
      </c>
      <c r="DM16" s="125">
        <f t="shared" si="21"/>
        <v>1092534.4067799998</v>
      </c>
      <c r="DN16" s="125">
        <f t="shared" si="21"/>
        <v>1109201.8867700002</v>
      </c>
      <c r="DO16" s="125">
        <f t="shared" si="21"/>
        <v>1125148.2604199997</v>
      </c>
      <c r="DP16" s="125">
        <f t="shared" si="21"/>
        <v>1139686.6395699999</v>
      </c>
      <c r="DQ16" s="125">
        <f t="shared" si="21"/>
        <v>1157422.82235</v>
      </c>
      <c r="DR16" s="125">
        <f t="shared" si="21"/>
        <v>1174391.5433200002</v>
      </c>
      <c r="DS16" s="125">
        <f t="shared" si="21"/>
        <v>1190441.6701800001</v>
      </c>
      <c r="DT16" s="125">
        <f t="shared" si="21"/>
        <v>1207736.69001</v>
      </c>
      <c r="DU16" s="125">
        <f t="shared" si="21"/>
        <v>1234618.7830399999</v>
      </c>
      <c r="DV16" s="125">
        <f t="shared" si="21"/>
        <v>1252162.8851400001</v>
      </c>
      <c r="DW16" s="125">
        <f t="shared" si="21"/>
        <v>1272425.5069200001</v>
      </c>
      <c r="DX16" s="125">
        <f t="shared" si="21"/>
        <v>1290934.7997300001</v>
      </c>
      <c r="DY16" s="125">
        <f t="shared" ref="DY16:ED16" si="22">SUM(DY14:DY15)</f>
        <v>1313760.5173299997</v>
      </c>
      <c r="DZ16" s="125">
        <f t="shared" si="22"/>
        <v>1337243.9984399998</v>
      </c>
      <c r="EA16" s="125">
        <f t="shared" si="22"/>
        <v>1358658.81675</v>
      </c>
      <c r="EB16" s="125">
        <f t="shared" si="22"/>
        <v>1381108.5043700002</v>
      </c>
      <c r="EC16" s="125">
        <f t="shared" si="22"/>
        <v>1414921.1402999996</v>
      </c>
      <c r="ED16" s="125">
        <f t="shared" si="22"/>
        <v>1437815.0321600002</v>
      </c>
      <c r="EE16" s="125">
        <f t="shared" ref="EE16:EJ16" si="23">SUM(EE14:EE15)</f>
        <v>1466197.1868299996</v>
      </c>
      <c r="EF16" s="125">
        <f t="shared" si="23"/>
        <v>1492078.9948999996</v>
      </c>
      <c r="EG16" s="125">
        <f t="shared" si="23"/>
        <v>1523174.1664699998</v>
      </c>
      <c r="EH16" s="125">
        <f t="shared" si="23"/>
        <v>1540501.0530899996</v>
      </c>
      <c r="EI16" s="125">
        <f t="shared" si="23"/>
        <v>1563784.1924199997</v>
      </c>
      <c r="EJ16" s="125">
        <f t="shared" si="23"/>
        <v>1589904.2029000004</v>
      </c>
      <c r="EK16" s="125">
        <f t="shared" ref="EK16:EP16" si="24">SUM(EK14:EK15)</f>
        <v>1609532.2205099999</v>
      </c>
      <c r="EL16" s="125">
        <f t="shared" si="24"/>
        <v>1622399.0536899997</v>
      </c>
      <c r="EM16" s="125">
        <f t="shared" si="24"/>
        <v>1643815.0969199997</v>
      </c>
      <c r="EN16" s="125">
        <f t="shared" si="24"/>
        <v>1666279.1727099996</v>
      </c>
      <c r="EO16" s="125">
        <f t="shared" si="24"/>
        <v>1687233.9581599999</v>
      </c>
      <c r="EP16" s="125">
        <f t="shared" si="24"/>
        <v>1709154.1792699993</v>
      </c>
      <c r="EQ16" s="125">
        <f>SUM(EQ14:EQ15)</f>
        <v>1735232.5871199998</v>
      </c>
      <c r="ER16" s="125">
        <f>SUM(ER14:ER15)</f>
        <v>1758460.4146999996</v>
      </c>
      <c r="ES16" s="125">
        <f>SUM(ES14:ES15)</f>
        <v>1778523.7067199997</v>
      </c>
      <c r="ET16" s="417">
        <f>SUM(ET14:ET15)</f>
        <v>1648307.2311292305</v>
      </c>
      <c r="EU16" s="125"/>
      <c r="EV16" s="125"/>
      <c r="HL16" s="35"/>
      <c r="HM16" s="252"/>
      <c r="HN16" s="217"/>
      <c r="HO16" s="35"/>
      <c r="HP16" s="35"/>
      <c r="HQ16" s="35"/>
      <c r="HR16" s="35"/>
      <c r="HS16" s="35"/>
      <c r="HT16" s="35"/>
      <c r="HU16" s="35"/>
      <c r="HV16" s="35"/>
      <c r="HW16" s="35"/>
      <c r="HX16" s="35"/>
      <c r="HY16" s="35"/>
      <c r="HZ16" s="35"/>
      <c r="IA16" s="35"/>
    </row>
    <row r="17" spans="1:235">
      <c r="A17" s="30"/>
      <c r="B17" s="125">
        <v>0</v>
      </c>
      <c r="C17" s="125">
        <v>0</v>
      </c>
      <c r="D17" s="125">
        <v>0</v>
      </c>
      <c r="E17" s="125">
        <v>0</v>
      </c>
      <c r="F17" s="125">
        <v>0</v>
      </c>
      <c r="G17" s="125">
        <v>0</v>
      </c>
      <c r="H17" s="125">
        <v>0</v>
      </c>
      <c r="I17" s="125">
        <v>0</v>
      </c>
      <c r="J17" s="125">
        <v>0</v>
      </c>
      <c r="K17" s="125">
        <v>0</v>
      </c>
      <c r="L17" s="125">
        <v>0</v>
      </c>
      <c r="M17" s="125">
        <v>0</v>
      </c>
      <c r="N17" s="125">
        <v>0</v>
      </c>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HL17" s="35"/>
      <c r="HM17" s="252"/>
      <c r="HN17" s="217"/>
      <c r="HO17" s="35"/>
      <c r="HP17" s="35"/>
      <c r="HQ17" s="35"/>
      <c r="HR17" s="35"/>
      <c r="HS17" s="35"/>
      <c r="HT17" s="35"/>
      <c r="HU17" s="35"/>
      <c r="HV17" s="35"/>
      <c r="HW17" s="35"/>
      <c r="HX17" s="35"/>
      <c r="HY17" s="35"/>
      <c r="HZ17" s="35"/>
      <c r="IA17" s="35"/>
    </row>
    <row r="18" spans="1:235">
      <c r="A18" s="27" t="s">
        <v>224</v>
      </c>
      <c r="B18" s="121">
        <v>1571.0564299999999</v>
      </c>
      <c r="C18" s="121">
        <v>1022.3464300000001</v>
      </c>
      <c r="D18" s="121">
        <v>1520.01043</v>
      </c>
      <c r="E18" s="121">
        <v>1828.91543</v>
      </c>
      <c r="F18" s="121">
        <v>2102.8054300000003</v>
      </c>
      <c r="G18" s="121">
        <v>1285.74443</v>
      </c>
      <c r="H18" s="121">
        <v>1648.4514299999998</v>
      </c>
      <c r="I18" s="121">
        <v>1831.6244299999998</v>
      </c>
      <c r="J18" s="121">
        <v>1213.90443</v>
      </c>
      <c r="K18" s="121">
        <v>1293.29943</v>
      </c>
      <c r="L18" s="121">
        <v>1478.8074299999998</v>
      </c>
      <c r="M18" s="121">
        <v>927.96043000000009</v>
      </c>
      <c r="N18" s="121">
        <v>1297.0094299999998</v>
      </c>
      <c r="O18" s="121">
        <v>1348</v>
      </c>
      <c r="P18" s="121">
        <v>1202</v>
      </c>
      <c r="Q18" s="121">
        <v>1186</v>
      </c>
      <c r="R18" s="121">
        <v>1570</v>
      </c>
      <c r="S18" s="121">
        <v>919</v>
      </c>
      <c r="T18" s="121">
        <v>1330</v>
      </c>
      <c r="U18" s="121">
        <v>1530</v>
      </c>
      <c r="V18" s="121">
        <v>1329</v>
      </c>
      <c r="W18" s="121">
        <v>1765</v>
      </c>
      <c r="X18" s="121">
        <v>2091</v>
      </c>
      <c r="Y18" s="121">
        <v>1363</v>
      </c>
      <c r="Z18" s="121">
        <v>1574</v>
      </c>
      <c r="AA18" s="121">
        <v>1614</v>
      </c>
      <c r="AB18" s="121">
        <v>1036</v>
      </c>
      <c r="AC18" s="121">
        <v>1357.47</v>
      </c>
      <c r="AD18" s="121">
        <v>1010</v>
      </c>
      <c r="AE18" s="121">
        <v>668</v>
      </c>
      <c r="AF18" s="121">
        <v>757.42141000000004</v>
      </c>
      <c r="AG18" s="121">
        <v>980</v>
      </c>
      <c r="AH18" s="121">
        <v>745</v>
      </c>
      <c r="AI18" s="121">
        <v>672.99215000000015</v>
      </c>
      <c r="AJ18" s="121">
        <v>808.23779000000002</v>
      </c>
      <c r="AK18" s="121">
        <v>488.38484000000005</v>
      </c>
      <c r="AL18" s="121">
        <v>629.71031999999991</v>
      </c>
      <c r="AM18" s="213">
        <v>567.81355000000008</v>
      </c>
      <c r="AN18" s="213">
        <v>636.83618999999999</v>
      </c>
      <c r="AO18" s="213">
        <v>981.64323000000002</v>
      </c>
      <c r="AP18" s="213">
        <v>1274.0989500000001</v>
      </c>
      <c r="AQ18" s="213">
        <v>1104.498</v>
      </c>
      <c r="AR18" s="213">
        <v>1411.75333</v>
      </c>
      <c r="AS18" s="251">
        <v>1610.63795</v>
      </c>
      <c r="AT18" s="251">
        <v>996.73739</v>
      </c>
      <c r="AU18" s="213">
        <v>1252.03628</v>
      </c>
      <c r="AV18" s="213">
        <v>764.98145999999997</v>
      </c>
      <c r="AW18" s="213">
        <v>996.40174999999999</v>
      </c>
      <c r="AX18" s="213">
        <v>1256.51947</v>
      </c>
      <c r="AY18" s="243">
        <v>791.08746999999994</v>
      </c>
      <c r="AZ18" s="243">
        <v>898.28373999999997</v>
      </c>
      <c r="BA18" s="387">
        <v>1072.2861399999999</v>
      </c>
      <c r="BB18" s="387">
        <v>690.73743999999999</v>
      </c>
      <c r="BC18" s="387">
        <v>1021.32838</v>
      </c>
      <c r="BD18" s="387">
        <v>1227.8196399999999</v>
      </c>
      <c r="BE18" s="387">
        <v>789.78665999999998</v>
      </c>
      <c r="BF18" s="387">
        <v>968.31389000000001</v>
      </c>
      <c r="BG18" s="243">
        <v>1230.76161</v>
      </c>
      <c r="BH18" s="243">
        <v>805.46203000000003</v>
      </c>
      <c r="BI18" s="243">
        <v>1003.2940699999999</v>
      </c>
      <c r="BJ18" s="243">
        <v>1072.04739</v>
      </c>
      <c r="BK18" s="243">
        <v>665.43833999999993</v>
      </c>
      <c r="BL18" s="243">
        <v>833.78544999999997</v>
      </c>
      <c r="BM18" s="243">
        <v>1026.6660200000001</v>
      </c>
      <c r="BN18" s="243">
        <v>1417.44109</v>
      </c>
      <c r="BO18" s="243">
        <v>1096.97909</v>
      </c>
      <c r="BP18" s="243">
        <v>1247.7423799999999</v>
      </c>
      <c r="BQ18" s="243">
        <v>570.27496999999994</v>
      </c>
      <c r="BR18" s="243">
        <v>794.63467000000003</v>
      </c>
      <c r="BS18" s="243">
        <v>1010.9288399999999</v>
      </c>
      <c r="BT18" s="243">
        <v>671.65309000000002</v>
      </c>
      <c r="BU18" s="243">
        <v>842.69667000000004</v>
      </c>
      <c r="BV18" s="243">
        <v>1066.0349099999999</v>
      </c>
      <c r="BW18" s="243">
        <v>1196.26839</v>
      </c>
      <c r="BX18" s="243">
        <v>846.35731999999996</v>
      </c>
      <c r="BY18" s="243">
        <v>1550.1913300000001</v>
      </c>
      <c r="BZ18" s="243">
        <v>1846.4717900000001</v>
      </c>
      <c r="CA18" s="243">
        <v>1665.4819399999999</v>
      </c>
      <c r="CB18" s="243">
        <v>1768.1379099999999</v>
      </c>
      <c r="CC18" s="243">
        <v>1890.20372</v>
      </c>
      <c r="CD18" s="243">
        <v>817.69690000000003</v>
      </c>
      <c r="CE18" s="243">
        <v>451.27073999999999</v>
      </c>
      <c r="CF18" s="243">
        <v>666.14198999999996</v>
      </c>
      <c r="CG18" s="243">
        <v>943.90738999999996</v>
      </c>
      <c r="CH18" s="243">
        <v>1124.1783799999998</v>
      </c>
      <c r="CI18" s="243">
        <v>1893.57475</v>
      </c>
      <c r="CJ18" s="243">
        <v>1455.0906100000002</v>
      </c>
      <c r="CK18" s="243">
        <v>1676.4076499999999</v>
      </c>
      <c r="CL18" s="243">
        <v>2030.34005</v>
      </c>
      <c r="CM18" s="243">
        <v>1185.82446</v>
      </c>
      <c r="CN18" s="243">
        <v>1472.99361</v>
      </c>
      <c r="CO18" s="243">
        <v>1619.9621599999998</v>
      </c>
      <c r="CP18" s="243">
        <v>1068.5400500000001</v>
      </c>
      <c r="CQ18" s="243">
        <v>915.17888000000005</v>
      </c>
      <c r="CR18" s="243">
        <v>1208.4352699999999</v>
      </c>
      <c r="CS18" s="243">
        <v>564.15692000000001</v>
      </c>
      <c r="CT18" s="243">
        <v>862.12744999999995</v>
      </c>
      <c r="CU18" s="243">
        <v>1107.73821</v>
      </c>
      <c r="CV18" s="243">
        <v>1166.60979</v>
      </c>
      <c r="CW18" s="243">
        <v>1715.6787099999999</v>
      </c>
      <c r="CX18" s="243">
        <v>2142.9444600000002</v>
      </c>
      <c r="CY18" s="243">
        <v>1123.29252</v>
      </c>
      <c r="CZ18" s="243">
        <v>1235.8950199999999</v>
      </c>
      <c r="DA18" s="243">
        <v>1742.17374</v>
      </c>
      <c r="DB18" s="243">
        <v>1049.7999199999999</v>
      </c>
      <c r="DC18" s="243">
        <v>1272.4601100000002</v>
      </c>
      <c r="DD18" s="243">
        <v>1562.0039400000001</v>
      </c>
      <c r="DE18" s="243">
        <v>760.63626999999997</v>
      </c>
      <c r="DF18" s="243">
        <v>935.10873000000004</v>
      </c>
      <c r="DG18" s="243">
        <v>1188.78576</v>
      </c>
      <c r="DH18" s="243">
        <v>777.88049000000001</v>
      </c>
      <c r="DI18" s="243">
        <v>1195.21766</v>
      </c>
      <c r="DJ18" s="243">
        <v>1451.86625</v>
      </c>
      <c r="DK18" s="243">
        <v>823.64361999999994</v>
      </c>
      <c r="DL18" s="243">
        <v>1284.7723600000002</v>
      </c>
      <c r="DM18" s="243">
        <v>1701.8793799999999</v>
      </c>
      <c r="DN18" s="243">
        <v>1022.39748</v>
      </c>
      <c r="DO18" s="243">
        <v>1256.9318000000001</v>
      </c>
      <c r="DP18" s="243">
        <v>1595.8619199999998</v>
      </c>
      <c r="DQ18" s="243">
        <v>1079.8651299999999</v>
      </c>
      <c r="DR18" s="243">
        <v>1299.02946</v>
      </c>
      <c r="DS18" s="243">
        <v>1496.62032</v>
      </c>
      <c r="DT18" s="243">
        <v>673.25096999999994</v>
      </c>
      <c r="DU18" s="243">
        <v>902.04340999999999</v>
      </c>
      <c r="DV18" s="243">
        <v>1028.3160500000001</v>
      </c>
      <c r="DW18" s="243">
        <v>832.64310999999998</v>
      </c>
      <c r="DX18" s="243">
        <v>926.54253000000006</v>
      </c>
      <c r="DY18" s="243">
        <v>1260.9897699999999</v>
      </c>
      <c r="DZ18" s="243">
        <v>1026.2549300000001</v>
      </c>
      <c r="EA18" s="243">
        <v>1250.5963700000002</v>
      </c>
      <c r="EB18" s="243">
        <v>1439.03629</v>
      </c>
      <c r="EC18" s="243">
        <v>781.25278000000003</v>
      </c>
      <c r="ED18" s="243">
        <v>1020.48308</v>
      </c>
      <c r="EE18" s="243">
        <v>1371.2764999999999</v>
      </c>
      <c r="EF18" s="243">
        <v>841.29766000000006</v>
      </c>
      <c r="EG18" s="243">
        <v>1208.3459700000001</v>
      </c>
      <c r="EH18" s="243">
        <v>1542.4809399999999</v>
      </c>
      <c r="EI18" s="243">
        <v>1003.46887</v>
      </c>
      <c r="EJ18" s="243">
        <v>1278.8301899999999</v>
      </c>
      <c r="EK18" s="243">
        <v>612.94316000000003</v>
      </c>
      <c r="EL18" s="243">
        <v>1003.45624</v>
      </c>
      <c r="EM18" s="243">
        <v>1274.9468200000001</v>
      </c>
      <c r="EN18" s="243">
        <v>1549.0675700000002</v>
      </c>
      <c r="EO18" s="243">
        <v>892.66068999999993</v>
      </c>
      <c r="EP18" s="243">
        <v>1188.4883400000001</v>
      </c>
      <c r="EQ18" s="243">
        <f>(VLOOKUP("123",'Input BS ACCTS'!$A$5:$DD$1052,98,FALSE))/1000</f>
        <v>1502.23612</v>
      </c>
      <c r="ER18" s="243">
        <f>(VLOOKUP("123",'Input BS ACCTS'!$A$5:$DD$1052,99,FALSE))/1000</f>
        <v>868.33180000000004</v>
      </c>
      <c r="ES18" s="243">
        <f>(VLOOKUP("123",'Input BS ACCTS'!$A$5:$DD$1052,100,FALSE))/1000</f>
        <v>1027.7767200000001</v>
      </c>
      <c r="ET18" s="467">
        <f>SUM(EG18:ES18)/13</f>
        <v>1150.2333407692308</v>
      </c>
      <c r="EU18" s="801"/>
      <c r="EV18" s="801"/>
      <c r="HL18" s="35"/>
      <c r="HM18" s="253"/>
      <c r="HN18" s="217"/>
      <c r="HO18" s="35"/>
      <c r="HP18" s="35"/>
      <c r="HQ18" s="35"/>
      <c r="HR18" s="35"/>
      <c r="HS18" s="35"/>
      <c r="HT18" s="35"/>
      <c r="HU18" s="35"/>
      <c r="HV18" s="35"/>
      <c r="HW18" s="35"/>
      <c r="HX18" s="35"/>
      <c r="HY18" s="35"/>
      <c r="HZ18" s="35"/>
      <c r="IA18" s="35"/>
    </row>
    <row r="19" spans="1:235">
      <c r="A19" s="27" t="s">
        <v>225</v>
      </c>
      <c r="B19" s="121">
        <v>0</v>
      </c>
      <c r="C19" s="121">
        <v>0</v>
      </c>
      <c r="D19" s="121">
        <v>0</v>
      </c>
      <c r="E19" s="121">
        <v>0</v>
      </c>
      <c r="F19" s="121">
        <v>0</v>
      </c>
      <c r="G19" s="121">
        <v>0</v>
      </c>
      <c r="H19" s="121">
        <v>0</v>
      </c>
      <c r="I19" s="121">
        <v>0</v>
      </c>
      <c r="J19" s="121">
        <v>0</v>
      </c>
      <c r="K19" s="121">
        <v>0</v>
      </c>
      <c r="L19" s="121">
        <v>0</v>
      </c>
      <c r="M19" s="121">
        <v>0</v>
      </c>
      <c r="N19" s="121">
        <v>0</v>
      </c>
      <c r="O19" s="121">
        <v>0</v>
      </c>
      <c r="P19" s="121">
        <v>0</v>
      </c>
      <c r="Q19" s="121">
        <v>0</v>
      </c>
      <c r="R19" s="121">
        <v>0</v>
      </c>
      <c r="S19" s="121">
        <v>0</v>
      </c>
      <c r="T19" s="121">
        <v>0</v>
      </c>
      <c r="U19" s="121">
        <v>0</v>
      </c>
      <c r="V19" s="121">
        <v>0</v>
      </c>
      <c r="W19" s="121">
        <v>0</v>
      </c>
      <c r="X19" s="121">
        <v>0</v>
      </c>
      <c r="Y19" s="121">
        <v>0</v>
      </c>
      <c r="Z19" s="121">
        <v>0</v>
      </c>
      <c r="AA19" s="121">
        <v>0</v>
      </c>
      <c r="AB19" s="121">
        <v>0</v>
      </c>
      <c r="AC19" s="121">
        <v>0</v>
      </c>
      <c r="AD19" s="121">
        <v>0</v>
      </c>
      <c r="AE19" s="121">
        <v>0</v>
      </c>
      <c r="AF19" s="121">
        <v>0</v>
      </c>
      <c r="AG19" s="121">
        <v>0</v>
      </c>
      <c r="AH19" s="121">
        <v>0</v>
      </c>
      <c r="AI19" s="121">
        <v>0</v>
      </c>
      <c r="AJ19" s="121">
        <v>0</v>
      </c>
      <c r="AK19" s="121">
        <v>0</v>
      </c>
      <c r="AL19" s="121">
        <v>0</v>
      </c>
      <c r="AM19" s="213">
        <v>0</v>
      </c>
      <c r="AN19" s="213">
        <v>0</v>
      </c>
      <c r="AO19" s="213">
        <v>0</v>
      </c>
      <c r="AP19" s="213">
        <v>0</v>
      </c>
      <c r="AQ19" s="213">
        <v>0</v>
      </c>
      <c r="AR19" s="213">
        <v>0</v>
      </c>
      <c r="AS19" s="202">
        <v>0</v>
      </c>
      <c r="AT19" s="202">
        <v>0</v>
      </c>
      <c r="AU19" s="243">
        <v>0</v>
      </c>
      <c r="AV19" s="243">
        <v>0</v>
      </c>
      <c r="AW19" s="243">
        <v>0</v>
      </c>
      <c r="AX19" s="243">
        <v>0</v>
      </c>
      <c r="AY19" s="243">
        <v>0</v>
      </c>
      <c r="AZ19" s="243">
        <v>0</v>
      </c>
      <c r="BA19" s="387">
        <v>0</v>
      </c>
      <c r="BB19" s="387">
        <v>0</v>
      </c>
      <c r="BC19" s="387">
        <v>0</v>
      </c>
      <c r="BD19" s="387">
        <v>0</v>
      </c>
      <c r="BE19" s="387">
        <v>0</v>
      </c>
      <c r="BF19" s="387">
        <v>0</v>
      </c>
      <c r="BG19" s="243">
        <v>0</v>
      </c>
      <c r="BH19" s="243">
        <v>0</v>
      </c>
      <c r="BI19" s="243">
        <v>0</v>
      </c>
      <c r="BJ19" s="243">
        <v>0</v>
      </c>
      <c r="BK19" s="243">
        <v>0</v>
      </c>
      <c r="BL19" s="243">
        <v>0</v>
      </c>
      <c r="BM19" s="243">
        <v>0</v>
      </c>
      <c r="BN19" s="243">
        <v>0</v>
      </c>
      <c r="BO19" s="243">
        <v>0</v>
      </c>
      <c r="BP19" s="243">
        <v>0</v>
      </c>
      <c r="BQ19" s="243">
        <v>0</v>
      </c>
      <c r="BR19" s="243">
        <v>0</v>
      </c>
      <c r="BS19" s="243">
        <v>0</v>
      </c>
      <c r="BT19" s="243">
        <v>0</v>
      </c>
      <c r="BU19" s="243">
        <v>0</v>
      </c>
      <c r="BV19" s="243">
        <v>0</v>
      </c>
      <c r="BW19" s="243">
        <v>0</v>
      </c>
      <c r="BX19" s="243">
        <v>0</v>
      </c>
      <c r="BY19" s="243">
        <v>0</v>
      </c>
      <c r="BZ19" s="243">
        <v>0</v>
      </c>
      <c r="CA19" s="243">
        <v>0</v>
      </c>
      <c r="CB19" s="243">
        <v>0</v>
      </c>
      <c r="CC19" s="243">
        <v>0</v>
      </c>
      <c r="CD19" s="243">
        <v>0</v>
      </c>
      <c r="CE19" s="243">
        <v>0</v>
      </c>
      <c r="CF19" s="243">
        <v>0</v>
      </c>
      <c r="CG19" s="243">
        <v>0</v>
      </c>
      <c r="CH19" s="243">
        <v>0</v>
      </c>
      <c r="CI19" s="243">
        <v>0</v>
      </c>
      <c r="CJ19" s="243">
        <v>0</v>
      </c>
      <c r="CK19" s="243">
        <v>0</v>
      </c>
      <c r="CL19" s="243">
        <v>0</v>
      </c>
      <c r="CM19" s="243">
        <v>0</v>
      </c>
      <c r="CN19" s="243">
        <v>0</v>
      </c>
      <c r="CO19" s="243">
        <v>0</v>
      </c>
      <c r="CP19" s="243">
        <v>0</v>
      </c>
      <c r="CQ19" s="243">
        <v>0</v>
      </c>
      <c r="CR19" s="243">
        <v>0</v>
      </c>
      <c r="CS19" s="243">
        <v>0</v>
      </c>
      <c r="CT19" s="243">
        <v>0</v>
      </c>
      <c r="CU19" s="243">
        <v>0</v>
      </c>
      <c r="CV19" s="243">
        <v>0</v>
      </c>
      <c r="CW19" s="243">
        <v>0</v>
      </c>
      <c r="CX19" s="243">
        <v>0</v>
      </c>
      <c r="CY19" s="243">
        <v>0</v>
      </c>
      <c r="CZ19" s="243">
        <v>0</v>
      </c>
      <c r="DA19" s="243">
        <v>0</v>
      </c>
      <c r="DB19" s="243">
        <v>0</v>
      </c>
      <c r="DC19" s="243">
        <v>0</v>
      </c>
      <c r="DD19" s="243">
        <v>0</v>
      </c>
      <c r="DE19" s="243">
        <v>0</v>
      </c>
      <c r="DF19" s="243">
        <v>0</v>
      </c>
      <c r="DG19" s="243">
        <v>0</v>
      </c>
      <c r="DH19" s="243">
        <v>0</v>
      </c>
      <c r="DI19" s="243">
        <v>0</v>
      </c>
      <c r="DJ19" s="243">
        <v>0</v>
      </c>
      <c r="DK19" s="243">
        <v>0</v>
      </c>
      <c r="DL19" s="243">
        <v>0</v>
      </c>
      <c r="DM19" s="243">
        <v>0</v>
      </c>
      <c r="DN19" s="243">
        <v>0</v>
      </c>
      <c r="DO19" s="243">
        <v>0</v>
      </c>
      <c r="DP19" s="243">
        <v>0</v>
      </c>
      <c r="DQ19" s="243">
        <v>0</v>
      </c>
      <c r="DR19" s="243">
        <v>0</v>
      </c>
      <c r="DS19" s="243">
        <v>0</v>
      </c>
      <c r="DT19" s="243">
        <v>0</v>
      </c>
      <c r="DU19" s="243">
        <v>0</v>
      </c>
      <c r="DV19" s="243">
        <v>0</v>
      </c>
      <c r="DW19" s="243">
        <v>0</v>
      </c>
      <c r="DX19" s="243">
        <v>0</v>
      </c>
      <c r="DY19" s="243">
        <v>0</v>
      </c>
      <c r="DZ19" s="243">
        <v>0</v>
      </c>
      <c r="EA19" s="243">
        <v>0</v>
      </c>
      <c r="EB19" s="243">
        <v>0</v>
      </c>
      <c r="EC19" s="243">
        <v>0</v>
      </c>
      <c r="ED19" s="243">
        <v>0</v>
      </c>
      <c r="EE19" s="243">
        <v>0</v>
      </c>
      <c r="EF19" s="243">
        <v>0</v>
      </c>
      <c r="EG19" s="243">
        <v>0</v>
      </c>
      <c r="EH19" s="243">
        <v>0</v>
      </c>
      <c r="EI19" s="243">
        <v>0</v>
      </c>
      <c r="EJ19" s="243">
        <v>0</v>
      </c>
      <c r="EK19" s="243">
        <v>0</v>
      </c>
      <c r="EL19" s="243">
        <v>0</v>
      </c>
      <c r="EM19" s="243">
        <v>0</v>
      </c>
      <c r="EN19" s="243">
        <v>0</v>
      </c>
      <c r="EO19" s="243">
        <v>0</v>
      </c>
      <c r="EP19" s="243">
        <v>0</v>
      </c>
      <c r="EQ19" s="243">
        <v>0</v>
      </c>
      <c r="ER19" s="243">
        <v>0</v>
      </c>
      <c r="ES19" s="243">
        <v>0</v>
      </c>
      <c r="ET19" s="467">
        <f>SUM(EG19:ES19)/13</f>
        <v>0</v>
      </c>
      <c r="EU19" s="801"/>
      <c r="EV19" s="801"/>
      <c r="HL19" s="35"/>
      <c r="HM19" s="253"/>
      <c r="HN19" s="217"/>
      <c r="HO19" s="35"/>
      <c r="HP19" s="35"/>
      <c r="HQ19" s="35"/>
      <c r="HR19" s="35"/>
      <c r="HS19" s="35"/>
      <c r="HT19" s="35"/>
      <c r="HU19" s="35"/>
      <c r="HV19" s="35"/>
      <c r="HW19" s="35"/>
      <c r="HX19" s="35"/>
      <c r="HY19" s="35"/>
      <c r="HZ19" s="35"/>
      <c r="IA19" s="35"/>
    </row>
    <row r="20" spans="1:235">
      <c r="A20" s="27" t="s">
        <v>226</v>
      </c>
      <c r="B20" s="124">
        <v>0</v>
      </c>
      <c r="C20" s="124">
        <v>0</v>
      </c>
      <c r="D20" s="124">
        <v>0</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124">
        <v>0</v>
      </c>
      <c r="W20" s="124">
        <v>0</v>
      </c>
      <c r="X20" s="124">
        <v>0</v>
      </c>
      <c r="Y20" s="124">
        <v>0</v>
      </c>
      <c r="Z20" s="124">
        <v>0</v>
      </c>
      <c r="AA20" s="124">
        <v>0</v>
      </c>
      <c r="AB20" s="124">
        <v>0</v>
      </c>
      <c r="AC20" s="124">
        <v>0</v>
      </c>
      <c r="AD20" s="124">
        <v>0</v>
      </c>
      <c r="AE20" s="124">
        <v>0</v>
      </c>
      <c r="AF20" s="124">
        <v>0</v>
      </c>
      <c r="AG20" s="124">
        <v>0</v>
      </c>
      <c r="AH20" s="124">
        <v>0</v>
      </c>
      <c r="AI20" s="124">
        <v>0</v>
      </c>
      <c r="AJ20" s="124">
        <v>0</v>
      </c>
      <c r="AK20" s="124">
        <v>0</v>
      </c>
      <c r="AL20" s="124">
        <v>0</v>
      </c>
      <c r="AM20" s="235">
        <v>0</v>
      </c>
      <c r="AN20" s="235">
        <v>0</v>
      </c>
      <c r="AO20" s="235">
        <v>0</v>
      </c>
      <c r="AP20" s="235">
        <v>0</v>
      </c>
      <c r="AQ20" s="235">
        <v>0</v>
      </c>
      <c r="AR20" s="235">
        <v>0</v>
      </c>
      <c r="AS20" s="245">
        <v>0</v>
      </c>
      <c r="AT20" s="245">
        <v>0</v>
      </c>
      <c r="AU20" s="244">
        <v>0</v>
      </c>
      <c r="AV20" s="244">
        <v>0</v>
      </c>
      <c r="AW20" s="244">
        <v>0</v>
      </c>
      <c r="AX20" s="244">
        <v>0</v>
      </c>
      <c r="AY20" s="244">
        <v>0</v>
      </c>
      <c r="AZ20" s="244">
        <v>0</v>
      </c>
      <c r="BA20" s="404">
        <v>0</v>
      </c>
      <c r="BB20" s="404">
        <v>0</v>
      </c>
      <c r="BC20" s="404">
        <v>0</v>
      </c>
      <c r="BD20" s="404">
        <v>0</v>
      </c>
      <c r="BE20" s="404">
        <v>0</v>
      </c>
      <c r="BF20" s="404">
        <v>0</v>
      </c>
      <c r="BG20" s="244">
        <v>0</v>
      </c>
      <c r="BH20" s="244">
        <v>0</v>
      </c>
      <c r="BI20" s="244">
        <v>0</v>
      </c>
      <c r="BJ20" s="244">
        <v>0</v>
      </c>
      <c r="BK20" s="244">
        <v>0</v>
      </c>
      <c r="BL20" s="244">
        <v>0</v>
      </c>
      <c r="BM20" s="244">
        <v>0</v>
      </c>
      <c r="BN20" s="244">
        <v>0</v>
      </c>
      <c r="BO20" s="244">
        <v>0</v>
      </c>
      <c r="BP20" s="244">
        <v>0</v>
      </c>
      <c r="BQ20" s="244">
        <v>0</v>
      </c>
      <c r="BR20" s="244">
        <v>0</v>
      </c>
      <c r="BS20" s="244">
        <v>0</v>
      </c>
      <c r="BT20" s="244">
        <v>0</v>
      </c>
      <c r="BU20" s="244">
        <v>0</v>
      </c>
      <c r="BV20" s="244">
        <v>0</v>
      </c>
      <c r="BW20" s="244">
        <v>0</v>
      </c>
      <c r="BX20" s="244">
        <v>0</v>
      </c>
      <c r="BY20" s="244">
        <v>0</v>
      </c>
      <c r="BZ20" s="244">
        <v>0</v>
      </c>
      <c r="CA20" s="244">
        <v>0</v>
      </c>
      <c r="CB20" s="244">
        <v>0</v>
      </c>
      <c r="CC20" s="244">
        <v>0</v>
      </c>
      <c r="CD20" s="244">
        <v>0</v>
      </c>
      <c r="CE20" s="244">
        <v>0</v>
      </c>
      <c r="CF20" s="244">
        <v>0</v>
      </c>
      <c r="CG20" s="244">
        <v>0</v>
      </c>
      <c r="CH20" s="244">
        <v>0</v>
      </c>
      <c r="CI20" s="244">
        <v>0</v>
      </c>
      <c r="CJ20" s="244">
        <v>0</v>
      </c>
      <c r="CK20" s="244">
        <v>0</v>
      </c>
      <c r="CL20" s="244">
        <v>0</v>
      </c>
      <c r="CM20" s="244">
        <v>0</v>
      </c>
      <c r="CN20" s="244">
        <v>0</v>
      </c>
      <c r="CO20" s="244">
        <v>0</v>
      </c>
      <c r="CP20" s="244">
        <v>0</v>
      </c>
      <c r="CQ20" s="244">
        <v>0</v>
      </c>
      <c r="CR20" s="244">
        <v>0</v>
      </c>
      <c r="CS20" s="244">
        <v>0</v>
      </c>
      <c r="CT20" s="244">
        <v>0</v>
      </c>
      <c r="CU20" s="244">
        <v>0</v>
      </c>
      <c r="CV20" s="244">
        <v>0</v>
      </c>
      <c r="CW20" s="244">
        <v>0</v>
      </c>
      <c r="CX20" s="244">
        <v>0</v>
      </c>
      <c r="CY20" s="244">
        <v>0</v>
      </c>
      <c r="CZ20" s="244">
        <v>0</v>
      </c>
      <c r="DA20" s="244">
        <v>0</v>
      </c>
      <c r="DB20" s="244">
        <v>0</v>
      </c>
      <c r="DC20" s="244">
        <v>0</v>
      </c>
      <c r="DD20" s="244">
        <v>0</v>
      </c>
      <c r="DE20" s="244">
        <v>0</v>
      </c>
      <c r="DF20" s="244">
        <v>0</v>
      </c>
      <c r="DG20" s="244">
        <v>0</v>
      </c>
      <c r="DH20" s="244">
        <v>0</v>
      </c>
      <c r="DI20" s="244">
        <v>0</v>
      </c>
      <c r="DJ20" s="244">
        <v>0</v>
      </c>
      <c r="DK20" s="244">
        <v>0</v>
      </c>
      <c r="DL20" s="244">
        <v>0</v>
      </c>
      <c r="DM20" s="244">
        <v>0</v>
      </c>
      <c r="DN20" s="244">
        <v>0</v>
      </c>
      <c r="DO20" s="244">
        <v>0</v>
      </c>
      <c r="DP20" s="244">
        <v>0</v>
      </c>
      <c r="DQ20" s="244">
        <v>0</v>
      </c>
      <c r="DR20" s="244">
        <v>0</v>
      </c>
      <c r="DS20" s="244">
        <v>0</v>
      </c>
      <c r="DT20" s="244">
        <v>0</v>
      </c>
      <c r="DU20" s="244">
        <v>0</v>
      </c>
      <c r="DV20" s="244">
        <v>0</v>
      </c>
      <c r="DW20" s="244">
        <v>0</v>
      </c>
      <c r="DX20" s="244">
        <v>0</v>
      </c>
      <c r="DY20" s="244">
        <v>0</v>
      </c>
      <c r="DZ20" s="244">
        <v>0</v>
      </c>
      <c r="EA20" s="244">
        <v>0</v>
      </c>
      <c r="EB20" s="244">
        <v>0</v>
      </c>
      <c r="EC20" s="244">
        <v>0</v>
      </c>
      <c r="ED20" s="244">
        <v>0</v>
      </c>
      <c r="EE20" s="244">
        <v>0</v>
      </c>
      <c r="EF20" s="244">
        <v>0</v>
      </c>
      <c r="EG20" s="244">
        <v>0</v>
      </c>
      <c r="EH20" s="244">
        <v>0</v>
      </c>
      <c r="EI20" s="244">
        <v>0</v>
      </c>
      <c r="EJ20" s="244">
        <v>0</v>
      </c>
      <c r="EK20" s="244">
        <v>0</v>
      </c>
      <c r="EL20" s="244">
        <v>0</v>
      </c>
      <c r="EM20" s="244">
        <v>0</v>
      </c>
      <c r="EN20" s="244">
        <v>0</v>
      </c>
      <c r="EO20" s="244">
        <v>0</v>
      </c>
      <c r="EP20" s="244">
        <v>0</v>
      </c>
      <c r="EQ20" s="244">
        <v>0</v>
      </c>
      <c r="ER20" s="244">
        <v>0</v>
      </c>
      <c r="ES20" s="244">
        <v>0</v>
      </c>
      <c r="ET20" s="467">
        <f>SUM(EG20:ES20)/13</f>
        <v>0</v>
      </c>
      <c r="EU20" s="801"/>
      <c r="EV20" s="801"/>
      <c r="HL20" s="35"/>
      <c r="HM20" s="253"/>
      <c r="HN20" s="217"/>
      <c r="HO20" s="35"/>
      <c r="HP20" s="35"/>
      <c r="HQ20" s="35"/>
      <c r="HR20" s="35"/>
      <c r="HS20" s="35"/>
      <c r="HT20" s="35"/>
      <c r="HU20" s="35"/>
      <c r="HV20" s="35"/>
      <c r="HW20" s="35"/>
      <c r="HX20" s="35"/>
      <c r="HY20" s="35"/>
      <c r="HZ20" s="35"/>
      <c r="IA20" s="35"/>
    </row>
    <row r="21" spans="1:235">
      <c r="A21" s="29" t="s">
        <v>227</v>
      </c>
      <c r="B21" s="125">
        <v>1571.0564299999999</v>
      </c>
      <c r="C21" s="125">
        <v>1022.3464300000001</v>
      </c>
      <c r="D21" s="125">
        <v>1520.01043</v>
      </c>
      <c r="E21" s="125">
        <v>1828.91543</v>
      </c>
      <c r="F21" s="125">
        <v>2102.8054300000003</v>
      </c>
      <c r="G21" s="125">
        <v>1285.74443</v>
      </c>
      <c r="H21" s="125">
        <v>1648.4514299999998</v>
      </c>
      <c r="I21" s="125">
        <v>1831.6244299999998</v>
      </c>
      <c r="J21" s="125">
        <v>1213.90443</v>
      </c>
      <c r="K21" s="125">
        <v>1293.29943</v>
      </c>
      <c r="L21" s="125">
        <v>1478.8074299999998</v>
      </c>
      <c r="M21" s="125">
        <v>927.96043000000009</v>
      </c>
      <c r="N21" s="125">
        <v>1297.0094299999998</v>
      </c>
      <c r="O21" s="125">
        <v>1348</v>
      </c>
      <c r="P21" s="125">
        <v>1202</v>
      </c>
      <c r="Q21" s="125">
        <v>1186</v>
      </c>
      <c r="R21" s="125">
        <v>1570</v>
      </c>
      <c r="S21" s="125">
        <v>919</v>
      </c>
      <c r="T21" s="125">
        <v>1330</v>
      </c>
      <c r="U21" s="125">
        <v>1530</v>
      </c>
      <c r="V21" s="125">
        <v>1329</v>
      </c>
      <c r="W21" s="125">
        <v>1765</v>
      </c>
      <c r="X21" s="125">
        <v>2091</v>
      </c>
      <c r="Y21" s="125">
        <v>1363</v>
      </c>
      <c r="Z21" s="125">
        <v>1574</v>
      </c>
      <c r="AA21" s="125">
        <v>1614</v>
      </c>
      <c r="AB21" s="125">
        <v>1036</v>
      </c>
      <c r="AC21" s="125">
        <v>1357.47</v>
      </c>
      <c r="AD21" s="125">
        <v>1010</v>
      </c>
      <c r="AE21" s="125">
        <v>668</v>
      </c>
      <c r="AF21" s="125">
        <v>757.42141000000004</v>
      </c>
      <c r="AG21" s="125">
        <v>980</v>
      </c>
      <c r="AH21" s="125">
        <v>745</v>
      </c>
      <c r="AI21" s="125">
        <v>672.99215000000015</v>
      </c>
      <c r="AJ21" s="125">
        <v>808.23779000000002</v>
      </c>
      <c r="AK21" s="125">
        <v>488.38484000000005</v>
      </c>
      <c r="AL21" s="125">
        <v>629.71031999999991</v>
      </c>
      <c r="AM21" s="125">
        <v>567.81355000000008</v>
      </c>
      <c r="AN21" s="125">
        <v>636.83618999999999</v>
      </c>
      <c r="AO21" s="125">
        <v>981.64323000000002</v>
      </c>
      <c r="AP21" s="125">
        <v>1274.0989500000001</v>
      </c>
      <c r="AQ21" s="125">
        <v>1104.498</v>
      </c>
      <c r="AR21" s="125">
        <v>1411.75333</v>
      </c>
      <c r="AS21" s="125">
        <v>1610.63795</v>
      </c>
      <c r="AT21" s="125">
        <v>996.73739</v>
      </c>
      <c r="AU21" s="125">
        <v>1252.03628</v>
      </c>
      <c r="AV21" s="125">
        <v>764.98145999999997</v>
      </c>
      <c r="AW21" s="125">
        <v>996.40174999999999</v>
      </c>
      <c r="AX21" s="125">
        <v>1256.51947</v>
      </c>
      <c r="AY21" s="125">
        <v>791.08746999999994</v>
      </c>
      <c r="AZ21" s="125">
        <v>898.28373999999997</v>
      </c>
      <c r="BA21" s="125">
        <v>1072.2861399999999</v>
      </c>
      <c r="BB21" s="125">
        <v>690.73743999999999</v>
      </c>
      <c r="BC21" s="125">
        <v>1021.32838</v>
      </c>
      <c r="BD21" s="125">
        <v>1227.8196399999999</v>
      </c>
      <c r="BE21" s="125">
        <v>789.78665999999998</v>
      </c>
      <c r="BF21" s="125">
        <v>968.31389000000001</v>
      </c>
      <c r="BG21" s="125">
        <v>1230.76161</v>
      </c>
      <c r="BH21" s="125">
        <v>805.46203000000003</v>
      </c>
      <c r="BI21" s="125">
        <v>1003.2940699999999</v>
      </c>
      <c r="BJ21" s="125">
        <v>1072.04739</v>
      </c>
      <c r="BK21" s="125">
        <v>665.43833999999993</v>
      </c>
      <c r="BL21" s="125">
        <v>833.78544999999997</v>
      </c>
      <c r="BM21" s="125">
        <v>1026.6660200000001</v>
      </c>
      <c r="BN21" s="125">
        <v>1417.44109</v>
      </c>
      <c r="BO21" s="125">
        <v>1096.97909</v>
      </c>
      <c r="BP21" s="125">
        <v>1247.7423799999999</v>
      </c>
      <c r="BQ21" s="125">
        <v>570.27496999999994</v>
      </c>
      <c r="BR21" s="125">
        <v>794.63467000000003</v>
      </c>
      <c r="BS21" s="125">
        <v>1010.9288399999999</v>
      </c>
      <c r="BT21" s="125">
        <v>671.65309000000002</v>
      </c>
      <c r="BU21" s="125">
        <v>842.69667000000004</v>
      </c>
      <c r="BV21" s="125">
        <v>1066.0349099999999</v>
      </c>
      <c r="BW21" s="125">
        <v>1196.26839</v>
      </c>
      <c r="BX21" s="125">
        <v>846.35731999999996</v>
      </c>
      <c r="BY21" s="125">
        <v>1550.1913300000001</v>
      </c>
      <c r="BZ21" s="125">
        <v>1846.4717900000001</v>
      </c>
      <c r="CA21" s="125">
        <v>1665.4819399999999</v>
      </c>
      <c r="CB21" s="125">
        <v>1768.1379099999999</v>
      </c>
      <c r="CC21" s="125">
        <v>1890.20372</v>
      </c>
      <c r="CD21" s="125">
        <v>817.69690000000003</v>
      </c>
      <c r="CE21" s="125">
        <v>451.27073999999999</v>
      </c>
      <c r="CF21" s="125">
        <v>666.14198999999996</v>
      </c>
      <c r="CG21" s="125">
        <v>943.90738999999996</v>
      </c>
      <c r="CH21" s="125">
        <v>1124.1783799999998</v>
      </c>
      <c r="CI21" s="125">
        <v>1893.57475</v>
      </c>
      <c r="CJ21" s="125">
        <v>1455.0906100000002</v>
      </c>
      <c r="CK21" s="125">
        <v>1676.4076499999999</v>
      </c>
      <c r="CL21" s="125">
        <f t="shared" ref="CL21:CW21" si="25">SUM(CL18:CL20)</f>
        <v>2030.34005</v>
      </c>
      <c r="CM21" s="125">
        <f t="shared" si="25"/>
        <v>1185.82446</v>
      </c>
      <c r="CN21" s="125">
        <f t="shared" si="25"/>
        <v>1472.99361</v>
      </c>
      <c r="CO21" s="125">
        <f t="shared" si="25"/>
        <v>1619.9621599999998</v>
      </c>
      <c r="CP21" s="125">
        <f t="shared" si="25"/>
        <v>1068.5400500000001</v>
      </c>
      <c r="CQ21" s="125">
        <f t="shared" si="25"/>
        <v>915.17888000000005</v>
      </c>
      <c r="CR21" s="125">
        <f t="shared" si="25"/>
        <v>1208.4352699999999</v>
      </c>
      <c r="CS21" s="125">
        <f t="shared" si="25"/>
        <v>564.15692000000001</v>
      </c>
      <c r="CT21" s="125">
        <f t="shared" si="25"/>
        <v>862.12744999999995</v>
      </c>
      <c r="CU21" s="125">
        <f t="shared" si="25"/>
        <v>1107.73821</v>
      </c>
      <c r="CV21" s="125">
        <f t="shared" si="25"/>
        <v>1166.60979</v>
      </c>
      <c r="CW21" s="125">
        <f t="shared" si="25"/>
        <v>1715.6787099999999</v>
      </c>
      <c r="CX21" s="125">
        <f t="shared" ref="CX21:DC21" si="26">SUM(CX18:CX20)</f>
        <v>2142.9444600000002</v>
      </c>
      <c r="CY21" s="125">
        <f t="shared" si="26"/>
        <v>1123.29252</v>
      </c>
      <c r="CZ21" s="125">
        <f t="shared" si="26"/>
        <v>1235.8950199999999</v>
      </c>
      <c r="DA21" s="125">
        <f t="shared" si="26"/>
        <v>1742.17374</v>
      </c>
      <c r="DB21" s="125">
        <f t="shared" si="26"/>
        <v>1049.7999199999999</v>
      </c>
      <c r="DC21" s="125">
        <f t="shared" si="26"/>
        <v>1272.4601100000002</v>
      </c>
      <c r="DD21" s="125">
        <f t="shared" ref="DD21:DI21" si="27">SUM(DD18:DD20)</f>
        <v>1562.0039400000001</v>
      </c>
      <c r="DE21" s="125">
        <f t="shared" si="27"/>
        <v>760.63626999999997</v>
      </c>
      <c r="DF21" s="125">
        <f t="shared" si="27"/>
        <v>935.10873000000004</v>
      </c>
      <c r="DG21" s="125">
        <f t="shared" si="27"/>
        <v>1188.78576</v>
      </c>
      <c r="DH21" s="125">
        <f t="shared" si="27"/>
        <v>777.88049000000001</v>
      </c>
      <c r="DI21" s="125">
        <f t="shared" si="27"/>
        <v>1195.21766</v>
      </c>
      <c r="DJ21" s="125">
        <f t="shared" ref="DJ21:DP21" si="28">SUM(DJ18:DJ20)</f>
        <v>1451.86625</v>
      </c>
      <c r="DK21" s="125">
        <f t="shared" si="28"/>
        <v>823.64361999999994</v>
      </c>
      <c r="DL21" s="125">
        <f t="shared" si="28"/>
        <v>1284.7723600000002</v>
      </c>
      <c r="DM21" s="125">
        <f t="shared" si="28"/>
        <v>1701.8793799999999</v>
      </c>
      <c r="DN21" s="125">
        <f t="shared" si="28"/>
        <v>1022.39748</v>
      </c>
      <c r="DO21" s="125">
        <f t="shared" si="28"/>
        <v>1256.9318000000001</v>
      </c>
      <c r="DP21" s="125">
        <f t="shared" si="28"/>
        <v>1595.8619199999998</v>
      </c>
      <c r="DQ21" s="125">
        <f t="shared" ref="DQ21:DX21" si="29">SUM(DQ18:DQ20)</f>
        <v>1079.8651299999999</v>
      </c>
      <c r="DR21" s="125">
        <f t="shared" si="29"/>
        <v>1299.02946</v>
      </c>
      <c r="DS21" s="125">
        <f t="shared" si="29"/>
        <v>1496.62032</v>
      </c>
      <c r="DT21" s="125">
        <f t="shared" si="29"/>
        <v>673.25096999999994</v>
      </c>
      <c r="DU21" s="125">
        <f t="shared" si="29"/>
        <v>902.04340999999999</v>
      </c>
      <c r="DV21" s="125">
        <f t="shared" si="29"/>
        <v>1028.3160500000001</v>
      </c>
      <c r="DW21" s="125">
        <f t="shared" si="29"/>
        <v>832.64310999999998</v>
      </c>
      <c r="DX21" s="125">
        <f t="shared" si="29"/>
        <v>926.54253000000006</v>
      </c>
      <c r="DY21" s="125">
        <f t="shared" ref="DY21:ED21" si="30">SUM(DY18:DY20)</f>
        <v>1260.9897699999999</v>
      </c>
      <c r="DZ21" s="125">
        <f t="shared" si="30"/>
        <v>1026.2549300000001</v>
      </c>
      <c r="EA21" s="125">
        <f t="shared" si="30"/>
        <v>1250.5963700000002</v>
      </c>
      <c r="EB21" s="125">
        <f t="shared" si="30"/>
        <v>1439.03629</v>
      </c>
      <c r="EC21" s="125">
        <f t="shared" si="30"/>
        <v>781.25278000000003</v>
      </c>
      <c r="ED21" s="125">
        <f t="shared" si="30"/>
        <v>1020.48308</v>
      </c>
      <c r="EE21" s="125">
        <f t="shared" ref="EE21:EJ21" si="31">SUM(EE18:EE20)</f>
        <v>1371.2764999999999</v>
      </c>
      <c r="EF21" s="125">
        <f t="shared" si="31"/>
        <v>841.29766000000006</v>
      </c>
      <c r="EG21" s="125">
        <f t="shared" si="31"/>
        <v>1208.3459700000001</v>
      </c>
      <c r="EH21" s="125">
        <f t="shared" si="31"/>
        <v>1542.4809399999999</v>
      </c>
      <c r="EI21" s="125">
        <f t="shared" si="31"/>
        <v>1003.46887</v>
      </c>
      <c r="EJ21" s="125">
        <f t="shared" si="31"/>
        <v>1278.8301899999999</v>
      </c>
      <c r="EK21" s="125">
        <f t="shared" ref="EK21:EP21" si="32">SUM(EK18:EK20)</f>
        <v>612.94316000000003</v>
      </c>
      <c r="EL21" s="125">
        <f t="shared" si="32"/>
        <v>1003.45624</v>
      </c>
      <c r="EM21" s="125">
        <f t="shared" si="32"/>
        <v>1274.9468200000001</v>
      </c>
      <c r="EN21" s="125">
        <f t="shared" si="32"/>
        <v>1549.0675700000002</v>
      </c>
      <c r="EO21" s="125">
        <f t="shared" si="32"/>
        <v>892.66068999999993</v>
      </c>
      <c r="EP21" s="125">
        <f t="shared" si="32"/>
        <v>1188.4883400000001</v>
      </c>
      <c r="EQ21" s="125">
        <f>SUM(EQ18:EQ20)</f>
        <v>1502.23612</v>
      </c>
      <c r="ER21" s="125">
        <f>SUM(ER18:ER20)</f>
        <v>868.33180000000004</v>
      </c>
      <c r="ES21" s="125">
        <f>SUM(ES18:ES20)</f>
        <v>1027.7767200000001</v>
      </c>
      <c r="ET21" s="417">
        <f>SUM(ET18:ET20)</f>
        <v>1150.2333407692308</v>
      </c>
      <c r="EU21" s="125"/>
      <c r="EV21" s="125"/>
      <c r="HL21" s="35"/>
      <c r="HM21" s="252"/>
      <c r="HN21" s="217"/>
      <c r="HO21" s="35"/>
      <c r="HP21" s="35"/>
      <c r="HQ21" s="35"/>
      <c r="HR21" s="35"/>
      <c r="HS21" s="35"/>
      <c r="HT21" s="35"/>
      <c r="HU21" s="35"/>
      <c r="HV21" s="35"/>
      <c r="HW21" s="35"/>
      <c r="HX21" s="35"/>
      <c r="HY21" s="35"/>
      <c r="HZ21" s="35"/>
      <c r="IA21" s="35"/>
    </row>
    <row r="22" spans="1:235">
      <c r="A22" s="30"/>
      <c r="B22" s="125">
        <v>0</v>
      </c>
      <c r="C22" s="125">
        <v>0</v>
      </c>
      <c r="D22" s="125">
        <v>0</v>
      </c>
      <c r="E22" s="125">
        <v>0</v>
      </c>
      <c r="F22" s="125">
        <v>0</v>
      </c>
      <c r="G22" s="125">
        <v>0</v>
      </c>
      <c r="H22" s="125">
        <v>0</v>
      </c>
      <c r="I22" s="125">
        <v>0</v>
      </c>
      <c r="J22" s="125">
        <v>0</v>
      </c>
      <c r="K22" s="125">
        <v>0</v>
      </c>
      <c r="L22" s="125">
        <v>0</v>
      </c>
      <c r="M22" s="125">
        <v>0</v>
      </c>
      <c r="N22" s="125">
        <v>0</v>
      </c>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HL22" s="35"/>
      <c r="HM22" s="252"/>
      <c r="HN22" s="217"/>
      <c r="HO22" s="35"/>
      <c r="HP22" s="35"/>
      <c r="HQ22" s="35"/>
      <c r="HR22" s="35"/>
      <c r="HS22" s="35"/>
      <c r="HT22" s="35"/>
      <c r="HU22" s="35"/>
      <c r="HV22" s="35"/>
      <c r="HW22" s="35"/>
      <c r="HX22" s="35"/>
      <c r="HY22" s="35"/>
      <c r="HZ22" s="35"/>
      <c r="IA22" s="35"/>
    </row>
    <row r="23" spans="1:235">
      <c r="A23" s="34" t="s">
        <v>228</v>
      </c>
      <c r="B23" s="125">
        <v>0</v>
      </c>
      <c r="C23" s="125">
        <v>0</v>
      </c>
      <c r="D23" s="125">
        <v>0</v>
      </c>
      <c r="E23" s="125">
        <v>0</v>
      </c>
      <c r="F23" s="125">
        <v>0</v>
      </c>
      <c r="G23" s="125">
        <v>0</v>
      </c>
      <c r="H23" s="125">
        <v>0</v>
      </c>
      <c r="I23" s="125">
        <v>0</v>
      </c>
      <c r="J23" s="125">
        <v>0</v>
      </c>
      <c r="K23" s="125">
        <v>0</v>
      </c>
      <c r="L23" s="125">
        <v>0</v>
      </c>
      <c r="M23" s="125">
        <v>0</v>
      </c>
      <c r="N23" s="125">
        <v>0</v>
      </c>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58" t="s">
        <v>522</v>
      </c>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HL23" s="35"/>
      <c r="HM23" s="252"/>
      <c r="HN23" s="217"/>
      <c r="HO23" s="35"/>
      <c r="HP23" s="35"/>
      <c r="HQ23" s="35"/>
      <c r="HR23" s="35"/>
      <c r="HS23" s="35"/>
      <c r="HT23" s="35"/>
      <c r="HU23" s="35"/>
      <c r="HV23" s="35"/>
      <c r="HW23" s="35"/>
      <c r="HX23" s="35"/>
      <c r="HY23" s="35"/>
      <c r="HZ23" s="35"/>
      <c r="IA23" s="35"/>
    </row>
    <row r="24" spans="1:235">
      <c r="A24" s="27" t="s">
        <v>229</v>
      </c>
      <c r="B24" s="121">
        <v>-1850.9234899999999</v>
      </c>
      <c r="C24" s="121">
        <v>12215.031509999999</v>
      </c>
      <c r="D24" s="121">
        <v>-8220.4684900000011</v>
      </c>
      <c r="E24" s="121">
        <v>93.941509999999781</v>
      </c>
      <c r="F24" s="121">
        <v>-3311.0734900000002</v>
      </c>
      <c r="G24" s="121">
        <v>462.60451</v>
      </c>
      <c r="H24" s="121">
        <v>7067.7655100000002</v>
      </c>
      <c r="I24" s="121">
        <v>963.81051000000002</v>
      </c>
      <c r="J24" s="121">
        <v>-2225.7694900000001</v>
      </c>
      <c r="K24" s="121">
        <v>-704.84049000000005</v>
      </c>
      <c r="L24" s="121">
        <v>4069.8105099999998</v>
      </c>
      <c r="M24" s="121">
        <v>-770.22448999999995</v>
      </c>
      <c r="N24" s="121">
        <v>2212.6585099999998</v>
      </c>
      <c r="O24" s="121">
        <v>8056</v>
      </c>
      <c r="P24" s="121">
        <v>-6162</v>
      </c>
      <c r="Q24" s="121">
        <v>-735</v>
      </c>
      <c r="R24" s="121">
        <v>791</v>
      </c>
      <c r="S24" s="121">
        <v>71</v>
      </c>
      <c r="T24" s="121">
        <v>20879</v>
      </c>
      <c r="U24" s="121">
        <v>18456</v>
      </c>
      <c r="V24" s="121">
        <v>-317</v>
      </c>
      <c r="W24" s="121">
        <v>-652</v>
      </c>
      <c r="X24" s="121">
        <v>6424</v>
      </c>
      <c r="Y24" s="121">
        <v>-931</v>
      </c>
      <c r="Z24" s="121">
        <v>1760</v>
      </c>
      <c r="AA24" s="121">
        <v>95</v>
      </c>
      <c r="AB24" s="121">
        <v>-8981</v>
      </c>
      <c r="AC24" s="121">
        <v>3277.5970000000002</v>
      </c>
      <c r="AD24" s="121">
        <v>15193</v>
      </c>
      <c r="AE24" s="121">
        <v>4459</v>
      </c>
      <c r="AF24" s="121">
        <v>3736</v>
      </c>
      <c r="AG24" s="121">
        <v>3998</v>
      </c>
      <c r="AH24" s="121">
        <v>2377</v>
      </c>
      <c r="AI24" s="121">
        <v>31961.128820000002</v>
      </c>
      <c r="AJ24" s="121">
        <v>38047.466719999997</v>
      </c>
      <c r="AK24" s="121">
        <v>5296.4186600000003</v>
      </c>
      <c r="AL24" s="121">
        <v>10496.154330000001</v>
      </c>
      <c r="AM24" s="213">
        <v>13656.476410000001</v>
      </c>
      <c r="AN24" s="213">
        <v>4308.4822300000005</v>
      </c>
      <c r="AO24" s="251">
        <v>4359.3335000000006</v>
      </c>
      <c r="AP24" s="251">
        <v>2557.6497300000001</v>
      </c>
      <c r="AQ24" s="251">
        <v>3238.8864400000002</v>
      </c>
      <c r="AR24" s="251">
        <v>10626.810069999998</v>
      </c>
      <c r="AS24" s="251">
        <v>16054.270150000002</v>
      </c>
      <c r="AT24" s="251">
        <v>13271.37804</v>
      </c>
      <c r="AU24" s="251">
        <v>18109.568039999995</v>
      </c>
      <c r="AV24" s="251">
        <v>16649.230999999996</v>
      </c>
      <c r="AW24" s="251">
        <v>11207.465979999999</v>
      </c>
      <c r="AX24" s="251">
        <v>2292.9294200000004</v>
      </c>
      <c r="AY24" s="202">
        <v>12277.3853</v>
      </c>
      <c r="AZ24" s="202">
        <v>2813.8578900000002</v>
      </c>
      <c r="BA24" s="387">
        <v>3261.02261</v>
      </c>
      <c r="BB24" s="387">
        <v>2806.5513500000002</v>
      </c>
      <c r="BC24" s="387">
        <v>3356.0370600000001</v>
      </c>
      <c r="BD24" s="387">
        <v>4514.6703200000002</v>
      </c>
      <c r="BE24" s="387">
        <v>2388.2084799999998</v>
      </c>
      <c r="BF24" s="387">
        <v>16073.285109999999</v>
      </c>
      <c r="BG24" s="243">
        <v>13138.25589</v>
      </c>
      <c r="BH24" s="243">
        <v>6354.5598399999999</v>
      </c>
      <c r="BI24" s="243">
        <v>2430.6103399999997</v>
      </c>
      <c r="BJ24" s="243">
        <v>2828.7623399999998</v>
      </c>
      <c r="BK24" s="243">
        <v>1627.96507</v>
      </c>
      <c r="BL24" s="243">
        <v>1098.5117</v>
      </c>
      <c r="BM24" s="243">
        <v>3821.0709500000003</v>
      </c>
      <c r="BN24" s="243">
        <v>2567.1213499999999</v>
      </c>
      <c r="BO24" s="243">
        <v>2312.6497400000003</v>
      </c>
      <c r="BP24" s="243">
        <v>6645.5946100000001</v>
      </c>
      <c r="BQ24" s="243">
        <v>2355.4582400000004</v>
      </c>
      <c r="BR24" s="243">
        <v>31675.094219999999</v>
      </c>
      <c r="BS24" s="243">
        <v>22628.1865</v>
      </c>
      <c r="BT24" s="243">
        <v>23994.350109999999</v>
      </c>
      <c r="BU24" s="243">
        <v>26607.939260000003</v>
      </c>
      <c r="BV24" s="243">
        <v>25154.667089999999</v>
      </c>
      <c r="BW24" s="243">
        <v>22362.8534</v>
      </c>
      <c r="BX24" s="243">
        <v>3347.3319500000002</v>
      </c>
      <c r="BY24" s="243">
        <v>4118.3245299999999</v>
      </c>
      <c r="BZ24" s="243">
        <v>3511.0649500000004</v>
      </c>
      <c r="CA24" s="243">
        <v>3416.4337700000001</v>
      </c>
      <c r="CB24" s="243">
        <v>20951.90654</v>
      </c>
      <c r="CC24" s="243">
        <v>1927.2960700000001</v>
      </c>
      <c r="CD24" s="243">
        <v>3695.5201499999998</v>
      </c>
      <c r="CE24" s="243">
        <v>3262.5855999999999</v>
      </c>
      <c r="CF24" s="243">
        <v>3174.2557099999999</v>
      </c>
      <c r="CG24" s="243">
        <v>2896.8185400000002</v>
      </c>
      <c r="CH24" s="243">
        <v>2234.21432</v>
      </c>
      <c r="CI24" s="243">
        <v>3331.0680899999998</v>
      </c>
      <c r="CJ24" s="243">
        <v>2021.5832</v>
      </c>
      <c r="CK24" s="243">
        <v>2842.4850499999998</v>
      </c>
      <c r="CL24" s="243">
        <v>-1311.8254899999999</v>
      </c>
      <c r="CM24" s="243">
        <v>7683.0090700000001</v>
      </c>
      <c r="CN24" s="243">
        <v>5527.9843600000004</v>
      </c>
      <c r="CO24" s="243">
        <v>10732.318499999999</v>
      </c>
      <c r="CP24" s="243">
        <v>13109.00223</v>
      </c>
      <c r="CQ24" s="243">
        <v>7235.2193799999995</v>
      </c>
      <c r="CR24" s="243">
        <v>9454.7994099999996</v>
      </c>
      <c r="CS24" s="243">
        <v>3982.9443300000003</v>
      </c>
      <c r="CT24" s="243">
        <v>9295.5920700000006</v>
      </c>
      <c r="CU24" s="243">
        <v>9556.7676699999993</v>
      </c>
      <c r="CV24" s="243">
        <v>9285.5061000000005</v>
      </c>
      <c r="CW24" s="243">
        <v>9677.3490099999999</v>
      </c>
      <c r="CX24" s="243">
        <v>7688.52376</v>
      </c>
      <c r="CY24" s="243">
        <v>10910.22869</v>
      </c>
      <c r="CZ24" s="243">
        <v>8678.5849899999994</v>
      </c>
      <c r="DA24" s="243">
        <v>7205.1813400000001</v>
      </c>
      <c r="DB24" s="243">
        <v>9524.5121199999994</v>
      </c>
      <c r="DC24" s="243">
        <v>8981.6409999999996</v>
      </c>
      <c r="DD24" s="243">
        <v>8637.22163</v>
      </c>
      <c r="DE24" s="243">
        <v>9145.0041000000001</v>
      </c>
      <c r="DF24" s="243">
        <v>9419.2051999999985</v>
      </c>
      <c r="DG24" s="243">
        <v>8961.32834</v>
      </c>
      <c r="DH24" s="243">
        <v>8984.9199200000003</v>
      </c>
      <c r="DI24" s="243">
        <v>8481.8151899999993</v>
      </c>
      <c r="DJ24" s="243">
        <v>9183.2239499999996</v>
      </c>
      <c r="DK24" s="243">
        <v>8750.163050000001</v>
      </c>
      <c r="DL24" s="243">
        <v>8471.5416300000015</v>
      </c>
      <c r="DM24" s="243">
        <v>8031.7285499999998</v>
      </c>
      <c r="DN24" s="243">
        <v>8438.4384800000007</v>
      </c>
      <c r="DO24" s="243">
        <v>8121.36625</v>
      </c>
      <c r="DP24" s="243">
        <v>7908.7163</v>
      </c>
      <c r="DQ24" s="243">
        <v>8508.869279999999</v>
      </c>
      <c r="DR24" s="243">
        <v>8534.6572899999992</v>
      </c>
      <c r="DS24" s="243">
        <v>7780.8382499999998</v>
      </c>
      <c r="DT24" s="243">
        <v>8085.6366500000004</v>
      </c>
      <c r="DU24" s="243">
        <v>8303.8692900000005</v>
      </c>
      <c r="DV24" s="243">
        <v>7302.5158499999998</v>
      </c>
      <c r="DW24" s="243">
        <v>8287.9159299999992</v>
      </c>
      <c r="DX24" s="243">
        <v>7325.8216299999995</v>
      </c>
      <c r="DY24" s="243">
        <v>8579.0919200000008</v>
      </c>
      <c r="DZ24" s="243">
        <v>7939.8649500000001</v>
      </c>
      <c r="EA24" s="243">
        <v>9217.2904699999999</v>
      </c>
      <c r="EB24" s="243">
        <v>8748.9912899999999</v>
      </c>
      <c r="EC24" s="243">
        <v>9091.1896799999995</v>
      </c>
      <c r="ED24" s="243">
        <v>8693.9527699999999</v>
      </c>
      <c r="EE24" s="243">
        <v>7909.4248299999999</v>
      </c>
      <c r="EF24" s="243">
        <v>-2329.2906499999999</v>
      </c>
      <c r="EG24" s="243">
        <v>0</v>
      </c>
      <c r="EH24" s="243">
        <v>-2689.7489300000002</v>
      </c>
      <c r="EI24" s="243">
        <v>-3162.0561400000001</v>
      </c>
      <c r="EJ24" s="243">
        <v>-11401.52347</v>
      </c>
      <c r="EK24" s="243">
        <v>-5509.3533399999997</v>
      </c>
      <c r="EL24" s="243">
        <v>-6460.9939800000002</v>
      </c>
      <c r="EM24" s="243">
        <v>-6949.0251900000003</v>
      </c>
      <c r="EN24" s="243">
        <v>-7398.45363</v>
      </c>
      <c r="EO24" s="243">
        <v>-8227.6177100000004</v>
      </c>
      <c r="EP24" s="243">
        <v>-7765.8545400000003</v>
      </c>
      <c r="EQ24" s="243">
        <f>(VLOOKUP("131",'Input BS ACCTS'!$A$5:$DD$1052,98,FALSE))/1000</f>
        <v>-7470.3617300000005</v>
      </c>
      <c r="ER24" s="243">
        <f>(VLOOKUP("131",'Input BS ACCTS'!$A$5:$DD$1052,99,FALSE))/1000</f>
        <v>-7735.3893499999995</v>
      </c>
      <c r="ES24" s="243">
        <f>(VLOOKUP("131",'Input BS ACCTS'!$A$5:$DD$1052,100,FALSE))/1000</f>
        <v>2104.29709</v>
      </c>
      <c r="ET24" s="467">
        <f t="shared" ref="ET24:ET40" si="33">SUM(EG24:ES24)/13</f>
        <v>-5589.6985323076933</v>
      </c>
      <c r="EU24" s="801"/>
      <c r="EV24" s="801"/>
      <c r="HL24" s="35"/>
      <c r="HM24" s="253"/>
      <c r="HN24" s="217"/>
      <c r="HO24" s="35"/>
      <c r="HP24" s="35"/>
      <c r="HQ24" s="35"/>
      <c r="HR24" s="35"/>
      <c r="HS24" s="35"/>
      <c r="HT24" s="35"/>
      <c r="HU24" s="35"/>
      <c r="HV24" s="35"/>
      <c r="HW24" s="35"/>
      <c r="HX24" s="35"/>
      <c r="HY24" s="35"/>
      <c r="HZ24" s="35"/>
      <c r="IA24" s="35"/>
    </row>
    <row r="25" spans="1:235">
      <c r="A25" s="27" t="s">
        <v>230</v>
      </c>
      <c r="B25" s="121">
        <v>25</v>
      </c>
      <c r="C25" s="121">
        <v>25</v>
      </c>
      <c r="D25" s="121">
        <v>25</v>
      </c>
      <c r="E25" s="121">
        <v>25</v>
      </c>
      <c r="F25" s="121">
        <v>25</v>
      </c>
      <c r="G25" s="121">
        <v>25</v>
      </c>
      <c r="H25" s="121">
        <v>25</v>
      </c>
      <c r="I25" s="121">
        <v>25</v>
      </c>
      <c r="J25" s="121">
        <v>25</v>
      </c>
      <c r="K25" s="121">
        <v>25</v>
      </c>
      <c r="L25" s="121">
        <v>25</v>
      </c>
      <c r="M25" s="121">
        <v>25</v>
      </c>
      <c r="N25" s="121">
        <v>25</v>
      </c>
      <c r="O25" s="121">
        <v>25</v>
      </c>
      <c r="P25" s="121">
        <v>25</v>
      </c>
      <c r="Q25" s="121">
        <v>25</v>
      </c>
      <c r="R25" s="121">
        <v>25</v>
      </c>
      <c r="S25" s="121">
        <v>25</v>
      </c>
      <c r="T25" s="121">
        <v>25</v>
      </c>
      <c r="U25" s="121">
        <v>25</v>
      </c>
      <c r="V25" s="121">
        <v>25</v>
      </c>
      <c r="W25" s="121">
        <v>25</v>
      </c>
      <c r="X25" s="121">
        <v>25</v>
      </c>
      <c r="Y25" s="121">
        <v>25</v>
      </c>
      <c r="Z25" s="121">
        <v>25</v>
      </c>
      <c r="AA25" s="121">
        <v>25</v>
      </c>
      <c r="AB25" s="121">
        <v>25</v>
      </c>
      <c r="AC25" s="121">
        <v>25</v>
      </c>
      <c r="AD25" s="121">
        <v>25</v>
      </c>
      <c r="AE25" s="121">
        <v>25</v>
      </c>
      <c r="AF25" s="121">
        <v>25</v>
      </c>
      <c r="AG25" s="121">
        <v>25</v>
      </c>
      <c r="AH25" s="121">
        <v>25</v>
      </c>
      <c r="AI25" s="121">
        <v>25</v>
      </c>
      <c r="AJ25" s="121">
        <v>25</v>
      </c>
      <c r="AK25" s="121">
        <v>25</v>
      </c>
      <c r="AL25" s="121">
        <v>25</v>
      </c>
      <c r="AM25" s="213">
        <v>25</v>
      </c>
      <c r="AN25" s="213">
        <v>25</v>
      </c>
      <c r="AO25" s="251">
        <v>25</v>
      </c>
      <c r="AP25" s="251">
        <v>25</v>
      </c>
      <c r="AQ25" s="251">
        <v>25</v>
      </c>
      <c r="AR25" s="251">
        <v>25</v>
      </c>
      <c r="AS25" s="251">
        <v>0</v>
      </c>
      <c r="AT25" s="251">
        <v>0</v>
      </c>
      <c r="AU25" s="251">
        <v>0</v>
      </c>
      <c r="AV25" s="251">
        <v>0</v>
      </c>
      <c r="AW25" s="251">
        <v>0</v>
      </c>
      <c r="AX25" s="251">
        <v>0</v>
      </c>
      <c r="AY25" s="202">
        <v>0</v>
      </c>
      <c r="AZ25" s="202">
        <v>0</v>
      </c>
      <c r="BA25" s="387">
        <v>0</v>
      </c>
      <c r="BB25" s="387">
        <v>0</v>
      </c>
      <c r="BC25" s="387">
        <v>0</v>
      </c>
      <c r="BD25" s="387">
        <v>0</v>
      </c>
      <c r="BE25" s="387">
        <v>0</v>
      </c>
      <c r="BF25" s="387">
        <v>0</v>
      </c>
      <c r="BG25" s="243">
        <v>0</v>
      </c>
      <c r="BH25" s="243">
        <v>0</v>
      </c>
      <c r="BI25" s="243">
        <v>0</v>
      </c>
      <c r="BJ25" s="243">
        <v>0</v>
      </c>
      <c r="BK25" s="243">
        <v>0</v>
      </c>
      <c r="BL25" s="243">
        <v>0</v>
      </c>
      <c r="BM25" s="243">
        <v>0</v>
      </c>
      <c r="BN25" s="243">
        <v>0</v>
      </c>
      <c r="BO25" s="243">
        <v>0</v>
      </c>
      <c r="BP25" s="243">
        <v>0</v>
      </c>
      <c r="BQ25" s="243">
        <v>0</v>
      </c>
      <c r="BR25" s="243">
        <v>0</v>
      </c>
      <c r="BS25" s="243">
        <v>0</v>
      </c>
      <c r="BT25" s="243">
        <v>0</v>
      </c>
      <c r="BU25" s="243">
        <v>0</v>
      </c>
      <c r="BV25" s="243">
        <v>0</v>
      </c>
      <c r="BW25" s="243">
        <v>0</v>
      </c>
      <c r="BX25" s="243">
        <v>0</v>
      </c>
      <c r="BY25" s="243">
        <v>0</v>
      </c>
      <c r="BZ25" s="243">
        <v>0</v>
      </c>
      <c r="CA25" s="243">
        <v>0</v>
      </c>
      <c r="CB25" s="243">
        <v>0</v>
      </c>
      <c r="CC25" s="243">
        <v>0</v>
      </c>
      <c r="CD25" s="243">
        <v>0</v>
      </c>
      <c r="CE25" s="243">
        <v>0</v>
      </c>
      <c r="CF25" s="243">
        <v>0</v>
      </c>
      <c r="CG25" s="243">
        <v>0</v>
      </c>
      <c r="CH25" s="243">
        <v>0</v>
      </c>
      <c r="CI25" s="243">
        <v>0</v>
      </c>
      <c r="CJ25" s="243">
        <v>0</v>
      </c>
      <c r="CK25" s="243">
        <v>0</v>
      </c>
      <c r="CL25" s="243">
        <v>0</v>
      </c>
      <c r="CM25" s="243">
        <v>0</v>
      </c>
      <c r="CN25" s="243">
        <v>0</v>
      </c>
      <c r="CO25" s="243">
        <v>0</v>
      </c>
      <c r="CP25" s="243">
        <v>0</v>
      </c>
      <c r="CQ25" s="243">
        <v>0</v>
      </c>
      <c r="CR25" s="243">
        <v>0</v>
      </c>
      <c r="CS25" s="243">
        <v>0</v>
      </c>
      <c r="CT25" s="243">
        <v>0</v>
      </c>
      <c r="CU25" s="243">
        <v>0</v>
      </c>
      <c r="CV25" s="243">
        <v>0</v>
      </c>
      <c r="CW25" s="243">
        <v>0</v>
      </c>
      <c r="CX25" s="243">
        <v>0</v>
      </c>
      <c r="CY25" s="243">
        <v>0</v>
      </c>
      <c r="CZ25" s="243">
        <v>0</v>
      </c>
      <c r="DA25" s="243">
        <v>0</v>
      </c>
      <c r="DB25" s="243">
        <v>0</v>
      </c>
      <c r="DC25" s="243">
        <v>0</v>
      </c>
      <c r="DD25" s="243">
        <v>0</v>
      </c>
      <c r="DE25" s="243">
        <v>0</v>
      </c>
      <c r="DF25" s="243">
        <v>0</v>
      </c>
      <c r="DG25" s="243">
        <v>0</v>
      </c>
      <c r="DH25" s="243">
        <v>0</v>
      </c>
      <c r="DI25" s="243">
        <v>0</v>
      </c>
      <c r="DJ25" s="243">
        <v>0</v>
      </c>
      <c r="DK25" s="243">
        <v>0</v>
      </c>
      <c r="DL25" s="243">
        <v>0</v>
      </c>
      <c r="DM25" s="243">
        <v>0</v>
      </c>
      <c r="DN25" s="243">
        <v>0</v>
      </c>
      <c r="DO25" s="243">
        <v>0</v>
      </c>
      <c r="DP25" s="243">
        <v>0</v>
      </c>
      <c r="DQ25" s="243">
        <v>0</v>
      </c>
      <c r="DR25" s="243">
        <v>0</v>
      </c>
      <c r="DS25" s="243">
        <v>0</v>
      </c>
      <c r="DT25" s="243">
        <v>0</v>
      </c>
      <c r="DU25" s="243">
        <v>0</v>
      </c>
      <c r="DV25" s="243">
        <v>0</v>
      </c>
      <c r="DW25" s="243">
        <v>0</v>
      </c>
      <c r="DX25" s="243">
        <v>0</v>
      </c>
      <c r="DY25" s="243">
        <v>0</v>
      </c>
      <c r="DZ25" s="243">
        <v>0</v>
      </c>
      <c r="EA25" s="243">
        <v>0</v>
      </c>
      <c r="EB25" s="243">
        <v>0</v>
      </c>
      <c r="EC25" s="243">
        <v>0</v>
      </c>
      <c r="ED25" s="243">
        <v>0</v>
      </c>
      <c r="EE25" s="243">
        <v>0</v>
      </c>
      <c r="EF25" s="243">
        <v>0</v>
      </c>
      <c r="EG25" s="243">
        <v>0</v>
      </c>
      <c r="EH25" s="243">
        <v>0</v>
      </c>
      <c r="EI25" s="243">
        <v>0</v>
      </c>
      <c r="EJ25" s="243">
        <v>0</v>
      </c>
      <c r="EK25" s="243">
        <v>0</v>
      </c>
      <c r="EL25" s="243">
        <v>0</v>
      </c>
      <c r="EM25" s="243">
        <v>0</v>
      </c>
      <c r="EN25" s="243">
        <v>0</v>
      </c>
      <c r="EO25" s="243">
        <v>0</v>
      </c>
      <c r="EP25" s="243">
        <v>0</v>
      </c>
      <c r="EQ25" s="243">
        <f>(VLOOKUP("136",'Input BS ACCTS'!$A$5:$DD$1052,98,FALSE))/1000</f>
        <v>0</v>
      </c>
      <c r="ER25" s="243">
        <f>(VLOOKUP("136",'Input BS ACCTS'!$A$5:$DD$1052,99,FALSE))/1000</f>
        <v>0</v>
      </c>
      <c r="ES25" s="243">
        <f>(VLOOKUP("136",'Input BS ACCTS'!$A$5:$DD$1052,100,FALSE))/1000</f>
        <v>0</v>
      </c>
      <c r="ET25" s="467">
        <f t="shared" si="33"/>
        <v>0</v>
      </c>
      <c r="EU25" s="801"/>
      <c r="EV25" s="801"/>
      <c r="HL25" s="35"/>
      <c r="HM25" s="253"/>
      <c r="HN25" s="217"/>
      <c r="HO25" s="35"/>
      <c r="HP25" s="35"/>
      <c r="HQ25" s="35"/>
      <c r="HR25" s="35"/>
      <c r="HS25" s="35"/>
      <c r="HT25" s="35"/>
      <c r="HU25" s="35"/>
      <c r="HV25" s="35"/>
      <c r="HW25" s="35"/>
      <c r="HX25" s="35"/>
      <c r="HY25" s="35"/>
      <c r="HZ25" s="35"/>
      <c r="IA25" s="35"/>
    </row>
    <row r="26" spans="1:235">
      <c r="A26" s="27" t="s">
        <v>231</v>
      </c>
      <c r="B26" s="121">
        <v>7.4</v>
      </c>
      <c r="C26" s="121">
        <v>6.7</v>
      </c>
      <c r="D26" s="121">
        <v>6.7</v>
      </c>
      <c r="E26" s="121">
        <v>4.7</v>
      </c>
      <c r="F26" s="121">
        <v>4.7</v>
      </c>
      <c r="G26" s="121">
        <v>4.7</v>
      </c>
      <c r="H26" s="121">
        <v>4.7</v>
      </c>
      <c r="I26" s="121">
        <v>4.7</v>
      </c>
      <c r="J26" s="121">
        <v>4.7</v>
      </c>
      <c r="K26" s="121">
        <v>4.7</v>
      </c>
      <c r="L26" s="121">
        <v>3.9</v>
      </c>
      <c r="M26" s="121">
        <v>3.9</v>
      </c>
      <c r="N26" s="121">
        <v>3.7</v>
      </c>
      <c r="O26" s="121">
        <v>4</v>
      </c>
      <c r="P26" s="121">
        <v>4</v>
      </c>
      <c r="Q26" s="121">
        <v>4</v>
      </c>
      <c r="R26" s="121">
        <v>4</v>
      </c>
      <c r="S26" s="121">
        <v>4</v>
      </c>
      <c r="T26" s="121">
        <v>4</v>
      </c>
      <c r="U26" s="121">
        <v>4</v>
      </c>
      <c r="V26" s="121">
        <v>4</v>
      </c>
      <c r="W26" s="121">
        <v>4</v>
      </c>
      <c r="X26" s="121">
        <v>4</v>
      </c>
      <c r="Y26" s="121">
        <v>4</v>
      </c>
      <c r="Z26" s="121">
        <v>4</v>
      </c>
      <c r="AA26" s="121">
        <v>4</v>
      </c>
      <c r="AB26" s="121">
        <v>4</v>
      </c>
      <c r="AC26" s="121">
        <v>3.7</v>
      </c>
      <c r="AD26" s="121">
        <v>4</v>
      </c>
      <c r="AE26" s="121">
        <v>4</v>
      </c>
      <c r="AF26" s="121">
        <v>4</v>
      </c>
      <c r="AG26" s="121">
        <v>4</v>
      </c>
      <c r="AH26" s="121">
        <v>4</v>
      </c>
      <c r="AI26" s="121">
        <v>3.7</v>
      </c>
      <c r="AJ26" s="121">
        <v>3.7</v>
      </c>
      <c r="AK26" s="121">
        <v>3.7</v>
      </c>
      <c r="AL26" s="121">
        <v>3.7</v>
      </c>
      <c r="AM26" s="213">
        <v>3.7</v>
      </c>
      <c r="AN26" s="213">
        <v>3.7</v>
      </c>
      <c r="AO26" s="251">
        <v>3.5</v>
      </c>
      <c r="AP26" s="251">
        <v>3.5</v>
      </c>
      <c r="AQ26" s="251">
        <v>3.5</v>
      </c>
      <c r="AR26" s="251">
        <v>3.5</v>
      </c>
      <c r="AS26" s="251">
        <v>25</v>
      </c>
      <c r="AT26" s="251">
        <v>25</v>
      </c>
      <c r="AU26" s="251">
        <v>25</v>
      </c>
      <c r="AV26" s="251">
        <v>25</v>
      </c>
      <c r="AW26" s="251">
        <v>25</v>
      </c>
      <c r="AX26" s="251">
        <v>25</v>
      </c>
      <c r="AY26" s="202">
        <v>25</v>
      </c>
      <c r="AZ26" s="202">
        <v>25</v>
      </c>
      <c r="BA26" s="387">
        <v>25</v>
      </c>
      <c r="BB26" s="387">
        <v>25</v>
      </c>
      <c r="BC26" s="387">
        <v>25</v>
      </c>
      <c r="BD26" s="387">
        <v>25</v>
      </c>
      <c r="BE26" s="387">
        <v>25</v>
      </c>
      <c r="BF26" s="387">
        <v>25</v>
      </c>
      <c r="BG26" s="243">
        <v>25</v>
      </c>
      <c r="BH26" s="243">
        <v>25</v>
      </c>
      <c r="BI26" s="243">
        <v>25</v>
      </c>
      <c r="BJ26" s="243">
        <v>25</v>
      </c>
      <c r="BK26" s="243">
        <v>25</v>
      </c>
      <c r="BL26" s="243">
        <v>25</v>
      </c>
      <c r="BM26" s="243">
        <v>25</v>
      </c>
      <c r="BN26" s="243">
        <v>25</v>
      </c>
      <c r="BO26" s="243">
        <v>25</v>
      </c>
      <c r="BP26" s="243">
        <v>25</v>
      </c>
      <c r="BQ26" s="243">
        <v>25</v>
      </c>
      <c r="BR26" s="243">
        <v>25</v>
      </c>
      <c r="BS26" s="243">
        <v>25</v>
      </c>
      <c r="BT26" s="243">
        <v>25</v>
      </c>
      <c r="BU26" s="243">
        <v>25</v>
      </c>
      <c r="BV26" s="243">
        <v>25</v>
      </c>
      <c r="BW26" s="243">
        <v>25</v>
      </c>
      <c r="BX26" s="243">
        <v>25</v>
      </c>
      <c r="BY26" s="243">
        <v>25</v>
      </c>
      <c r="BZ26" s="243">
        <v>25</v>
      </c>
      <c r="CA26" s="243">
        <v>25</v>
      </c>
      <c r="CB26" s="243">
        <v>25</v>
      </c>
      <c r="CC26" s="243">
        <v>25</v>
      </c>
      <c r="CD26" s="243">
        <v>25</v>
      </c>
      <c r="CE26" s="243">
        <v>25</v>
      </c>
      <c r="CF26" s="243">
        <v>25</v>
      </c>
      <c r="CG26" s="243">
        <v>25</v>
      </c>
      <c r="CH26" s="243">
        <v>25</v>
      </c>
      <c r="CI26" s="243">
        <v>25</v>
      </c>
      <c r="CJ26" s="243">
        <v>25</v>
      </c>
      <c r="CK26" s="243">
        <v>25</v>
      </c>
      <c r="CL26" s="243">
        <v>25</v>
      </c>
      <c r="CM26" s="243">
        <v>25</v>
      </c>
      <c r="CN26" s="243">
        <v>25</v>
      </c>
      <c r="CO26" s="243">
        <v>25</v>
      </c>
      <c r="CP26" s="243">
        <v>25</v>
      </c>
      <c r="CQ26" s="243">
        <v>25</v>
      </c>
      <c r="CR26" s="243">
        <v>25</v>
      </c>
      <c r="CS26" s="243">
        <v>25</v>
      </c>
      <c r="CT26" s="243">
        <v>25</v>
      </c>
      <c r="CU26" s="243">
        <v>25</v>
      </c>
      <c r="CV26" s="243">
        <v>25</v>
      </c>
      <c r="CW26" s="243">
        <v>25</v>
      </c>
      <c r="CX26" s="243">
        <v>25</v>
      </c>
      <c r="CY26" s="243">
        <v>25</v>
      </c>
      <c r="CZ26" s="243">
        <v>25</v>
      </c>
      <c r="DA26" s="243">
        <v>25</v>
      </c>
      <c r="DB26" s="243">
        <v>25</v>
      </c>
      <c r="DC26" s="243">
        <v>25</v>
      </c>
      <c r="DD26" s="243">
        <v>25</v>
      </c>
      <c r="DE26" s="243">
        <v>25</v>
      </c>
      <c r="DF26" s="243">
        <v>25</v>
      </c>
      <c r="DG26" s="243">
        <v>25</v>
      </c>
      <c r="DH26" s="243">
        <v>25</v>
      </c>
      <c r="DI26" s="243">
        <v>25</v>
      </c>
      <c r="DJ26" s="243">
        <v>25</v>
      </c>
      <c r="DK26" s="243">
        <v>25</v>
      </c>
      <c r="DL26" s="243">
        <v>25</v>
      </c>
      <c r="DM26" s="243">
        <v>25</v>
      </c>
      <c r="DN26" s="243">
        <v>25</v>
      </c>
      <c r="DO26" s="243">
        <v>25</v>
      </c>
      <c r="DP26" s="243">
        <v>25</v>
      </c>
      <c r="DQ26" s="243">
        <v>25</v>
      </c>
      <c r="DR26" s="243">
        <v>25</v>
      </c>
      <c r="DS26" s="243">
        <v>25</v>
      </c>
      <c r="DT26" s="243">
        <v>25</v>
      </c>
      <c r="DU26" s="243">
        <v>25</v>
      </c>
      <c r="DV26" s="243">
        <v>25</v>
      </c>
      <c r="DW26" s="243">
        <v>25</v>
      </c>
      <c r="DX26" s="243">
        <v>25</v>
      </c>
      <c r="DY26" s="243">
        <v>25</v>
      </c>
      <c r="DZ26" s="243">
        <v>25</v>
      </c>
      <c r="EA26" s="243">
        <v>25</v>
      </c>
      <c r="EB26" s="243">
        <v>25</v>
      </c>
      <c r="EC26" s="243">
        <v>25</v>
      </c>
      <c r="ED26" s="243">
        <v>25</v>
      </c>
      <c r="EE26" s="243">
        <v>25</v>
      </c>
      <c r="EF26" s="243">
        <v>25</v>
      </c>
      <c r="EG26" s="243">
        <v>25</v>
      </c>
      <c r="EH26" s="243">
        <v>25</v>
      </c>
      <c r="EI26" s="243">
        <v>25</v>
      </c>
      <c r="EJ26" s="243">
        <v>25</v>
      </c>
      <c r="EK26" s="243">
        <v>25</v>
      </c>
      <c r="EL26" s="243">
        <v>25</v>
      </c>
      <c r="EM26" s="243">
        <v>25</v>
      </c>
      <c r="EN26" s="243">
        <v>25</v>
      </c>
      <c r="EO26" s="243">
        <v>25</v>
      </c>
      <c r="EP26" s="243">
        <v>25</v>
      </c>
      <c r="EQ26" s="243">
        <f>(VLOOKUP("134",'Input BS ACCTS'!$A$5:$DD$1052,98,FALSE))/1000</f>
        <v>25</v>
      </c>
      <c r="ER26" s="243">
        <f>(VLOOKUP("134",'Input BS ACCTS'!$A$5:$DD$1052,99,FALSE))/1000</f>
        <v>25</v>
      </c>
      <c r="ES26" s="243">
        <f>(VLOOKUP("134",'Input BS ACCTS'!$A$5:$DD$1052,100,FALSE))/1000</f>
        <v>25</v>
      </c>
      <c r="ET26" s="467">
        <f t="shared" si="33"/>
        <v>25</v>
      </c>
      <c r="EU26" s="801"/>
      <c r="EV26" s="801"/>
      <c r="HL26" s="35"/>
      <c r="HM26" s="253"/>
      <c r="HN26" s="217"/>
      <c r="HO26" s="35"/>
      <c r="HP26" s="35"/>
      <c r="HQ26" s="35"/>
      <c r="HR26" s="35"/>
      <c r="HS26" s="35"/>
      <c r="HT26" s="35"/>
      <c r="HU26" s="35"/>
      <c r="HV26" s="35"/>
      <c r="HW26" s="35"/>
      <c r="HX26" s="35"/>
      <c r="HY26" s="35"/>
      <c r="HZ26" s="35"/>
      <c r="IA26" s="35"/>
    </row>
    <row r="27" spans="1:235">
      <c r="A27" s="27" t="s">
        <v>232</v>
      </c>
      <c r="B27" s="121">
        <v>2.0699999999487773E-3</v>
      </c>
      <c r="C27" s="121">
        <v>2.0699999999487773E-3</v>
      </c>
      <c r="D27" s="121">
        <v>2.0699999999487773E-3</v>
      </c>
      <c r="E27" s="121">
        <v>2.0699999999487773E-3</v>
      </c>
      <c r="F27" s="121">
        <v>2.0699999999487773E-3</v>
      </c>
      <c r="G27" s="121">
        <v>2.0699999999487773E-3</v>
      </c>
      <c r="H27" s="121">
        <v>2.0699999999487773E-3</v>
      </c>
      <c r="I27" s="121">
        <v>2.0699999999487773E-3</v>
      </c>
      <c r="J27" s="121">
        <v>2.0699999999487773E-3</v>
      </c>
      <c r="K27" s="121">
        <v>2.0699999999487773E-3</v>
      </c>
      <c r="L27" s="121">
        <v>2.0699999999487773E-3</v>
      </c>
      <c r="M27" s="121">
        <v>2.0699999999487773E-3</v>
      </c>
      <c r="N27" s="121">
        <v>2.0699999999487773E-3</v>
      </c>
      <c r="O27" s="121">
        <v>0</v>
      </c>
      <c r="P27" s="121">
        <v>0</v>
      </c>
      <c r="Q27" s="121">
        <v>0</v>
      </c>
      <c r="R27" s="121">
        <v>0</v>
      </c>
      <c r="S27" s="121">
        <v>0</v>
      </c>
      <c r="T27" s="121">
        <v>0</v>
      </c>
      <c r="U27" s="121">
        <v>0</v>
      </c>
      <c r="V27" s="121">
        <v>0</v>
      </c>
      <c r="W27" s="121">
        <v>0</v>
      </c>
      <c r="X27" s="121">
        <v>0</v>
      </c>
      <c r="Y27" s="121">
        <v>0</v>
      </c>
      <c r="Z27" s="121">
        <v>0</v>
      </c>
      <c r="AA27" s="121">
        <v>0</v>
      </c>
      <c r="AB27" s="121">
        <v>0</v>
      </c>
      <c r="AC27" s="121">
        <v>0</v>
      </c>
      <c r="AD27" s="121">
        <v>0</v>
      </c>
      <c r="AE27" s="121"/>
      <c r="AF27" s="121"/>
      <c r="AG27" s="121"/>
      <c r="AH27" s="121"/>
      <c r="AI27" s="121">
        <v>0</v>
      </c>
      <c r="AJ27" s="121">
        <v>0</v>
      </c>
      <c r="AK27" s="121">
        <v>0</v>
      </c>
      <c r="AL27" s="121">
        <v>0</v>
      </c>
      <c r="AM27" s="213">
        <v>0</v>
      </c>
      <c r="AN27" s="213">
        <v>0</v>
      </c>
      <c r="AO27" s="251">
        <v>0</v>
      </c>
      <c r="AP27" s="251">
        <v>0</v>
      </c>
      <c r="AQ27" s="251">
        <v>0</v>
      </c>
      <c r="AR27" s="251">
        <v>0</v>
      </c>
      <c r="AS27" s="251">
        <v>3.5</v>
      </c>
      <c r="AT27" s="251">
        <v>3.5</v>
      </c>
      <c r="AU27" s="251">
        <v>3.5</v>
      </c>
      <c r="AV27" s="251">
        <v>3.5</v>
      </c>
      <c r="AW27" s="251">
        <v>3.5</v>
      </c>
      <c r="AX27" s="251">
        <v>3.5</v>
      </c>
      <c r="AY27" s="202">
        <v>3.5</v>
      </c>
      <c r="AZ27" s="202">
        <v>3.5</v>
      </c>
      <c r="BA27" s="387">
        <v>3.5</v>
      </c>
      <c r="BB27" s="387">
        <v>3.5</v>
      </c>
      <c r="BC27" s="387">
        <v>3.5</v>
      </c>
      <c r="BD27" s="387">
        <v>3.5</v>
      </c>
      <c r="BE27" s="387">
        <v>3.5</v>
      </c>
      <c r="BF27" s="387">
        <v>3.5</v>
      </c>
      <c r="BG27" s="243">
        <v>3.5</v>
      </c>
      <c r="BH27" s="243">
        <v>3.45</v>
      </c>
      <c r="BI27" s="243">
        <v>3.45</v>
      </c>
      <c r="BJ27" s="243">
        <v>3.45</v>
      </c>
      <c r="BK27" s="243">
        <v>3.45</v>
      </c>
      <c r="BL27" s="243">
        <v>3.45</v>
      </c>
      <c r="BM27" s="243">
        <v>3.45</v>
      </c>
      <c r="BN27" s="243">
        <v>3.45</v>
      </c>
      <c r="BO27" s="243">
        <v>3.45</v>
      </c>
      <c r="BP27" s="243">
        <v>3.45</v>
      </c>
      <c r="BQ27" s="243">
        <v>3.45</v>
      </c>
      <c r="BR27" s="243">
        <v>2.95</v>
      </c>
      <c r="BS27" s="243">
        <v>2.95</v>
      </c>
      <c r="BT27" s="243">
        <v>2.95</v>
      </c>
      <c r="BU27" s="243">
        <v>2.95</v>
      </c>
      <c r="BV27" s="243">
        <v>2.95</v>
      </c>
      <c r="BW27" s="243">
        <v>2.95</v>
      </c>
      <c r="BX27" s="243">
        <v>2.95</v>
      </c>
      <c r="BY27" s="243">
        <v>2.95</v>
      </c>
      <c r="BZ27" s="243">
        <v>2.95</v>
      </c>
      <c r="CA27" s="243">
        <v>2.95</v>
      </c>
      <c r="CB27" s="243">
        <v>2.95</v>
      </c>
      <c r="CC27" s="243">
        <v>2.95</v>
      </c>
      <c r="CD27" s="243">
        <v>2.95</v>
      </c>
      <c r="CE27" s="243">
        <v>2.95</v>
      </c>
      <c r="CF27" s="243">
        <v>2.95</v>
      </c>
      <c r="CG27" s="243">
        <v>2.95</v>
      </c>
      <c r="CH27" s="243">
        <v>3.45</v>
      </c>
      <c r="CI27" s="243">
        <v>3.45</v>
      </c>
      <c r="CJ27" s="243">
        <v>2.95</v>
      </c>
      <c r="CK27" s="243">
        <v>2.95</v>
      </c>
      <c r="CL27" s="243">
        <v>2.95</v>
      </c>
      <c r="CM27" s="243">
        <v>2.95</v>
      </c>
      <c r="CN27" s="243">
        <v>2.95</v>
      </c>
      <c r="CO27" s="243">
        <v>2.95</v>
      </c>
      <c r="CP27" s="243">
        <v>2.95</v>
      </c>
      <c r="CQ27" s="243">
        <v>2.95</v>
      </c>
      <c r="CR27" s="243">
        <v>2.95</v>
      </c>
      <c r="CS27" s="243">
        <v>2.95</v>
      </c>
      <c r="CT27" s="243">
        <v>2.95</v>
      </c>
      <c r="CU27" s="243">
        <v>2.95</v>
      </c>
      <c r="CV27" s="243">
        <v>2.95</v>
      </c>
      <c r="CW27" s="243">
        <v>2.95</v>
      </c>
      <c r="CX27" s="243">
        <v>2.95</v>
      </c>
      <c r="CY27" s="243">
        <v>2.95</v>
      </c>
      <c r="CZ27" s="243">
        <v>2.95</v>
      </c>
      <c r="DA27" s="243">
        <v>2.95</v>
      </c>
      <c r="DB27" s="243">
        <v>2.95</v>
      </c>
      <c r="DC27" s="243">
        <v>2.95</v>
      </c>
      <c r="DD27" s="243">
        <v>2.95</v>
      </c>
      <c r="DE27" s="243">
        <v>2.95</v>
      </c>
      <c r="DF27" s="243">
        <v>2.95</v>
      </c>
      <c r="DG27" s="243">
        <v>2.95</v>
      </c>
      <c r="DH27" s="243">
        <v>2.95</v>
      </c>
      <c r="DI27" s="243">
        <v>2.95</v>
      </c>
      <c r="DJ27" s="243">
        <v>2.95</v>
      </c>
      <c r="DK27" s="243">
        <v>2.95</v>
      </c>
      <c r="DL27" s="243">
        <v>2.95</v>
      </c>
      <c r="DM27" s="243">
        <v>2.95</v>
      </c>
      <c r="DN27" s="243">
        <v>2.95</v>
      </c>
      <c r="DO27" s="243">
        <v>2.95</v>
      </c>
      <c r="DP27" s="243">
        <v>2.95</v>
      </c>
      <c r="DQ27" s="243">
        <v>2.95</v>
      </c>
      <c r="DR27" s="243">
        <v>2.95</v>
      </c>
      <c r="DS27" s="243">
        <v>2.95</v>
      </c>
      <c r="DT27" s="243">
        <v>2.95</v>
      </c>
      <c r="DU27" s="243">
        <v>2.95</v>
      </c>
      <c r="DV27" s="243">
        <v>2.95</v>
      </c>
      <c r="DW27" s="243">
        <v>2.95</v>
      </c>
      <c r="DX27" s="243">
        <v>2.95</v>
      </c>
      <c r="DY27" s="243">
        <v>2.95</v>
      </c>
      <c r="DZ27" s="243">
        <v>2.95</v>
      </c>
      <c r="EA27" s="243">
        <v>2.95</v>
      </c>
      <c r="EB27" s="243">
        <v>2.95</v>
      </c>
      <c r="EC27" s="243">
        <v>2.95</v>
      </c>
      <c r="ED27" s="243">
        <v>2.95</v>
      </c>
      <c r="EE27" s="243">
        <v>2.95</v>
      </c>
      <c r="EF27" s="243">
        <v>2.95</v>
      </c>
      <c r="EG27" s="243">
        <v>2.95</v>
      </c>
      <c r="EH27" s="243">
        <v>2.95</v>
      </c>
      <c r="EI27" s="243">
        <v>2.95</v>
      </c>
      <c r="EJ27" s="243">
        <v>2.95</v>
      </c>
      <c r="EK27" s="243">
        <v>2.95</v>
      </c>
      <c r="EL27" s="243">
        <v>2.95</v>
      </c>
      <c r="EM27" s="243">
        <v>2.95</v>
      </c>
      <c r="EN27" s="243">
        <v>2.95</v>
      </c>
      <c r="EO27" s="243">
        <v>2.95</v>
      </c>
      <c r="EP27" s="243">
        <v>2.95</v>
      </c>
      <c r="EQ27" s="243">
        <f>(VLOOKUP("135",'Input BS ACCTS'!$A$5:$DD$1052,98,FALSE)+VLOOKUP("136",'Input BS ACCTS'!$A$5:$DD$1052,98,FALSE))/1000</f>
        <v>2.95</v>
      </c>
      <c r="ER27" s="243">
        <f>(VLOOKUP("135",'Input BS ACCTS'!$A$5:$DD$1052,99,FALSE)+VLOOKUP("136",'Input BS ACCTS'!$A$5:$DD$1052,99,FALSE))/1000</f>
        <v>2.95</v>
      </c>
      <c r="ES27" s="243">
        <f>(VLOOKUP("135",'Input BS ACCTS'!$A$5:$DD$1052,100,FALSE)+VLOOKUP("136",'Input BS ACCTS'!$A$5:$DD$1052,100,FALSE))/1000</f>
        <v>2.95</v>
      </c>
      <c r="ET27" s="467">
        <f t="shared" si="33"/>
        <v>2.95</v>
      </c>
      <c r="EU27" s="801"/>
      <c r="EV27" s="801"/>
      <c r="HL27" s="35"/>
      <c r="HM27" s="253"/>
      <c r="HN27" s="217"/>
      <c r="HO27" s="35"/>
      <c r="HP27" s="35"/>
      <c r="HQ27" s="35"/>
      <c r="HR27" s="35"/>
      <c r="HS27" s="35"/>
      <c r="HT27" s="35"/>
      <c r="HU27" s="35"/>
      <c r="HV27" s="35"/>
      <c r="HW27" s="35"/>
      <c r="HX27" s="35"/>
      <c r="HY27" s="35"/>
      <c r="HZ27" s="35"/>
      <c r="IA27" s="35"/>
    </row>
    <row r="28" spans="1:235">
      <c r="A28" s="27" t="s">
        <v>233</v>
      </c>
      <c r="B28" s="121">
        <v>0</v>
      </c>
      <c r="C28" s="121">
        <v>0</v>
      </c>
      <c r="D28" s="121">
        <v>0</v>
      </c>
      <c r="E28" s="121">
        <v>0</v>
      </c>
      <c r="F28" s="121">
        <v>0</v>
      </c>
      <c r="G28" s="121">
        <v>0</v>
      </c>
      <c r="H28" s="121">
        <v>0</v>
      </c>
      <c r="I28" s="121">
        <v>0</v>
      </c>
      <c r="J28" s="121">
        <v>0</v>
      </c>
      <c r="K28" s="121">
        <v>0</v>
      </c>
      <c r="L28" s="121">
        <v>0</v>
      </c>
      <c r="M28" s="121">
        <v>0</v>
      </c>
      <c r="N28" s="121">
        <v>0</v>
      </c>
      <c r="O28" s="121">
        <v>0</v>
      </c>
      <c r="P28" s="121">
        <v>0</v>
      </c>
      <c r="Q28" s="121">
        <v>0</v>
      </c>
      <c r="R28" s="121">
        <v>0</v>
      </c>
      <c r="S28" s="121">
        <v>0</v>
      </c>
      <c r="T28" s="121">
        <v>0</v>
      </c>
      <c r="U28" s="121">
        <v>0</v>
      </c>
      <c r="V28" s="121">
        <v>0</v>
      </c>
      <c r="W28" s="121">
        <v>0</v>
      </c>
      <c r="X28" s="121">
        <v>0</v>
      </c>
      <c r="Y28" s="121">
        <v>0</v>
      </c>
      <c r="Z28" s="121">
        <v>0</v>
      </c>
      <c r="AA28" s="121">
        <v>0</v>
      </c>
      <c r="AB28" s="121">
        <v>0</v>
      </c>
      <c r="AC28" s="121">
        <v>0</v>
      </c>
      <c r="AD28" s="121">
        <v>0</v>
      </c>
      <c r="AE28" s="121"/>
      <c r="AF28" s="121"/>
      <c r="AG28" s="121"/>
      <c r="AH28" s="121"/>
      <c r="AI28" s="121">
        <v>0</v>
      </c>
      <c r="AJ28" s="121">
        <v>0</v>
      </c>
      <c r="AK28" s="121">
        <v>0</v>
      </c>
      <c r="AL28" s="121">
        <v>0</v>
      </c>
      <c r="AM28" s="213">
        <v>0</v>
      </c>
      <c r="AN28" s="213">
        <v>0</v>
      </c>
      <c r="AO28" s="251">
        <v>0</v>
      </c>
      <c r="AP28" s="251">
        <v>0</v>
      </c>
      <c r="AQ28" s="251">
        <v>0</v>
      </c>
      <c r="AR28" s="251">
        <v>0</v>
      </c>
      <c r="AS28" s="251">
        <v>0</v>
      </c>
      <c r="AT28" s="251">
        <v>0</v>
      </c>
      <c r="AU28" s="251">
        <v>0</v>
      </c>
      <c r="AV28" s="251">
        <v>0</v>
      </c>
      <c r="AW28" s="251">
        <v>0</v>
      </c>
      <c r="AX28" s="251">
        <v>0</v>
      </c>
      <c r="AY28" s="202">
        <v>0</v>
      </c>
      <c r="AZ28" s="202">
        <v>0</v>
      </c>
      <c r="BA28" s="405">
        <v>0</v>
      </c>
      <c r="BB28" s="405">
        <v>0</v>
      </c>
      <c r="BC28" s="405">
        <v>0</v>
      </c>
      <c r="BD28" s="405">
        <v>0</v>
      </c>
      <c r="BE28" s="405">
        <v>0</v>
      </c>
      <c r="BF28" s="405">
        <v>0</v>
      </c>
      <c r="BG28" s="202">
        <v>0</v>
      </c>
      <c r="BH28" s="202">
        <v>0</v>
      </c>
      <c r="BI28" s="202">
        <v>0</v>
      </c>
      <c r="BJ28" s="202">
        <v>0</v>
      </c>
      <c r="BK28" s="202">
        <v>0</v>
      </c>
      <c r="BL28" s="202">
        <v>0</v>
      </c>
      <c r="BM28" s="202">
        <v>0</v>
      </c>
      <c r="BN28" s="202">
        <v>0</v>
      </c>
      <c r="BO28" s="202">
        <v>0</v>
      </c>
      <c r="BP28" s="202">
        <v>0</v>
      </c>
      <c r="BQ28" s="202">
        <v>0</v>
      </c>
      <c r="BR28" s="202">
        <v>0</v>
      </c>
      <c r="BS28" s="202">
        <v>0</v>
      </c>
      <c r="BT28" s="202">
        <v>0</v>
      </c>
      <c r="BU28" s="202">
        <v>0</v>
      </c>
      <c r="BV28" s="202">
        <v>0</v>
      </c>
      <c r="BW28" s="202">
        <v>0</v>
      </c>
      <c r="BX28" s="202">
        <v>0</v>
      </c>
      <c r="BY28" s="202">
        <v>0</v>
      </c>
      <c r="BZ28" s="202">
        <v>0</v>
      </c>
      <c r="CA28" s="202">
        <v>0</v>
      </c>
      <c r="CB28" s="202">
        <v>0</v>
      </c>
      <c r="CC28" s="202">
        <v>0</v>
      </c>
      <c r="CD28" s="202">
        <v>0</v>
      </c>
      <c r="CE28" s="202">
        <v>0</v>
      </c>
      <c r="CF28" s="202">
        <v>0</v>
      </c>
      <c r="CG28" s="202">
        <v>0</v>
      </c>
      <c r="CH28" s="202">
        <v>0</v>
      </c>
      <c r="CI28" s="202">
        <v>0</v>
      </c>
      <c r="CJ28" s="202">
        <v>0</v>
      </c>
      <c r="CK28" s="202">
        <v>0</v>
      </c>
      <c r="CL28" s="202">
        <v>0</v>
      </c>
      <c r="CM28" s="202">
        <v>0</v>
      </c>
      <c r="CN28" s="202">
        <v>0</v>
      </c>
      <c r="CO28" s="202">
        <v>0</v>
      </c>
      <c r="CP28" s="202">
        <v>0</v>
      </c>
      <c r="CQ28" s="202">
        <v>0</v>
      </c>
      <c r="CR28" s="202">
        <v>0</v>
      </c>
      <c r="CS28" s="202">
        <v>0</v>
      </c>
      <c r="CT28" s="202">
        <v>0</v>
      </c>
      <c r="CU28" s="202">
        <v>0</v>
      </c>
      <c r="CV28" s="202">
        <v>0</v>
      </c>
      <c r="CW28" s="202">
        <v>0</v>
      </c>
      <c r="CX28" s="202">
        <v>0</v>
      </c>
      <c r="CY28" s="202">
        <v>0</v>
      </c>
      <c r="CZ28" s="202">
        <v>0</v>
      </c>
      <c r="DA28" s="202">
        <v>0</v>
      </c>
      <c r="DB28" s="202">
        <v>0</v>
      </c>
      <c r="DC28" s="202">
        <v>0</v>
      </c>
      <c r="DD28" s="202">
        <v>0</v>
      </c>
      <c r="DE28" s="202">
        <v>0</v>
      </c>
      <c r="DF28" s="202">
        <v>0</v>
      </c>
      <c r="DG28" s="202">
        <v>0</v>
      </c>
      <c r="DH28" s="202">
        <v>0</v>
      </c>
      <c r="DI28" s="202">
        <v>0</v>
      </c>
      <c r="DJ28" s="202">
        <v>0</v>
      </c>
      <c r="DK28" s="202">
        <v>0</v>
      </c>
      <c r="DL28" s="202">
        <v>0</v>
      </c>
      <c r="DM28" s="202">
        <v>0</v>
      </c>
      <c r="DN28" s="202">
        <v>0</v>
      </c>
      <c r="DO28" s="202">
        <v>0</v>
      </c>
      <c r="DP28" s="202">
        <v>0</v>
      </c>
      <c r="DQ28" s="202">
        <v>0</v>
      </c>
      <c r="DR28" s="202">
        <v>0</v>
      </c>
      <c r="DS28" s="202">
        <v>0</v>
      </c>
      <c r="DT28" s="202">
        <v>0</v>
      </c>
      <c r="DU28" s="202">
        <v>0</v>
      </c>
      <c r="DV28" s="202">
        <v>0</v>
      </c>
      <c r="DW28" s="202">
        <v>0</v>
      </c>
      <c r="DX28" s="202">
        <v>0</v>
      </c>
      <c r="DY28" s="202">
        <v>0</v>
      </c>
      <c r="DZ28" s="202">
        <v>0</v>
      </c>
      <c r="EA28" s="202">
        <v>0</v>
      </c>
      <c r="EB28" s="202">
        <v>0</v>
      </c>
      <c r="EC28" s="202">
        <v>0</v>
      </c>
      <c r="ED28" s="202">
        <v>0</v>
      </c>
      <c r="EE28" s="202">
        <v>0</v>
      </c>
      <c r="EF28" s="202">
        <v>0</v>
      </c>
      <c r="EG28" s="202">
        <v>0</v>
      </c>
      <c r="EH28" s="202">
        <v>0</v>
      </c>
      <c r="EI28" s="202">
        <v>0</v>
      </c>
      <c r="EJ28" s="202">
        <v>0</v>
      </c>
      <c r="EK28" s="202">
        <v>0</v>
      </c>
      <c r="EL28" s="202">
        <v>0</v>
      </c>
      <c r="EM28" s="202">
        <v>0</v>
      </c>
      <c r="EN28" s="202">
        <v>0</v>
      </c>
      <c r="EO28" s="202">
        <v>0</v>
      </c>
      <c r="EP28" s="202">
        <v>0</v>
      </c>
      <c r="EQ28" s="202">
        <v>0</v>
      </c>
      <c r="ER28" s="202">
        <v>0</v>
      </c>
      <c r="ES28" s="202">
        <v>0</v>
      </c>
      <c r="ET28" s="467">
        <f t="shared" si="33"/>
        <v>0</v>
      </c>
      <c r="EU28" s="801"/>
      <c r="EV28" s="801"/>
      <c r="HL28" s="35"/>
      <c r="HM28" s="253"/>
      <c r="HN28" s="217"/>
      <c r="HO28" s="35"/>
      <c r="HP28" s="35"/>
      <c r="HQ28" s="35"/>
      <c r="HR28" s="35"/>
      <c r="HS28" s="35"/>
      <c r="HT28" s="35"/>
      <c r="HU28" s="35"/>
      <c r="HV28" s="35"/>
      <c r="HW28" s="35"/>
      <c r="HX28" s="35"/>
      <c r="HY28" s="35"/>
      <c r="HZ28" s="35"/>
      <c r="IA28" s="35"/>
    </row>
    <row r="29" spans="1:235">
      <c r="A29" s="27" t="s">
        <v>234</v>
      </c>
      <c r="B29" s="121">
        <v>26073.827189999996</v>
      </c>
      <c r="C29" s="121">
        <v>28968.042189999996</v>
      </c>
      <c r="D29" s="121">
        <v>23431.616189999997</v>
      </c>
      <c r="E29" s="121">
        <v>27144.861189999996</v>
      </c>
      <c r="F29" s="121">
        <v>48451.31119</v>
      </c>
      <c r="G29" s="121">
        <v>45955.519189999999</v>
      </c>
      <c r="H29" s="121">
        <v>43240.590189999995</v>
      </c>
      <c r="I29" s="121">
        <v>30117.490189999997</v>
      </c>
      <c r="J29" s="121">
        <v>30857.152189999997</v>
      </c>
      <c r="K29" s="121">
        <v>29010.698189999999</v>
      </c>
      <c r="L29" s="121">
        <v>29562.793189999997</v>
      </c>
      <c r="M29" s="121">
        <v>27131.999189999999</v>
      </c>
      <c r="N29" s="121">
        <v>24927.842189999999</v>
      </c>
      <c r="O29" s="121">
        <v>19349</v>
      </c>
      <c r="P29" s="121">
        <v>20080</v>
      </c>
      <c r="Q29" s="121">
        <v>32112</v>
      </c>
      <c r="R29" s="121">
        <v>40313</v>
      </c>
      <c r="S29" s="121">
        <v>40391</v>
      </c>
      <c r="T29" s="121">
        <v>27791</v>
      </c>
      <c r="U29" s="121">
        <v>27093</v>
      </c>
      <c r="V29" s="121">
        <v>27440</v>
      </c>
      <c r="W29" s="121">
        <v>22986</v>
      </c>
      <c r="X29" s="121">
        <v>23604</v>
      </c>
      <c r="Y29" s="121">
        <v>20194</v>
      </c>
      <c r="Z29" s="121">
        <v>19495</v>
      </c>
      <c r="AA29" s="121">
        <v>15960</v>
      </c>
      <c r="AB29" s="121">
        <v>20003</v>
      </c>
      <c r="AC29" s="121">
        <v>25640.91488</v>
      </c>
      <c r="AD29" s="121">
        <v>32226</v>
      </c>
      <c r="AE29" s="121">
        <v>26243</v>
      </c>
      <c r="AF29" s="121">
        <v>26379</v>
      </c>
      <c r="AG29" s="121">
        <v>24853</v>
      </c>
      <c r="AH29" s="121">
        <v>25234</v>
      </c>
      <c r="AI29" s="121">
        <v>23712.391950000005</v>
      </c>
      <c r="AJ29" s="121">
        <v>27517.07475</v>
      </c>
      <c r="AK29" s="121">
        <v>23911.414110000002</v>
      </c>
      <c r="AL29" s="121">
        <v>23607.088100000001</v>
      </c>
      <c r="AM29" s="213">
        <v>23141.694440000007</v>
      </c>
      <c r="AN29" s="213">
        <v>23586.686990000006</v>
      </c>
      <c r="AO29" s="251">
        <v>24652.858930000002</v>
      </c>
      <c r="AP29" s="251">
        <v>28621.49121</v>
      </c>
      <c r="AQ29" s="251">
        <v>28358.372480000002</v>
      </c>
      <c r="AR29" s="251">
        <v>30554.07962</v>
      </c>
      <c r="AS29" s="251">
        <v>29262.990700000002</v>
      </c>
      <c r="AT29" s="251">
        <v>23890.974420000002</v>
      </c>
      <c r="AU29" s="251">
        <v>24258.116800000003</v>
      </c>
      <c r="AV29" s="251">
        <v>21498.815369999997</v>
      </c>
      <c r="AW29" s="251">
        <v>20415.455160000001</v>
      </c>
      <c r="AX29" s="251">
        <v>22417.3482</v>
      </c>
      <c r="AY29" s="202">
        <v>21109.634320000001</v>
      </c>
      <c r="AZ29" s="202">
        <v>22898.66618</v>
      </c>
      <c r="BA29" s="387">
        <v>22917.00477</v>
      </c>
      <c r="BB29" s="387">
        <v>33888.23947</v>
      </c>
      <c r="BC29" s="387">
        <v>34564.177649999998</v>
      </c>
      <c r="BD29" s="387">
        <v>30784.053600000003</v>
      </c>
      <c r="BE29" s="387">
        <v>29663.92784</v>
      </c>
      <c r="BF29" s="387">
        <v>22479.626829999997</v>
      </c>
      <c r="BG29" s="243">
        <v>22504.133269999998</v>
      </c>
      <c r="BH29" s="243">
        <v>23241.237089999999</v>
      </c>
      <c r="BI29" s="243">
        <v>23878.46387</v>
      </c>
      <c r="BJ29" s="243">
        <v>22321.09878</v>
      </c>
      <c r="BK29" s="243">
        <v>22099.793280000002</v>
      </c>
      <c r="BL29" s="243">
        <v>26323.347600000001</v>
      </c>
      <c r="BM29" s="243">
        <v>26034.82632</v>
      </c>
      <c r="BN29" s="243">
        <v>32187.52692</v>
      </c>
      <c r="BO29" s="243">
        <v>34039.835079999997</v>
      </c>
      <c r="BP29" s="243">
        <v>29541.3541</v>
      </c>
      <c r="BQ29" s="243">
        <v>28240.355520000001</v>
      </c>
      <c r="BR29" s="243">
        <v>23565.407480000002</v>
      </c>
      <c r="BS29" s="243">
        <v>24075.458019999998</v>
      </c>
      <c r="BT29" s="243">
        <v>21417.409149999999</v>
      </c>
      <c r="BU29" s="243">
        <v>24298.84994</v>
      </c>
      <c r="BV29" s="243">
        <v>23816.25893</v>
      </c>
      <c r="BW29" s="243">
        <v>23772.05904</v>
      </c>
      <c r="BX29" s="243">
        <v>26518.734390000001</v>
      </c>
      <c r="BY29" s="243">
        <v>23370.304820000001</v>
      </c>
      <c r="BZ29" s="243">
        <v>31850.535170000003</v>
      </c>
      <c r="CA29" s="243">
        <v>33660.304320000003</v>
      </c>
      <c r="CB29" s="243">
        <v>27396.780070000001</v>
      </c>
      <c r="CC29" s="243">
        <v>26991.418980000002</v>
      </c>
      <c r="CD29" s="243">
        <v>25680.4725</v>
      </c>
      <c r="CE29" s="243">
        <v>25214.431510000002</v>
      </c>
      <c r="CF29" s="243">
        <v>27415.095079999999</v>
      </c>
      <c r="CG29" s="243">
        <v>23394.824629999999</v>
      </c>
      <c r="CH29" s="243">
        <v>21229.562679999999</v>
      </c>
      <c r="CI29" s="243">
        <v>22666.835920000001</v>
      </c>
      <c r="CJ29" s="243">
        <v>17869.442899999998</v>
      </c>
      <c r="CK29" s="243">
        <v>20407.143399999997</v>
      </c>
      <c r="CL29" s="243">
        <v>29988.88334</v>
      </c>
      <c r="CM29" s="243">
        <v>30496.22898</v>
      </c>
      <c r="CN29" s="243">
        <v>25425.34894</v>
      </c>
      <c r="CO29" s="243">
        <v>29266.124250000001</v>
      </c>
      <c r="CP29" s="243">
        <v>26763.987870000001</v>
      </c>
      <c r="CQ29" s="243">
        <v>23778.38897</v>
      </c>
      <c r="CR29" s="243">
        <v>24866.772410000001</v>
      </c>
      <c r="CS29" s="243">
        <v>19382.73099</v>
      </c>
      <c r="CT29" s="243">
        <v>26222.13406</v>
      </c>
      <c r="CU29" s="243">
        <v>21363.062819999999</v>
      </c>
      <c r="CV29" s="243">
        <v>23526.603070000001</v>
      </c>
      <c r="CW29" s="243">
        <v>29589.589309999999</v>
      </c>
      <c r="CX29" s="243">
        <v>39142.637479999998</v>
      </c>
      <c r="CY29" s="243">
        <v>33520.126620000003</v>
      </c>
      <c r="CZ29" s="243">
        <v>28369.965609999999</v>
      </c>
      <c r="DA29" s="243">
        <v>30347.437300000001</v>
      </c>
      <c r="DB29" s="243">
        <v>26461.489610000001</v>
      </c>
      <c r="DC29" s="243">
        <v>26323.048569999999</v>
      </c>
      <c r="DD29" s="243">
        <v>27677.789359999999</v>
      </c>
      <c r="DE29" s="243">
        <v>22422.804370000002</v>
      </c>
      <c r="DF29" s="243">
        <v>26981.163199999999</v>
      </c>
      <c r="DG29" s="243">
        <v>25315.728010000003</v>
      </c>
      <c r="DH29" s="243">
        <v>24158.601609999998</v>
      </c>
      <c r="DI29" s="243">
        <v>29542.589260000001</v>
      </c>
      <c r="DJ29" s="243">
        <v>32582.158719999999</v>
      </c>
      <c r="DK29" s="243">
        <v>32195.81365</v>
      </c>
      <c r="DL29" s="243">
        <v>29074.433710000001</v>
      </c>
      <c r="DM29" s="243">
        <v>27185.46384</v>
      </c>
      <c r="DN29" s="243">
        <v>25642.351340000001</v>
      </c>
      <c r="DO29" s="243">
        <v>23881.225350000001</v>
      </c>
      <c r="DP29" s="243">
        <v>21407.37066</v>
      </c>
      <c r="DQ29" s="243">
        <v>20163.176579999999</v>
      </c>
      <c r="DR29" s="243">
        <v>23570.156899999998</v>
      </c>
      <c r="DS29" s="243">
        <v>20921.762350000001</v>
      </c>
      <c r="DT29" s="243">
        <v>25051.047790000001</v>
      </c>
      <c r="DU29" s="243">
        <v>28445.71646</v>
      </c>
      <c r="DV29" s="243">
        <v>33690.965270000001</v>
      </c>
      <c r="DW29" s="243">
        <v>31434.966370000002</v>
      </c>
      <c r="DX29" s="243">
        <v>28960.246870000003</v>
      </c>
      <c r="DY29" s="243">
        <v>25442.43147</v>
      </c>
      <c r="DZ29" s="243">
        <v>24859.606969999997</v>
      </c>
      <c r="EA29" s="243">
        <v>24328.61275</v>
      </c>
      <c r="EB29" s="243">
        <v>22554.22565</v>
      </c>
      <c r="EC29" s="243">
        <v>22331.643629999999</v>
      </c>
      <c r="ED29" s="243">
        <v>23076.572399999997</v>
      </c>
      <c r="EE29" s="243">
        <v>21627.94054</v>
      </c>
      <c r="EF29" s="243">
        <v>25437.275010000001</v>
      </c>
      <c r="EG29" s="243">
        <v>29061.274129999998</v>
      </c>
      <c r="EH29" s="243">
        <v>41434.704340000004</v>
      </c>
      <c r="EI29" s="243">
        <v>43191.845930000003</v>
      </c>
      <c r="EJ29" s="243">
        <v>37311.112030000004</v>
      </c>
      <c r="EK29" s="243">
        <v>33050.040489999999</v>
      </c>
      <c r="EL29" s="243">
        <v>31383.89314</v>
      </c>
      <c r="EM29" s="243">
        <v>28707.721799999999</v>
      </c>
      <c r="EN29" s="243">
        <v>28842.32962</v>
      </c>
      <c r="EO29" s="243">
        <v>27207.266440000003</v>
      </c>
      <c r="EP29" s="243">
        <v>28836.682519999998</v>
      </c>
      <c r="EQ29" s="243">
        <f>(VLOOKUP("142",'Input BS ACCTS'!$A$5:$DD$1052,98,FALSE))/1000</f>
        <v>30680.668960000003</v>
      </c>
      <c r="ER29" s="243">
        <f>(VLOOKUP("142",'Input BS ACCTS'!$A$5:$DD$1052,99,FALSE))/1000</f>
        <v>29358.886930000001</v>
      </c>
      <c r="ES29" s="243">
        <f>(VLOOKUP("142",'Input BS ACCTS'!$A$5:$DD$1052,100,FALSE))/1000</f>
        <v>34889.403490000004</v>
      </c>
      <c r="ET29" s="467">
        <f t="shared" si="33"/>
        <v>32611.98690923076</v>
      </c>
      <c r="EU29" s="801"/>
      <c r="EV29" s="801"/>
      <c r="HL29" s="35"/>
      <c r="HM29" s="253"/>
      <c r="HN29" s="217"/>
      <c r="HO29" s="35"/>
      <c r="HP29" s="35"/>
      <c r="HQ29" s="35"/>
      <c r="HR29" s="35"/>
      <c r="HS29" s="35"/>
      <c r="HT29" s="35"/>
      <c r="HU29" s="35"/>
      <c r="HV29" s="35"/>
      <c r="HW29" s="35"/>
      <c r="HX29" s="35"/>
      <c r="HY29" s="35"/>
      <c r="HZ29" s="35"/>
      <c r="IA29" s="35"/>
    </row>
    <row r="30" spans="1:235">
      <c r="A30" s="27" t="s">
        <v>235</v>
      </c>
      <c r="B30" s="121">
        <v>4016.6773199999998</v>
      </c>
      <c r="C30" s="121">
        <v>4063.4323199999999</v>
      </c>
      <c r="D30" s="121">
        <v>4091.0753199999999</v>
      </c>
      <c r="E30" s="121">
        <v>11836.13132</v>
      </c>
      <c r="F30" s="121">
        <v>4136.3753200000001</v>
      </c>
      <c r="G30" s="121">
        <v>4527.2553200000002</v>
      </c>
      <c r="H30" s="121">
        <v>9575.464320000001</v>
      </c>
      <c r="I30" s="121">
        <v>4620.1463200000007</v>
      </c>
      <c r="J30" s="121">
        <v>4606.0673200000001</v>
      </c>
      <c r="K30" s="121">
        <v>4649.48632</v>
      </c>
      <c r="L30" s="121">
        <v>4710.7843200000007</v>
      </c>
      <c r="M30" s="121">
        <v>4710.7583199999999</v>
      </c>
      <c r="N30" s="121">
        <v>4772.4013199999999</v>
      </c>
      <c r="O30" s="121">
        <v>4817</v>
      </c>
      <c r="P30" s="121">
        <v>4791</v>
      </c>
      <c r="Q30" s="142">
        <v>6123</v>
      </c>
      <c r="R30" s="121">
        <v>6244</v>
      </c>
      <c r="S30" s="121">
        <v>6403</v>
      </c>
      <c r="T30" s="121">
        <v>5159</v>
      </c>
      <c r="U30" s="121">
        <v>5087</v>
      </c>
      <c r="V30" s="121">
        <v>5189</v>
      </c>
      <c r="W30" s="121">
        <v>5852</v>
      </c>
      <c r="X30" s="121">
        <v>5228</v>
      </c>
      <c r="Y30" s="121">
        <v>5268</v>
      </c>
      <c r="Z30" s="121">
        <v>5260</v>
      </c>
      <c r="AA30" s="121">
        <v>5296</v>
      </c>
      <c r="AB30" s="121">
        <v>5331</v>
      </c>
      <c r="AC30" s="121">
        <v>8397.3140000000003</v>
      </c>
      <c r="AD30" s="121">
        <v>5434</v>
      </c>
      <c r="AE30" s="121">
        <v>5439</v>
      </c>
      <c r="AF30" s="121">
        <v>5489</v>
      </c>
      <c r="AG30" s="121">
        <v>5505</v>
      </c>
      <c r="AH30" s="121">
        <v>5544</v>
      </c>
      <c r="AI30" s="121">
        <v>5823.0592900000011</v>
      </c>
      <c r="AJ30" s="121">
        <v>5871.6419699999997</v>
      </c>
      <c r="AK30" s="121">
        <v>5839.1761000000006</v>
      </c>
      <c r="AL30" s="121">
        <v>5874.0325800000001</v>
      </c>
      <c r="AM30" s="213">
        <v>5878.5899299999992</v>
      </c>
      <c r="AN30" s="213">
        <v>8531.8308699999998</v>
      </c>
      <c r="AO30" s="251">
        <v>8837.1636299999991</v>
      </c>
      <c r="AP30" s="251">
        <v>6892.6947199999995</v>
      </c>
      <c r="AQ30" s="251">
        <v>7273.6963100000003</v>
      </c>
      <c r="AR30" s="251">
        <v>6826.2935499999994</v>
      </c>
      <c r="AS30" s="251">
        <v>6902.1948400000001</v>
      </c>
      <c r="AT30" s="251">
        <v>6881.3904599999996</v>
      </c>
      <c r="AU30" s="251">
        <v>7053.8425100000004</v>
      </c>
      <c r="AV30" s="251">
        <v>6720.2058699999998</v>
      </c>
      <c r="AW30" s="251">
        <v>6644.3532999999998</v>
      </c>
      <c r="AX30" s="251">
        <v>6579.3013999999994</v>
      </c>
      <c r="AY30" s="202">
        <v>6361.4432200000001</v>
      </c>
      <c r="AZ30" s="202">
        <v>6295.5151200000009</v>
      </c>
      <c r="BA30" s="387">
        <v>6933.4106600000005</v>
      </c>
      <c r="BB30" s="387">
        <v>5883.4865499999996</v>
      </c>
      <c r="BC30" s="387">
        <v>5824.4375899999995</v>
      </c>
      <c r="BD30" s="387">
        <v>5777.8572000000004</v>
      </c>
      <c r="BE30" s="387">
        <v>5772.9004299999997</v>
      </c>
      <c r="BF30" s="387">
        <v>5646.4845599999999</v>
      </c>
      <c r="BG30" s="243">
        <v>5532.7716</v>
      </c>
      <c r="BH30" s="243">
        <v>5652.0632800000003</v>
      </c>
      <c r="BI30" s="243">
        <v>5324.76595</v>
      </c>
      <c r="BJ30" s="243">
        <v>5334.7475999999997</v>
      </c>
      <c r="BK30" s="243">
        <v>5311.8398399999996</v>
      </c>
      <c r="BL30" s="243">
        <v>5376.1191200000003</v>
      </c>
      <c r="BM30" s="243">
        <v>15706.678980000001</v>
      </c>
      <c r="BN30" s="243">
        <v>5800.9664000000002</v>
      </c>
      <c r="BO30" s="243">
        <v>5900.60779</v>
      </c>
      <c r="BP30" s="243">
        <v>5914.3837000000003</v>
      </c>
      <c r="BQ30" s="243">
        <v>5959.1777000000002</v>
      </c>
      <c r="BR30" s="243">
        <v>6361.03413</v>
      </c>
      <c r="BS30" s="243">
        <v>6176.91561</v>
      </c>
      <c r="BT30" s="243">
        <v>6986.8298199999999</v>
      </c>
      <c r="BU30" s="243">
        <v>6080.7206100000003</v>
      </c>
      <c r="BV30" s="243">
        <v>6232.4800300000006</v>
      </c>
      <c r="BW30" s="243">
        <v>6271.0783600000004</v>
      </c>
      <c r="BX30" s="243">
        <v>6205.6649800000005</v>
      </c>
      <c r="BY30" s="243">
        <v>20173.951489999999</v>
      </c>
      <c r="BZ30" s="243">
        <v>6357.3854199999996</v>
      </c>
      <c r="CA30" s="243">
        <v>6817.7368699999997</v>
      </c>
      <c r="CB30" s="243">
        <v>6504.8470299999999</v>
      </c>
      <c r="CC30" s="243">
        <v>6589.8600700000006</v>
      </c>
      <c r="CD30" s="243">
        <v>6565.5817800000004</v>
      </c>
      <c r="CE30" s="514">
        <v>6303.04756</v>
      </c>
      <c r="CF30" s="514">
        <v>6635.5912699999999</v>
      </c>
      <c r="CG30" s="514">
        <v>6625.8835199999994</v>
      </c>
      <c r="CH30" s="514">
        <v>7369.0221500000007</v>
      </c>
      <c r="CI30" s="514">
        <v>6447.6920300000002</v>
      </c>
      <c r="CJ30" s="514">
        <v>6572.2063200000002</v>
      </c>
      <c r="CK30" s="514">
        <v>7886.6317900000004</v>
      </c>
      <c r="CL30" s="514">
        <v>6087.6171100000001</v>
      </c>
      <c r="CM30" s="514">
        <v>6172.0228299999999</v>
      </c>
      <c r="CN30" s="514">
        <v>6196.4625900000001</v>
      </c>
      <c r="CO30" s="514">
        <v>5795.7047199999997</v>
      </c>
      <c r="CP30" s="514">
        <v>6018.7200700000003</v>
      </c>
      <c r="CQ30" s="514">
        <v>5669.4922200000001</v>
      </c>
      <c r="CR30" s="514">
        <v>5125.17749</v>
      </c>
      <c r="CS30" s="514">
        <v>4739.0860700000003</v>
      </c>
      <c r="CT30" s="514">
        <v>4631.8351600000005</v>
      </c>
      <c r="CU30" s="514">
        <v>4457.6022999999996</v>
      </c>
      <c r="CV30" s="514">
        <v>4244.8139900000006</v>
      </c>
      <c r="CW30" s="514">
        <v>4383.6045899999999</v>
      </c>
      <c r="CX30" s="514">
        <v>4161.4626699999999</v>
      </c>
      <c r="CY30" s="514">
        <v>3979.33142</v>
      </c>
      <c r="CZ30" s="514">
        <v>3806.1103499999999</v>
      </c>
      <c r="DA30" s="514">
        <v>3613.90427</v>
      </c>
      <c r="DB30" s="514">
        <v>3896.2269700000002</v>
      </c>
      <c r="DC30" s="514">
        <v>3557.2132700000002</v>
      </c>
      <c r="DD30" s="514">
        <v>3186.2670899999998</v>
      </c>
      <c r="DE30" s="514">
        <v>3210.9202</v>
      </c>
      <c r="DF30" s="514">
        <v>2980.0737799999997</v>
      </c>
      <c r="DG30" s="514">
        <v>2806.9069399999998</v>
      </c>
      <c r="DH30" s="514">
        <v>2450.8917700000002</v>
      </c>
      <c r="DI30" s="514">
        <v>2653.97253</v>
      </c>
      <c r="DJ30" s="514">
        <v>2331.8029900000001</v>
      </c>
      <c r="DK30" s="514">
        <v>2227.5472999999997</v>
      </c>
      <c r="DL30" s="514">
        <v>1943.3202099999999</v>
      </c>
      <c r="DM30" s="514">
        <v>1737.12609</v>
      </c>
      <c r="DN30" s="514">
        <v>1704.7474099999999</v>
      </c>
      <c r="DO30" s="514">
        <v>1711.3189399999999</v>
      </c>
      <c r="DP30" s="514">
        <v>1624.2636399999999</v>
      </c>
      <c r="DQ30" s="514">
        <v>1471.1828500000001</v>
      </c>
      <c r="DR30" s="514">
        <v>1369.29252</v>
      </c>
      <c r="DS30" s="514">
        <v>1167.1250400000001</v>
      </c>
      <c r="DT30" s="514">
        <v>1141.3553400000001</v>
      </c>
      <c r="DU30" s="514">
        <v>1394.5312200000001</v>
      </c>
      <c r="DV30" s="514">
        <v>1189.5704900000001</v>
      </c>
      <c r="DW30" s="514">
        <v>1177.1706399999998</v>
      </c>
      <c r="DX30" s="514">
        <v>1427.78595</v>
      </c>
      <c r="DY30" s="514">
        <v>1303.7188999999998</v>
      </c>
      <c r="DZ30" s="514">
        <v>1513.5950700000001</v>
      </c>
      <c r="EA30" s="514">
        <v>1657.45327</v>
      </c>
      <c r="EB30" s="514">
        <v>1666.52377</v>
      </c>
      <c r="EC30" s="514">
        <v>1315.23272</v>
      </c>
      <c r="ED30" s="514">
        <v>1134.16428</v>
      </c>
      <c r="EE30" s="514">
        <v>513.32558000000006</v>
      </c>
      <c r="EF30" s="514">
        <v>1398.2170900000001</v>
      </c>
      <c r="EG30" s="514">
        <v>621.52270999999996</v>
      </c>
      <c r="EH30" s="514">
        <v>258.84895</v>
      </c>
      <c r="EI30" s="514">
        <v>339.72192999999999</v>
      </c>
      <c r="EJ30" s="514">
        <v>248.66470000000001</v>
      </c>
      <c r="EK30" s="514">
        <v>380.07317</v>
      </c>
      <c r="EL30" s="514">
        <v>367.84702000000004</v>
      </c>
      <c r="EM30" s="514">
        <v>311.07601</v>
      </c>
      <c r="EN30" s="514">
        <v>413.51828999999998</v>
      </c>
      <c r="EO30" s="514">
        <v>490.88663000000003</v>
      </c>
      <c r="EP30" s="514">
        <v>621.24131999999997</v>
      </c>
      <c r="EQ30" s="514">
        <f>(VLOOKUP("143",'Input BS ACCTS'!$A$5:$DD$1052,98,FALSE))/1000</f>
        <v>403.06855999999999</v>
      </c>
      <c r="ER30" s="514">
        <f>(VLOOKUP("143",'Input BS ACCTS'!$A$5:$DD$1052,99,FALSE))/1000</f>
        <v>425.06536</v>
      </c>
      <c r="ES30" s="514">
        <f>(VLOOKUP("143",'Input BS ACCTS'!$A$5:$DD$1052,100,FALSE))/1000</f>
        <v>4473.6198099999992</v>
      </c>
      <c r="ET30" s="467">
        <f t="shared" si="33"/>
        <v>719.62726615384599</v>
      </c>
      <c r="EU30" s="801"/>
      <c r="EV30" s="801"/>
      <c r="EW30" s="509">
        <v>454.46</v>
      </c>
      <c r="EX30" s="509">
        <v>480.32</v>
      </c>
      <c r="EY30" s="509">
        <v>506.18099999999998</v>
      </c>
      <c r="EZ30" s="509">
        <v>719.93</v>
      </c>
      <c r="FA30" s="509">
        <v>777.10599999999999</v>
      </c>
      <c r="FB30" s="509">
        <v>984.01499999999999</v>
      </c>
      <c r="FC30" s="509">
        <v>1050.1469999999999</v>
      </c>
      <c r="FD30" s="509">
        <f>+'Input BS ACCTS'!AO113/1000</f>
        <v>1160.3409999999999</v>
      </c>
      <c r="FE30" s="509">
        <f>+'Input BS ACCTS'!AP113/1000</f>
        <v>1237.6780000000001</v>
      </c>
      <c r="FF30" s="509">
        <f>+'Input BS ACCTS'!AQ113/1000</f>
        <v>1315.0139999999999</v>
      </c>
      <c r="FG30" s="509">
        <f>+'Input BS ACCTS'!AR113/1000</f>
        <v>1335.5440000000001</v>
      </c>
      <c r="FH30" s="509">
        <f>+'Input BS ACCTS'!AS113/1000</f>
        <v>1356.0740000000001</v>
      </c>
      <c r="FI30" s="509">
        <f>+'Input BS ACCTS'!AT113/1000</f>
        <v>1376.6030000000001</v>
      </c>
      <c r="FJ30" s="509">
        <f>+'Input BS ACCTS'!AU113/1000</f>
        <v>1397.1320000000001</v>
      </c>
      <c r="FK30" s="509">
        <f>+'Input BS ACCTS'!AV113/1000</f>
        <v>1417.6610000000001</v>
      </c>
      <c r="FL30" s="509">
        <f>+'Input BS ACCTS'!AW113/1000</f>
        <v>1438.191</v>
      </c>
      <c r="FM30" s="509">
        <f>+'Input BS ACCTS'!AX113/1000</f>
        <v>1438.8530000000001</v>
      </c>
      <c r="FN30" s="509">
        <f>+'Input BS ACCTS'!AY113/1000</f>
        <v>1439.5150000000001</v>
      </c>
      <c r="FO30" s="509">
        <f>+'Input BS ACCTS'!AZ113/1000</f>
        <v>1440.1769999999999</v>
      </c>
      <c r="FP30" s="509">
        <f>+'Input BS ACCTS'!BA113/1000</f>
        <v>1440.84</v>
      </c>
      <c r="FQ30" s="509">
        <f>+'Input BS ACCTS'!BB113/1000</f>
        <v>1441.5029999999999</v>
      </c>
      <c r="FR30" s="509">
        <f>+'Input BS ACCTS'!BC113/1000</f>
        <v>1442.164</v>
      </c>
      <c r="FS30" s="509">
        <f>+'Input BS ACCTS'!BD113/1000</f>
        <v>1442.827</v>
      </c>
      <c r="FT30" s="509">
        <f>+'Input BS ACCTS'!BE113/1000</f>
        <v>1443.489</v>
      </c>
      <c r="FU30" s="509">
        <f>+'Input BS ACCTS'!BF113/1000</f>
        <v>1444.152</v>
      </c>
      <c r="FV30" s="509">
        <f>+'Input BS ACCTS'!BG113/1000</f>
        <v>1444.8130000000001</v>
      </c>
      <c r="FW30" s="509">
        <f>+'Input BS ACCTS'!BH113/1000</f>
        <v>1445.4760000000001</v>
      </c>
      <c r="FX30" s="509">
        <f>+'Input BS ACCTS'!BI113/1000</f>
        <v>1446.1389999999999</v>
      </c>
      <c r="FY30" s="509">
        <f>+'Input BS ACCTS'!BJ113/1000</f>
        <v>1446.8009999999999</v>
      </c>
      <c r="FZ30" s="509">
        <f>+'Input BS ACCTS'!BK113/1000</f>
        <v>1447.463</v>
      </c>
      <c r="GA30" s="509">
        <f>+'Input BS ACCTS'!BL113/1000</f>
        <v>1448.125</v>
      </c>
      <c r="GB30" s="509">
        <f>+'Input BS ACCTS'!BM113/1000</f>
        <v>1448.788</v>
      </c>
      <c r="GC30" s="509">
        <f>+'Input BS ACCTS'!BN113/1000</f>
        <v>1449.45</v>
      </c>
      <c r="GD30" s="509">
        <f>+'Input BS ACCTS'!BO113/1000</f>
        <v>1450.1120000000001</v>
      </c>
      <c r="GE30" s="509">
        <f>+'Input BS ACCTS'!BP113/1000</f>
        <v>1435.096</v>
      </c>
      <c r="GF30" s="509">
        <f>+'Input BS ACCTS'!BQ113/1000</f>
        <v>1420.0809999999999</v>
      </c>
      <c r="GG30" s="509">
        <f>+'Input BS ACCTS'!BR113/1000</f>
        <v>1405.066</v>
      </c>
      <c r="GH30" s="509">
        <f>+'Input BS ACCTS'!BS113/1000</f>
        <v>1390.05</v>
      </c>
      <c r="GI30" s="509">
        <f>+'Input BS ACCTS'!BT113/1000</f>
        <v>1375.0340000000001</v>
      </c>
      <c r="GJ30" s="509">
        <f>+'Input BS ACCTS'!BU113/1000</f>
        <v>1360.018</v>
      </c>
      <c r="GK30" s="509">
        <f>+'Input BS ACCTS'!BV113/1000</f>
        <v>1339.52</v>
      </c>
      <c r="GL30" s="509">
        <f>+'Input BS ACCTS'!BW113/1000</f>
        <v>1319.021</v>
      </c>
      <c r="GM30" s="509">
        <f>+'Input BS ACCTS'!BX113/1000</f>
        <v>1298.5229999999999</v>
      </c>
      <c r="GN30" s="509">
        <f>+'Input BS ACCTS'!BY113/1000</f>
        <v>1278.0250000000001</v>
      </c>
      <c r="GO30" s="509">
        <f>+'Input BS ACCTS'!BZ113/1000</f>
        <v>425.12799999999999</v>
      </c>
      <c r="GP30" s="509">
        <f>+'Input BS ACCTS'!CA113/1000</f>
        <v>1237.027</v>
      </c>
      <c r="GQ30" s="509">
        <f>+'Input BS ACCTS'!CB113/1000</f>
        <v>1232.2059999999999</v>
      </c>
      <c r="GR30" s="509">
        <f>+'Input BS ACCTS'!CC113/1000</f>
        <v>1227.386</v>
      </c>
      <c r="GS30" s="509">
        <f>+'Input BS ACCTS'!CD113/1000</f>
        <v>1222.5650000000001</v>
      </c>
      <c r="GT30" s="509">
        <f>+'Input BS ACCTS'!CE113/1000</f>
        <v>1217.7439999999999</v>
      </c>
      <c r="GU30" s="509">
        <f>+'Input BS ACCTS'!CF113/1000</f>
        <v>1212.923</v>
      </c>
      <c r="GV30" s="509">
        <f>+'Input BS ACCTS'!CG113/1000</f>
        <v>1208.1030000000001</v>
      </c>
      <c r="GW30" s="509">
        <f>+'Input BS ACCTS'!CH113/1000</f>
        <v>1208.7660000000001</v>
      </c>
      <c r="GX30" s="509">
        <f>+'Input BS ACCTS'!CI113/1000</f>
        <v>1209.4269999999999</v>
      </c>
      <c r="GY30" s="509">
        <f>+'Input BS ACCTS'!CJ113/1000</f>
        <v>1210.0899999999999</v>
      </c>
      <c r="GZ30" s="509">
        <f>+'Input BS ACCTS'!CK113/1000</f>
        <v>1210.752</v>
      </c>
      <c r="HA30" s="509">
        <f>+'Input BS ACCTS'!CL113/1000</f>
        <v>1211.415</v>
      </c>
      <c r="HB30" s="509">
        <f>+'Input BS ACCTS'!CM113/1000</f>
        <v>1212.076</v>
      </c>
      <c r="HC30" s="509">
        <f>+'Input BS ACCTS'!CN113/1000</f>
        <v>1212.739</v>
      </c>
      <c r="HD30" s="509">
        <f>+'Input BS ACCTS'!CO113/1000</f>
        <v>1213.402</v>
      </c>
      <c r="HE30" s="509">
        <f>+'Input BS ACCTS'!CP113/1000</f>
        <v>1214.0640000000001</v>
      </c>
      <c r="HF30" s="509">
        <f>+'Input BS ACCTS'!CQ113/1000</f>
        <v>1214.7260000000001</v>
      </c>
      <c r="HG30" s="509">
        <f>+'Input BS ACCTS'!CR113/1000</f>
        <v>1215.3879999999999</v>
      </c>
      <c r="HH30" s="509">
        <f>+'Input BS ACCTS'!CS113/1000</f>
        <v>1216.0509999999999</v>
      </c>
      <c r="HI30" s="509">
        <f>+'Input BS ACCTS'!CT113/1000</f>
        <v>1216.713</v>
      </c>
      <c r="HJ30" s="509">
        <f>+'Input BS ACCTS'!CU113/1000</f>
        <v>1217.375</v>
      </c>
      <c r="HK30" s="509">
        <f>+'Input BS ACCTS'!CV113/1000</f>
        <v>1218.037</v>
      </c>
      <c r="HL30" s="515" t="s">
        <v>1686</v>
      </c>
      <c r="HM30" s="513">
        <v>1720101</v>
      </c>
      <c r="HN30" s="217"/>
      <c r="HO30" s="35"/>
      <c r="HP30" s="35"/>
      <c r="HQ30" s="35"/>
      <c r="HR30" s="35"/>
      <c r="HS30" s="35"/>
      <c r="HT30" s="35"/>
      <c r="HU30" s="35"/>
      <c r="HV30" s="35"/>
      <c r="HW30" s="35"/>
      <c r="HX30" s="35"/>
      <c r="HY30" s="35"/>
      <c r="HZ30" s="35"/>
      <c r="IA30" s="35"/>
    </row>
    <row r="31" spans="1:235" ht="15">
      <c r="A31" s="27" t="s">
        <v>236</v>
      </c>
      <c r="B31" s="121">
        <v>-455.02755999999999</v>
      </c>
      <c r="C31" s="121">
        <v>-437.42856</v>
      </c>
      <c r="D31" s="121">
        <v>-460.94956000000002</v>
      </c>
      <c r="E31" s="121">
        <v>-528.99456000000009</v>
      </c>
      <c r="F31" s="121">
        <v>-664.20856000000003</v>
      </c>
      <c r="G31" s="121">
        <v>-778.10756000000003</v>
      </c>
      <c r="H31" s="121">
        <v>-919.52156000000002</v>
      </c>
      <c r="I31" s="121">
        <v>-909.56856000000005</v>
      </c>
      <c r="J31" s="121">
        <v>-850.53956000000005</v>
      </c>
      <c r="K31" s="121">
        <v>-791.98156000000006</v>
      </c>
      <c r="L31" s="121">
        <v>-686.71356000000003</v>
      </c>
      <c r="M31" s="121">
        <v>-563.70456000000001</v>
      </c>
      <c r="N31" s="121">
        <v>-515.12855999999999</v>
      </c>
      <c r="O31" s="121">
        <v>-490</v>
      </c>
      <c r="P31" s="121">
        <v>-478</v>
      </c>
      <c r="Q31" s="121">
        <v>-560</v>
      </c>
      <c r="R31" s="121">
        <v>-687</v>
      </c>
      <c r="S31" s="121">
        <v>-780</v>
      </c>
      <c r="T31" s="121">
        <v>-759</v>
      </c>
      <c r="U31" s="121">
        <v>-713</v>
      </c>
      <c r="V31" s="121">
        <v>-650</v>
      </c>
      <c r="W31" s="121">
        <v>-578</v>
      </c>
      <c r="X31" s="121">
        <v>-591</v>
      </c>
      <c r="Y31" s="121">
        <v>-578</v>
      </c>
      <c r="Z31" s="121">
        <v>-580</v>
      </c>
      <c r="AA31" s="121">
        <v>-598</v>
      </c>
      <c r="AB31" s="121">
        <v>-644</v>
      </c>
      <c r="AC31" s="121">
        <v>-675.37</v>
      </c>
      <c r="AD31" s="121">
        <v>-771</v>
      </c>
      <c r="AE31" s="121">
        <v>-831</v>
      </c>
      <c r="AF31" s="121">
        <v>-856</v>
      </c>
      <c r="AG31" s="121">
        <v>-866</v>
      </c>
      <c r="AH31" s="121">
        <v>-861</v>
      </c>
      <c r="AI31" s="121">
        <v>-842.09547999999995</v>
      </c>
      <c r="AJ31" s="121">
        <v>-834.90708999999993</v>
      </c>
      <c r="AK31" s="121">
        <v>-812.34865000000002</v>
      </c>
      <c r="AL31" s="121">
        <v>-806.14300000000003</v>
      </c>
      <c r="AM31" s="213">
        <v>-800.01909000000001</v>
      </c>
      <c r="AN31" s="213">
        <v>-809.00762999999995</v>
      </c>
      <c r="AO31" s="251">
        <v>-857.66458</v>
      </c>
      <c r="AP31" s="289">
        <v>-1173.1955499999999</v>
      </c>
      <c r="AQ31" s="289">
        <v>-1197.9515000000001</v>
      </c>
      <c r="AR31" s="289">
        <v>-1206.4012499999999</v>
      </c>
      <c r="AS31" s="251">
        <v>-1191.64364</v>
      </c>
      <c r="AT31" s="251">
        <v>-1170.9369499999998</v>
      </c>
      <c r="AU31" s="251">
        <v>-1150.83653</v>
      </c>
      <c r="AV31" s="251">
        <v>-1132.0032700000002</v>
      </c>
      <c r="AW31" s="251">
        <v>-1074.9106400000001</v>
      </c>
      <c r="AX31" s="251">
        <v>-1035.75109</v>
      </c>
      <c r="AY31" s="202">
        <v>-1019.30238</v>
      </c>
      <c r="AZ31" s="202">
        <v>-1029.23377</v>
      </c>
      <c r="BA31" s="387">
        <v>-731.32908999999995</v>
      </c>
      <c r="BB31" s="387">
        <v>-782.74828000000002</v>
      </c>
      <c r="BC31" s="387">
        <v>-917.71605</v>
      </c>
      <c r="BD31" s="387">
        <v>-957.27909999999997</v>
      </c>
      <c r="BE31" s="387">
        <v>-935.20756000000006</v>
      </c>
      <c r="BF31" s="387">
        <v>-856.77770999999996</v>
      </c>
      <c r="BG31" s="243">
        <v>-816.52819999999997</v>
      </c>
      <c r="BH31" s="243">
        <v>-794.09456</v>
      </c>
      <c r="BI31" s="243">
        <v>-747.60847999999999</v>
      </c>
      <c r="BJ31" s="243">
        <v>-725.35890000000006</v>
      </c>
      <c r="BK31" s="243">
        <v>-695.53687000000002</v>
      </c>
      <c r="BL31" s="243">
        <v>-707.43092000000001</v>
      </c>
      <c r="BM31" s="243">
        <v>-716.18051000000003</v>
      </c>
      <c r="BN31" s="243">
        <v>-764.56398000000002</v>
      </c>
      <c r="BO31" s="243">
        <v>-833.68214</v>
      </c>
      <c r="BP31" s="243">
        <v>-866.98719999999992</v>
      </c>
      <c r="BQ31" s="243">
        <v>-866.89018999999996</v>
      </c>
      <c r="BR31" s="243">
        <v>-848.57669999999996</v>
      </c>
      <c r="BS31" s="243">
        <v>-848.49146999999994</v>
      </c>
      <c r="BT31" s="243">
        <v>-838.88191000000006</v>
      </c>
      <c r="BU31" s="243">
        <v>-842.81272999999999</v>
      </c>
      <c r="BV31" s="243">
        <v>-837.64599999999996</v>
      </c>
      <c r="BW31" s="243">
        <v>-838.11168999999995</v>
      </c>
      <c r="BX31" s="243">
        <v>-847.21273999999994</v>
      </c>
      <c r="BY31" s="243">
        <v>-849.69038</v>
      </c>
      <c r="BZ31" s="243">
        <v>-887.53624000000002</v>
      </c>
      <c r="CA31" s="243">
        <v>-944.53557999999998</v>
      </c>
      <c r="CB31" s="243">
        <v>-956.84649999999999</v>
      </c>
      <c r="CC31" s="243">
        <v>-941.98509000000001</v>
      </c>
      <c r="CD31" s="243">
        <v>-940.28794999999991</v>
      </c>
      <c r="CE31" s="243">
        <v>-903.51258999999993</v>
      </c>
      <c r="CF31" s="243">
        <v>-849.49854000000005</v>
      </c>
      <c r="CG31" s="243">
        <v>-845.09379000000001</v>
      </c>
      <c r="CH31" s="243">
        <v>-801.43325000000004</v>
      </c>
      <c r="CI31" s="243">
        <v>-783.65075999999999</v>
      </c>
      <c r="CJ31" s="243">
        <v>-787.92529999999999</v>
      </c>
      <c r="CK31" s="243">
        <v>-113.41849999999999</v>
      </c>
      <c r="CL31" s="243">
        <v>-207.04419000000001</v>
      </c>
      <c r="CM31" s="243">
        <v>-288.99347999999998</v>
      </c>
      <c r="CN31" s="243">
        <v>-453.04740999999996</v>
      </c>
      <c r="CO31" s="243">
        <v>-288.87128999999999</v>
      </c>
      <c r="CP31" s="243">
        <v>-310.80003999999997</v>
      </c>
      <c r="CQ31" s="243">
        <v>-222.27127999999999</v>
      </c>
      <c r="CR31" s="243">
        <v>-283.59184000000005</v>
      </c>
      <c r="CS31" s="243">
        <v>-271.50496000000004</v>
      </c>
      <c r="CT31" s="243">
        <v>-260.75554</v>
      </c>
      <c r="CU31" s="243">
        <v>-259.62815000000001</v>
      </c>
      <c r="CV31" s="243">
        <v>-275.75657000000001</v>
      </c>
      <c r="CW31" s="243">
        <v>-302.18698999999998</v>
      </c>
      <c r="CX31" s="243">
        <v>-382.59059999999999</v>
      </c>
      <c r="CY31" s="243">
        <v>-281.09752000000003</v>
      </c>
      <c r="CZ31" s="243">
        <v>-251.70170000000002</v>
      </c>
      <c r="DA31" s="243">
        <v>-213.84951999999998</v>
      </c>
      <c r="DB31" s="243">
        <v>-201.88492000000002</v>
      </c>
      <c r="DC31" s="243">
        <v>-195.49482</v>
      </c>
      <c r="DD31" s="243">
        <v>-201.99557999999999</v>
      </c>
      <c r="DE31" s="243">
        <v>-221.12253000000001</v>
      </c>
      <c r="DF31" s="243">
        <v>-220.73206999999999</v>
      </c>
      <c r="DG31" s="243">
        <v>-205.02083999999999</v>
      </c>
      <c r="DH31" s="243">
        <v>-208.15711999999999</v>
      </c>
      <c r="DI31" s="243">
        <v>-248.77445</v>
      </c>
      <c r="DJ31" s="243">
        <v>-268.02341999999999</v>
      </c>
      <c r="DK31" s="243">
        <v>-261.91167000000002</v>
      </c>
      <c r="DL31" s="243">
        <v>-260.67527999999999</v>
      </c>
      <c r="DM31" s="243">
        <v>-260.92232999999999</v>
      </c>
      <c r="DN31" s="243">
        <v>-252.48989</v>
      </c>
      <c r="DO31" s="243">
        <v>-230.23067</v>
      </c>
      <c r="DP31" s="243">
        <v>-41.51567</v>
      </c>
      <c r="DQ31" s="243">
        <v>-32.340849999999996</v>
      </c>
      <c r="DR31" s="243">
        <v>1.25783</v>
      </c>
      <c r="DS31" s="243">
        <v>-14.3606</v>
      </c>
      <c r="DT31" s="243">
        <v>-32.95722</v>
      </c>
      <c r="DU31" s="243">
        <v>-36.809249999999999</v>
      </c>
      <c r="DV31" s="243">
        <v>-59.079529999999998</v>
      </c>
      <c r="DW31" s="243">
        <v>-25.68627</v>
      </c>
      <c r="DX31" s="243">
        <v>-207.87317999999999</v>
      </c>
      <c r="DY31" s="243">
        <v>-452.78482000000002</v>
      </c>
      <c r="DZ31" s="243">
        <v>-804.53057999999999</v>
      </c>
      <c r="EA31" s="243">
        <v>-1102.6375600000001</v>
      </c>
      <c r="EB31" s="243">
        <v>-1311.63338</v>
      </c>
      <c r="EC31" s="243">
        <v>-1549.8083799999999</v>
      </c>
      <c r="ED31" s="243">
        <v>-1725.01656</v>
      </c>
      <c r="EE31" s="243">
        <v>-1516.63996</v>
      </c>
      <c r="EF31" s="243">
        <v>-1648.0353700000001</v>
      </c>
      <c r="EG31" s="243">
        <v>-1047.18869</v>
      </c>
      <c r="EH31" s="243">
        <v>-1240.2019599999999</v>
      </c>
      <c r="EI31" s="243">
        <v>-1410.58762</v>
      </c>
      <c r="EJ31" s="243">
        <v>-1088.1991</v>
      </c>
      <c r="EK31" s="243">
        <v>-1175.9852800000001</v>
      </c>
      <c r="EL31" s="243">
        <v>-1250.5653600000001</v>
      </c>
      <c r="EM31" s="243">
        <v>-1225.4410800000001</v>
      </c>
      <c r="EN31" s="243">
        <v>-1256.98207</v>
      </c>
      <c r="EO31" s="243">
        <v>-1305.7005200000001</v>
      </c>
      <c r="EP31" s="243">
        <v>-1353.8476000000001</v>
      </c>
      <c r="EQ31" s="243">
        <f>(VLOOKUP("144",'Input BS ACCTS'!$A$5:$DD$1052,98,FALSE))/1000</f>
        <v>-1419.7396799999999</v>
      </c>
      <c r="ER31" s="243">
        <f>(VLOOKUP("144",'Input BS ACCTS'!$A$5:$DD$1052,99,FALSE))/1000</f>
        <v>-1392.4896299999998</v>
      </c>
      <c r="ES31" s="243">
        <f>(VLOOKUP("144",'Input BS ACCTS'!$A$5:$DD$1052,100,FALSE))/1000</f>
        <v>-1399.5217299999999</v>
      </c>
      <c r="ET31" s="467">
        <f t="shared" si="33"/>
        <v>-1274.3423323076922</v>
      </c>
      <c r="EU31" s="801"/>
      <c r="EV31" s="801"/>
      <c r="HL31" s="35"/>
      <c r="HM31" s="253"/>
      <c r="HN31" s="217"/>
      <c r="HO31" s="35"/>
      <c r="HP31" s="35"/>
      <c r="HQ31" s="35"/>
      <c r="HR31" s="35"/>
      <c r="HS31" s="35"/>
      <c r="HT31" s="35"/>
      <c r="HU31" s="35"/>
      <c r="HV31" s="35"/>
      <c r="HW31" s="35"/>
      <c r="HX31" s="35"/>
      <c r="HY31" s="35"/>
      <c r="HZ31" s="35"/>
      <c r="IA31" s="35"/>
    </row>
    <row r="32" spans="1:235">
      <c r="A32" s="161" t="s">
        <v>237</v>
      </c>
      <c r="B32" s="121">
        <v>0</v>
      </c>
      <c r="C32" s="121">
        <v>0</v>
      </c>
      <c r="D32" s="121">
        <v>13148.244000000001</v>
      </c>
      <c r="E32" s="121">
        <v>0</v>
      </c>
      <c r="F32" s="121">
        <v>469.67</v>
      </c>
      <c r="G32" s="121">
        <v>0</v>
      </c>
      <c r="H32" s="121">
        <v>22786.147000000001</v>
      </c>
      <c r="I32" s="121">
        <v>29092.914000000001</v>
      </c>
      <c r="J32" s="121">
        <v>23601.084999999999</v>
      </c>
      <c r="K32" s="121">
        <v>16014.725</v>
      </c>
      <c r="L32" s="121">
        <v>0</v>
      </c>
      <c r="M32" s="121">
        <v>0</v>
      </c>
      <c r="N32" s="121">
        <v>0</v>
      </c>
      <c r="O32" s="121">
        <v>0</v>
      </c>
      <c r="P32" s="121">
        <v>0</v>
      </c>
      <c r="Q32" s="121">
        <v>0</v>
      </c>
      <c r="R32" s="121">
        <v>0</v>
      </c>
      <c r="S32" s="121">
        <v>0</v>
      </c>
      <c r="T32" s="121">
        <v>0</v>
      </c>
      <c r="U32" s="121">
        <v>0</v>
      </c>
      <c r="V32" s="162">
        <v>15000</v>
      </c>
      <c r="W32" s="162">
        <v>12500</v>
      </c>
      <c r="X32" s="121">
        <v>0</v>
      </c>
      <c r="Y32" s="162">
        <v>0</v>
      </c>
      <c r="Z32" s="121">
        <v>0</v>
      </c>
      <c r="AA32" s="121">
        <v>0</v>
      </c>
      <c r="AB32" s="121">
        <v>0</v>
      </c>
      <c r="AC32" s="121">
        <v>0</v>
      </c>
      <c r="AD32" s="121">
        <v>0</v>
      </c>
      <c r="AE32" s="121"/>
      <c r="AF32" s="121">
        <v>0</v>
      </c>
      <c r="AG32" s="121"/>
      <c r="AH32" s="121"/>
      <c r="AI32" s="121">
        <v>0</v>
      </c>
      <c r="AJ32" s="121">
        <v>1461.8889299999998</v>
      </c>
      <c r="AK32" s="121">
        <v>-32.765819999999962</v>
      </c>
      <c r="AL32" s="121">
        <v>1831.48739</v>
      </c>
      <c r="AM32" s="213">
        <v>0</v>
      </c>
      <c r="AN32" s="213">
        <v>0</v>
      </c>
      <c r="AO32" s="251">
        <v>0</v>
      </c>
      <c r="AP32" s="251">
        <v>0</v>
      </c>
      <c r="AQ32" s="251">
        <v>0</v>
      </c>
      <c r="AR32" s="251">
        <v>0</v>
      </c>
      <c r="AS32" s="251">
        <v>0</v>
      </c>
      <c r="AT32" s="251">
        <v>11000</v>
      </c>
      <c r="AU32" s="251">
        <v>0</v>
      </c>
      <c r="AV32" s="251">
        <v>0</v>
      </c>
      <c r="AW32" s="251">
        <v>0</v>
      </c>
      <c r="AX32" s="251">
        <v>12300</v>
      </c>
      <c r="AY32" s="202">
        <v>0</v>
      </c>
      <c r="AZ32" s="202">
        <v>0</v>
      </c>
      <c r="BA32" s="387">
        <v>0</v>
      </c>
      <c r="BB32" s="387">
        <v>0</v>
      </c>
      <c r="BC32" s="387">
        <v>0</v>
      </c>
      <c r="BD32" s="387">
        <v>1500</v>
      </c>
      <c r="BE32" s="387">
        <v>0</v>
      </c>
      <c r="BF32" s="387">
        <v>0</v>
      </c>
      <c r="BG32" s="243">
        <v>0</v>
      </c>
      <c r="BH32" s="243">
        <v>0</v>
      </c>
      <c r="BI32" s="243">
        <v>0</v>
      </c>
      <c r="BJ32" s="243">
        <v>0</v>
      </c>
      <c r="BK32" s="243">
        <v>0</v>
      </c>
      <c r="BL32" s="243">
        <v>0</v>
      </c>
      <c r="BM32" s="243">
        <v>0</v>
      </c>
      <c r="BN32" s="243">
        <v>0</v>
      </c>
      <c r="BO32" s="243">
        <v>0</v>
      </c>
      <c r="BP32" s="243">
        <v>4600</v>
      </c>
      <c r="BQ32" s="243">
        <v>10450</v>
      </c>
      <c r="BR32" s="243">
        <v>0</v>
      </c>
      <c r="BS32" s="243">
        <v>0</v>
      </c>
      <c r="BT32" s="243">
        <v>0</v>
      </c>
      <c r="BU32" s="243">
        <v>0</v>
      </c>
      <c r="BV32" s="243">
        <v>0</v>
      </c>
      <c r="BW32" s="243">
        <v>0</v>
      </c>
      <c r="BX32" s="243">
        <v>12000</v>
      </c>
      <c r="BY32" s="243">
        <v>4500</v>
      </c>
      <c r="BZ32" s="243">
        <v>3000</v>
      </c>
      <c r="CA32" s="243">
        <v>0</v>
      </c>
      <c r="CB32" s="243">
        <v>0</v>
      </c>
      <c r="CC32" s="243">
        <v>23200</v>
      </c>
      <c r="CD32" s="243">
        <v>5650</v>
      </c>
      <c r="CE32" s="243">
        <v>0</v>
      </c>
      <c r="CF32" s="243">
        <v>0</v>
      </c>
      <c r="CG32" s="243">
        <v>0</v>
      </c>
      <c r="CH32" s="243">
        <v>0</v>
      </c>
      <c r="CI32" s="243">
        <v>0</v>
      </c>
      <c r="CJ32" s="243">
        <v>0</v>
      </c>
      <c r="CK32" s="243">
        <v>0</v>
      </c>
      <c r="CL32" s="243">
        <v>0</v>
      </c>
      <c r="CM32" s="243">
        <v>0</v>
      </c>
      <c r="CN32" s="243">
        <v>0</v>
      </c>
      <c r="CO32" s="243">
        <v>0</v>
      </c>
      <c r="CP32" s="243">
        <v>0</v>
      </c>
      <c r="CQ32" s="243">
        <v>0</v>
      </c>
      <c r="CR32" s="243">
        <v>0</v>
      </c>
      <c r="CS32" s="243">
        <v>0</v>
      </c>
      <c r="CT32" s="243">
        <v>0</v>
      </c>
      <c r="CU32" s="243">
        <v>0</v>
      </c>
      <c r="CV32" s="243">
        <v>0</v>
      </c>
      <c r="CW32" s="243">
        <v>0</v>
      </c>
      <c r="CX32" s="243">
        <v>0</v>
      </c>
      <c r="CY32" s="243">
        <v>0</v>
      </c>
      <c r="CZ32" s="243">
        <v>0</v>
      </c>
      <c r="DA32" s="243">
        <v>0</v>
      </c>
      <c r="DB32" s="243">
        <v>0</v>
      </c>
      <c r="DC32" s="243">
        <v>0</v>
      </c>
      <c r="DD32" s="243">
        <v>0</v>
      </c>
      <c r="DE32" s="243">
        <v>0</v>
      </c>
      <c r="DF32" s="243">
        <v>0</v>
      </c>
      <c r="DG32" s="243">
        <v>0</v>
      </c>
      <c r="DH32" s="243">
        <v>0</v>
      </c>
      <c r="DI32" s="243">
        <v>0</v>
      </c>
      <c r="DJ32" s="243">
        <v>0</v>
      </c>
      <c r="DK32" s="243">
        <v>0</v>
      </c>
      <c r="DL32" s="243">
        <v>0</v>
      </c>
      <c r="DM32" s="243">
        <v>0</v>
      </c>
      <c r="DN32" s="243">
        <v>0</v>
      </c>
      <c r="DO32" s="243">
        <v>0</v>
      </c>
      <c r="DP32" s="243">
        <v>0</v>
      </c>
      <c r="DQ32" s="243">
        <v>0</v>
      </c>
      <c r="DR32" s="243">
        <v>0</v>
      </c>
      <c r="DS32" s="243">
        <v>0</v>
      </c>
      <c r="DT32" s="243">
        <v>0</v>
      </c>
      <c r="DU32" s="243">
        <v>0</v>
      </c>
      <c r="DV32" s="243">
        <v>0</v>
      </c>
      <c r="DW32" s="243">
        <v>0</v>
      </c>
      <c r="DX32" s="243">
        <v>0</v>
      </c>
      <c r="DY32" s="243">
        <v>0</v>
      </c>
      <c r="DZ32" s="243">
        <v>0</v>
      </c>
      <c r="EA32" s="243">
        <v>0</v>
      </c>
      <c r="EB32" s="243">
        <v>0</v>
      </c>
      <c r="EC32" s="243">
        <v>0</v>
      </c>
      <c r="ED32" s="243">
        <v>0</v>
      </c>
      <c r="EE32" s="243">
        <v>0</v>
      </c>
      <c r="EF32" s="243">
        <v>9532.7538199999999</v>
      </c>
      <c r="EG32" s="243">
        <v>9933.65949</v>
      </c>
      <c r="EH32" s="243">
        <v>10459.212380000001</v>
      </c>
      <c r="EI32" s="243">
        <v>9618.3033200000009</v>
      </c>
      <c r="EJ32" s="243">
        <v>10315.787269999999</v>
      </c>
      <c r="EK32" s="243">
        <v>9943.2950999999994</v>
      </c>
      <c r="EL32" s="243">
        <v>10267.36</v>
      </c>
      <c r="EM32" s="243">
        <v>9828.8352899999991</v>
      </c>
      <c r="EN32" s="243">
        <v>9719.8535900000006</v>
      </c>
      <c r="EO32" s="243">
        <v>10043.801519999999</v>
      </c>
      <c r="EP32" s="243">
        <v>9672.4492899999987</v>
      </c>
      <c r="EQ32" s="243">
        <f>(VLOOKUP("145",'Input BS ACCTS'!$A$5:$DD$1052,98,FALSE))/1000</f>
        <v>9146.8085800000008</v>
      </c>
      <c r="ER32" s="243">
        <f>(VLOOKUP("145",'Input BS ACCTS'!$A$5:$DD$1052,99,FALSE))/1000</f>
        <v>9368.7775999999994</v>
      </c>
      <c r="ES32" s="243">
        <f>(VLOOKUP("145",'Input BS ACCTS'!$A$5:$DD$1052,100,FALSE))/1000</f>
        <v>9985.2147299999997</v>
      </c>
      <c r="ET32" s="467">
        <f t="shared" si="33"/>
        <v>9869.4890892307703</v>
      </c>
      <c r="EU32" s="801"/>
      <c r="EV32" s="801"/>
      <c r="HL32" s="35"/>
      <c r="HM32" s="253"/>
      <c r="HN32" s="217"/>
      <c r="HO32" s="35"/>
      <c r="HP32" s="35"/>
      <c r="HQ32" s="35"/>
      <c r="HR32" s="35"/>
      <c r="HS32" s="35"/>
      <c r="HT32" s="35"/>
      <c r="HU32" s="35"/>
      <c r="HV32" s="35"/>
      <c r="HW32" s="35"/>
      <c r="HX32" s="35"/>
      <c r="HY32" s="35"/>
      <c r="HZ32" s="35"/>
      <c r="IA32" s="35"/>
    </row>
    <row r="33" spans="1:235">
      <c r="A33" s="161" t="s">
        <v>238</v>
      </c>
      <c r="B33" s="121">
        <v>-3.0000000000000001E-3</v>
      </c>
      <c r="C33" s="121">
        <v>-3.0000000000000001E-3</v>
      </c>
      <c r="D33" s="121">
        <v>-8526.7520000000004</v>
      </c>
      <c r="E33" s="121">
        <v>-5.0000000000000001E-3</v>
      </c>
      <c r="F33" s="121">
        <v>3636.6950000000002</v>
      </c>
      <c r="G33" s="121">
        <v>-8.9999999999999993E-3</v>
      </c>
      <c r="H33" s="121">
        <v>-9417.3310000000001</v>
      </c>
      <c r="I33" s="121">
        <v>-7115.6350000000002</v>
      </c>
      <c r="J33" s="121">
        <v>-10557.49</v>
      </c>
      <c r="K33" s="121">
        <v>-8062.9880000000003</v>
      </c>
      <c r="L33" s="121">
        <v>1E-3</v>
      </c>
      <c r="M33" s="121">
        <v>0</v>
      </c>
      <c r="N33" s="121">
        <v>2E-3</v>
      </c>
      <c r="O33" s="121">
        <v>0</v>
      </c>
      <c r="P33" s="121">
        <v>0</v>
      </c>
      <c r="Q33" s="121">
        <v>0</v>
      </c>
      <c r="R33" s="121">
        <v>0</v>
      </c>
      <c r="S33" s="121">
        <v>0</v>
      </c>
      <c r="T33" s="121">
        <v>0</v>
      </c>
      <c r="U33" s="121">
        <v>0</v>
      </c>
      <c r="V33" s="162">
        <v>0</v>
      </c>
      <c r="W33" s="162">
        <v>0</v>
      </c>
      <c r="X33" s="121">
        <v>0</v>
      </c>
      <c r="Y33" s="121">
        <v>0</v>
      </c>
      <c r="Z33" s="121">
        <v>0</v>
      </c>
      <c r="AA33" s="121">
        <v>0</v>
      </c>
      <c r="AB33" s="121">
        <v>0</v>
      </c>
      <c r="AC33" s="121">
        <v>0</v>
      </c>
      <c r="AD33" s="121">
        <v>0</v>
      </c>
      <c r="AE33" s="121">
        <v>12100</v>
      </c>
      <c r="AF33" s="121">
        <v>19700</v>
      </c>
      <c r="AG33" s="121">
        <v>21000</v>
      </c>
      <c r="AH33" s="121">
        <v>16900</v>
      </c>
      <c r="AI33" s="121">
        <v>0</v>
      </c>
      <c r="AJ33" s="121">
        <v>0</v>
      </c>
      <c r="AK33" s="121">
        <v>0</v>
      </c>
      <c r="AL33" s="121">
        <v>0</v>
      </c>
      <c r="AM33" s="213">
        <v>2270.4649200000003</v>
      </c>
      <c r="AN33" s="213">
        <v>1835.57743</v>
      </c>
      <c r="AO33" s="251">
        <v>4384.5424800000001</v>
      </c>
      <c r="AP33" s="251">
        <v>3552.3394699999999</v>
      </c>
      <c r="AQ33" s="251">
        <v>3045.8218099999995</v>
      </c>
      <c r="AR33" s="251">
        <v>3931.28008</v>
      </c>
      <c r="AS33" s="251">
        <v>4278.1769199999999</v>
      </c>
      <c r="AT33" s="251">
        <v>3990.9047100000003</v>
      </c>
      <c r="AU33" s="251">
        <v>3967.0117899999996</v>
      </c>
      <c r="AV33" s="251">
        <v>2894.4988699999994</v>
      </c>
      <c r="AW33" s="251">
        <v>969.50959999999998</v>
      </c>
      <c r="AX33" s="251">
        <v>928.82862999999998</v>
      </c>
      <c r="AY33" s="202">
        <v>1659.1915400000003</v>
      </c>
      <c r="AZ33" s="202">
        <v>415.70960000000002</v>
      </c>
      <c r="BA33" s="387">
        <v>1682.57818</v>
      </c>
      <c r="BB33" s="387">
        <v>1462.6165100000001</v>
      </c>
      <c r="BC33" s="387">
        <v>728.19931000000008</v>
      </c>
      <c r="BD33" s="387">
        <v>979.89058</v>
      </c>
      <c r="BE33" s="387">
        <v>2479.68408</v>
      </c>
      <c r="BF33" s="387">
        <v>10648.66353</v>
      </c>
      <c r="BG33" s="243">
        <v>1488.2719999999999</v>
      </c>
      <c r="BH33" s="243">
        <v>2089.7937900000002</v>
      </c>
      <c r="BI33" s="243">
        <v>2483.00398</v>
      </c>
      <c r="BJ33" s="243">
        <v>1882.64885</v>
      </c>
      <c r="BK33" s="243">
        <v>3905.4356499999999</v>
      </c>
      <c r="BL33" s="243">
        <v>1301.60832</v>
      </c>
      <c r="BM33" s="243">
        <v>4052.6313399999999</v>
      </c>
      <c r="BN33" s="243">
        <v>931.28267000000005</v>
      </c>
      <c r="BO33" s="243">
        <v>2163.2559000000001</v>
      </c>
      <c r="BP33" s="243">
        <v>2254.58808</v>
      </c>
      <c r="BQ33" s="243">
        <v>2013.8412499999999</v>
      </c>
      <c r="BR33" s="243">
        <v>1614.3322499999999</v>
      </c>
      <c r="BS33" s="243">
        <v>2837.8909199999998</v>
      </c>
      <c r="BT33" s="243">
        <v>2766.4763599999997</v>
      </c>
      <c r="BU33" s="243">
        <v>2516.2002499999999</v>
      </c>
      <c r="BV33" s="243">
        <v>928.63187000000005</v>
      </c>
      <c r="BW33" s="243">
        <v>1675.9608400000002</v>
      </c>
      <c r="BX33" s="243">
        <v>2349.9484300000004</v>
      </c>
      <c r="BY33" s="243">
        <v>1457.29919</v>
      </c>
      <c r="BZ33" s="243">
        <v>2829.7426499999997</v>
      </c>
      <c r="CA33" s="243">
        <v>2457.2294300000003</v>
      </c>
      <c r="CB33" s="243">
        <v>2948.5185200000001</v>
      </c>
      <c r="CC33" s="243">
        <v>1635.07698</v>
      </c>
      <c r="CD33" s="243">
        <v>86.58399</v>
      </c>
      <c r="CE33" s="243">
        <v>360.36574000000002</v>
      </c>
      <c r="CF33" s="243">
        <v>518.68703000000005</v>
      </c>
      <c r="CG33" s="243">
        <v>291.02431000000001</v>
      </c>
      <c r="CH33" s="243">
        <v>48.746960000000001</v>
      </c>
      <c r="CI33" s="243">
        <v>261.65440999999998</v>
      </c>
      <c r="CJ33" s="243">
        <v>158.58785</v>
      </c>
      <c r="CK33" s="243">
        <v>503.31303000000003</v>
      </c>
      <c r="CL33" s="243">
        <v>619.80268999999998</v>
      </c>
      <c r="CM33" s="243">
        <v>634.64260999999999</v>
      </c>
      <c r="CN33" s="243">
        <v>939.79313999999999</v>
      </c>
      <c r="CO33" s="243">
        <v>408.07337999999999</v>
      </c>
      <c r="CP33" s="243">
        <v>1572.72947</v>
      </c>
      <c r="CQ33" s="243">
        <v>1404.36923</v>
      </c>
      <c r="CR33" s="243">
        <v>1100.67823</v>
      </c>
      <c r="CS33" s="243">
        <v>20878.471289999998</v>
      </c>
      <c r="CT33" s="243">
        <v>5018.4910999999993</v>
      </c>
      <c r="CU33" s="243">
        <v>1025.1634899999999</v>
      </c>
      <c r="CV33" s="243">
        <v>435.68347</v>
      </c>
      <c r="CW33" s="243">
        <v>1710.0338100000001</v>
      </c>
      <c r="CX33" s="243">
        <v>3492.4702200000002</v>
      </c>
      <c r="CY33" s="243">
        <v>2241.7507500000002</v>
      </c>
      <c r="CZ33" s="243">
        <v>890.00284999999997</v>
      </c>
      <c r="DA33" s="243">
        <v>318.54793000000001</v>
      </c>
      <c r="DB33" s="243">
        <v>1161.3851100000002</v>
      </c>
      <c r="DC33" s="243">
        <v>3415.4628199999997</v>
      </c>
      <c r="DD33" s="243">
        <v>2333.7491400000004</v>
      </c>
      <c r="DE33" s="243">
        <v>1768.84213</v>
      </c>
      <c r="DF33" s="243">
        <v>3627.74386</v>
      </c>
      <c r="DG33" s="243">
        <v>5204.9230700000007</v>
      </c>
      <c r="DH33" s="243">
        <v>4402.6377199999997</v>
      </c>
      <c r="DI33" s="243">
        <v>713.31309999999996</v>
      </c>
      <c r="DJ33" s="243">
        <v>3029.00092</v>
      </c>
      <c r="DK33" s="243">
        <v>922.45672000000002</v>
      </c>
      <c r="DL33" s="243">
        <v>2538.9434300000003</v>
      </c>
      <c r="DM33" s="243">
        <v>985.41375000000005</v>
      </c>
      <c r="DN33" s="243">
        <v>2162.6116400000001</v>
      </c>
      <c r="DO33" s="243">
        <v>793.87063999999998</v>
      </c>
      <c r="DP33" s="243">
        <v>899.72450000000003</v>
      </c>
      <c r="DQ33" s="243">
        <v>1123.6444899999999</v>
      </c>
      <c r="DR33" s="243">
        <v>3093.5126700000001</v>
      </c>
      <c r="DS33" s="243">
        <v>2962.53656</v>
      </c>
      <c r="DT33" s="243">
        <v>790.71066000000008</v>
      </c>
      <c r="DU33" s="243">
        <v>1028.39149</v>
      </c>
      <c r="DV33" s="243">
        <v>1617.2676200000001</v>
      </c>
      <c r="DW33" s="243">
        <v>615.54357999999991</v>
      </c>
      <c r="DX33" s="243">
        <v>1051.8504499999999</v>
      </c>
      <c r="DY33" s="243">
        <v>320.40886999999998</v>
      </c>
      <c r="DZ33" s="243">
        <v>925.31073000000004</v>
      </c>
      <c r="EA33" s="243">
        <v>964.79186000000004</v>
      </c>
      <c r="EB33" s="243">
        <v>1181.4413999999999</v>
      </c>
      <c r="EC33" s="243">
        <v>941.5471</v>
      </c>
      <c r="ED33" s="243">
        <v>485.40080999999998</v>
      </c>
      <c r="EE33" s="243">
        <v>651.19672000000003</v>
      </c>
      <c r="EF33" s="243">
        <v>498.78246999999999</v>
      </c>
      <c r="EG33" s="243">
        <v>692.22036000000003</v>
      </c>
      <c r="EH33" s="243">
        <v>445.12609999999995</v>
      </c>
      <c r="EI33" s="243">
        <v>585.52635999999995</v>
      </c>
      <c r="EJ33" s="243">
        <v>1317.4557</v>
      </c>
      <c r="EK33" s="243">
        <v>1448.72</v>
      </c>
      <c r="EL33" s="243">
        <v>797.51106000000004</v>
      </c>
      <c r="EM33" s="243">
        <v>2124.0678199999998</v>
      </c>
      <c r="EN33" s="243">
        <v>2972.5672799999998</v>
      </c>
      <c r="EO33" s="243">
        <v>2620.58151</v>
      </c>
      <c r="EP33" s="243">
        <v>1434.04691</v>
      </c>
      <c r="EQ33" s="243">
        <f>(VLOOKUP("146",'Input BS ACCTS'!$A$5:$DD$1052,98,FALSE))/1000</f>
        <v>1871.28954</v>
      </c>
      <c r="ER33" s="243">
        <f>(VLOOKUP("146",'Input BS ACCTS'!$A$5:$DD$1052,99,FALSE))/1000</f>
        <v>906.42084999999997</v>
      </c>
      <c r="ES33" s="243">
        <f>(VLOOKUP("146",'Input BS ACCTS'!$A$5:$DD$1052,100,FALSE))/1000</f>
        <v>828.79310999999996</v>
      </c>
      <c r="ET33" s="467">
        <f t="shared" si="33"/>
        <v>1388.0251230769229</v>
      </c>
      <c r="EU33" s="801"/>
      <c r="EV33" s="801"/>
      <c r="HL33" s="35"/>
      <c r="HM33" s="253"/>
      <c r="HN33" s="217"/>
      <c r="HO33" s="35"/>
      <c r="HP33" s="35"/>
      <c r="HQ33" s="35"/>
      <c r="HR33" s="35"/>
      <c r="HS33" s="35"/>
      <c r="HT33" s="35"/>
      <c r="HU33" s="35"/>
      <c r="HV33" s="35"/>
      <c r="HW33" s="35"/>
      <c r="HX33" s="35"/>
      <c r="HY33" s="35"/>
      <c r="HZ33" s="35"/>
      <c r="IA33" s="35"/>
    </row>
    <row r="34" spans="1:235">
      <c r="A34" s="27" t="s">
        <v>400</v>
      </c>
      <c r="B34" s="121">
        <v>0</v>
      </c>
      <c r="C34" s="121">
        <v>0</v>
      </c>
      <c r="D34" s="121">
        <v>0</v>
      </c>
      <c r="E34" s="121">
        <v>0</v>
      </c>
      <c r="F34" s="121">
        <v>0</v>
      </c>
      <c r="G34" s="121">
        <v>0</v>
      </c>
      <c r="H34" s="121">
        <v>0</v>
      </c>
      <c r="I34" s="121">
        <v>0</v>
      </c>
      <c r="J34" s="121">
        <v>0</v>
      </c>
      <c r="K34" s="121">
        <v>0</v>
      </c>
      <c r="L34" s="121">
        <v>0</v>
      </c>
      <c r="M34" s="121">
        <v>236.505</v>
      </c>
      <c r="N34" s="121">
        <v>87.174000000000007</v>
      </c>
      <c r="O34" s="121">
        <v>41</v>
      </c>
      <c r="P34" s="121">
        <v>0</v>
      </c>
      <c r="Q34" s="121">
        <v>0</v>
      </c>
      <c r="R34" s="121">
        <v>0</v>
      </c>
      <c r="S34" s="121">
        <v>0</v>
      </c>
      <c r="T34" s="121">
        <v>0</v>
      </c>
      <c r="U34" s="121">
        <v>0</v>
      </c>
      <c r="V34" s="121">
        <v>0</v>
      </c>
      <c r="W34" s="121">
        <v>0</v>
      </c>
      <c r="X34" s="121">
        <v>0</v>
      </c>
      <c r="Y34" s="121">
        <v>0</v>
      </c>
      <c r="Z34" s="121">
        <v>0</v>
      </c>
      <c r="AA34" s="121">
        <v>0</v>
      </c>
      <c r="AB34" s="121">
        <v>0</v>
      </c>
      <c r="AC34" s="121">
        <v>0</v>
      </c>
      <c r="AD34" s="121">
        <v>0</v>
      </c>
      <c r="AE34" s="121">
        <v>0</v>
      </c>
      <c r="AF34" s="121">
        <v>0</v>
      </c>
      <c r="AG34" s="121"/>
      <c r="AH34" s="121"/>
      <c r="AI34" s="121">
        <v>0</v>
      </c>
      <c r="AJ34" s="121">
        <v>1406.25</v>
      </c>
      <c r="AK34" s="121">
        <v>1134.825</v>
      </c>
      <c r="AL34" s="121">
        <v>1134.825</v>
      </c>
      <c r="AM34" s="213">
        <v>1134.825</v>
      </c>
      <c r="AN34" s="213">
        <v>1134.825</v>
      </c>
      <c r="AO34" s="251">
        <v>963.08739000000003</v>
      </c>
      <c r="AP34" s="251">
        <v>897.54996999999992</v>
      </c>
      <c r="AQ34" s="251">
        <v>527.17496999999992</v>
      </c>
      <c r="AR34" s="251">
        <v>0</v>
      </c>
      <c r="AS34" s="251">
        <v>0</v>
      </c>
      <c r="AT34" s="251">
        <v>0</v>
      </c>
      <c r="AU34" s="251">
        <v>0</v>
      </c>
      <c r="AV34" s="251">
        <v>0</v>
      </c>
      <c r="AW34" s="251">
        <v>0</v>
      </c>
      <c r="AX34" s="251">
        <v>0</v>
      </c>
      <c r="AY34" s="202">
        <v>0</v>
      </c>
      <c r="AZ34" s="202">
        <v>0</v>
      </c>
      <c r="BA34" s="387">
        <v>0</v>
      </c>
      <c r="BB34" s="387">
        <v>0</v>
      </c>
      <c r="BC34" s="387">
        <v>0</v>
      </c>
      <c r="BD34" s="387">
        <v>0</v>
      </c>
      <c r="BE34" s="387">
        <v>0</v>
      </c>
      <c r="BF34" s="387">
        <v>674.23469999999998</v>
      </c>
      <c r="BG34" s="243">
        <v>915.62868000000003</v>
      </c>
      <c r="BH34" s="243">
        <v>566.43319999999994</v>
      </c>
      <c r="BI34" s="243">
        <v>526.87473</v>
      </c>
      <c r="BJ34" s="243">
        <v>526.87473</v>
      </c>
      <c r="BK34" s="243">
        <v>371.45866999999998</v>
      </c>
      <c r="BL34" s="243">
        <v>371.45866999999998</v>
      </c>
      <c r="BM34" s="243">
        <v>8.9999999999999992E-5</v>
      </c>
      <c r="BN34" s="243">
        <v>8.9999999999999992E-5</v>
      </c>
      <c r="BO34" s="243">
        <v>126.38275999999999</v>
      </c>
      <c r="BP34" s="243">
        <v>126.46297</v>
      </c>
      <c r="BQ34" s="243">
        <v>303.35752000000002</v>
      </c>
      <c r="BR34" s="243">
        <v>328.22068999999999</v>
      </c>
      <c r="BS34" s="243">
        <v>152.30604</v>
      </c>
      <c r="BT34" s="243">
        <v>275.33645000000001</v>
      </c>
      <c r="BU34" s="243">
        <v>188.05391</v>
      </c>
      <c r="BV34" s="243">
        <v>274.69152000000003</v>
      </c>
      <c r="BW34" s="243">
        <v>274.69152000000003</v>
      </c>
      <c r="BX34" s="243">
        <v>234.99036999999998</v>
      </c>
      <c r="BY34" s="243">
        <v>158.62606</v>
      </c>
      <c r="BZ34" s="243">
        <v>116.97752</v>
      </c>
      <c r="CA34" s="243">
        <v>141.29051999999999</v>
      </c>
      <c r="CB34" s="243">
        <v>180.75119000000001</v>
      </c>
      <c r="CC34" s="243">
        <v>128.60699</v>
      </c>
      <c r="CD34" s="243">
        <v>175.06251</v>
      </c>
      <c r="CE34" s="243">
        <v>175.77932000000001</v>
      </c>
      <c r="CF34" s="243">
        <v>159.17711</v>
      </c>
      <c r="CG34" s="243">
        <v>610.20192000000009</v>
      </c>
      <c r="CH34" s="243">
        <v>610.20192000000009</v>
      </c>
      <c r="CI34" s="243">
        <v>537.00662999999997</v>
      </c>
      <c r="CJ34" s="243">
        <v>537.00662999999997</v>
      </c>
      <c r="CK34" s="243">
        <v>376.42021</v>
      </c>
      <c r="CL34" s="243">
        <v>332.84199000000001</v>
      </c>
      <c r="CM34" s="243">
        <v>441.10059000000001</v>
      </c>
      <c r="CN34" s="243">
        <v>276.58972999999997</v>
      </c>
      <c r="CO34" s="243">
        <v>326.1728</v>
      </c>
      <c r="CP34" s="243">
        <v>326.1728</v>
      </c>
      <c r="CQ34" s="243">
        <v>467.07808</v>
      </c>
      <c r="CR34" s="243">
        <v>344.97122999999999</v>
      </c>
      <c r="CS34" s="243">
        <v>354.48354999999998</v>
      </c>
      <c r="CT34" s="243">
        <v>-2.3700000000000001E-3</v>
      </c>
      <c r="CU34" s="243">
        <v>-2.3700000000000001E-3</v>
      </c>
      <c r="CV34" s="243">
        <v>-2.3700000000000001E-3</v>
      </c>
      <c r="CW34" s="243">
        <v>-2.3700000000000001E-3</v>
      </c>
      <c r="CX34" s="243">
        <v>-2.3700000000000001E-3</v>
      </c>
      <c r="CY34" s="243">
        <v>-2.3700000000000001E-3</v>
      </c>
      <c r="CZ34" s="243">
        <v>-2.3700000000000001E-3</v>
      </c>
      <c r="DA34" s="243">
        <v>-2.3700000000000001E-3</v>
      </c>
      <c r="DB34" s="243">
        <v>-2.3700000000000001E-3</v>
      </c>
      <c r="DC34" s="243">
        <v>-2.3700000000000001E-3</v>
      </c>
      <c r="DD34" s="243">
        <v>0</v>
      </c>
      <c r="DE34" s="243">
        <v>0</v>
      </c>
      <c r="DF34" s="243">
        <v>0</v>
      </c>
      <c r="DG34" s="243">
        <v>0</v>
      </c>
      <c r="DH34" s="243">
        <v>0</v>
      </c>
      <c r="DI34" s="243">
        <v>0</v>
      </c>
      <c r="DJ34" s="243">
        <v>0</v>
      </c>
      <c r="DK34" s="243">
        <v>0</v>
      </c>
      <c r="DL34" s="243">
        <v>0</v>
      </c>
      <c r="DM34" s="243">
        <v>0</v>
      </c>
      <c r="DN34" s="243">
        <v>0</v>
      </c>
      <c r="DO34" s="243">
        <v>0</v>
      </c>
      <c r="DP34" s="243">
        <v>0</v>
      </c>
      <c r="DQ34" s="243">
        <v>0</v>
      </c>
      <c r="DR34" s="243">
        <v>0</v>
      </c>
      <c r="DS34" s="243">
        <v>0</v>
      </c>
      <c r="DT34" s="243">
        <v>0</v>
      </c>
      <c r="DU34" s="243">
        <v>0</v>
      </c>
      <c r="DV34" s="243">
        <v>0</v>
      </c>
      <c r="DW34" s="243">
        <v>0</v>
      </c>
      <c r="DX34" s="243">
        <v>0</v>
      </c>
      <c r="DY34" s="243">
        <v>0</v>
      </c>
      <c r="DZ34" s="243">
        <v>0</v>
      </c>
      <c r="EA34" s="243">
        <v>0</v>
      </c>
      <c r="EB34" s="243">
        <v>0</v>
      </c>
      <c r="EC34" s="243">
        <v>0</v>
      </c>
      <c r="ED34" s="243">
        <v>0</v>
      </c>
      <c r="EE34" s="243">
        <v>0</v>
      </c>
      <c r="EF34" s="243">
        <v>0</v>
      </c>
      <c r="EG34" s="243">
        <v>0</v>
      </c>
      <c r="EH34" s="243">
        <v>0</v>
      </c>
      <c r="EI34" s="243">
        <v>0</v>
      </c>
      <c r="EJ34" s="243">
        <v>0</v>
      </c>
      <c r="EK34" s="243">
        <v>0</v>
      </c>
      <c r="EL34" s="243">
        <v>0</v>
      </c>
      <c r="EM34" s="243">
        <v>0</v>
      </c>
      <c r="EN34" s="243">
        <v>0</v>
      </c>
      <c r="EO34" s="243">
        <v>0</v>
      </c>
      <c r="EP34" s="243">
        <v>0</v>
      </c>
      <c r="EQ34" s="243">
        <f>(VLOOKUP("164",'Input BS ACCTS'!$A$5:$DD$1052,98,FALSE))/1000</f>
        <v>0</v>
      </c>
      <c r="ER34" s="243">
        <f>(VLOOKUP("164",'Input BS ACCTS'!$A$5:$DD$1052,99,FALSE))/1000</f>
        <v>995.77774999999997</v>
      </c>
      <c r="ES34" s="243">
        <f>(VLOOKUP("164",'Input BS ACCTS'!$A$5:$DD$1052,100,FALSE))/1000</f>
        <v>864.73208999999997</v>
      </c>
      <c r="ET34" s="467">
        <f t="shared" si="33"/>
        <v>143.11614153846153</v>
      </c>
      <c r="EU34" s="801"/>
      <c r="EV34" s="801"/>
      <c r="HL34" s="35"/>
      <c r="HM34" s="253"/>
      <c r="HN34" s="217"/>
      <c r="HO34" s="35"/>
      <c r="HP34" s="35"/>
      <c r="HQ34" s="35"/>
      <c r="HR34" s="35"/>
      <c r="HS34" s="35"/>
      <c r="HT34" s="35"/>
      <c r="HU34" s="35"/>
      <c r="HV34" s="35"/>
      <c r="HW34" s="35"/>
      <c r="HX34" s="35"/>
      <c r="HY34" s="35"/>
      <c r="HZ34" s="35"/>
      <c r="IA34" s="35"/>
    </row>
    <row r="35" spans="1:235">
      <c r="A35" s="27" t="s">
        <v>239</v>
      </c>
      <c r="B35" s="121">
        <v>1226.30405</v>
      </c>
      <c r="C35" s="121">
        <v>1347.00405</v>
      </c>
      <c r="D35" s="121">
        <v>1294.70605</v>
      </c>
      <c r="E35" s="121">
        <v>1293.5500500000001</v>
      </c>
      <c r="F35" s="121">
        <v>1405.74505</v>
      </c>
      <c r="G35" s="121">
        <v>1345.0290500000001</v>
      </c>
      <c r="H35" s="121">
        <v>1379.0860500000001</v>
      </c>
      <c r="I35" s="121">
        <v>1380.6040500000001</v>
      </c>
      <c r="J35" s="121">
        <v>1470.43605</v>
      </c>
      <c r="K35" s="121">
        <v>1437.52305</v>
      </c>
      <c r="L35" s="121">
        <v>1617.76505</v>
      </c>
      <c r="M35" s="121">
        <v>1415.7470499999999</v>
      </c>
      <c r="N35" s="121">
        <v>1411.0480500000001</v>
      </c>
      <c r="O35" s="121">
        <v>1530</v>
      </c>
      <c r="P35" s="121">
        <v>1429</v>
      </c>
      <c r="Q35" s="121">
        <v>1483</v>
      </c>
      <c r="R35" s="121">
        <v>1515</v>
      </c>
      <c r="S35" s="121">
        <v>1665</v>
      </c>
      <c r="T35" s="121">
        <v>1736</v>
      </c>
      <c r="U35" s="121">
        <v>1610</v>
      </c>
      <c r="V35" s="121">
        <v>1524</v>
      </c>
      <c r="W35" s="121">
        <v>1807</v>
      </c>
      <c r="X35" s="121">
        <v>1905</v>
      </c>
      <c r="Y35" s="121">
        <v>1724</v>
      </c>
      <c r="Z35" s="121">
        <v>1766</v>
      </c>
      <c r="AA35" s="121">
        <v>2384</v>
      </c>
      <c r="AB35" s="121">
        <v>2488</v>
      </c>
      <c r="AC35" s="121">
        <v>2279</v>
      </c>
      <c r="AD35" s="121">
        <v>2225</v>
      </c>
      <c r="AE35" s="121">
        <v>2071</v>
      </c>
      <c r="AF35" s="121">
        <v>2103</v>
      </c>
      <c r="AG35" s="121">
        <v>1977</v>
      </c>
      <c r="AH35" s="121">
        <v>2057</v>
      </c>
      <c r="AI35" s="121">
        <v>2130.3759099999997</v>
      </c>
      <c r="AJ35" s="121">
        <v>2198.97237</v>
      </c>
      <c r="AK35" s="121">
        <v>2345.8584900000001</v>
      </c>
      <c r="AL35" s="121">
        <v>2532.4078399999999</v>
      </c>
      <c r="AM35" s="213">
        <v>2435.1360499999996</v>
      </c>
      <c r="AN35" s="213">
        <v>2458.3148900000001</v>
      </c>
      <c r="AO35" s="251">
        <v>2729.3077800000001</v>
      </c>
      <c r="AP35" s="251">
        <v>2658.9406300000001</v>
      </c>
      <c r="AQ35" s="251">
        <v>2875.6864599999999</v>
      </c>
      <c r="AR35" s="251">
        <v>3007.2994699999999</v>
      </c>
      <c r="AS35" s="251">
        <v>2916.3013500000002</v>
      </c>
      <c r="AT35" s="251">
        <v>2489.1038399999998</v>
      </c>
      <c r="AU35" s="251">
        <v>2713.4328700000001</v>
      </c>
      <c r="AV35" s="251">
        <v>3167.7876800000004</v>
      </c>
      <c r="AW35" s="251">
        <v>3193.25999</v>
      </c>
      <c r="AX35" s="251">
        <v>2779.6622200000002</v>
      </c>
      <c r="AY35" s="202">
        <v>2672.1439500000001</v>
      </c>
      <c r="AZ35" s="202">
        <v>2880.1073700000002</v>
      </c>
      <c r="BA35" s="387">
        <v>3062.7828599999998</v>
      </c>
      <c r="BB35" s="387">
        <v>2461.7448300000001</v>
      </c>
      <c r="BC35" s="387">
        <v>2565.5287699999999</v>
      </c>
      <c r="BD35" s="387">
        <v>2101.72561</v>
      </c>
      <c r="BE35" s="387">
        <v>2087.17227</v>
      </c>
      <c r="BF35" s="387">
        <v>1960.3797199999999</v>
      </c>
      <c r="BG35" s="243">
        <v>1883.60653</v>
      </c>
      <c r="BH35" s="243">
        <v>1886.8695</v>
      </c>
      <c r="BI35" s="243">
        <v>1975.21506</v>
      </c>
      <c r="BJ35" s="243">
        <v>1938.99396</v>
      </c>
      <c r="BK35" s="243">
        <v>1755.2388600000002</v>
      </c>
      <c r="BL35" s="243">
        <v>1763.11205</v>
      </c>
      <c r="BM35" s="243">
        <v>1799.6391999999998</v>
      </c>
      <c r="BN35" s="243">
        <v>1795.2567900000001</v>
      </c>
      <c r="BO35" s="243">
        <v>1882.3306200000002</v>
      </c>
      <c r="BP35" s="243">
        <v>1995.6468300000001</v>
      </c>
      <c r="BQ35" s="243">
        <v>1941.3644899999999</v>
      </c>
      <c r="BR35" s="243">
        <v>1971.0505600000001</v>
      </c>
      <c r="BS35" s="243">
        <v>2109.9398200000001</v>
      </c>
      <c r="BT35" s="243">
        <v>2392.3663500000002</v>
      </c>
      <c r="BU35" s="243">
        <v>2373.5140699999997</v>
      </c>
      <c r="BV35" s="243">
        <v>2155.5661099999998</v>
      </c>
      <c r="BW35" s="243">
        <v>2415.3726099999999</v>
      </c>
      <c r="BX35" s="243">
        <v>2065.0670700000001</v>
      </c>
      <c r="BY35" s="243">
        <v>1914.6618899999999</v>
      </c>
      <c r="BZ35" s="243">
        <v>1876.25486</v>
      </c>
      <c r="CA35" s="243">
        <v>1981.1578</v>
      </c>
      <c r="CB35" s="243">
        <v>1959.6195700000001</v>
      </c>
      <c r="CC35" s="243">
        <v>1899.6032399999999</v>
      </c>
      <c r="CD35" s="243">
        <v>2257.6114600000001</v>
      </c>
      <c r="CE35" s="243">
        <v>1808.1453000000001</v>
      </c>
      <c r="CF35" s="243">
        <v>1956.1166899999998</v>
      </c>
      <c r="CG35" s="243">
        <v>1919.0243600000001</v>
      </c>
      <c r="CH35" s="243">
        <v>2077.1504599999998</v>
      </c>
      <c r="CI35" s="243">
        <v>1860.6361200000001</v>
      </c>
      <c r="CJ35" s="243">
        <v>1623.39573</v>
      </c>
      <c r="CK35" s="243">
        <v>1700.7023999999999</v>
      </c>
      <c r="CL35" s="243">
        <v>1858.85581</v>
      </c>
      <c r="CM35" s="243">
        <v>1904.81791</v>
      </c>
      <c r="CN35" s="243">
        <v>1988.6876599999998</v>
      </c>
      <c r="CO35" s="243">
        <v>1926.6388700000002</v>
      </c>
      <c r="CP35" s="243">
        <v>2100.7299199999998</v>
      </c>
      <c r="CQ35" s="243">
        <v>2046.6683600000001</v>
      </c>
      <c r="CR35" s="243">
        <v>2071.0376799999999</v>
      </c>
      <c r="CS35" s="243">
        <v>2016.8184199999998</v>
      </c>
      <c r="CT35" s="243">
        <v>2131.6477999999997</v>
      </c>
      <c r="CU35" s="243">
        <v>2042.21668</v>
      </c>
      <c r="CV35" s="243">
        <v>1900.58482</v>
      </c>
      <c r="CW35" s="243">
        <v>1887.6953899999999</v>
      </c>
      <c r="CX35" s="243">
        <v>2070.9976499999998</v>
      </c>
      <c r="CY35" s="243">
        <v>2149.8761099999997</v>
      </c>
      <c r="CZ35" s="243">
        <v>2006.6903200000002</v>
      </c>
      <c r="DA35" s="243">
        <v>1972.0976699999999</v>
      </c>
      <c r="DB35" s="243">
        <v>2190.1771699999999</v>
      </c>
      <c r="DC35" s="243">
        <v>2163.4520299999999</v>
      </c>
      <c r="DD35" s="243">
        <v>2125.5768499999999</v>
      </c>
      <c r="DE35" s="243">
        <v>2476.3780499999998</v>
      </c>
      <c r="DF35" s="243">
        <v>2741.2183300000002</v>
      </c>
      <c r="DG35" s="243">
        <v>2360.1098500000003</v>
      </c>
      <c r="DH35" s="243">
        <v>2172.17722</v>
      </c>
      <c r="DI35" s="243">
        <v>2073.1301000000003</v>
      </c>
      <c r="DJ35" s="243">
        <v>2183.6043300000001</v>
      </c>
      <c r="DK35" s="243">
        <v>2363.7887900000001</v>
      </c>
      <c r="DL35" s="243">
        <v>2385.5491000000002</v>
      </c>
      <c r="DM35" s="243">
        <v>2474.7155499999999</v>
      </c>
      <c r="DN35" s="243">
        <v>2512.81936</v>
      </c>
      <c r="DO35" s="243">
        <v>2780.05456</v>
      </c>
      <c r="DP35" s="243">
        <v>2687.2378199999998</v>
      </c>
      <c r="DQ35" s="243">
        <v>2783.1900099999998</v>
      </c>
      <c r="DR35" s="243">
        <v>2571.7018800000001</v>
      </c>
      <c r="DS35" s="243">
        <v>2738.6709500000002</v>
      </c>
      <c r="DT35" s="243">
        <v>2709.3845899999997</v>
      </c>
      <c r="DU35" s="243">
        <v>2401.2287299999998</v>
      </c>
      <c r="DV35" s="243">
        <v>2400.7927300000001</v>
      </c>
      <c r="DW35" s="243">
        <v>2617.7897499999999</v>
      </c>
      <c r="DX35" s="243">
        <v>2444.4091699999999</v>
      </c>
      <c r="DY35" s="243">
        <v>2661.1590499999998</v>
      </c>
      <c r="DZ35" s="243">
        <v>2807.18921</v>
      </c>
      <c r="EA35" s="243">
        <v>2832.0857400000004</v>
      </c>
      <c r="EB35" s="243">
        <v>2649.7683700000002</v>
      </c>
      <c r="EC35" s="243">
        <v>2895.9602999999997</v>
      </c>
      <c r="ED35" s="243">
        <v>2763.2782499999998</v>
      </c>
      <c r="EE35" s="243">
        <v>3044.5369999999998</v>
      </c>
      <c r="EF35" s="243">
        <v>2851.20361</v>
      </c>
      <c r="EG35" s="243">
        <v>2998.3360899999998</v>
      </c>
      <c r="EH35" s="243">
        <v>3185.9684300000004</v>
      </c>
      <c r="EI35" s="243">
        <v>3089.8690299999998</v>
      </c>
      <c r="EJ35" s="243">
        <v>3262.0091499999999</v>
      </c>
      <c r="EK35" s="243">
        <v>3750.2274900000002</v>
      </c>
      <c r="EL35" s="243">
        <v>3835.2547999999997</v>
      </c>
      <c r="EM35" s="243">
        <v>4186.3105500000001</v>
      </c>
      <c r="EN35" s="243">
        <v>3842.9464500000004</v>
      </c>
      <c r="EO35" s="243">
        <v>4056.1723500000003</v>
      </c>
      <c r="EP35" s="243">
        <v>4544.3318499999996</v>
      </c>
      <c r="EQ35" s="243">
        <f>(VLOOKUP("154",'Input BS ACCTS'!$A$5:$DD$1052,98,FALSE))/1000</f>
        <v>4167.0122599999995</v>
      </c>
      <c r="ER35" s="243">
        <f>(VLOOKUP("154",'Input BS ACCTS'!$A$5:$DD$1052,99,FALSE))/1000</f>
        <v>4010.6269900000002</v>
      </c>
      <c r="ES35" s="243">
        <f>(VLOOKUP("154",'Input BS ACCTS'!$A$5:$DD$1052,100,FALSE))/1000</f>
        <v>2635.0119900000004</v>
      </c>
      <c r="ET35" s="467">
        <f t="shared" si="33"/>
        <v>3658.7751869230769</v>
      </c>
      <c r="EU35" s="801"/>
      <c r="EV35" s="801"/>
      <c r="HL35" s="35"/>
      <c r="HM35" s="253"/>
      <c r="HN35" s="217"/>
      <c r="HO35" s="35"/>
      <c r="HP35" s="35"/>
      <c r="HQ35" s="35"/>
      <c r="HR35" s="35"/>
      <c r="HS35" s="35"/>
      <c r="HT35" s="35"/>
      <c r="HU35" s="35"/>
      <c r="HV35" s="35"/>
      <c r="HW35" s="35"/>
      <c r="HX35" s="35"/>
      <c r="HY35" s="35"/>
      <c r="HZ35" s="35"/>
      <c r="IA35" s="35"/>
    </row>
    <row r="36" spans="1:235">
      <c r="A36" s="27" t="s">
        <v>240</v>
      </c>
      <c r="B36" s="121">
        <v>0</v>
      </c>
      <c r="C36" s="121">
        <v>0</v>
      </c>
      <c r="D36" s="121">
        <v>0</v>
      </c>
      <c r="E36" s="121">
        <v>0</v>
      </c>
      <c r="F36" s="121">
        <v>0</v>
      </c>
      <c r="G36" s="121">
        <v>0</v>
      </c>
      <c r="H36" s="121">
        <v>0</v>
      </c>
      <c r="I36" s="121">
        <v>46</v>
      </c>
      <c r="J36" s="121">
        <v>41.5</v>
      </c>
      <c r="K36" s="121">
        <v>30.5</v>
      </c>
      <c r="L36" s="121">
        <v>26.5</v>
      </c>
      <c r="M36" s="121">
        <v>19.5</v>
      </c>
      <c r="N36" s="121">
        <v>15.5</v>
      </c>
      <c r="O36" s="121">
        <v>8</v>
      </c>
      <c r="P36" s="121">
        <v>5</v>
      </c>
      <c r="Q36" s="121">
        <v>1</v>
      </c>
      <c r="R36" s="121">
        <v>53</v>
      </c>
      <c r="S36" s="121">
        <v>52</v>
      </c>
      <c r="T36" s="121">
        <v>49</v>
      </c>
      <c r="U36" s="121">
        <v>47</v>
      </c>
      <c r="V36" s="121">
        <v>32</v>
      </c>
      <c r="W36" s="121">
        <v>29</v>
      </c>
      <c r="X36" s="121">
        <v>26</v>
      </c>
      <c r="Y36" s="121">
        <v>24</v>
      </c>
      <c r="Z36" s="121">
        <v>57</v>
      </c>
      <c r="AA36" s="121">
        <v>35</v>
      </c>
      <c r="AB36" s="121">
        <v>43</v>
      </c>
      <c r="AC36" s="121">
        <v>48</v>
      </c>
      <c r="AD36" s="121">
        <v>75</v>
      </c>
      <c r="AE36" s="121">
        <v>63</v>
      </c>
      <c r="AF36" s="121">
        <v>71</v>
      </c>
      <c r="AG36" s="121">
        <v>64</v>
      </c>
      <c r="AH36" s="121">
        <v>79</v>
      </c>
      <c r="AI36" s="121">
        <v>0</v>
      </c>
      <c r="AJ36" s="121">
        <v>0</v>
      </c>
      <c r="AK36" s="121">
        <v>0</v>
      </c>
      <c r="AL36" s="121">
        <v>0</v>
      </c>
      <c r="AM36" s="213">
        <v>0</v>
      </c>
      <c r="AN36" s="213">
        <v>0</v>
      </c>
      <c r="AO36" s="251">
        <v>0</v>
      </c>
      <c r="AP36" s="251">
        <v>0</v>
      </c>
      <c r="AQ36" s="251">
        <v>0</v>
      </c>
      <c r="AR36" s="251">
        <v>0</v>
      </c>
      <c r="AS36" s="251">
        <v>0</v>
      </c>
      <c r="AT36" s="251">
        <v>0</v>
      </c>
      <c r="AU36" s="251">
        <v>0</v>
      </c>
      <c r="AV36" s="251">
        <v>0</v>
      </c>
      <c r="AW36" s="251">
        <v>0</v>
      </c>
      <c r="AX36" s="251">
        <v>0</v>
      </c>
      <c r="AY36" s="202">
        <v>0</v>
      </c>
      <c r="AZ36" s="202">
        <v>0</v>
      </c>
      <c r="BA36" s="387">
        <v>0</v>
      </c>
      <c r="BB36" s="387">
        <v>0</v>
      </c>
      <c r="BC36" s="387">
        <v>0</v>
      </c>
      <c r="BD36" s="387">
        <v>0</v>
      </c>
      <c r="BE36" s="387">
        <v>0</v>
      </c>
      <c r="BF36" s="387">
        <v>0</v>
      </c>
      <c r="BG36" s="243">
        <v>0</v>
      </c>
      <c r="BH36" s="243">
        <v>0</v>
      </c>
      <c r="BI36" s="243">
        <v>0</v>
      </c>
      <c r="BJ36" s="243">
        <v>0</v>
      </c>
      <c r="BK36" s="243">
        <v>0</v>
      </c>
      <c r="BL36" s="243">
        <v>0</v>
      </c>
      <c r="BM36" s="243">
        <v>0</v>
      </c>
      <c r="BN36" s="243">
        <v>0</v>
      </c>
      <c r="BO36" s="243">
        <v>0</v>
      </c>
      <c r="BP36" s="243">
        <v>0</v>
      </c>
      <c r="BQ36" s="243">
        <v>0</v>
      </c>
      <c r="BR36" s="243">
        <v>0</v>
      </c>
      <c r="BS36" s="243">
        <v>0</v>
      </c>
      <c r="BT36" s="243">
        <v>0</v>
      </c>
      <c r="BU36" s="243">
        <v>0</v>
      </c>
      <c r="BV36" s="243">
        <v>0</v>
      </c>
      <c r="BW36" s="243">
        <v>0</v>
      </c>
      <c r="BX36" s="243">
        <v>0</v>
      </c>
      <c r="BY36" s="243">
        <v>0</v>
      </c>
      <c r="BZ36" s="243">
        <v>0</v>
      </c>
      <c r="CA36" s="243">
        <v>0</v>
      </c>
      <c r="CB36" s="243">
        <v>0</v>
      </c>
      <c r="CC36" s="243">
        <v>0</v>
      </c>
      <c r="CD36" s="243">
        <v>0</v>
      </c>
      <c r="CE36" s="243">
        <v>0</v>
      </c>
      <c r="CF36" s="243">
        <v>0</v>
      </c>
      <c r="CG36" s="243">
        <v>0</v>
      </c>
      <c r="CH36" s="243">
        <v>0</v>
      </c>
      <c r="CI36" s="243">
        <v>0</v>
      </c>
      <c r="CJ36" s="243">
        <v>0</v>
      </c>
      <c r="CK36" s="243">
        <v>0</v>
      </c>
      <c r="CL36" s="243">
        <v>0</v>
      </c>
      <c r="CM36" s="243">
        <v>0</v>
      </c>
      <c r="CN36" s="243">
        <v>0</v>
      </c>
      <c r="CO36" s="243">
        <v>0</v>
      </c>
      <c r="CP36" s="243">
        <v>0</v>
      </c>
      <c r="CQ36" s="243">
        <v>0</v>
      </c>
      <c r="CR36" s="243">
        <v>0</v>
      </c>
      <c r="CS36" s="243">
        <v>0</v>
      </c>
      <c r="CT36" s="243">
        <v>0</v>
      </c>
      <c r="CU36" s="243">
        <v>0</v>
      </c>
      <c r="CV36" s="243">
        <v>0</v>
      </c>
      <c r="CW36" s="243">
        <v>0</v>
      </c>
      <c r="CX36" s="243">
        <v>0</v>
      </c>
      <c r="CY36" s="243">
        <v>0</v>
      </c>
      <c r="CZ36" s="243">
        <v>0</v>
      </c>
      <c r="DA36" s="243">
        <v>0</v>
      </c>
      <c r="DB36" s="243">
        <v>0</v>
      </c>
      <c r="DC36" s="243">
        <v>0</v>
      </c>
      <c r="DD36" s="243">
        <v>0</v>
      </c>
      <c r="DE36" s="243">
        <v>0</v>
      </c>
      <c r="DF36" s="243">
        <v>0</v>
      </c>
      <c r="DG36" s="243">
        <v>0</v>
      </c>
      <c r="DH36" s="243">
        <v>0</v>
      </c>
      <c r="DI36" s="243">
        <v>0</v>
      </c>
      <c r="DJ36" s="243">
        <v>0</v>
      </c>
      <c r="DK36" s="243">
        <v>0</v>
      </c>
      <c r="DL36" s="243">
        <v>0</v>
      </c>
      <c r="DM36" s="243">
        <v>0</v>
      </c>
      <c r="DN36" s="243">
        <v>0</v>
      </c>
      <c r="DO36" s="243">
        <v>0</v>
      </c>
      <c r="DP36" s="243">
        <v>0</v>
      </c>
      <c r="DQ36" s="243">
        <v>0</v>
      </c>
      <c r="DR36" s="243">
        <v>0</v>
      </c>
      <c r="DS36" s="243">
        <v>0</v>
      </c>
      <c r="DT36" s="243">
        <v>0</v>
      </c>
      <c r="DU36" s="243">
        <v>0</v>
      </c>
      <c r="DV36" s="243">
        <v>0</v>
      </c>
      <c r="DW36" s="243">
        <v>0</v>
      </c>
      <c r="DX36" s="243">
        <v>0</v>
      </c>
      <c r="DY36" s="243">
        <v>0</v>
      </c>
      <c r="DZ36" s="243">
        <v>0</v>
      </c>
      <c r="EA36" s="243">
        <v>0</v>
      </c>
      <c r="EB36" s="243">
        <v>0</v>
      </c>
      <c r="EC36" s="243">
        <v>0</v>
      </c>
      <c r="ED36" s="243">
        <v>0</v>
      </c>
      <c r="EE36" s="243">
        <v>0</v>
      </c>
      <c r="EF36" s="243">
        <v>0</v>
      </c>
      <c r="EG36" s="243">
        <v>0</v>
      </c>
      <c r="EH36" s="243">
        <v>0</v>
      </c>
      <c r="EI36" s="243">
        <v>0</v>
      </c>
      <c r="EJ36" s="243">
        <v>0</v>
      </c>
      <c r="EK36" s="243">
        <v>0</v>
      </c>
      <c r="EL36" s="243">
        <v>0</v>
      </c>
      <c r="EM36" s="243">
        <v>0</v>
      </c>
      <c r="EN36" s="243">
        <v>0</v>
      </c>
      <c r="EO36" s="243">
        <v>0</v>
      </c>
      <c r="EP36" s="243">
        <v>0</v>
      </c>
      <c r="EQ36" s="243">
        <f>(VLOOKUP("155",'Input BS ACCTS'!$A$5:$DD$1052,98,FALSE))/1000</f>
        <v>0</v>
      </c>
      <c r="ER36" s="243">
        <f>(VLOOKUP("155",'Input BS ACCTS'!$A$5:$DD$1052,99,FALSE))/1000</f>
        <v>0</v>
      </c>
      <c r="ES36" s="243">
        <f>(VLOOKUP("155",'Input BS ACCTS'!$A$5:$DD$1052,100,FALSE))/1000</f>
        <v>0</v>
      </c>
      <c r="ET36" s="467">
        <f t="shared" si="33"/>
        <v>0</v>
      </c>
      <c r="EU36" s="801"/>
      <c r="EV36" s="801"/>
      <c r="HL36" s="35"/>
      <c r="HM36" s="253"/>
      <c r="HN36" s="217"/>
      <c r="HO36" s="35"/>
      <c r="HP36" s="35"/>
      <c r="HQ36" s="35"/>
      <c r="HR36" s="35"/>
      <c r="HS36" s="35"/>
      <c r="HT36" s="35"/>
      <c r="HU36" s="35"/>
      <c r="HV36" s="35"/>
      <c r="HW36" s="35"/>
      <c r="HX36" s="35"/>
      <c r="HY36" s="35"/>
      <c r="HZ36" s="35"/>
      <c r="IA36" s="35"/>
    </row>
    <row r="37" spans="1:235">
      <c r="A37" s="27" t="s">
        <v>241</v>
      </c>
      <c r="B37" s="121">
        <v>148.29512</v>
      </c>
      <c r="C37" s="121">
        <v>33.554120000000005</v>
      </c>
      <c r="D37" s="121">
        <v>24.107119999999998</v>
      </c>
      <c r="E37" s="121">
        <v>-2.8800000000082948E-3</v>
      </c>
      <c r="F37" s="121">
        <v>-62.904879999999999</v>
      </c>
      <c r="G37" s="121">
        <v>-18.081880000000002</v>
      </c>
      <c r="H37" s="121">
        <v>-3.2308800000000084</v>
      </c>
      <c r="I37" s="121">
        <v>21.28012</v>
      </c>
      <c r="J37" s="121">
        <v>4.9971199999999918</v>
      </c>
      <c r="K37" s="121">
        <v>-0.54888000000000825</v>
      </c>
      <c r="L37" s="121">
        <v>-105.99388</v>
      </c>
      <c r="M37" s="121">
        <v>57.209120000000006</v>
      </c>
      <c r="N37" s="121">
        <v>-0.1998800000000083</v>
      </c>
      <c r="O37" s="121">
        <v>27</v>
      </c>
      <c r="P37" s="121">
        <v>42</v>
      </c>
      <c r="Q37" s="121">
        <v>0</v>
      </c>
      <c r="R37" s="121">
        <v>24</v>
      </c>
      <c r="S37" s="121">
        <v>51</v>
      </c>
      <c r="T37" s="121">
        <v>0</v>
      </c>
      <c r="U37" s="121">
        <v>11</v>
      </c>
      <c r="V37" s="121">
        <v>26</v>
      </c>
      <c r="W37" s="121">
        <v>0</v>
      </c>
      <c r="X37" s="121">
        <v>19</v>
      </c>
      <c r="Y37" s="121">
        <v>27</v>
      </c>
      <c r="Z37" s="121">
        <v>9</v>
      </c>
      <c r="AA37" s="121">
        <v>15</v>
      </c>
      <c r="AB37" s="121">
        <v>19</v>
      </c>
      <c r="AC37" s="121">
        <v>0</v>
      </c>
      <c r="AD37" s="121">
        <v>9</v>
      </c>
      <c r="AE37" s="121">
        <v>2</v>
      </c>
      <c r="AF37" s="121">
        <v>4</v>
      </c>
      <c r="AG37" s="121">
        <v>2</v>
      </c>
      <c r="AH37" s="121">
        <v>2</v>
      </c>
      <c r="AI37" s="121">
        <v>0</v>
      </c>
      <c r="AJ37" s="121">
        <v>0</v>
      </c>
      <c r="AK37" s="121">
        <v>0</v>
      </c>
      <c r="AL37" s="121">
        <v>0</v>
      </c>
      <c r="AM37" s="213">
        <v>0</v>
      </c>
      <c r="AN37" s="213">
        <v>0</v>
      </c>
      <c r="AO37" s="251">
        <v>0</v>
      </c>
      <c r="AP37" s="251">
        <v>0</v>
      </c>
      <c r="AQ37" s="251">
        <v>0</v>
      </c>
      <c r="AR37" s="251">
        <v>0</v>
      </c>
      <c r="AS37" s="251">
        <v>0</v>
      </c>
      <c r="AT37" s="251">
        <v>0</v>
      </c>
      <c r="AU37" s="251">
        <v>0</v>
      </c>
      <c r="AV37" s="251">
        <v>0</v>
      </c>
      <c r="AW37" s="251">
        <v>0</v>
      </c>
      <c r="AX37" s="251">
        <v>0</v>
      </c>
      <c r="AY37" s="202">
        <v>0</v>
      </c>
      <c r="AZ37" s="202">
        <v>0</v>
      </c>
      <c r="BA37" s="387">
        <v>0</v>
      </c>
      <c r="BB37" s="387">
        <v>0</v>
      </c>
      <c r="BC37" s="387">
        <v>0</v>
      </c>
      <c r="BD37" s="387">
        <v>0</v>
      </c>
      <c r="BE37" s="387">
        <v>0</v>
      </c>
      <c r="BF37" s="387">
        <v>0</v>
      </c>
      <c r="BG37" s="243">
        <v>0</v>
      </c>
      <c r="BH37" s="243">
        <v>0</v>
      </c>
      <c r="BI37" s="243">
        <v>0</v>
      </c>
      <c r="BJ37" s="243">
        <v>0</v>
      </c>
      <c r="BK37" s="243">
        <v>0</v>
      </c>
      <c r="BL37" s="243">
        <v>0</v>
      </c>
      <c r="BM37" s="243">
        <v>0</v>
      </c>
      <c r="BN37" s="243">
        <v>0</v>
      </c>
      <c r="BO37" s="243">
        <v>0</v>
      </c>
      <c r="BP37" s="243">
        <v>0</v>
      </c>
      <c r="BQ37" s="243">
        <v>0</v>
      </c>
      <c r="BR37" s="243">
        <v>0</v>
      </c>
      <c r="BS37" s="243">
        <v>0</v>
      </c>
      <c r="BT37" s="243">
        <v>0</v>
      </c>
      <c r="BU37" s="243">
        <v>0</v>
      </c>
      <c r="BV37" s="243">
        <v>0</v>
      </c>
      <c r="BW37" s="243">
        <v>0</v>
      </c>
      <c r="BX37" s="243">
        <v>0</v>
      </c>
      <c r="BY37" s="243">
        <v>0</v>
      </c>
      <c r="BZ37" s="243">
        <v>0</v>
      </c>
      <c r="CA37" s="243">
        <v>0</v>
      </c>
      <c r="CB37" s="243">
        <v>0</v>
      </c>
      <c r="CC37" s="243">
        <v>0</v>
      </c>
      <c r="CD37" s="243">
        <v>0</v>
      </c>
      <c r="CE37" s="243">
        <v>0</v>
      </c>
      <c r="CF37" s="243">
        <v>0</v>
      </c>
      <c r="CG37" s="243">
        <v>0</v>
      </c>
      <c r="CH37" s="243">
        <v>0</v>
      </c>
      <c r="CI37" s="243">
        <v>0</v>
      </c>
      <c r="CJ37" s="243">
        <v>0</v>
      </c>
      <c r="CK37" s="243">
        <v>0</v>
      </c>
      <c r="CL37" s="243">
        <v>0</v>
      </c>
      <c r="CM37" s="243">
        <v>0</v>
      </c>
      <c r="CN37" s="243">
        <v>0</v>
      </c>
      <c r="CO37" s="243">
        <v>0</v>
      </c>
      <c r="CP37" s="243">
        <v>0</v>
      </c>
      <c r="CQ37" s="243">
        <v>0</v>
      </c>
      <c r="CR37" s="243">
        <v>0</v>
      </c>
      <c r="CS37" s="243">
        <v>0</v>
      </c>
      <c r="CT37" s="243">
        <v>0</v>
      </c>
      <c r="CU37" s="243">
        <v>0</v>
      </c>
      <c r="CV37" s="243">
        <v>0</v>
      </c>
      <c r="CW37" s="243">
        <v>0</v>
      </c>
      <c r="CX37" s="243">
        <v>0</v>
      </c>
      <c r="CY37" s="243">
        <v>0</v>
      </c>
      <c r="CZ37" s="243">
        <v>0</v>
      </c>
      <c r="DA37" s="243">
        <v>0</v>
      </c>
      <c r="DB37" s="243">
        <v>0</v>
      </c>
      <c r="DC37" s="243">
        <v>0</v>
      </c>
      <c r="DD37" s="243">
        <v>0</v>
      </c>
      <c r="DE37" s="243">
        <v>0</v>
      </c>
      <c r="DF37" s="243">
        <v>0</v>
      </c>
      <c r="DG37" s="243">
        <v>0</v>
      </c>
      <c r="DH37" s="243">
        <v>0</v>
      </c>
      <c r="DI37" s="243">
        <v>0</v>
      </c>
      <c r="DJ37" s="243">
        <v>0</v>
      </c>
      <c r="DK37" s="243">
        <v>0</v>
      </c>
      <c r="DL37" s="243">
        <v>0</v>
      </c>
      <c r="DM37" s="243">
        <v>0</v>
      </c>
      <c r="DN37" s="243">
        <v>0</v>
      </c>
      <c r="DO37" s="243">
        <v>0</v>
      </c>
      <c r="DP37" s="243">
        <v>0</v>
      </c>
      <c r="DQ37" s="243">
        <v>0</v>
      </c>
      <c r="DR37" s="243">
        <v>0</v>
      </c>
      <c r="DS37" s="243">
        <v>0</v>
      </c>
      <c r="DT37" s="243">
        <v>0</v>
      </c>
      <c r="DU37" s="243">
        <v>0</v>
      </c>
      <c r="DV37" s="243">
        <v>0</v>
      </c>
      <c r="DW37" s="243">
        <v>0</v>
      </c>
      <c r="DX37" s="243">
        <v>0</v>
      </c>
      <c r="DY37" s="243">
        <v>0</v>
      </c>
      <c r="DZ37" s="243">
        <v>0</v>
      </c>
      <c r="EA37" s="243">
        <v>0</v>
      </c>
      <c r="EB37" s="243">
        <v>0</v>
      </c>
      <c r="EC37" s="243">
        <v>0</v>
      </c>
      <c r="ED37" s="243">
        <v>0</v>
      </c>
      <c r="EE37" s="243">
        <v>0</v>
      </c>
      <c r="EF37" s="243">
        <v>0</v>
      </c>
      <c r="EG37" s="243">
        <v>0</v>
      </c>
      <c r="EH37" s="243">
        <v>0</v>
      </c>
      <c r="EI37" s="243">
        <v>0</v>
      </c>
      <c r="EJ37" s="243">
        <v>0</v>
      </c>
      <c r="EK37" s="243">
        <v>0</v>
      </c>
      <c r="EL37" s="243">
        <v>0</v>
      </c>
      <c r="EM37" s="243">
        <v>0</v>
      </c>
      <c r="EN37" s="243">
        <v>0</v>
      </c>
      <c r="EO37" s="243">
        <v>0</v>
      </c>
      <c r="EP37" s="243">
        <v>0</v>
      </c>
      <c r="EQ37" s="243">
        <f>(VLOOKUP("163",'Input BS ACCTS'!$A$5:$DD$1052,98,FALSE))/1000</f>
        <v>0</v>
      </c>
      <c r="ER37" s="243">
        <f>(VLOOKUP("163",'Input BS ACCTS'!$A$5:$DD$1052,99,FALSE))/1000</f>
        <v>0</v>
      </c>
      <c r="ES37" s="243">
        <f>(VLOOKUP("163",'Input BS ACCTS'!$A$5:$DD$1052,100,FALSE))/1000</f>
        <v>0</v>
      </c>
      <c r="ET37" s="467">
        <f t="shared" si="33"/>
        <v>0</v>
      </c>
      <c r="EU37" s="801"/>
      <c r="EV37" s="801"/>
      <c r="HL37" s="35"/>
      <c r="HM37" s="253"/>
      <c r="HN37" s="217"/>
      <c r="HO37" s="35"/>
      <c r="HP37" s="35"/>
      <c r="HQ37" s="35"/>
      <c r="HR37" s="35"/>
      <c r="HS37" s="35"/>
      <c r="HT37" s="35"/>
      <c r="HU37" s="35"/>
      <c r="HV37" s="35"/>
      <c r="HW37" s="35"/>
      <c r="HX37" s="35"/>
      <c r="HY37" s="35"/>
      <c r="HZ37" s="35"/>
      <c r="IA37" s="35"/>
    </row>
    <row r="38" spans="1:235">
      <c r="A38" s="27" t="s">
        <v>525</v>
      </c>
      <c r="B38" s="121">
        <v>1388.22235</v>
      </c>
      <c r="C38" s="121">
        <v>1287.8413500000001</v>
      </c>
      <c r="D38" s="121">
        <v>1175.6033500000001</v>
      </c>
      <c r="E38" s="121">
        <v>1558.67535</v>
      </c>
      <c r="F38" s="121">
        <v>951.12734999999998</v>
      </c>
      <c r="G38" s="121">
        <v>841.32634999999993</v>
      </c>
      <c r="H38" s="121">
        <v>731.35735</v>
      </c>
      <c r="I38" s="121">
        <v>621.38834999999995</v>
      </c>
      <c r="J38" s="121">
        <v>596.06735000000003</v>
      </c>
      <c r="K38" s="121">
        <v>491.79834999999997</v>
      </c>
      <c r="L38" s="121">
        <v>1319.1593500000001</v>
      </c>
      <c r="M38" s="121">
        <v>1304.8233500000001</v>
      </c>
      <c r="N38" s="121">
        <v>1194.8543500000001</v>
      </c>
      <c r="O38" s="121">
        <v>1092</v>
      </c>
      <c r="P38" s="121">
        <v>1000</v>
      </c>
      <c r="Q38" s="121">
        <v>1405</v>
      </c>
      <c r="R38" s="121">
        <v>788</v>
      </c>
      <c r="S38" s="121">
        <v>579</v>
      </c>
      <c r="T38" s="121">
        <v>471</v>
      </c>
      <c r="U38" s="121">
        <v>363</v>
      </c>
      <c r="V38" s="121">
        <v>340</v>
      </c>
      <c r="W38" s="121">
        <v>590</v>
      </c>
      <c r="X38" s="121">
        <v>399</v>
      </c>
      <c r="Y38" s="121">
        <v>1358</v>
      </c>
      <c r="Z38" s="121">
        <v>1235</v>
      </c>
      <c r="AA38" s="121">
        <v>1392</v>
      </c>
      <c r="AB38" s="121">
        <v>1269</v>
      </c>
      <c r="AC38" s="121">
        <v>1478</v>
      </c>
      <c r="AD38" s="121">
        <v>1016</v>
      </c>
      <c r="AE38" s="121">
        <v>893</v>
      </c>
      <c r="AF38" s="121">
        <v>769</v>
      </c>
      <c r="AG38" s="121">
        <v>735</v>
      </c>
      <c r="AH38" s="121">
        <v>611</v>
      </c>
      <c r="AI38" s="121">
        <v>1567.2492400000003</v>
      </c>
      <c r="AJ38" s="121">
        <v>1473.8377600000001</v>
      </c>
      <c r="AK38" s="121">
        <v>1379.9047599999999</v>
      </c>
      <c r="AL38" s="121">
        <v>1261.2227000000005</v>
      </c>
      <c r="AM38" s="213">
        <v>1142.5406399999999</v>
      </c>
      <c r="AN38" s="213">
        <v>1056.1152199999999</v>
      </c>
      <c r="AO38" s="251">
        <v>1158.6614799999998</v>
      </c>
      <c r="AP38" s="251">
        <v>851.00773999999979</v>
      </c>
      <c r="AQ38" s="251">
        <v>749.30750000000012</v>
      </c>
      <c r="AR38" s="251">
        <v>646.75375999999994</v>
      </c>
      <c r="AS38" s="251">
        <v>630.76483000000007</v>
      </c>
      <c r="AT38" s="251">
        <v>531.01945000000012</v>
      </c>
      <c r="AU38" s="251">
        <v>567.19936000000007</v>
      </c>
      <c r="AV38" s="251">
        <v>1712.6858999999999</v>
      </c>
      <c r="AW38" s="251">
        <v>1590.4799600000003</v>
      </c>
      <c r="AX38" s="251">
        <v>1433.6511700000003</v>
      </c>
      <c r="AY38" s="202">
        <v>1304.9131799999998</v>
      </c>
      <c r="AZ38" s="202">
        <v>1170.0533300000002</v>
      </c>
      <c r="BA38" s="387">
        <v>1368.7761399999999</v>
      </c>
      <c r="BB38" s="387">
        <v>1039.52034</v>
      </c>
      <c r="BC38" s="387">
        <v>907.14662999999996</v>
      </c>
      <c r="BD38" s="387">
        <v>831.24605000000008</v>
      </c>
      <c r="BE38" s="387">
        <v>782.11305000000004</v>
      </c>
      <c r="BF38" s="387">
        <v>656.51396999999997</v>
      </c>
      <c r="BG38" s="243">
        <v>631.61904000000004</v>
      </c>
      <c r="BH38" s="243">
        <v>1953.9800500000001</v>
      </c>
      <c r="BI38" s="243">
        <v>1772.6973600000001</v>
      </c>
      <c r="BJ38" s="243">
        <v>1628.93326</v>
      </c>
      <c r="BK38" s="243">
        <v>1485.29755</v>
      </c>
      <c r="BL38" s="243">
        <v>1334.4684</v>
      </c>
      <c r="BM38" s="243">
        <v>1647.94832</v>
      </c>
      <c r="BN38" s="243">
        <v>1354.4063999999998</v>
      </c>
      <c r="BO38" s="243">
        <v>1184.8863999999999</v>
      </c>
      <c r="BP38" s="243">
        <v>1059.9052300000001</v>
      </c>
      <c r="BQ38" s="243">
        <v>1057.2138400000001</v>
      </c>
      <c r="BR38" s="243">
        <v>957.68383999999992</v>
      </c>
      <c r="BS38" s="243">
        <v>774.69727999999998</v>
      </c>
      <c r="BT38" s="243">
        <v>2204.5933399999999</v>
      </c>
      <c r="BU38" s="243">
        <v>2007.7770800000001</v>
      </c>
      <c r="BV38" s="243">
        <v>1843.0058200000001</v>
      </c>
      <c r="BW38" s="243">
        <v>1643.5191399999999</v>
      </c>
      <c r="BX38" s="243">
        <v>1444.0324599999999</v>
      </c>
      <c r="BY38" s="243">
        <v>1885.9071899999999</v>
      </c>
      <c r="BZ38" s="243">
        <v>1578.3676599999999</v>
      </c>
      <c r="CA38" s="243">
        <v>1352.29666</v>
      </c>
      <c r="CB38" s="243">
        <v>1326.32518</v>
      </c>
      <c r="CC38" s="243">
        <v>1113.3430600000002</v>
      </c>
      <c r="CD38" s="243">
        <v>935.97793000000001</v>
      </c>
      <c r="CE38" s="243">
        <v>734.9750600000001</v>
      </c>
      <c r="CF38" s="243">
        <v>2058.17499</v>
      </c>
      <c r="CG38" s="243">
        <v>1876.1623200000001</v>
      </c>
      <c r="CH38" s="243">
        <v>1722.4102399999999</v>
      </c>
      <c r="CI38" s="243">
        <v>1480.7096200000001</v>
      </c>
      <c r="CJ38" s="243">
        <v>1441.9575</v>
      </c>
      <c r="CK38" s="243">
        <v>2571.94805</v>
      </c>
      <c r="CL38" s="243">
        <v>2637.0799099999999</v>
      </c>
      <c r="CM38" s="243">
        <v>2412.6867699999998</v>
      </c>
      <c r="CN38" s="243">
        <v>2493.8299900000002</v>
      </c>
      <c r="CO38" s="243">
        <v>2161.50191</v>
      </c>
      <c r="CP38" s="243">
        <v>1938.41113</v>
      </c>
      <c r="CQ38" s="243">
        <v>1711.05675</v>
      </c>
      <c r="CR38" s="243">
        <v>1533.56122</v>
      </c>
      <c r="CS38" s="243">
        <v>1302.4572499999999</v>
      </c>
      <c r="CT38" s="243">
        <v>1068.4173400000002</v>
      </c>
      <c r="CU38" s="243">
        <v>814.98104000000001</v>
      </c>
      <c r="CV38" s="243">
        <v>580.51129000000003</v>
      </c>
      <c r="CW38" s="243">
        <v>1546.85229</v>
      </c>
      <c r="CX38" s="243">
        <v>2611.1723900000002</v>
      </c>
      <c r="CY38" s="243">
        <v>2661.3756800000001</v>
      </c>
      <c r="CZ38" s="243">
        <v>2747.6321699999999</v>
      </c>
      <c r="DA38" s="243">
        <v>2397.4975800000002</v>
      </c>
      <c r="DB38" s="243">
        <v>2167.9458</v>
      </c>
      <c r="DC38" s="243">
        <v>1836.9848</v>
      </c>
      <c r="DD38" s="243">
        <v>1481.3093700000002</v>
      </c>
      <c r="DE38" s="243">
        <v>1278.4829399999999</v>
      </c>
      <c r="DF38" s="243">
        <v>1030.99389</v>
      </c>
      <c r="DG38" s="243">
        <v>805.90486999999996</v>
      </c>
      <c r="DH38" s="243">
        <v>548.55631999999991</v>
      </c>
      <c r="DI38" s="243">
        <v>619.35390000000007</v>
      </c>
      <c r="DJ38" s="243">
        <v>2100.32987</v>
      </c>
      <c r="DK38" s="243">
        <v>2804.7330200000001</v>
      </c>
      <c r="DL38" s="243">
        <v>2555.7909799999998</v>
      </c>
      <c r="DM38" s="243">
        <v>2236.0284300000003</v>
      </c>
      <c r="DN38" s="243">
        <v>1973.52477</v>
      </c>
      <c r="DO38" s="243">
        <v>1716.8366599999999</v>
      </c>
      <c r="DP38" s="243">
        <v>1570.5801899999999</v>
      </c>
      <c r="DQ38" s="243">
        <v>1545.0938899999999</v>
      </c>
      <c r="DR38" s="243">
        <v>1550.6350400000001</v>
      </c>
      <c r="DS38" s="243">
        <v>1228.4786200000001</v>
      </c>
      <c r="DT38" s="243">
        <v>967.25804000000005</v>
      </c>
      <c r="DU38" s="243">
        <v>1409.7787599999999</v>
      </c>
      <c r="DV38" s="243">
        <v>3557.4746299999997</v>
      </c>
      <c r="DW38" s="243">
        <v>3489.93318</v>
      </c>
      <c r="DX38" s="243">
        <v>3363.9924700000001</v>
      </c>
      <c r="DY38" s="243">
        <v>2969.9907599999997</v>
      </c>
      <c r="DZ38" s="243">
        <v>2639.3216299999999</v>
      </c>
      <c r="EA38" s="243">
        <v>2532.9717999999998</v>
      </c>
      <c r="EB38" s="243">
        <v>2080.12122</v>
      </c>
      <c r="EC38" s="243">
        <v>1822.0522900000001</v>
      </c>
      <c r="ED38" s="243">
        <v>1503.25596</v>
      </c>
      <c r="EE38" s="243">
        <v>1044.0214100000001</v>
      </c>
      <c r="EF38" s="243">
        <v>703.36581999999999</v>
      </c>
      <c r="EG38" s="243">
        <v>1156.9128000000001</v>
      </c>
      <c r="EH38" s="243">
        <v>3134.7263499999999</v>
      </c>
      <c r="EI38" s="243">
        <v>3235.2801199999999</v>
      </c>
      <c r="EJ38" s="243">
        <v>3057.3586099999998</v>
      </c>
      <c r="EK38" s="243">
        <v>2786.9159199999999</v>
      </c>
      <c r="EL38" s="243">
        <v>2369.6821</v>
      </c>
      <c r="EM38" s="243">
        <v>2210.4805899999997</v>
      </c>
      <c r="EN38" s="243">
        <v>4759.7897599999997</v>
      </c>
      <c r="EO38" s="243">
        <v>4377.5653300000004</v>
      </c>
      <c r="EP38" s="243">
        <v>3826.77277</v>
      </c>
      <c r="EQ38" s="243">
        <f>(VLOOKUP("165",'Input BS ACCTS'!$A$5:$DD$1052,98,FALSE))/1000</f>
        <v>3194.1755099999996</v>
      </c>
      <c r="ER38" s="243">
        <f>(VLOOKUP("165",'Input BS ACCTS'!$A$5:$DD$1052,99,FALSE))/1000</f>
        <v>2743.1066800000003</v>
      </c>
      <c r="ES38" s="243">
        <f>(VLOOKUP("165",'Input BS ACCTS'!$A$5:$DD$1052,100,FALSE))/1000</f>
        <v>3413.03042</v>
      </c>
      <c r="ET38" s="467">
        <f t="shared" si="33"/>
        <v>3097.3689969230768</v>
      </c>
      <c r="EU38" s="801"/>
      <c r="EV38" s="801"/>
      <c r="HL38" s="35"/>
      <c r="HM38" s="253"/>
      <c r="HN38" s="217"/>
      <c r="HO38" s="35"/>
      <c r="HP38" s="35"/>
      <c r="HQ38" s="35"/>
      <c r="HR38" s="35"/>
      <c r="HS38" s="35"/>
      <c r="HT38" s="35"/>
      <c r="HU38" s="35"/>
      <c r="HV38" s="35"/>
      <c r="HW38" s="35"/>
      <c r="HX38" s="35"/>
      <c r="HY38" s="35"/>
      <c r="HZ38" s="35"/>
      <c r="IA38" s="35"/>
    </row>
    <row r="39" spans="1:235">
      <c r="A39" s="27" t="s">
        <v>243</v>
      </c>
      <c r="B39" s="121">
        <v>13178.953280000002</v>
      </c>
      <c r="C39" s="121">
        <v>12807.11728</v>
      </c>
      <c r="D39" s="121">
        <v>13868.193280000001</v>
      </c>
      <c r="E39" s="121">
        <v>16660.33628</v>
      </c>
      <c r="F39" s="121">
        <v>23970.296280000002</v>
      </c>
      <c r="G39" s="121">
        <v>23065.92928</v>
      </c>
      <c r="H39" s="121">
        <v>23495.097280000002</v>
      </c>
      <c r="I39" s="121">
        <v>19988.350280000002</v>
      </c>
      <c r="J39" s="121">
        <v>15643.934280000001</v>
      </c>
      <c r="K39" s="121">
        <v>13775.507280000002</v>
      </c>
      <c r="L39" s="121">
        <v>13395.67928</v>
      </c>
      <c r="M39" s="121">
        <v>13068.869280000001</v>
      </c>
      <c r="N39" s="121">
        <v>13092.333280000001</v>
      </c>
      <c r="O39" s="121">
        <v>13126</v>
      </c>
      <c r="P39" s="121">
        <v>14064</v>
      </c>
      <c r="Q39" s="121">
        <v>18039</v>
      </c>
      <c r="R39" s="121">
        <v>24505</v>
      </c>
      <c r="S39" s="121">
        <v>21481</v>
      </c>
      <c r="T39" s="121">
        <v>18628</v>
      </c>
      <c r="U39" s="121">
        <v>16409</v>
      </c>
      <c r="V39" s="121">
        <v>14948</v>
      </c>
      <c r="W39" s="121">
        <v>14095</v>
      </c>
      <c r="X39" s="121">
        <v>13788</v>
      </c>
      <c r="Y39" s="121">
        <v>13057</v>
      </c>
      <c r="Z39" s="121">
        <v>13105</v>
      </c>
      <c r="AA39" s="121">
        <v>13349</v>
      </c>
      <c r="AB39" s="121">
        <v>12664</v>
      </c>
      <c r="AC39" s="158">
        <v>14258</v>
      </c>
      <c r="AD39" s="158">
        <v>16975</v>
      </c>
      <c r="AE39" s="158">
        <v>15293</v>
      </c>
      <c r="AF39" s="158">
        <v>14400</v>
      </c>
      <c r="AG39" s="158">
        <v>13554</v>
      </c>
      <c r="AH39" s="158">
        <v>13034</v>
      </c>
      <c r="AI39" s="158">
        <v>12238.883360000002</v>
      </c>
      <c r="AJ39" s="158">
        <v>11832.336520000001</v>
      </c>
      <c r="AK39" s="158">
        <v>11646.084490000001</v>
      </c>
      <c r="AL39" s="158">
        <v>11644.833200000001</v>
      </c>
      <c r="AM39" s="213">
        <v>12043.054389999999</v>
      </c>
      <c r="AN39" s="213">
        <v>13344.11778</v>
      </c>
      <c r="AO39" s="213">
        <v>14783.049299999999</v>
      </c>
      <c r="AP39" s="213">
        <v>16900.968420000001</v>
      </c>
      <c r="AQ39" s="213">
        <v>15962.043809999999</v>
      </c>
      <c r="AR39" s="213">
        <v>16942.109700000001</v>
      </c>
      <c r="AS39" s="251">
        <v>16135.152730000002</v>
      </c>
      <c r="AT39" s="251">
        <v>13609.77046</v>
      </c>
      <c r="AU39" s="251">
        <v>12977.86479</v>
      </c>
      <c r="AV39" s="251">
        <v>12727.462659999999</v>
      </c>
      <c r="AW39" s="251">
        <v>12247.77275</v>
      </c>
      <c r="AX39" s="251">
        <v>12380.96703</v>
      </c>
      <c r="AY39" s="216">
        <v>12704.24667</v>
      </c>
      <c r="AZ39" s="216">
        <v>13373.335059999999</v>
      </c>
      <c r="BA39" s="408">
        <v>14603.02284</v>
      </c>
      <c r="BB39" s="408">
        <v>18003.073899999999</v>
      </c>
      <c r="BC39" s="408">
        <v>18097.256450000001</v>
      </c>
      <c r="BD39" s="408">
        <v>15566.671609999999</v>
      </c>
      <c r="BE39" s="408">
        <v>14418.22507</v>
      </c>
      <c r="BF39" s="408">
        <v>12586.642519999999</v>
      </c>
      <c r="BG39" s="158">
        <v>12155.687379999999</v>
      </c>
      <c r="BH39" s="158">
        <v>11443.97464</v>
      </c>
      <c r="BI39" s="158">
        <v>10961.037259999999</v>
      </c>
      <c r="BJ39" s="158">
        <v>11166.634300000002</v>
      </c>
      <c r="BK39" s="158">
        <v>11590.345359999999</v>
      </c>
      <c r="BL39" s="158">
        <v>12512.740689999999</v>
      </c>
      <c r="BM39" s="158">
        <v>14951.76534</v>
      </c>
      <c r="BN39" s="158">
        <v>16506.99901</v>
      </c>
      <c r="BO39" s="158">
        <v>16498.946980000001</v>
      </c>
      <c r="BP39" s="158">
        <v>15740.588009999999</v>
      </c>
      <c r="BQ39" s="158">
        <v>12945.647439999999</v>
      </c>
      <c r="BR39" s="158">
        <v>11536.4805</v>
      </c>
      <c r="BS39" s="158">
        <v>11824.40791</v>
      </c>
      <c r="BT39" s="158">
        <v>11059.21026</v>
      </c>
      <c r="BU39" s="158">
        <v>11066.841550000001</v>
      </c>
      <c r="BV39" s="158">
        <v>10911.27824</v>
      </c>
      <c r="BW39" s="158">
        <v>11261.693090000001</v>
      </c>
      <c r="BX39" s="158">
        <v>11959.54918</v>
      </c>
      <c r="BY39" s="158">
        <v>13184.88999</v>
      </c>
      <c r="BZ39" s="158">
        <v>15794.47651</v>
      </c>
      <c r="CA39" s="158">
        <v>17161.24181</v>
      </c>
      <c r="CB39" s="158">
        <v>15315.13042</v>
      </c>
      <c r="CC39" s="158">
        <v>13803.28392</v>
      </c>
      <c r="CD39" s="158">
        <v>12484.123539999999</v>
      </c>
      <c r="CE39" s="158">
        <v>11544.413120000001</v>
      </c>
      <c r="CF39" s="158">
        <v>10823.42949</v>
      </c>
      <c r="CG39" s="158">
        <v>10774.776169999999</v>
      </c>
      <c r="CH39" s="158">
        <v>10872.57984</v>
      </c>
      <c r="CI39" s="158">
        <v>10998.585120000002</v>
      </c>
      <c r="CJ39" s="158">
        <v>11978.31847</v>
      </c>
      <c r="CK39" s="158">
        <v>13463.34103</v>
      </c>
      <c r="CL39" s="158">
        <v>14793.90136</v>
      </c>
      <c r="CM39" s="158">
        <v>14647.02475</v>
      </c>
      <c r="CN39" s="158">
        <v>13891.25894</v>
      </c>
      <c r="CO39" s="158">
        <v>13674.195830000001</v>
      </c>
      <c r="CP39" s="158">
        <v>12482.27217</v>
      </c>
      <c r="CQ39" s="158">
        <v>11616.502460000002</v>
      </c>
      <c r="CR39" s="158">
        <v>11103.855129999998</v>
      </c>
      <c r="CS39" s="158">
        <v>11058.723689999999</v>
      </c>
      <c r="CT39" s="158">
        <v>11559.348890000001</v>
      </c>
      <c r="CU39" s="158">
        <v>11936.884789999998</v>
      </c>
      <c r="CV39" s="158">
        <v>13068.461640000001</v>
      </c>
      <c r="CW39" s="158">
        <v>14923.24071</v>
      </c>
      <c r="CX39" s="158">
        <v>19709.78095</v>
      </c>
      <c r="CY39" s="158">
        <v>17782.254499999999</v>
      </c>
      <c r="CZ39" s="158">
        <v>15051.948460000001</v>
      </c>
      <c r="DA39" s="158">
        <v>15420.493490000001</v>
      </c>
      <c r="DB39" s="158">
        <v>13318.813340000001</v>
      </c>
      <c r="DC39" s="158">
        <v>12093.90439</v>
      </c>
      <c r="DD39" s="158">
        <v>11886.70873</v>
      </c>
      <c r="DE39" s="158">
        <v>11640.14566</v>
      </c>
      <c r="DF39" s="158">
        <v>11662.559230000001</v>
      </c>
      <c r="DG39" s="158">
        <v>11825.160310000001</v>
      </c>
      <c r="DH39" s="158">
        <v>13201.89531</v>
      </c>
      <c r="DI39" s="158">
        <v>15400.69614</v>
      </c>
      <c r="DJ39" s="158">
        <v>16928.492259999999</v>
      </c>
      <c r="DK39" s="158">
        <v>14775.235269999999</v>
      </c>
      <c r="DL39" s="158">
        <v>15319.771419999999</v>
      </c>
      <c r="DM39" s="158">
        <v>15017.36967</v>
      </c>
      <c r="DN39" s="158">
        <v>13805.728929999999</v>
      </c>
      <c r="DO39" s="158">
        <v>12437.552470000001</v>
      </c>
      <c r="DP39" s="158">
        <v>12103.067550000002</v>
      </c>
      <c r="DQ39" s="158">
        <v>11409.97128</v>
      </c>
      <c r="DR39" s="158">
        <v>11774.779460000002</v>
      </c>
      <c r="DS39" s="158">
        <v>11943.43881</v>
      </c>
      <c r="DT39" s="158">
        <v>14474.12564</v>
      </c>
      <c r="DU39" s="158">
        <v>15620.86781</v>
      </c>
      <c r="DV39" s="158">
        <v>16930.267980000001</v>
      </c>
      <c r="DW39" s="158">
        <v>16289.747710000001</v>
      </c>
      <c r="DX39" s="158">
        <v>14402.74877</v>
      </c>
      <c r="DY39" s="158">
        <v>13045.89567</v>
      </c>
      <c r="DZ39" s="158">
        <v>12219.947970000001</v>
      </c>
      <c r="EA39" s="158">
        <v>12196.21343</v>
      </c>
      <c r="EB39" s="158">
        <v>11554.755009999999</v>
      </c>
      <c r="EC39" s="158">
        <v>11615.52332</v>
      </c>
      <c r="ED39" s="158">
        <v>11591.304679999999</v>
      </c>
      <c r="EE39" s="158">
        <v>12294.438970000001</v>
      </c>
      <c r="EF39" s="158">
        <v>13578.59181</v>
      </c>
      <c r="EG39" s="158">
        <v>18296.16387</v>
      </c>
      <c r="EH39" s="158">
        <v>22112.605070000001</v>
      </c>
      <c r="EI39" s="158">
        <v>18587.515509999997</v>
      </c>
      <c r="EJ39" s="158">
        <v>19522.572199999999</v>
      </c>
      <c r="EK39" s="158">
        <v>19357.34979</v>
      </c>
      <c r="EL39" s="158">
        <v>17195.15754</v>
      </c>
      <c r="EM39" s="158">
        <v>16430.362300000001</v>
      </c>
      <c r="EN39" s="158">
        <v>16061.876699999999</v>
      </c>
      <c r="EO39" s="158">
        <v>15505.416999999999</v>
      </c>
      <c r="EP39" s="158">
        <v>16065.272199999999</v>
      </c>
      <c r="EQ39" s="158">
        <f>(VLOOKUP("173",'Input BS ACCTS'!$A$5:$DD$1052,98,FALSE)+VLOOKUP("1823070",'Input BS ACCTS'!$A$5:$DD$1052,98,FALSE))/1000</f>
        <v>16090.04326</v>
      </c>
      <c r="ER39" s="158">
        <f>(VLOOKUP("173",'Input BS ACCTS'!$A$5:$DD$1052,99,FALSE)+VLOOKUP("1823070",'Input BS ACCTS'!$A$5:$DD$1052,99,FALSE))/1000</f>
        <v>17707.285210000002</v>
      </c>
      <c r="ES39" s="158">
        <f>(VLOOKUP("173",'Input BS ACCTS'!$A$5:$DD$1052,100,FALSE)+VLOOKUP("1823070",'Input BS ACCTS'!$A$5:$DD$1052,100,FALSE))/1000</f>
        <v>20933.310990000002</v>
      </c>
      <c r="ET39" s="467">
        <f t="shared" si="33"/>
        <v>17989.610126153846</v>
      </c>
      <c r="EU39" s="801"/>
      <c r="EV39" s="801"/>
      <c r="HL39" s="35"/>
      <c r="HM39" s="253"/>
      <c r="HN39" s="217"/>
      <c r="HO39" s="35"/>
      <c r="HP39" s="35"/>
      <c r="HQ39" s="35"/>
      <c r="HR39" s="35"/>
      <c r="HS39" s="35"/>
      <c r="HT39" s="35"/>
      <c r="HU39" s="35"/>
      <c r="HV39" s="35"/>
      <c r="HW39" s="35"/>
      <c r="HX39" s="35"/>
      <c r="HY39" s="35"/>
      <c r="HZ39" s="35"/>
      <c r="IA39" s="35"/>
    </row>
    <row r="40" spans="1:235">
      <c r="A40" s="27" t="s">
        <v>520</v>
      </c>
      <c r="B40" s="124">
        <v>475.42</v>
      </c>
      <c r="C40" s="124">
        <v>0</v>
      </c>
      <c r="D40" s="124">
        <v>11.4</v>
      </c>
      <c r="E40" s="124">
        <v>0</v>
      </c>
      <c r="F40" s="124">
        <v>0</v>
      </c>
      <c r="G40" s="124">
        <v>0.5</v>
      </c>
      <c r="H40" s="124">
        <v>0</v>
      </c>
      <c r="I40" s="124">
        <v>0</v>
      </c>
      <c r="J40" s="124">
        <v>0</v>
      </c>
      <c r="K40" s="124">
        <v>0</v>
      </c>
      <c r="L40" s="124">
        <v>20.45</v>
      </c>
      <c r="M40" s="124">
        <v>87.19</v>
      </c>
      <c r="N40" s="124">
        <v>2.76</v>
      </c>
      <c r="O40" s="124">
        <v>4</v>
      </c>
      <c r="P40" s="124">
        <v>79</v>
      </c>
      <c r="Q40" s="124">
        <v>24</v>
      </c>
      <c r="R40" s="124">
        <v>7</v>
      </c>
      <c r="S40" s="124">
        <v>68</v>
      </c>
      <c r="T40" s="124">
        <v>524</v>
      </c>
      <c r="U40" s="124">
        <v>1379</v>
      </c>
      <c r="V40" s="124">
        <v>1011</v>
      </c>
      <c r="W40" s="124">
        <v>111</v>
      </c>
      <c r="X40" s="124">
        <v>0</v>
      </c>
      <c r="Y40" s="124">
        <v>22</v>
      </c>
      <c r="Z40" s="124">
        <v>0</v>
      </c>
      <c r="AA40" s="124">
        <v>1</v>
      </c>
      <c r="AB40" s="124">
        <v>0</v>
      </c>
      <c r="AC40" s="124">
        <v>0</v>
      </c>
      <c r="AD40" s="124">
        <v>0</v>
      </c>
      <c r="AE40" s="124"/>
      <c r="AF40" s="124">
        <v>0</v>
      </c>
      <c r="AG40" s="124">
        <v>0</v>
      </c>
      <c r="AH40" s="124">
        <v>0</v>
      </c>
      <c r="AI40" s="124">
        <v>22.655000000000001</v>
      </c>
      <c r="AJ40" s="124">
        <v>134.19999999999999</v>
      </c>
      <c r="AK40" s="124">
        <v>0</v>
      </c>
      <c r="AL40" s="124">
        <v>354.63</v>
      </c>
      <c r="AM40" s="235">
        <v>487.02499999999998</v>
      </c>
      <c r="AN40" s="235">
        <v>89.015000000000001</v>
      </c>
      <c r="AO40" s="283">
        <v>59.17</v>
      </c>
      <c r="AP40" s="235">
        <v>68.674999999999997</v>
      </c>
      <c r="AQ40" s="235">
        <v>83.364999999999995</v>
      </c>
      <c r="AR40" s="235">
        <v>1392.53</v>
      </c>
      <c r="AS40" s="283">
        <v>2535.88</v>
      </c>
      <c r="AT40" s="283">
        <v>735.495</v>
      </c>
      <c r="AU40" s="283">
        <v>0</v>
      </c>
      <c r="AV40" s="283">
        <v>0</v>
      </c>
      <c r="AW40" s="283">
        <v>11.55</v>
      </c>
      <c r="AX40" s="283">
        <v>4.3499999999999996</v>
      </c>
      <c r="AY40" s="307">
        <v>0</v>
      </c>
      <c r="AZ40" s="307">
        <v>79.205000000000013</v>
      </c>
      <c r="BA40" s="404">
        <v>1135.145</v>
      </c>
      <c r="BB40" s="404">
        <v>3564.4450000000002</v>
      </c>
      <c r="BC40" s="404">
        <v>2489.5149999999999</v>
      </c>
      <c r="BD40" s="404">
        <v>1505.0450000000001</v>
      </c>
      <c r="BE40" s="404">
        <v>3092.5786800000001</v>
      </c>
      <c r="BF40" s="404">
        <v>1180.6099999999999</v>
      </c>
      <c r="BG40" s="244">
        <v>677.755</v>
      </c>
      <c r="BH40" s="244">
        <v>0</v>
      </c>
      <c r="BI40" s="244">
        <v>4.9749999999999996</v>
      </c>
      <c r="BJ40" s="244">
        <v>0</v>
      </c>
      <c r="BK40" s="244">
        <v>0</v>
      </c>
      <c r="BL40" s="244">
        <v>0</v>
      </c>
      <c r="BM40" s="244">
        <v>0</v>
      </c>
      <c r="BN40" s="244">
        <v>0</v>
      </c>
      <c r="BO40" s="244">
        <v>0</v>
      </c>
      <c r="BP40" s="244">
        <v>27.523919999999997</v>
      </c>
      <c r="BQ40" s="244">
        <v>187.78792000000001</v>
      </c>
      <c r="BR40" s="244">
        <v>0</v>
      </c>
      <c r="BS40" s="244">
        <v>0.36</v>
      </c>
      <c r="BT40" s="244">
        <v>0</v>
      </c>
      <c r="BU40" s="244">
        <v>0</v>
      </c>
      <c r="BV40" s="244">
        <v>0</v>
      </c>
      <c r="BW40" s="244">
        <v>0</v>
      </c>
      <c r="BX40" s="244">
        <v>0</v>
      </c>
      <c r="BY40" s="244">
        <v>0</v>
      </c>
      <c r="BZ40" s="244">
        <v>2.52</v>
      </c>
      <c r="CA40" s="244">
        <v>0</v>
      </c>
      <c r="CB40" s="244">
        <v>2.79</v>
      </c>
      <c r="CC40" s="244">
        <v>56.284999999999997</v>
      </c>
      <c r="CD40" s="244">
        <v>78.685000000000002</v>
      </c>
      <c r="CE40" s="244">
        <v>358.63499999999999</v>
      </c>
      <c r="CF40" s="244">
        <v>351.745</v>
      </c>
      <c r="CG40" s="244">
        <v>201.625</v>
      </c>
      <c r="CH40" s="244">
        <v>118.295</v>
      </c>
      <c r="CI40" s="244">
        <v>153.405</v>
      </c>
      <c r="CJ40" s="244">
        <v>532.14499999999998</v>
      </c>
      <c r="CK40" s="244">
        <v>1989.24</v>
      </c>
      <c r="CL40" s="244">
        <v>535.4</v>
      </c>
      <c r="CM40" s="244">
        <v>31.52</v>
      </c>
      <c r="CN40" s="244">
        <v>482.88</v>
      </c>
      <c r="CO40" s="244">
        <v>538.84500000000003</v>
      </c>
      <c r="CP40" s="244">
        <v>169.52500000000001</v>
      </c>
      <c r="CQ40" s="244">
        <v>88.275000000000006</v>
      </c>
      <c r="CR40" s="244">
        <v>8.4499999999999993</v>
      </c>
      <c r="CS40" s="244">
        <v>101.19499999999999</v>
      </c>
      <c r="CT40" s="244">
        <v>79.745000000000005</v>
      </c>
      <c r="CU40" s="244">
        <v>4.8</v>
      </c>
      <c r="CV40" s="244">
        <v>7.23</v>
      </c>
      <c r="CW40" s="244">
        <v>0</v>
      </c>
      <c r="CX40" s="244">
        <v>77.894999999999996</v>
      </c>
      <c r="CY40" s="244">
        <v>0</v>
      </c>
      <c r="CZ40" s="244">
        <v>0</v>
      </c>
      <c r="DA40" s="244">
        <v>2.04</v>
      </c>
      <c r="DB40" s="244">
        <v>20.02</v>
      </c>
      <c r="DC40" s="244">
        <v>15.33</v>
      </c>
      <c r="DD40" s="244">
        <v>0</v>
      </c>
      <c r="DE40" s="244">
        <v>3.5</v>
      </c>
      <c r="DF40" s="244">
        <v>10.039999999999999</v>
      </c>
      <c r="DG40" s="244">
        <v>14.65</v>
      </c>
      <c r="DH40" s="244">
        <v>0</v>
      </c>
      <c r="DI40" s="244">
        <v>0</v>
      </c>
      <c r="DJ40" s="244">
        <v>0</v>
      </c>
      <c r="DK40" s="244">
        <v>0</v>
      </c>
      <c r="DL40" s="244">
        <v>0</v>
      </c>
      <c r="DM40" s="244">
        <v>0</v>
      </c>
      <c r="DN40" s="244">
        <v>0</v>
      </c>
      <c r="DO40" s="244">
        <v>0</v>
      </c>
      <c r="DP40" s="244">
        <v>0</v>
      </c>
      <c r="DQ40" s="244">
        <v>0</v>
      </c>
      <c r="DR40" s="244">
        <v>0</v>
      </c>
      <c r="DS40" s="244">
        <v>0</v>
      </c>
      <c r="DT40" s="244">
        <v>0</v>
      </c>
      <c r="DU40" s="244">
        <v>0</v>
      </c>
      <c r="DV40" s="244">
        <v>0</v>
      </c>
      <c r="DW40" s="244">
        <v>0</v>
      </c>
      <c r="DX40" s="244">
        <v>0</v>
      </c>
      <c r="DY40" s="244">
        <v>0</v>
      </c>
      <c r="DZ40" s="244">
        <v>0</v>
      </c>
      <c r="EA40" s="244">
        <v>0</v>
      </c>
      <c r="EB40" s="244">
        <v>0</v>
      </c>
      <c r="EC40" s="244">
        <v>0</v>
      </c>
      <c r="ED40" s="244">
        <v>0</v>
      </c>
      <c r="EE40" s="244">
        <v>0</v>
      </c>
      <c r="EF40" s="244">
        <v>0</v>
      </c>
      <c r="EG40" s="244">
        <v>0</v>
      </c>
      <c r="EH40" s="244">
        <v>0</v>
      </c>
      <c r="EI40" s="244">
        <v>0</v>
      </c>
      <c r="EJ40" s="244">
        <v>0</v>
      </c>
      <c r="EK40" s="244">
        <v>0</v>
      </c>
      <c r="EL40" s="244">
        <v>0</v>
      </c>
      <c r="EM40" s="244">
        <v>0</v>
      </c>
      <c r="EN40" s="244">
        <v>0</v>
      </c>
      <c r="EO40" s="244">
        <v>0</v>
      </c>
      <c r="EP40" s="244">
        <v>0</v>
      </c>
      <c r="EQ40" s="244">
        <f>(VLOOKUP("176",'Input BS ACCTS'!$A$5:$DD$1052,98,FALSE))/1000</f>
        <v>0</v>
      </c>
      <c r="ER40" s="244">
        <f>(VLOOKUP("176",'Input BS ACCTS'!$A$5:$DD$1052,99,FALSE))/1000</f>
        <v>0</v>
      </c>
      <c r="ES40" s="244">
        <f>(VLOOKUP("176",'Input BS ACCTS'!$A$5:$DD$1052,100,FALSE))/1000</f>
        <v>0</v>
      </c>
      <c r="ET40" s="467">
        <f t="shared" si="33"/>
        <v>0</v>
      </c>
      <c r="EU40" s="801"/>
      <c r="EV40" s="801"/>
      <c r="HL40" s="35"/>
      <c r="HM40" s="253"/>
      <c r="HN40" s="217"/>
      <c r="HO40" s="35"/>
      <c r="HP40" s="35"/>
      <c r="HQ40" s="35"/>
      <c r="HR40" s="35"/>
      <c r="HS40" s="35"/>
      <c r="HT40" s="35"/>
      <c r="HU40" s="35"/>
      <c r="HV40" s="35"/>
      <c r="HW40" s="35"/>
      <c r="HX40" s="35"/>
      <c r="HY40" s="35"/>
      <c r="HZ40" s="35"/>
      <c r="IA40" s="35"/>
    </row>
    <row r="41" spans="1:235">
      <c r="A41" s="29" t="s">
        <v>245</v>
      </c>
      <c r="B41" s="125">
        <v>44234.147329999993</v>
      </c>
      <c r="C41" s="125">
        <v>60316.29333</v>
      </c>
      <c r="D41" s="125">
        <v>39868.477330000002</v>
      </c>
      <c r="E41" s="125">
        <v>58088.195330000002</v>
      </c>
      <c r="F41" s="125">
        <v>79012.735329999996</v>
      </c>
      <c r="G41" s="125">
        <v>75431.667329999997</v>
      </c>
      <c r="H41" s="125">
        <v>97965.126329999985</v>
      </c>
      <c r="I41" s="125">
        <v>78856.482329999999</v>
      </c>
      <c r="J41" s="125">
        <v>63217.142329999988</v>
      </c>
      <c r="K41" s="125">
        <v>55879.581330000001</v>
      </c>
      <c r="L41" s="125">
        <v>53959.137329999998</v>
      </c>
      <c r="M41" s="125">
        <v>46727.574330000003</v>
      </c>
      <c r="N41" s="125">
        <v>47229.947330000003</v>
      </c>
      <c r="O41" s="125">
        <v>47589</v>
      </c>
      <c r="P41" s="125">
        <v>34879</v>
      </c>
      <c r="Q41" s="125">
        <v>57921</v>
      </c>
      <c r="R41" s="125">
        <v>73582</v>
      </c>
      <c r="S41" s="125">
        <v>70010</v>
      </c>
      <c r="T41" s="125">
        <v>74507</v>
      </c>
      <c r="U41" s="125">
        <v>69771</v>
      </c>
      <c r="V41" s="125">
        <v>64572</v>
      </c>
      <c r="W41" s="125">
        <v>56769</v>
      </c>
      <c r="X41" s="125">
        <v>50831</v>
      </c>
      <c r="Y41" s="125">
        <v>40194</v>
      </c>
      <c r="Z41" s="125">
        <v>42136</v>
      </c>
      <c r="AA41" s="125">
        <v>37958</v>
      </c>
      <c r="AB41" s="125">
        <v>32221</v>
      </c>
      <c r="AC41" s="125">
        <v>54732.155879999998</v>
      </c>
      <c r="AD41" s="125">
        <v>72411</v>
      </c>
      <c r="AE41" s="125">
        <v>65761</v>
      </c>
      <c r="AF41" s="125">
        <v>71824</v>
      </c>
      <c r="AG41" s="125">
        <v>70851</v>
      </c>
      <c r="AH41" s="125">
        <v>65006</v>
      </c>
      <c r="AI41" s="125">
        <v>76642.34809</v>
      </c>
      <c r="AJ41" s="125">
        <v>89137.46192999999</v>
      </c>
      <c r="AK41" s="125">
        <v>50737.267139999996</v>
      </c>
      <c r="AL41" s="125">
        <v>57959.238139999994</v>
      </c>
      <c r="AM41" s="125">
        <v>61418.487690000002</v>
      </c>
      <c r="AN41" s="125">
        <v>55564.657780000001</v>
      </c>
      <c r="AO41" s="125">
        <v>61098.009910000015</v>
      </c>
      <c r="AP41" s="125">
        <v>61856.621339999998</v>
      </c>
      <c r="AQ41" s="125">
        <v>60944.903279999991</v>
      </c>
      <c r="AR41" s="125">
        <v>72749.25499999999</v>
      </c>
      <c r="AS41" s="125">
        <v>77552.587880000006</v>
      </c>
      <c r="AT41" s="125">
        <v>75257.599430000002</v>
      </c>
      <c r="AU41" s="125">
        <v>68524.699629999988</v>
      </c>
      <c r="AV41" s="125">
        <v>64267.184079999992</v>
      </c>
      <c r="AW41" s="125">
        <v>55233.436099999992</v>
      </c>
      <c r="AX41" s="125">
        <v>60109.786979999997</v>
      </c>
      <c r="AY41" s="125">
        <v>57098.1558</v>
      </c>
      <c r="AZ41" s="125">
        <v>48925.715779999999</v>
      </c>
      <c r="BA41" s="125">
        <v>54260.913969999994</v>
      </c>
      <c r="BB41" s="125">
        <v>68355.429670000012</v>
      </c>
      <c r="BC41" s="125">
        <v>67643.082410000003</v>
      </c>
      <c r="BD41" s="125">
        <v>62632.380870000001</v>
      </c>
      <c r="BE41" s="125">
        <v>59778.102339999998</v>
      </c>
      <c r="BF41" s="125">
        <v>71078.163229999991</v>
      </c>
      <c r="BG41" s="125">
        <v>58139.701189999985</v>
      </c>
      <c r="BH41" s="125">
        <v>52423.26683</v>
      </c>
      <c r="BI41" s="125">
        <v>48638.485070000002</v>
      </c>
      <c r="BJ41" s="125">
        <v>46931.784920000006</v>
      </c>
      <c r="BK41" s="125">
        <v>47480.287410000004</v>
      </c>
      <c r="BL41" s="125">
        <v>49402.385630000004</v>
      </c>
      <c r="BM41" s="125">
        <v>67326.830029999997</v>
      </c>
      <c r="BN41" s="125">
        <v>60407.445650000001</v>
      </c>
      <c r="BO41" s="125">
        <v>63303.663130000008</v>
      </c>
      <c r="BP41" s="125">
        <v>67067.510249999992</v>
      </c>
      <c r="BQ41" s="125">
        <v>64615.763729999999</v>
      </c>
      <c r="BR41" s="125">
        <v>77188.676970000015</v>
      </c>
      <c r="BS41" s="125">
        <v>69759.62062999999</v>
      </c>
      <c r="BT41" s="125">
        <v>70285.639930000005</v>
      </c>
      <c r="BU41" s="125">
        <v>74325.033940000008</v>
      </c>
      <c r="BV41" s="125">
        <v>70506.88360999999</v>
      </c>
      <c r="BW41" s="125">
        <v>68867.066309999995</v>
      </c>
      <c r="BX41" s="125">
        <v>65306.056090000005</v>
      </c>
      <c r="BY41" s="125">
        <v>69942.224780000004</v>
      </c>
      <c r="BZ41" s="125">
        <v>66057.738499999992</v>
      </c>
      <c r="CA41" s="125">
        <v>66071.10560000001</v>
      </c>
      <c r="CB41" s="125">
        <v>75657.772019999989</v>
      </c>
      <c r="CC41" s="125">
        <v>76430.739220000003</v>
      </c>
      <c r="CD41" s="125">
        <v>56697.280910000009</v>
      </c>
      <c r="CE41" s="125">
        <v>48886.815620000001</v>
      </c>
      <c r="CF41" s="125">
        <v>52270.723830000003</v>
      </c>
      <c r="CG41" s="125">
        <v>47773.196980000001</v>
      </c>
      <c r="CH41" s="125">
        <v>45509.200319999996</v>
      </c>
      <c r="CI41" s="125">
        <v>46982.392180000003</v>
      </c>
      <c r="CJ41" s="125">
        <v>41974.668299999998</v>
      </c>
      <c r="CK41" s="125">
        <v>51655.756459999997</v>
      </c>
      <c r="CL41" s="125">
        <f t="shared" ref="CL41:CW41" si="34">SUM(CL24:CL40)</f>
        <v>55363.462529999997</v>
      </c>
      <c r="CM41" s="125">
        <f t="shared" si="34"/>
        <v>64162.010029999998</v>
      </c>
      <c r="CN41" s="125">
        <f t="shared" si="34"/>
        <v>56797.737939999999</v>
      </c>
      <c r="CO41" s="125">
        <f t="shared" si="34"/>
        <v>64568.653969999999</v>
      </c>
      <c r="CP41" s="125">
        <f t="shared" si="34"/>
        <v>64198.700619999996</v>
      </c>
      <c r="CQ41" s="125">
        <f t="shared" si="34"/>
        <v>53822.729170000006</v>
      </c>
      <c r="CR41" s="125">
        <f t="shared" si="34"/>
        <v>55353.660960000001</v>
      </c>
      <c r="CS41" s="125">
        <f t="shared" si="34"/>
        <v>63573.355629999998</v>
      </c>
      <c r="CT41" s="125">
        <f t="shared" si="34"/>
        <v>59774.403510000004</v>
      </c>
      <c r="CU41" s="125">
        <f t="shared" si="34"/>
        <v>50969.798269999992</v>
      </c>
      <c r="CV41" s="125">
        <f t="shared" si="34"/>
        <v>52801.585440000017</v>
      </c>
      <c r="CW41" s="125">
        <f t="shared" si="34"/>
        <v>63444.125749999999</v>
      </c>
      <c r="CX41" s="125">
        <f t="shared" ref="CX41:DC41" si="35">SUM(CX24:CX40)</f>
        <v>78600.297149999999</v>
      </c>
      <c r="CY41" s="125">
        <f t="shared" si="35"/>
        <v>72991.793879999997</v>
      </c>
      <c r="CZ41" s="125">
        <f t="shared" si="35"/>
        <v>61327.180679999998</v>
      </c>
      <c r="DA41" s="125">
        <f t="shared" si="35"/>
        <v>61091.297689999999</v>
      </c>
      <c r="DB41" s="125">
        <f t="shared" si="35"/>
        <v>58566.63283000001</v>
      </c>
      <c r="DC41" s="125">
        <f t="shared" si="35"/>
        <v>58219.489690000002</v>
      </c>
      <c r="DD41" s="125">
        <f t="shared" ref="DD41:DI41" si="36">SUM(DD24:DD40)</f>
        <v>57154.576589999997</v>
      </c>
      <c r="DE41" s="125">
        <f t="shared" si="36"/>
        <v>51752.904920000001</v>
      </c>
      <c r="DF41" s="125">
        <f t="shared" si="36"/>
        <v>58260.21542</v>
      </c>
      <c r="DG41" s="125">
        <f t="shared" si="36"/>
        <v>57117.640550000004</v>
      </c>
      <c r="DH41" s="125">
        <f t="shared" si="36"/>
        <v>55739.472749999994</v>
      </c>
      <c r="DI41" s="125">
        <f t="shared" si="36"/>
        <v>59264.045770000004</v>
      </c>
      <c r="DJ41" s="125">
        <f t="shared" ref="DJ41:DP41" si="37">SUM(DJ24:DJ40)</f>
        <v>68098.539619999996</v>
      </c>
      <c r="DK41" s="125">
        <f t="shared" si="37"/>
        <v>63805.776129999998</v>
      </c>
      <c r="DL41" s="125">
        <f t="shared" si="37"/>
        <v>62056.625199999995</v>
      </c>
      <c r="DM41" s="125">
        <f t="shared" si="37"/>
        <v>57434.873549999997</v>
      </c>
      <c r="DN41" s="125">
        <f t="shared" si="37"/>
        <v>56015.68204</v>
      </c>
      <c r="DO41" s="125">
        <f t="shared" si="37"/>
        <v>51239.944200000005</v>
      </c>
      <c r="DP41" s="125">
        <f t="shared" si="37"/>
        <v>48187.394990000001</v>
      </c>
      <c r="DQ41" s="125">
        <f t="shared" ref="DQ41:DX41" si="38">SUM(DQ24:DQ40)</f>
        <v>47000.737529999991</v>
      </c>
      <c r="DR41" s="125">
        <f t="shared" si="38"/>
        <v>52493.94359000001</v>
      </c>
      <c r="DS41" s="125">
        <f t="shared" si="38"/>
        <v>48756.439980000003</v>
      </c>
      <c r="DT41" s="125">
        <f t="shared" si="38"/>
        <v>53214.511490000004</v>
      </c>
      <c r="DU41" s="125">
        <f t="shared" si="38"/>
        <v>58595.524510000003</v>
      </c>
      <c r="DV41" s="125">
        <f t="shared" si="38"/>
        <v>66657.72503999999</v>
      </c>
      <c r="DW41" s="125">
        <f t="shared" si="38"/>
        <v>63915.330889999997</v>
      </c>
      <c r="DX41" s="125">
        <f t="shared" si="38"/>
        <v>58796.932129999994</v>
      </c>
      <c r="DY41" s="125">
        <f t="shared" ref="DY41:ED41" si="39">SUM(DY24:DY40)</f>
        <v>53897.861819999998</v>
      </c>
      <c r="DZ41" s="125">
        <f t="shared" si="39"/>
        <v>52128.255949999992</v>
      </c>
      <c r="EA41" s="125">
        <f t="shared" si="39"/>
        <v>52654.731759999995</v>
      </c>
      <c r="EB41" s="125">
        <f t="shared" si="39"/>
        <v>49152.143330000006</v>
      </c>
      <c r="EC41" s="125">
        <f t="shared" si="39"/>
        <v>48491.290659999999</v>
      </c>
      <c r="ED41" s="125">
        <f t="shared" si="39"/>
        <v>47550.862589999997</v>
      </c>
      <c r="EE41" s="125">
        <f t="shared" ref="EE41:EJ41" si="40">SUM(EE24:EE40)</f>
        <v>45596.195090000001</v>
      </c>
      <c r="EF41" s="125">
        <f t="shared" si="40"/>
        <v>50050.81360999999</v>
      </c>
      <c r="EG41" s="125">
        <f t="shared" si="40"/>
        <v>61740.850760000001</v>
      </c>
      <c r="EH41" s="125">
        <f t="shared" si="40"/>
        <v>77129.190730000017</v>
      </c>
      <c r="EI41" s="125">
        <f t="shared" si="40"/>
        <v>74103.368440000006</v>
      </c>
      <c r="EJ41" s="125">
        <f t="shared" si="40"/>
        <v>62573.187090000007</v>
      </c>
      <c r="EK41" s="125">
        <f t="shared" ref="EK41:EP41" si="41">SUM(EK24:EK40)</f>
        <v>64059.233339999992</v>
      </c>
      <c r="EL41" s="125">
        <f t="shared" si="41"/>
        <v>58533.096319999997</v>
      </c>
      <c r="EM41" s="125">
        <f t="shared" si="41"/>
        <v>55652.338089999997</v>
      </c>
      <c r="EN41" s="125">
        <f t="shared" si="41"/>
        <v>57985.395990000005</v>
      </c>
      <c r="EO41" s="125">
        <f t="shared" si="41"/>
        <v>54796.322550000004</v>
      </c>
      <c r="EP41" s="125">
        <f t="shared" si="41"/>
        <v>55909.044719999998</v>
      </c>
      <c r="EQ41" s="125">
        <f>SUM(EQ24:EQ40)</f>
        <v>56690.915260000002</v>
      </c>
      <c r="ER41" s="125">
        <f>SUM(ER24:ER40)</f>
        <v>56416.018389999997</v>
      </c>
      <c r="ES41" s="125">
        <f>SUM(ES24:ES40)</f>
        <v>78755.841990000001</v>
      </c>
      <c r="ET41" s="417">
        <f>SUM(ET24:ET40)</f>
        <v>62641.907974615373</v>
      </c>
      <c r="EU41" s="125"/>
      <c r="EV41" s="125"/>
      <c r="HL41" s="35"/>
      <c r="HM41" s="252"/>
      <c r="HN41" s="217"/>
      <c r="HO41" s="35"/>
      <c r="HP41" s="35"/>
      <c r="HQ41" s="35"/>
      <c r="HR41" s="35"/>
      <c r="HS41" s="35"/>
      <c r="HT41" s="35"/>
      <c r="HU41" s="35"/>
      <c r="HV41" s="35"/>
      <c r="HW41" s="35"/>
      <c r="HX41" s="35"/>
      <c r="HY41" s="35"/>
      <c r="HZ41" s="35"/>
      <c r="IA41" s="35"/>
    </row>
    <row r="42" spans="1:235">
      <c r="A42" s="30"/>
      <c r="B42" s="125">
        <v>0</v>
      </c>
      <c r="C42" s="125">
        <v>0</v>
      </c>
      <c r="D42" s="125">
        <v>0</v>
      </c>
      <c r="E42" s="125">
        <v>0</v>
      </c>
      <c r="F42" s="125">
        <v>0</v>
      </c>
      <c r="G42" s="125">
        <v>0</v>
      </c>
      <c r="H42" s="125">
        <v>0</v>
      </c>
      <c r="I42" s="125">
        <v>0</v>
      </c>
      <c r="J42" s="125">
        <v>0</v>
      </c>
      <c r="K42" s="125">
        <v>0</v>
      </c>
      <c r="L42" s="125">
        <v>0</v>
      </c>
      <c r="M42" s="125">
        <v>0</v>
      </c>
      <c r="N42" s="125">
        <v>0</v>
      </c>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HL42" s="35"/>
      <c r="HM42" s="252"/>
      <c r="HN42" s="217"/>
      <c r="HO42" s="35"/>
      <c r="HP42" s="35"/>
      <c r="HQ42" s="35"/>
      <c r="HR42" s="35"/>
      <c r="HS42" s="35"/>
      <c r="HT42" s="35"/>
      <c r="HU42" s="35"/>
      <c r="HV42" s="35"/>
      <c r="HW42" s="35"/>
      <c r="HX42" s="35"/>
      <c r="HY42" s="35"/>
      <c r="HZ42" s="35"/>
      <c r="IA42" s="35"/>
    </row>
    <row r="43" spans="1:235">
      <c r="A43" s="34" t="s">
        <v>246</v>
      </c>
      <c r="B43" s="125">
        <v>0</v>
      </c>
      <c r="C43" s="125">
        <v>0</v>
      </c>
      <c r="D43" s="125">
        <v>0</v>
      </c>
      <c r="E43" s="125">
        <v>0</v>
      </c>
      <c r="F43" s="125">
        <v>0</v>
      </c>
      <c r="G43" s="125">
        <v>0</v>
      </c>
      <c r="H43" s="125">
        <v>0</v>
      </c>
      <c r="I43" s="125">
        <v>0</v>
      </c>
      <c r="J43" s="125">
        <v>0</v>
      </c>
      <c r="K43" s="125">
        <v>0</v>
      </c>
      <c r="L43" s="125">
        <v>0</v>
      </c>
      <c r="M43" s="125">
        <v>0</v>
      </c>
      <c r="N43" s="125">
        <v>0</v>
      </c>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HL43" s="35"/>
      <c r="HM43" s="252"/>
      <c r="HN43" s="217"/>
      <c r="HO43" s="35"/>
      <c r="HP43" s="35"/>
      <c r="HQ43" s="35"/>
      <c r="HR43" s="35"/>
      <c r="HS43" s="35"/>
      <c r="HT43" s="35"/>
      <c r="HU43" s="35"/>
      <c r="HV43" s="35"/>
      <c r="HW43" s="35"/>
      <c r="HX43" s="35"/>
      <c r="HY43" s="35"/>
      <c r="HZ43" s="35"/>
      <c r="IA43" s="35"/>
    </row>
    <row r="44" spans="1:235">
      <c r="A44" s="27" t="s">
        <v>247</v>
      </c>
      <c r="B44" s="121">
        <v>2644.9611400000003</v>
      </c>
      <c r="C44" s="121">
        <v>2582.2221400000003</v>
      </c>
      <c r="D44" s="121">
        <v>2519.4831400000003</v>
      </c>
      <c r="E44" s="121">
        <v>2456.7441400000002</v>
      </c>
      <c r="F44" s="121">
        <v>2394.0051400000002</v>
      </c>
      <c r="G44" s="121">
        <v>2331.2661400000002</v>
      </c>
      <c r="H44" s="121">
        <v>2268.5271400000001</v>
      </c>
      <c r="I44" s="121">
        <v>2205.7881400000001</v>
      </c>
      <c r="J44" s="121">
        <v>2143.0491400000001</v>
      </c>
      <c r="K44" s="121">
        <v>2080.31014</v>
      </c>
      <c r="L44" s="121">
        <v>2017.6131399999999</v>
      </c>
      <c r="M44" s="121">
        <v>1954.9171399999998</v>
      </c>
      <c r="N44" s="121">
        <v>1892.2211399999999</v>
      </c>
      <c r="O44" s="121">
        <v>1830</v>
      </c>
      <c r="P44" s="121">
        <v>1767</v>
      </c>
      <c r="Q44" s="121">
        <v>1961</v>
      </c>
      <c r="R44" s="121">
        <v>1887</v>
      </c>
      <c r="S44" s="121">
        <v>1811</v>
      </c>
      <c r="T44" s="121">
        <v>1741</v>
      </c>
      <c r="U44" s="121">
        <v>1665</v>
      </c>
      <c r="V44" s="121">
        <v>1597</v>
      </c>
      <c r="W44" s="121">
        <v>1527</v>
      </c>
      <c r="X44" s="121">
        <v>1454</v>
      </c>
      <c r="Y44" s="121">
        <v>1378</v>
      </c>
      <c r="Z44" s="121">
        <v>1301</v>
      </c>
      <c r="AA44" s="121">
        <v>1225</v>
      </c>
      <c r="AB44" s="121">
        <v>1148</v>
      </c>
      <c r="AC44" s="121">
        <v>1071</v>
      </c>
      <c r="AD44" s="121">
        <v>995</v>
      </c>
      <c r="AE44" s="121">
        <v>918</v>
      </c>
      <c r="AF44" s="121">
        <v>842</v>
      </c>
      <c r="AG44" s="121">
        <v>765</v>
      </c>
      <c r="AH44" s="121">
        <v>689</v>
      </c>
      <c r="AI44" s="121">
        <v>1092.07682</v>
      </c>
      <c r="AJ44" s="121">
        <v>1020.6470899999999</v>
      </c>
      <c r="AK44" s="121">
        <v>990.46615999999995</v>
      </c>
      <c r="AL44" s="121">
        <v>1168.9336000000001</v>
      </c>
      <c r="AM44" s="213">
        <v>1186.8225199999999</v>
      </c>
      <c r="AN44" s="213">
        <v>1179.68469</v>
      </c>
      <c r="AO44" s="213">
        <v>1179.82277</v>
      </c>
      <c r="AP44" s="213">
        <v>1172.58357</v>
      </c>
      <c r="AQ44" s="213">
        <v>1165.4093400000002</v>
      </c>
      <c r="AR44" s="213">
        <v>1158.2351100000001</v>
      </c>
      <c r="AS44" s="251">
        <v>1151.06088</v>
      </c>
      <c r="AT44" s="251">
        <v>1143.8866499999999</v>
      </c>
      <c r="AU44" s="251">
        <v>1136.7124199999998</v>
      </c>
      <c r="AV44" s="251">
        <v>1130.1549399999999</v>
      </c>
      <c r="AW44" s="251">
        <v>1122.9566599999998</v>
      </c>
      <c r="AX44" s="251">
        <v>1116.1136999999999</v>
      </c>
      <c r="AY44" s="202">
        <v>1108.9346599999999</v>
      </c>
      <c r="AZ44" s="202">
        <v>1101.7556200000001</v>
      </c>
      <c r="BA44" s="387">
        <v>1094.5765800000001</v>
      </c>
      <c r="BB44" s="387">
        <v>1087.3975399999999</v>
      </c>
      <c r="BC44" s="387">
        <v>1080.2184999999999</v>
      </c>
      <c r="BD44" s="387">
        <v>1073.03946</v>
      </c>
      <c r="BE44" s="387">
        <v>1065.86042</v>
      </c>
      <c r="BF44" s="387">
        <v>1151.4688799999999</v>
      </c>
      <c r="BG44" s="243">
        <v>1146.2596899999999</v>
      </c>
      <c r="BH44" s="243">
        <v>1141.3574199999998</v>
      </c>
      <c r="BI44" s="243">
        <v>1134.10501</v>
      </c>
      <c r="BJ44" s="243">
        <v>1136.8983899999998</v>
      </c>
      <c r="BK44" s="243">
        <v>1129.58024</v>
      </c>
      <c r="BL44" s="243">
        <v>1122.0975100000001</v>
      </c>
      <c r="BM44" s="243">
        <v>1114.6147800000001</v>
      </c>
      <c r="BN44" s="243">
        <v>1107.1320499999999</v>
      </c>
      <c r="BO44" s="243">
        <v>1099.64932</v>
      </c>
      <c r="BP44" s="243">
        <v>1092.16659</v>
      </c>
      <c r="BQ44" s="243">
        <v>1084.6838600000001</v>
      </c>
      <c r="BR44" s="243">
        <v>1266.2268100000001</v>
      </c>
      <c r="BS44" s="243">
        <v>1277.9586899999999</v>
      </c>
      <c r="BT44" s="243">
        <v>1271.07864</v>
      </c>
      <c r="BU44" s="243">
        <v>1263.0125500000001</v>
      </c>
      <c r="BV44" s="243">
        <v>1264.8353400000001</v>
      </c>
      <c r="BW44" s="243">
        <v>1256.7414699999999</v>
      </c>
      <c r="BX44" s="243">
        <v>1248.64831</v>
      </c>
      <c r="BY44" s="243">
        <v>1240.5544399999999</v>
      </c>
      <c r="BZ44" s="243">
        <v>1232.46057</v>
      </c>
      <c r="CA44" s="243">
        <v>1224.3667</v>
      </c>
      <c r="CB44" s="243">
        <v>1216.2728300000001</v>
      </c>
      <c r="CC44" s="243">
        <v>1208.17896</v>
      </c>
      <c r="CD44" s="243">
        <v>1200.08509</v>
      </c>
      <c r="CE44" s="243">
        <v>1191.9912199999999</v>
      </c>
      <c r="CF44" s="243">
        <v>1183.8973500000002</v>
      </c>
      <c r="CG44" s="243">
        <v>1175.80348</v>
      </c>
      <c r="CH44" s="243">
        <v>1167.7096100000001</v>
      </c>
      <c r="CI44" s="243">
        <v>1159.61574</v>
      </c>
      <c r="CJ44" s="243">
        <v>1151.52187</v>
      </c>
      <c r="CK44" s="243">
        <v>1143.4280000000001</v>
      </c>
      <c r="CL44" s="243">
        <v>1135.33413</v>
      </c>
      <c r="CM44" s="243">
        <v>1127.24026</v>
      </c>
      <c r="CN44" s="243">
        <v>1119.1463899999999</v>
      </c>
      <c r="CO44" s="243">
        <v>1111.05252</v>
      </c>
      <c r="CP44" s="243">
        <v>1102.9586499999998</v>
      </c>
      <c r="CQ44" s="243">
        <v>1094.8647800000001</v>
      </c>
      <c r="CR44" s="243">
        <v>1086.77091</v>
      </c>
      <c r="CS44" s="243">
        <v>1078.67704</v>
      </c>
      <c r="CT44" s="243">
        <v>1070.5831699999999</v>
      </c>
      <c r="CU44" s="243">
        <v>1062.4893</v>
      </c>
      <c r="CV44" s="243">
        <v>1054.39543</v>
      </c>
      <c r="CW44" s="243">
        <v>1046.3015600000001</v>
      </c>
      <c r="CX44" s="243">
        <v>1038.20769</v>
      </c>
      <c r="CY44" s="243">
        <v>1030.11382</v>
      </c>
      <c r="CZ44" s="243">
        <v>1067.87933</v>
      </c>
      <c r="DA44" s="243">
        <v>1053.2341200000001</v>
      </c>
      <c r="DB44" s="243">
        <v>1040.1659300000001</v>
      </c>
      <c r="DC44" s="243">
        <v>1785.06277</v>
      </c>
      <c r="DD44" s="243">
        <v>1787.67147</v>
      </c>
      <c r="DE44" s="243">
        <v>1779.1369099999999</v>
      </c>
      <c r="DF44" s="243">
        <v>1807.0138899999999</v>
      </c>
      <c r="DG44" s="243">
        <v>2037.07448</v>
      </c>
      <c r="DH44" s="243">
        <v>2030.6094499999999</v>
      </c>
      <c r="DI44" s="243">
        <v>2027.97783</v>
      </c>
      <c r="DJ44" s="243">
        <v>2020.07215</v>
      </c>
      <c r="DK44" s="243">
        <v>2012.1834799999999</v>
      </c>
      <c r="DL44" s="243">
        <v>2018.04828</v>
      </c>
      <c r="DM44" s="243">
        <v>2010.10456</v>
      </c>
      <c r="DN44" s="243">
        <v>2002.16084</v>
      </c>
      <c r="DO44" s="243">
        <v>1994.21712</v>
      </c>
      <c r="DP44" s="243">
        <v>2205.5789</v>
      </c>
      <c r="DQ44" s="243">
        <v>2242.15967</v>
      </c>
      <c r="DR44" s="243">
        <v>2244.4437000000003</v>
      </c>
      <c r="DS44" s="243">
        <v>2235.7572300000002</v>
      </c>
      <c r="DT44" s="243">
        <v>2227.0707599999996</v>
      </c>
      <c r="DU44" s="243">
        <v>2233.0608900000002</v>
      </c>
      <c r="DV44" s="243">
        <v>2224.3343199999999</v>
      </c>
      <c r="DW44" s="243">
        <v>2226.9272999999998</v>
      </c>
      <c r="DX44" s="243">
        <v>2222.0164199999999</v>
      </c>
      <c r="DY44" s="243">
        <v>2211.8215099999998</v>
      </c>
      <c r="DZ44" s="243">
        <v>2201.6266000000001</v>
      </c>
      <c r="EA44" s="243">
        <v>2191.4316899999999</v>
      </c>
      <c r="EB44" s="243">
        <v>2181.2367799999997</v>
      </c>
      <c r="EC44" s="243">
        <v>2171.04187</v>
      </c>
      <c r="ED44" s="243">
        <v>2160.8469599999999</v>
      </c>
      <c r="EE44" s="243">
        <v>2150.6520499999997</v>
      </c>
      <c r="EF44" s="243">
        <v>2140.45714</v>
      </c>
      <c r="EG44" s="243">
        <v>2130.2622299999998</v>
      </c>
      <c r="EH44" s="243">
        <v>2126.6312200000002</v>
      </c>
      <c r="EI44" s="243">
        <v>2115.7154100000002</v>
      </c>
      <c r="EJ44" s="243">
        <v>3962.9508900000001</v>
      </c>
      <c r="EK44" s="243">
        <v>4083.4283599999999</v>
      </c>
      <c r="EL44" s="243">
        <v>4214.9540700000007</v>
      </c>
      <c r="EM44" s="243">
        <v>4360.24496</v>
      </c>
      <c r="EN44" s="243">
        <v>4339.27621</v>
      </c>
      <c r="EO44" s="243">
        <v>4318.30746</v>
      </c>
      <c r="EP44" s="243">
        <v>4297.33871</v>
      </c>
      <c r="EQ44" s="243">
        <f>(VLOOKUP("181",'Input BS ACCTS'!$A$5:$DD$1052,98,FALSE)+VLOOKUP("189",'Input BS ACCTS'!$A$5:$DD$1052,98,FALSE))/1000</f>
        <v>4276.36996</v>
      </c>
      <c r="ER44" s="243">
        <f>(VLOOKUP("181",'Input BS ACCTS'!$A$5:$DD$1052,99,FALSE)+VLOOKUP("189",'Input BS ACCTS'!$A$5:$DD$1052,99,FALSE))/1000</f>
        <v>4255.40121</v>
      </c>
      <c r="ES44" s="243">
        <f>(VLOOKUP("181",'Input BS ACCTS'!$A$5:$DD$1052,100,FALSE)+VLOOKUP("189",'Input BS ACCTS'!$A$5:$DD$1052,100,FALSE))/1000</f>
        <v>4248.9452799999999</v>
      </c>
      <c r="ET44" s="467">
        <f t="shared" ref="ET44:ET53" si="42">SUM(EG44:ES44)/13</f>
        <v>3748.4481515384609</v>
      </c>
      <c r="EU44" s="801"/>
      <c r="EV44" s="801"/>
      <c r="HL44" s="35"/>
      <c r="HM44" s="253"/>
      <c r="HN44" s="217"/>
      <c r="HO44" s="35"/>
      <c r="HP44" s="35"/>
      <c r="HQ44" s="35"/>
      <c r="HR44" s="35"/>
      <c r="HS44" s="35"/>
      <c r="HT44" s="35"/>
      <c r="HU44" s="35"/>
      <c r="HV44" s="35"/>
      <c r="HW44" s="35"/>
      <c r="HX44" s="35"/>
      <c r="HY44" s="35"/>
      <c r="HZ44" s="35"/>
      <c r="IA44" s="35"/>
    </row>
    <row r="45" spans="1:235">
      <c r="A45" s="27" t="s">
        <v>248</v>
      </c>
      <c r="B45" s="121">
        <v>47931.094819999998</v>
      </c>
      <c r="C45" s="121">
        <v>48937.509819999999</v>
      </c>
      <c r="D45" s="121">
        <v>47501.880819999998</v>
      </c>
      <c r="E45" s="121">
        <v>43982.346819999999</v>
      </c>
      <c r="F45" s="121">
        <v>44909.326820000002</v>
      </c>
      <c r="G45" s="121">
        <v>45260.946819999997</v>
      </c>
      <c r="H45" s="121">
        <v>45995.997819999997</v>
      </c>
      <c r="I45" s="121">
        <v>45722.446819999997</v>
      </c>
      <c r="J45" s="121">
        <v>44919.139819999997</v>
      </c>
      <c r="K45" s="121">
        <v>45660.712820000001</v>
      </c>
      <c r="L45" s="121">
        <v>45548.207820000003</v>
      </c>
      <c r="M45" s="121">
        <v>47224.72582</v>
      </c>
      <c r="N45" s="121">
        <v>48783.086819999997</v>
      </c>
      <c r="O45" s="121">
        <v>48718</v>
      </c>
      <c r="P45" s="121">
        <v>49382</v>
      </c>
      <c r="Q45" s="121">
        <v>45608</v>
      </c>
      <c r="R45" s="121">
        <v>45256</v>
      </c>
      <c r="S45" s="121">
        <v>45191</v>
      </c>
      <c r="T45" s="121">
        <v>43459</v>
      </c>
      <c r="U45" s="121">
        <v>41381</v>
      </c>
      <c r="V45" s="121">
        <v>40911</v>
      </c>
      <c r="W45" s="121">
        <v>39906</v>
      </c>
      <c r="X45" s="121">
        <v>40456</v>
      </c>
      <c r="Y45" s="121">
        <v>40400</v>
      </c>
      <c r="Z45" s="121">
        <v>40739</v>
      </c>
      <c r="AA45" s="121">
        <v>40716</v>
      </c>
      <c r="AB45" s="121">
        <v>42102</v>
      </c>
      <c r="AC45" s="121">
        <v>42957</v>
      </c>
      <c r="AD45" s="121">
        <v>45779</v>
      </c>
      <c r="AE45" s="121">
        <v>44870</v>
      </c>
      <c r="AF45" s="121">
        <v>44704</v>
      </c>
      <c r="AG45" s="121">
        <v>44216</v>
      </c>
      <c r="AH45" s="121">
        <v>43927</v>
      </c>
      <c r="AI45" s="121">
        <v>39086.75965</v>
      </c>
      <c r="AJ45" s="121">
        <v>38227.049179999995</v>
      </c>
      <c r="AK45" s="121">
        <v>38830.639999999999</v>
      </c>
      <c r="AL45" s="121">
        <v>37211.067650000005</v>
      </c>
      <c r="AM45" s="213">
        <v>38131.689100000011</v>
      </c>
      <c r="AN45" s="213">
        <v>38112.260040000001</v>
      </c>
      <c r="AO45" s="213">
        <v>38978.492359999997</v>
      </c>
      <c r="AP45" s="213">
        <v>38623.57897000001</v>
      </c>
      <c r="AQ45" s="213">
        <v>38191.925810000001</v>
      </c>
      <c r="AR45" s="213">
        <v>37907.22262</v>
      </c>
      <c r="AS45" s="251">
        <v>38571.569669999997</v>
      </c>
      <c r="AT45" s="251">
        <v>37822.634819999999</v>
      </c>
      <c r="AU45" s="251">
        <v>37882.073470000003</v>
      </c>
      <c r="AV45" s="251">
        <v>38137.814050000001</v>
      </c>
      <c r="AW45" s="251">
        <v>37624.241930000004</v>
      </c>
      <c r="AX45" s="251">
        <v>37113.782670000001</v>
      </c>
      <c r="AY45" s="202">
        <v>37163.278050000001</v>
      </c>
      <c r="AZ45" s="202">
        <v>36300.6466</v>
      </c>
      <c r="BA45" s="387">
        <v>33632.5694</v>
      </c>
      <c r="BB45" s="387">
        <v>34115.887170000002</v>
      </c>
      <c r="BC45" s="387">
        <v>33476.44225</v>
      </c>
      <c r="BD45" s="387">
        <v>33438.251449999996</v>
      </c>
      <c r="BE45" s="387">
        <v>34168.992740000002</v>
      </c>
      <c r="BF45" s="387">
        <v>33607.386250000003</v>
      </c>
      <c r="BG45" s="243">
        <v>33202.927830000001</v>
      </c>
      <c r="BH45" s="243">
        <v>34007.322810000005</v>
      </c>
      <c r="BI45" s="243">
        <v>32991.204550000002</v>
      </c>
      <c r="BJ45" s="243">
        <v>33564.193740000002</v>
      </c>
      <c r="BK45" s="243">
        <v>34746.329539999999</v>
      </c>
      <c r="BL45" s="243">
        <v>31973.53397</v>
      </c>
      <c r="BM45" s="243">
        <v>35824.575880000004</v>
      </c>
      <c r="BN45" s="243">
        <v>36311.754649999995</v>
      </c>
      <c r="BO45" s="243">
        <v>34870.467409999997</v>
      </c>
      <c r="BP45" s="243">
        <v>35437.049509999997</v>
      </c>
      <c r="BQ45" s="243">
        <v>35337.99843</v>
      </c>
      <c r="BR45" s="243">
        <v>35258.929229999994</v>
      </c>
      <c r="BS45" s="243">
        <v>34305.872170000002</v>
      </c>
      <c r="BT45" s="243">
        <v>34334.123570000003</v>
      </c>
      <c r="BU45" s="243">
        <v>35158.97683</v>
      </c>
      <c r="BV45" s="243">
        <v>35281.260710000002</v>
      </c>
      <c r="BW45" s="243">
        <v>35947.425719999999</v>
      </c>
      <c r="BX45" s="243">
        <v>36112.242049999993</v>
      </c>
      <c r="BY45" s="243">
        <v>38423.22193</v>
      </c>
      <c r="BZ45" s="243">
        <v>38148.757689999999</v>
      </c>
      <c r="CA45" s="243">
        <v>37941.736039999996</v>
      </c>
      <c r="CB45" s="243">
        <v>37398.992290000002</v>
      </c>
      <c r="CC45" s="243">
        <v>37003.099119999999</v>
      </c>
      <c r="CD45" s="243">
        <v>36995.409409999993</v>
      </c>
      <c r="CE45" s="243">
        <v>36049.062399999995</v>
      </c>
      <c r="CF45" s="243">
        <v>36156.380880000004</v>
      </c>
      <c r="CG45" s="243">
        <v>36602.801350000002</v>
      </c>
      <c r="CH45" s="243">
        <v>40013.408029999999</v>
      </c>
      <c r="CI45" s="243">
        <v>39966.717700000001</v>
      </c>
      <c r="CJ45" s="243">
        <v>39774.589039999999</v>
      </c>
      <c r="CK45" s="243">
        <v>47861.884270000002</v>
      </c>
      <c r="CL45" s="243">
        <v>48216.61666</v>
      </c>
      <c r="CM45" s="243">
        <v>46704.51627</v>
      </c>
      <c r="CN45" s="243">
        <v>47090.265090000001</v>
      </c>
      <c r="CO45" s="243">
        <v>47407.65726</v>
      </c>
      <c r="CP45" s="243">
        <v>47433.163059999999</v>
      </c>
      <c r="CQ45" s="243">
        <v>47955.941989999999</v>
      </c>
      <c r="CR45" s="243">
        <v>48144.508670000003</v>
      </c>
      <c r="CS45" s="243">
        <v>48101.782039999998</v>
      </c>
      <c r="CT45" s="243">
        <v>50081.276340000004</v>
      </c>
      <c r="CU45" s="243">
        <v>50006.575429999997</v>
      </c>
      <c r="CV45" s="243">
        <v>50110.54724</v>
      </c>
      <c r="CW45" s="243">
        <v>48257.584149999995</v>
      </c>
      <c r="CX45" s="243">
        <v>48838.259310000001</v>
      </c>
      <c r="CY45" s="243">
        <v>48545.168709999998</v>
      </c>
      <c r="CZ45" s="243">
        <v>49500.818460000002</v>
      </c>
      <c r="DA45" s="243">
        <v>49805.606399999997</v>
      </c>
      <c r="DB45" s="243">
        <v>50060.779259999996</v>
      </c>
      <c r="DC45" s="243">
        <v>50103.163070000002</v>
      </c>
      <c r="DD45" s="243">
        <v>50170.800889999999</v>
      </c>
      <c r="DE45" s="243">
        <v>50206.779840000003</v>
      </c>
      <c r="DF45" s="243">
        <v>51841.777099999999</v>
      </c>
      <c r="DG45" s="243">
        <v>51915.224390000003</v>
      </c>
      <c r="DH45" s="243">
        <v>52443.29264</v>
      </c>
      <c r="DI45" s="243">
        <v>53579.534350000002</v>
      </c>
      <c r="DJ45" s="243">
        <v>53810.178520000001</v>
      </c>
      <c r="DK45" s="243">
        <v>53025.245880000002</v>
      </c>
      <c r="DL45" s="243">
        <v>53554.50389</v>
      </c>
      <c r="DM45" s="243">
        <v>53675.832280000002</v>
      </c>
      <c r="DN45" s="243">
        <v>53712.964659999998</v>
      </c>
      <c r="DO45" s="243">
        <v>53733.761479999994</v>
      </c>
      <c r="DP45" s="243">
        <v>54023.538009999997</v>
      </c>
      <c r="DQ45" s="243">
        <v>54120.208020000005</v>
      </c>
      <c r="DR45" s="243">
        <v>53966.607810000001</v>
      </c>
      <c r="DS45" s="243">
        <v>54087.865170000005</v>
      </c>
      <c r="DT45" s="243">
        <v>54371.823479999999</v>
      </c>
      <c r="DU45" s="243">
        <v>54966.422409999999</v>
      </c>
      <c r="DV45" s="243">
        <v>55524.351119999999</v>
      </c>
      <c r="DW45" s="243">
        <v>54592.50808</v>
      </c>
      <c r="DX45" s="243">
        <v>54777.93939</v>
      </c>
      <c r="DY45" s="243">
        <v>55026.802189999995</v>
      </c>
      <c r="DZ45" s="243">
        <v>55161.969799999999</v>
      </c>
      <c r="EA45" s="243">
        <v>55446.318920000005</v>
      </c>
      <c r="EB45" s="243">
        <v>55534.916149999997</v>
      </c>
      <c r="EC45" s="243">
        <v>55479.405709999999</v>
      </c>
      <c r="ED45" s="243">
        <v>55670.420039999997</v>
      </c>
      <c r="EE45" s="243">
        <v>56074.141859999996</v>
      </c>
      <c r="EF45" s="243">
        <v>55851.066880000006</v>
      </c>
      <c r="EG45" s="243">
        <v>58693.568859999999</v>
      </c>
      <c r="EH45" s="243">
        <v>59351.200259999998</v>
      </c>
      <c r="EI45" s="243">
        <v>59691.522689999998</v>
      </c>
      <c r="EJ45" s="243">
        <v>57907.116580000002</v>
      </c>
      <c r="EK45" s="243">
        <v>58338.223229999996</v>
      </c>
      <c r="EL45" s="243">
        <v>58283.557430000001</v>
      </c>
      <c r="EM45" s="243">
        <v>58536.297549999996</v>
      </c>
      <c r="EN45" s="243">
        <v>58652.68002</v>
      </c>
      <c r="EO45" s="243">
        <v>58933.954409999998</v>
      </c>
      <c r="EP45" s="243">
        <v>59497.046470000001</v>
      </c>
      <c r="EQ45" s="243">
        <f>(VLOOKUP("190",'Input BS ACCTS'!$A$5:$DD$1052,98,FALSE))/1000</f>
        <v>58863.673240000004</v>
      </c>
      <c r="ER45" s="243">
        <f>(VLOOKUP("190",'Input BS ACCTS'!$A$5:$DD$1052,99,FALSE))/1000</f>
        <v>59548.096990000005</v>
      </c>
      <c r="ES45" s="243">
        <f>(VLOOKUP("190",'Input BS ACCTS'!$A$5:$DD$1052,100,FALSE))/1000</f>
        <v>58824.206109999999</v>
      </c>
      <c r="ET45" s="467">
        <f t="shared" si="42"/>
        <v>58855.472603076923</v>
      </c>
      <c r="EU45" s="801"/>
      <c r="EV45" s="801"/>
      <c r="HL45" s="35"/>
      <c r="HM45" s="253"/>
      <c r="HN45" s="217"/>
      <c r="HO45" s="35"/>
      <c r="HP45" s="35"/>
      <c r="HQ45" s="35"/>
      <c r="HR45" s="35"/>
      <c r="HS45" s="35"/>
      <c r="HT45" s="35"/>
      <c r="HU45" s="35"/>
      <c r="HV45" s="35"/>
      <c r="HW45" s="35"/>
      <c r="HX45" s="35"/>
      <c r="HY45" s="35"/>
      <c r="HZ45" s="35"/>
      <c r="IA45" s="35"/>
    </row>
    <row r="46" spans="1:235">
      <c r="A46" s="27" t="s">
        <v>249</v>
      </c>
      <c r="B46" s="121">
        <v>-4.0000000000000001E-3</v>
      </c>
      <c r="C46" s="121">
        <v>-8.0000000000000002E-3</v>
      </c>
      <c r="D46" s="121">
        <v>-5.0000000000000001E-3</v>
      </c>
      <c r="E46" s="121">
        <v>-8.0000000000000002E-3</v>
      </c>
      <c r="F46" s="121">
        <v>-5.0000000000000001E-3</v>
      </c>
      <c r="G46" s="121">
        <v>-0.28999999999999998</v>
      </c>
      <c r="H46" s="121">
        <v>-4.0000000000000001E-3</v>
      </c>
      <c r="I46" s="121">
        <v>0</v>
      </c>
      <c r="J46" s="121">
        <v>0</v>
      </c>
      <c r="K46" s="121">
        <v>0</v>
      </c>
      <c r="L46" s="121">
        <v>-4.0000000000000001E-3</v>
      </c>
      <c r="M46" s="121">
        <v>-5.0000000000000001E-3</v>
      </c>
      <c r="N46" s="121">
        <v>-8.9999999999999993E-3</v>
      </c>
      <c r="O46" s="121">
        <v>0</v>
      </c>
      <c r="P46" s="121">
        <v>0</v>
      </c>
      <c r="Q46" s="121">
        <v>0</v>
      </c>
      <c r="R46" s="121">
        <v>0</v>
      </c>
      <c r="S46" s="121">
        <v>0</v>
      </c>
      <c r="T46" s="121">
        <v>0</v>
      </c>
      <c r="U46" s="121">
        <v>0</v>
      </c>
      <c r="V46" s="121">
        <v>0</v>
      </c>
      <c r="W46" s="121">
        <v>0</v>
      </c>
      <c r="X46" s="121">
        <v>0</v>
      </c>
      <c r="Y46" s="121">
        <v>0</v>
      </c>
      <c r="Z46" s="121">
        <v>0</v>
      </c>
      <c r="AA46" s="121">
        <v>0</v>
      </c>
      <c r="AB46" s="121">
        <v>0</v>
      </c>
      <c r="AC46" s="121">
        <v>0</v>
      </c>
      <c r="AD46" s="121">
        <v>0</v>
      </c>
      <c r="AE46" s="121">
        <v>0</v>
      </c>
      <c r="AF46" s="121">
        <v>0</v>
      </c>
      <c r="AG46" s="121"/>
      <c r="AH46" s="121"/>
      <c r="AI46" s="121">
        <v>4.6900000000000006E-3</v>
      </c>
      <c r="AJ46" s="121">
        <v>4.15E-3</v>
      </c>
      <c r="AK46" s="121">
        <v>4.15E-3</v>
      </c>
      <c r="AL46" s="121">
        <v>4.15E-3</v>
      </c>
      <c r="AM46" s="213">
        <v>4.15E-3</v>
      </c>
      <c r="AN46" s="213">
        <v>4.15E-3</v>
      </c>
      <c r="AO46" s="213">
        <v>4.15E-3</v>
      </c>
      <c r="AP46" s="213">
        <v>5.9527700000000001</v>
      </c>
      <c r="AQ46" s="213">
        <v>5.9527700000000001</v>
      </c>
      <c r="AR46" s="213">
        <v>5.9527700000000001</v>
      </c>
      <c r="AS46" s="251">
        <v>5.9527700000000001</v>
      </c>
      <c r="AT46" s="251">
        <v>5.9227700000000008</v>
      </c>
      <c r="AU46" s="251">
        <v>5.8627700000000003</v>
      </c>
      <c r="AV46" s="251">
        <v>5.8027700000000006</v>
      </c>
      <c r="AW46" s="251">
        <v>5.7427700000000002</v>
      </c>
      <c r="AX46" s="251">
        <v>5.6827700000000005</v>
      </c>
      <c r="AY46" s="202">
        <v>5.6197700000000008</v>
      </c>
      <c r="AZ46" s="202">
        <v>5.5577700000000005</v>
      </c>
      <c r="BA46" s="387">
        <v>5.5027600000000003</v>
      </c>
      <c r="BB46" s="387">
        <v>5.5627599999999999</v>
      </c>
      <c r="BC46" s="387">
        <v>5.6227600000000004</v>
      </c>
      <c r="BD46" s="387">
        <v>5.68276</v>
      </c>
      <c r="BE46" s="387">
        <v>5.7427600000000005</v>
      </c>
      <c r="BF46" s="387">
        <v>5.8027600000000001</v>
      </c>
      <c r="BG46" s="243">
        <v>5.8627600000000006</v>
      </c>
      <c r="BH46" s="243">
        <v>5.9227600000000002</v>
      </c>
      <c r="BI46" s="243">
        <v>5.9827599999999999</v>
      </c>
      <c r="BJ46" s="243">
        <v>6.0427600000000004</v>
      </c>
      <c r="BK46" s="243">
        <v>0</v>
      </c>
      <c r="BL46" s="243">
        <v>0</v>
      </c>
      <c r="BM46" s="243">
        <v>0</v>
      </c>
      <c r="BN46" s="243">
        <v>0</v>
      </c>
      <c r="BO46" s="243">
        <v>0</v>
      </c>
      <c r="BP46" s="243">
        <v>0</v>
      </c>
      <c r="BQ46" s="243">
        <v>0</v>
      </c>
      <c r="BR46" s="243">
        <v>0</v>
      </c>
      <c r="BS46" s="243">
        <v>0</v>
      </c>
      <c r="BT46" s="243">
        <v>0</v>
      </c>
      <c r="BU46" s="243">
        <v>0</v>
      </c>
      <c r="BV46" s="243">
        <v>0</v>
      </c>
      <c r="BW46" s="243">
        <v>0</v>
      </c>
      <c r="BX46" s="243">
        <v>0</v>
      </c>
      <c r="BY46" s="243">
        <v>0</v>
      </c>
      <c r="BZ46" s="243">
        <v>0</v>
      </c>
      <c r="CA46" s="243">
        <v>0</v>
      </c>
      <c r="CB46" s="243">
        <v>0</v>
      </c>
      <c r="CC46" s="243">
        <v>0</v>
      </c>
      <c r="CD46" s="243">
        <v>0</v>
      </c>
      <c r="CE46" s="243">
        <v>0</v>
      </c>
      <c r="CF46" s="243">
        <v>0</v>
      </c>
      <c r="CG46" s="243">
        <v>0</v>
      </c>
      <c r="CH46" s="243">
        <v>41.828069999999997</v>
      </c>
      <c r="CI46" s="243">
        <v>0</v>
      </c>
      <c r="CJ46" s="243">
        <v>0</v>
      </c>
      <c r="CK46" s="243">
        <v>0</v>
      </c>
      <c r="CL46" s="243">
        <v>0</v>
      </c>
      <c r="CM46" s="243">
        <v>0</v>
      </c>
      <c r="CN46" s="243">
        <v>0</v>
      </c>
      <c r="CO46" s="243">
        <v>0</v>
      </c>
      <c r="CP46" s="243">
        <v>0</v>
      </c>
      <c r="CQ46" s="243">
        <v>0</v>
      </c>
      <c r="CR46" s="243">
        <v>0</v>
      </c>
      <c r="CS46" s="243">
        <v>0</v>
      </c>
      <c r="CT46" s="243">
        <v>0</v>
      </c>
      <c r="CU46" s="243">
        <v>0</v>
      </c>
      <c r="CV46" s="243">
        <v>0</v>
      </c>
      <c r="CW46" s="243">
        <v>0</v>
      </c>
      <c r="CX46" s="243">
        <v>0</v>
      </c>
      <c r="CY46" s="243">
        <v>0</v>
      </c>
      <c r="CZ46" s="243">
        <v>0</v>
      </c>
      <c r="DA46" s="243">
        <v>0</v>
      </c>
      <c r="DB46" s="243">
        <v>0</v>
      </c>
      <c r="DC46" s="243">
        <v>0</v>
      </c>
      <c r="DD46" s="243">
        <v>0</v>
      </c>
      <c r="DE46" s="243">
        <v>0</v>
      </c>
      <c r="DF46" s="243">
        <v>0</v>
      </c>
      <c r="DG46" s="243">
        <v>0</v>
      </c>
      <c r="DH46" s="243">
        <v>0</v>
      </c>
      <c r="DI46" s="243">
        <v>0</v>
      </c>
      <c r="DJ46" s="243">
        <v>0</v>
      </c>
      <c r="DK46" s="243">
        <v>0</v>
      </c>
      <c r="DL46" s="243">
        <v>0</v>
      </c>
      <c r="DM46" s="243">
        <v>0</v>
      </c>
      <c r="DN46" s="243">
        <v>0</v>
      </c>
      <c r="DO46" s="243">
        <v>0</v>
      </c>
      <c r="DP46" s="243">
        <v>0</v>
      </c>
      <c r="DQ46" s="243">
        <v>0</v>
      </c>
      <c r="DR46" s="243">
        <v>0</v>
      </c>
      <c r="DS46" s="243">
        <v>0</v>
      </c>
      <c r="DT46" s="243">
        <v>0</v>
      </c>
      <c r="DU46" s="243">
        <v>0</v>
      </c>
      <c r="DV46" s="243">
        <v>0</v>
      </c>
      <c r="DW46" s="243">
        <v>0</v>
      </c>
      <c r="DX46" s="243">
        <v>0</v>
      </c>
      <c r="DY46" s="243">
        <v>0</v>
      </c>
      <c r="DZ46" s="243">
        <v>0</v>
      </c>
      <c r="EA46" s="243">
        <v>0</v>
      </c>
      <c r="EB46" s="243">
        <v>0</v>
      </c>
      <c r="EC46" s="243">
        <v>0</v>
      </c>
      <c r="ED46" s="243">
        <v>0</v>
      </c>
      <c r="EE46" s="243">
        <v>0.06</v>
      </c>
      <c r="EF46" s="243">
        <v>0</v>
      </c>
      <c r="EG46" s="243">
        <v>0</v>
      </c>
      <c r="EH46" s="243">
        <v>0</v>
      </c>
      <c r="EI46" s="243">
        <v>0</v>
      </c>
      <c r="EJ46" s="243">
        <v>0</v>
      </c>
      <c r="EK46" s="243">
        <v>0</v>
      </c>
      <c r="EL46" s="243">
        <v>0</v>
      </c>
      <c r="EM46" s="243">
        <v>0</v>
      </c>
      <c r="EN46" s="243">
        <v>0</v>
      </c>
      <c r="EO46" s="243">
        <v>0</v>
      </c>
      <c r="EP46" s="243">
        <v>0</v>
      </c>
      <c r="EQ46" s="243">
        <f>(VLOOKUP("184",'Input BS ACCTS'!$A$5:$DD$1052,98,FALSE))/1000</f>
        <v>0</v>
      </c>
      <c r="ER46" s="243">
        <f>(VLOOKUP("184",'Input BS ACCTS'!$A$5:$DD$1052,99,FALSE))/1000</f>
        <v>0</v>
      </c>
      <c r="ES46" s="243">
        <f>(VLOOKUP("184",'Input BS ACCTS'!$A$5:$DD$1052,100,FALSE))/1000</f>
        <v>0</v>
      </c>
      <c r="ET46" s="467">
        <f t="shared" si="42"/>
        <v>0</v>
      </c>
      <c r="EU46" s="801"/>
      <c r="EV46" s="801"/>
      <c r="HL46" s="35"/>
      <c r="HM46" s="253"/>
      <c r="HN46" s="217"/>
      <c r="HO46" s="35"/>
      <c r="HP46" s="35"/>
      <c r="HQ46" s="35"/>
      <c r="HR46" s="35"/>
      <c r="HS46" s="35"/>
      <c r="HT46" s="35"/>
      <c r="HU46" s="35"/>
      <c r="HV46" s="35"/>
      <c r="HW46" s="35"/>
      <c r="HX46" s="35"/>
      <c r="HY46" s="35"/>
      <c r="HZ46" s="35"/>
      <c r="IA46" s="35"/>
    </row>
    <row r="47" spans="1:235">
      <c r="A47" s="27" t="s">
        <v>250</v>
      </c>
      <c r="B47" s="121">
        <v>38614.078289999998</v>
      </c>
      <c r="C47" s="121">
        <v>38694.798289999999</v>
      </c>
      <c r="D47" s="121">
        <v>38747.580289999998</v>
      </c>
      <c r="E47" s="121">
        <v>48592.096290000001</v>
      </c>
      <c r="F47" s="121">
        <v>48555.316290000002</v>
      </c>
      <c r="G47" s="121">
        <v>48720.12429</v>
      </c>
      <c r="H47" s="121">
        <v>48236.242290000002</v>
      </c>
      <c r="I47" s="121">
        <v>52688.991289999998</v>
      </c>
      <c r="J47" s="121">
        <v>55513.310290000001</v>
      </c>
      <c r="K47" s="121">
        <v>59439.386290000002</v>
      </c>
      <c r="L47" s="121">
        <v>63005.284289999996</v>
      </c>
      <c r="M47" s="121">
        <v>67025.625289999996</v>
      </c>
      <c r="N47" s="121">
        <v>70000.430289999989</v>
      </c>
      <c r="O47" s="121">
        <v>53852</v>
      </c>
      <c r="P47" s="121">
        <v>54330</v>
      </c>
      <c r="Q47" s="121">
        <v>54108</v>
      </c>
      <c r="R47" s="121">
        <v>49052</v>
      </c>
      <c r="S47" s="121">
        <v>49293</v>
      </c>
      <c r="T47" s="121">
        <v>50668</v>
      </c>
      <c r="U47" s="121">
        <v>50733</v>
      </c>
      <c r="V47" s="121">
        <v>51107</v>
      </c>
      <c r="W47" s="121">
        <v>48013</v>
      </c>
      <c r="X47" s="121">
        <v>47998</v>
      </c>
      <c r="Y47" s="121">
        <v>49035</v>
      </c>
      <c r="Z47" s="121">
        <v>48704</v>
      </c>
      <c r="AA47" s="121">
        <v>48741</v>
      </c>
      <c r="AB47" s="121">
        <v>48452</v>
      </c>
      <c r="AC47" s="121">
        <v>55857</v>
      </c>
      <c r="AD47" s="121">
        <v>58055</v>
      </c>
      <c r="AE47" s="121">
        <v>58139</v>
      </c>
      <c r="AF47" s="121">
        <v>57737</v>
      </c>
      <c r="AG47" s="121">
        <v>57768</v>
      </c>
      <c r="AH47" s="121">
        <v>58113</v>
      </c>
      <c r="AI47" s="121">
        <v>64346.419880000001</v>
      </c>
      <c r="AJ47" s="121">
        <v>64313.958929999993</v>
      </c>
      <c r="AK47" s="121">
        <v>64723.593589999997</v>
      </c>
      <c r="AL47" s="121">
        <v>64281.782789999997</v>
      </c>
      <c r="AM47" s="213">
        <v>64919.187389999999</v>
      </c>
      <c r="AN47" s="213">
        <v>65182.681919999995</v>
      </c>
      <c r="AO47" s="213">
        <v>76631.208750000005</v>
      </c>
      <c r="AP47" s="213">
        <v>76612.00556000002</v>
      </c>
      <c r="AQ47" s="213">
        <v>76457.673750000002</v>
      </c>
      <c r="AR47" s="213">
        <v>75566.056869999986</v>
      </c>
      <c r="AS47" s="251">
        <v>75363.227220000015</v>
      </c>
      <c r="AT47" s="251">
        <v>75658.341549999997</v>
      </c>
      <c r="AU47" s="251">
        <v>75188.345040000015</v>
      </c>
      <c r="AV47" s="251">
        <v>75465.393190000003</v>
      </c>
      <c r="AW47" s="251">
        <v>76026.486140000008</v>
      </c>
      <c r="AX47" s="251">
        <v>75946.689259999999</v>
      </c>
      <c r="AY47" s="216">
        <v>76324.656820000018</v>
      </c>
      <c r="AZ47" s="216">
        <v>76459.051229999983</v>
      </c>
      <c r="BA47" s="408">
        <v>70471.292509999999</v>
      </c>
      <c r="BB47" s="408">
        <v>69997.01122</v>
      </c>
      <c r="BC47" s="408">
        <v>71088.2641</v>
      </c>
      <c r="BD47" s="408">
        <v>68368.324699999997</v>
      </c>
      <c r="BE47" s="408">
        <v>69611.010649999997</v>
      </c>
      <c r="BF47" s="408">
        <v>70483.194969999997</v>
      </c>
      <c r="BG47" s="158">
        <v>68576.12328</v>
      </c>
      <c r="BH47" s="158">
        <v>69847.259180000008</v>
      </c>
      <c r="BI47" s="158">
        <v>71419.094570000001</v>
      </c>
      <c r="BJ47" s="158">
        <v>68818.619189999998</v>
      </c>
      <c r="BK47" s="158">
        <v>68963.470189999993</v>
      </c>
      <c r="BL47" s="158">
        <v>69249.646699999998</v>
      </c>
      <c r="BM47" s="158">
        <v>72467.400840000002</v>
      </c>
      <c r="BN47" s="158">
        <v>72592.189459999994</v>
      </c>
      <c r="BO47" s="158">
        <v>72602.958590000009</v>
      </c>
      <c r="BP47" s="158">
        <v>73158.85867999999</v>
      </c>
      <c r="BQ47" s="158">
        <v>71571.61112999999</v>
      </c>
      <c r="BR47" s="158">
        <v>71805.709930000012</v>
      </c>
      <c r="BS47" s="158">
        <v>71108.554209999988</v>
      </c>
      <c r="BT47" s="158">
        <v>71248.431559999997</v>
      </c>
      <c r="BU47" s="158">
        <v>71120.119780000008</v>
      </c>
      <c r="BV47" s="158">
        <v>70513.24613</v>
      </c>
      <c r="BW47" s="158">
        <v>73525.377469999992</v>
      </c>
      <c r="BX47" s="158">
        <v>74074.467680000002</v>
      </c>
      <c r="BY47" s="158">
        <v>82232.976849999992</v>
      </c>
      <c r="BZ47" s="158">
        <v>82304.015400000004</v>
      </c>
      <c r="CA47" s="158">
        <v>82297.403550000003</v>
      </c>
      <c r="CB47" s="158">
        <v>82119.597129999995</v>
      </c>
      <c r="CC47" s="158">
        <v>82086.495020000002</v>
      </c>
      <c r="CD47" s="158">
        <v>82146.20379</v>
      </c>
      <c r="CE47" s="516">
        <v>82149.043580000012</v>
      </c>
      <c r="CF47" s="516">
        <v>82147.67108</v>
      </c>
      <c r="CG47" s="516">
        <v>82246.670050000001</v>
      </c>
      <c r="CH47" s="516">
        <v>90709.415110000002</v>
      </c>
      <c r="CI47" s="516">
        <v>90866.217529999994</v>
      </c>
      <c r="CJ47" s="516">
        <v>91010.741269999999</v>
      </c>
      <c r="CK47" s="516">
        <v>68651.538419999997</v>
      </c>
      <c r="CL47" s="516">
        <v>70830.252769999992</v>
      </c>
      <c r="CM47" s="516">
        <v>70254.901520000014</v>
      </c>
      <c r="CN47" s="516">
        <v>68535.840510000009</v>
      </c>
      <c r="CO47" s="516">
        <v>68112.887950000004</v>
      </c>
      <c r="CP47" s="516">
        <v>67688.72024000001</v>
      </c>
      <c r="CQ47" s="516">
        <v>68115.282019999999</v>
      </c>
      <c r="CR47" s="516">
        <v>67731.605639999994</v>
      </c>
      <c r="CS47" s="516">
        <v>67890.483330000003</v>
      </c>
      <c r="CT47" s="516">
        <v>66962.067909999998</v>
      </c>
      <c r="CU47" s="516">
        <v>66619.551349999994</v>
      </c>
      <c r="CV47" s="516">
        <v>66264.137279999995</v>
      </c>
      <c r="CW47" s="516">
        <v>64835.58266</v>
      </c>
      <c r="CX47" s="516">
        <v>64933.396590000004</v>
      </c>
      <c r="CY47" s="516">
        <v>65244.409619999999</v>
      </c>
      <c r="CZ47" s="516">
        <v>59827.964010000003</v>
      </c>
      <c r="DA47" s="516">
        <v>60105.970669999995</v>
      </c>
      <c r="DB47" s="516">
        <v>60086.399309999993</v>
      </c>
      <c r="DC47" s="516">
        <v>59622.403859999999</v>
      </c>
      <c r="DD47" s="516">
        <v>59973.886749999998</v>
      </c>
      <c r="DE47" s="516">
        <v>60632.430609999996</v>
      </c>
      <c r="DF47" s="516">
        <v>53375.956300000005</v>
      </c>
      <c r="DG47" s="516">
        <v>54283.035830000001</v>
      </c>
      <c r="DH47" s="516">
        <v>55830.138780000001</v>
      </c>
      <c r="DI47" s="516">
        <v>58277.144090000002</v>
      </c>
      <c r="DJ47" s="516">
        <v>58080.181830000001</v>
      </c>
      <c r="DK47" s="516">
        <v>58864.521289999997</v>
      </c>
      <c r="DL47" s="516">
        <v>58624.363279999998</v>
      </c>
      <c r="DM47" s="516">
        <v>59133.599669999996</v>
      </c>
      <c r="DN47" s="516">
        <v>59790.011739999994</v>
      </c>
      <c r="DO47" s="516">
        <v>59988.540849999998</v>
      </c>
      <c r="DP47" s="516">
        <v>60019.876629999999</v>
      </c>
      <c r="DQ47" s="516">
        <v>60424.509920000004</v>
      </c>
      <c r="DR47" s="516">
        <v>61106.555189999999</v>
      </c>
      <c r="DS47" s="516">
        <v>61357.266819999997</v>
      </c>
      <c r="DT47" s="516">
        <v>62186.112700000005</v>
      </c>
      <c r="DU47" s="516">
        <v>54632.48934</v>
      </c>
      <c r="DV47" s="516">
        <v>54624.616520000003</v>
      </c>
      <c r="DW47" s="516">
        <v>54848.027120000006</v>
      </c>
      <c r="DX47" s="516">
        <v>54894.123350000002</v>
      </c>
      <c r="DY47" s="516">
        <v>55206.396160000004</v>
      </c>
      <c r="DZ47" s="516">
        <v>55954.289480000007</v>
      </c>
      <c r="EA47" s="516">
        <v>55732.483930000002</v>
      </c>
      <c r="EB47" s="516">
        <v>56163.926220000001</v>
      </c>
      <c r="EC47" s="516">
        <v>57439.180289999997</v>
      </c>
      <c r="ED47" s="516">
        <v>58517.494700000003</v>
      </c>
      <c r="EE47" s="516">
        <v>58105.062389999999</v>
      </c>
      <c r="EF47" s="516">
        <v>59291.394589999996</v>
      </c>
      <c r="EG47" s="516">
        <v>61848.501990000004</v>
      </c>
      <c r="EH47" s="516">
        <v>61431.951190000007</v>
      </c>
      <c r="EI47" s="516">
        <v>62507.009010000009</v>
      </c>
      <c r="EJ47" s="516">
        <v>62885.483009999996</v>
      </c>
      <c r="EK47" s="516">
        <v>62852.994260000007</v>
      </c>
      <c r="EL47" s="516">
        <v>64288.750349999995</v>
      </c>
      <c r="EM47" s="516">
        <v>64171.958269999996</v>
      </c>
      <c r="EN47" s="516">
        <v>65457.203960000006</v>
      </c>
      <c r="EO47" s="516">
        <v>65526.210789999997</v>
      </c>
      <c r="EP47" s="516">
        <v>63159.92985</v>
      </c>
      <c r="EQ47" s="516">
        <f>((VLOOKUP("182",'Input BS ACCTS'!$A$5:$DD$1052,98,FALSE)+(VLOOKUP("186",'Input BS ACCTS'!$A$5:$DD$1052,98,FALSE)-VLOOKUP("1823040",'Input BS ACCTS'!$A$5:$DD$1052,98,FALSE)-VLOOKUP("1823070",'Input BS ACCTS'!$A$5:$DD$1052,98,FALSE)-VLOOKUP("1823071",'Input BS ACCTS'!$A$5:$DD$1052,98,FALSE)-VLOOKUP("1823102",'Input BS ACCTS'!$A$5:$DD$1052,98,FALSE)-VLOOKUP("1823105",'Input BS ACCTS'!$A$5:$DD$1052,98,FALSE)-VLOOKUP("1823205",'Input BS ACCTS'!$A$5:$DD$1052,98,FALSE)-VLOOKUP("1823202",'Input BS ACCTS'!$A$5:$DD$1052,98,FALSE)))/1000)</f>
        <v>63487.314690000007</v>
      </c>
      <c r="ER47" s="516">
        <f>((VLOOKUP("182",'Input BS ACCTS'!$A$5:$DD$1052,99,FALSE)+(VLOOKUP("186",'Input BS ACCTS'!$A$5:$DD$1052,99,FALSE)-VLOOKUP("1823040",'Input BS ACCTS'!$A$5:$DD$1052,99,FALSE)-VLOOKUP("1823070",'Input BS ACCTS'!$A$5:$DD$1052,99,FALSE)-VLOOKUP("1823071",'Input BS ACCTS'!$A$5:$DD$1052,99,FALSE)-VLOOKUP("1823102",'Input BS ACCTS'!$A$5:$DD$1052,99,FALSE)-VLOOKUP("1823105",'Input BS ACCTS'!$A$5:$DD$1052,99,FALSE)-VLOOKUP("1823205",'Input BS ACCTS'!$A$5:$DD$1052,99,FALSE)-VLOOKUP("1823202",'Input BS ACCTS'!$A$5:$DD$1052,99,FALSE)))/1000)</f>
        <v>64304.817139999999</v>
      </c>
      <c r="ES47" s="516">
        <f>((VLOOKUP("182",'Input BS ACCTS'!$A$5:$DD$1052,100,FALSE)+(VLOOKUP("186",'Input BS ACCTS'!$A$5:$DD$1052,100,FALSE)-VLOOKUP("1823040",'Input BS ACCTS'!$A$5:$DD$1052,100,FALSE)-VLOOKUP("1823070",'Input BS ACCTS'!$A$5:$DD$1052,100,FALSE)-VLOOKUP("1823071",'Input BS ACCTS'!$A$5:$DD$1052,100,FALSE)-VLOOKUP("1823102",'Input BS ACCTS'!$A$5:$DD$1052,100,FALSE)-VLOOKUP("1823105",'Input BS ACCTS'!$A$5:$DD$1052,100,FALSE)-VLOOKUP("1823205",'Input BS ACCTS'!$A$5:$DD$1052,100,FALSE)-VLOOKUP("1823202",'Input BS ACCTS'!$A$5:$DD$1052,100,FALSE)))/1000)</f>
        <v>54783.441789999997</v>
      </c>
      <c r="ET47" s="467">
        <f t="shared" si="42"/>
        <v>62823.505099999995</v>
      </c>
      <c r="EU47" s="801"/>
      <c r="EV47" s="801"/>
      <c r="EW47" s="509">
        <v>7499.049</v>
      </c>
      <c r="EX47" s="509">
        <v>7507.5940000000001</v>
      </c>
      <c r="EY47" s="509">
        <v>7516.4219999999996</v>
      </c>
      <c r="EZ47" s="509">
        <v>7337.6480000000001</v>
      </c>
      <c r="FA47" s="509">
        <v>7315.7370000000001</v>
      </c>
      <c r="FB47" s="509">
        <v>9912.9660000000003</v>
      </c>
      <c r="FC47" s="509">
        <v>9894.6209999999992</v>
      </c>
      <c r="FD47" s="509">
        <f>(+'Input BS ACCTS'!AO114+'Input BS ACCTS'!AO115)/1000</f>
        <v>9832.1970000000001</v>
      </c>
      <c r="FE47" s="509">
        <f>(+'Input BS ACCTS'!AP114+'Input BS ACCTS'!AP115)/1000</f>
        <v>9803.0259999999998</v>
      </c>
      <c r="FF47" s="509">
        <f>(+'Input BS ACCTS'!AQ114+'Input BS ACCTS'!AQ115)/1000</f>
        <v>9774.2540000000008</v>
      </c>
      <c r="FG47" s="509">
        <f>(+'Input BS ACCTS'!AR114+'Input BS ACCTS'!AR115)/1000</f>
        <v>9745.8819999999996</v>
      </c>
      <c r="FH47" s="509">
        <f>(+'Input BS ACCTS'!AS114+'Input BS ACCTS'!AS115)/1000</f>
        <v>9717.4449999999997</v>
      </c>
      <c r="FI47" s="509">
        <f>(+'Input BS ACCTS'!AT114+'Input BS ACCTS'!AT115)/1000</f>
        <v>9688.9439999999995</v>
      </c>
      <c r="FJ47" s="509">
        <f>(+'Input BS ACCTS'!AU114+'Input BS ACCTS'!AU115)/1000</f>
        <v>9660.3770000000004</v>
      </c>
      <c r="FK47" s="509">
        <f>(+'Input BS ACCTS'!AV114+'Input BS ACCTS'!AV115)/1000</f>
        <v>9631.7430000000004</v>
      </c>
      <c r="FL47" s="509">
        <f>(+'Input BS ACCTS'!AW114+'Input BS ACCTS'!AW115)/1000</f>
        <v>9603.0409999999993</v>
      </c>
      <c r="FM47" s="509">
        <f>(+'Input BS ACCTS'!AX114+'Input BS ACCTS'!AX115)/1000</f>
        <v>9574.2729999999992</v>
      </c>
      <c r="FN47" s="509">
        <f>(+'Input BS ACCTS'!AY114+'Input BS ACCTS'!AY115)/1000</f>
        <v>9545.2729999999992</v>
      </c>
      <c r="FO47" s="509">
        <f>(+'Input BS ACCTS'!AZ114+'Input BS ACCTS'!AZ115)/1000</f>
        <v>9516.0390000000007</v>
      </c>
      <c r="FP47" s="509">
        <f>(+'Input BS ACCTS'!BA114+'Input BS ACCTS'!BA115)/1000</f>
        <v>9485.9050000000007</v>
      </c>
      <c r="FQ47" s="509">
        <f>(+'Input BS ACCTS'!BB114+'Input BS ACCTS'!BB115)/1000</f>
        <v>9455.5280000000002</v>
      </c>
      <c r="FR47" s="509">
        <f>(+'Input BS ACCTS'!BC114+'Input BS ACCTS'!BC115)/1000</f>
        <v>9424.9069999999992</v>
      </c>
      <c r="FS47" s="509">
        <f>(+'Input BS ACCTS'!BD114+'Input BS ACCTS'!BD115)/1000</f>
        <v>9394.0370000000003</v>
      </c>
      <c r="FT47" s="509">
        <f>(+'Input BS ACCTS'!BE114+'Input BS ACCTS'!BE115)/1000</f>
        <v>9362.9169999999995</v>
      </c>
      <c r="FU47" s="509">
        <f>(+'Input BS ACCTS'!BF114+'Input BS ACCTS'!BF115)/1000</f>
        <v>9331.5400000000009</v>
      </c>
      <c r="FV47" s="509">
        <f>(+'Input BS ACCTS'!BG114+'Input BS ACCTS'!BG115)/1000</f>
        <v>9299.9159999999993</v>
      </c>
      <c r="FW47" s="509">
        <f>(+'Input BS ACCTS'!BH114+'Input BS ACCTS'!BH115)/1000</f>
        <v>9268.0349999999999</v>
      </c>
      <c r="FX47" s="509">
        <f>(+'Input BS ACCTS'!BI114+'Input BS ACCTS'!BI115)/1000</f>
        <v>9235.8960000000006</v>
      </c>
      <c r="FY47" s="509">
        <f>(+'Input BS ACCTS'!BJ114+'Input BS ACCTS'!BJ115)/1000</f>
        <v>9203.4979999999996</v>
      </c>
      <c r="FZ47" s="509">
        <f>(+'Input BS ACCTS'!BK114+'Input BS ACCTS'!BK115)/1000</f>
        <v>9170.8379999999997</v>
      </c>
      <c r="GA47" s="509">
        <f>(+'Input BS ACCTS'!BL114+'Input BS ACCTS'!BL115)/1000</f>
        <v>9137.9140000000007</v>
      </c>
      <c r="GB47" s="509">
        <f>(+'Input BS ACCTS'!BM114+'Input BS ACCTS'!BM115)/1000</f>
        <v>9104.0580000000009</v>
      </c>
      <c r="GC47" s="509">
        <f>(+'Input BS ACCTS'!BN114+'Input BS ACCTS'!BN115)/1000</f>
        <v>9069.9290000000001</v>
      </c>
      <c r="GD47" s="509">
        <f>(+'Input BS ACCTS'!BO114+'Input BS ACCTS'!BO115)/1000</f>
        <v>9035.5239999999994</v>
      </c>
      <c r="GE47" s="509">
        <f>(+'Input BS ACCTS'!BP114+'Input BS ACCTS'!BP115)/1000</f>
        <v>9016.518</v>
      </c>
      <c r="GF47" s="509">
        <f>(+'Input BS ACCTS'!BQ114+'Input BS ACCTS'!BQ115)/1000</f>
        <v>8997.23</v>
      </c>
      <c r="GG47" s="509">
        <f>(+'Input BS ACCTS'!BR114+'Input BS ACCTS'!BR115)/1000</f>
        <v>8977.6579999999994</v>
      </c>
      <c r="GH47" s="509">
        <f>(+'Input BS ACCTS'!BS114+'Input BS ACCTS'!BS115)/1000</f>
        <v>8957.8019999999997</v>
      </c>
      <c r="GI47" s="509">
        <f>(+'Input BS ACCTS'!BT114+'Input BS ACCTS'!BT115)/1000</f>
        <v>8937.6579999999994</v>
      </c>
      <c r="GJ47" s="509">
        <f>(+'Input BS ACCTS'!BU114+'Input BS ACCTS'!BU115)/1000</f>
        <v>8917.223</v>
      </c>
      <c r="GK47" s="509">
        <f>(+'Input BS ACCTS'!BV114+'Input BS ACCTS'!BV115)/1000</f>
        <v>8901.9770000000008</v>
      </c>
      <c r="GL47" s="509">
        <f>(+'Input BS ACCTS'!BW114+'Input BS ACCTS'!BW115)/1000</f>
        <v>8886.4359999999997</v>
      </c>
      <c r="GM47" s="509">
        <f>(+'Input BS ACCTS'!BX114+'Input BS ACCTS'!BX115)/1000</f>
        <v>8870.5969999999998</v>
      </c>
      <c r="GN47" s="509">
        <f>(+'Input BS ACCTS'!BY114+'Input BS ACCTS'!BY115)/1000</f>
        <v>8853.7939999999999</v>
      </c>
      <c r="GO47" s="509">
        <f>(+'Input BS ACCTS'!BZ114+'Input BS ACCTS'!BZ115)/1000</f>
        <v>9669.0830000000005</v>
      </c>
      <c r="GP47" s="509">
        <f>(+'Input BS ACCTS'!CA114+'Input BS ACCTS'!CA115)/1000</f>
        <v>8819.2649999999994</v>
      </c>
      <c r="GQ47" s="509">
        <f>(+'Input BS ACCTS'!CB114+'Input BS ACCTS'!CB115)/1000</f>
        <v>8801.5310000000009</v>
      </c>
      <c r="GR47" s="509">
        <f>(+'Input BS ACCTS'!CC114+'Input BS ACCTS'!CC115)/1000</f>
        <v>8783.61</v>
      </c>
      <c r="GS47" s="509">
        <f>(+'Input BS ACCTS'!CD114+'Input BS ACCTS'!CD115)/1000</f>
        <v>8765.5010000000002</v>
      </c>
      <c r="GT47" s="509">
        <f>(+'Input BS ACCTS'!CE114+'Input BS ACCTS'!CE115)/1000</f>
        <v>8747.2029999999995</v>
      </c>
      <c r="GU47" s="509">
        <f>(+'Input BS ACCTS'!CF114+'Input BS ACCTS'!CF115)/1000</f>
        <v>8728.7139999999999</v>
      </c>
      <c r="GV47" s="509">
        <f>(+'Input BS ACCTS'!CG114+'Input BS ACCTS'!CG115)/1000</f>
        <v>8710.0310000000009</v>
      </c>
      <c r="GW47" s="509">
        <f>(+'Input BS ACCTS'!CH114+'Input BS ACCTS'!CH115)/1000</f>
        <v>8691.1540000000005</v>
      </c>
      <c r="GX47" s="509">
        <f>(+'Input BS ACCTS'!CI114+'Input BS ACCTS'!CI115)/1000</f>
        <v>8672.1290000000008</v>
      </c>
      <c r="GY47" s="509">
        <f>(+'Input BS ACCTS'!CJ114+'Input BS ACCTS'!CJ115)/1000</f>
        <v>8653.0640000000003</v>
      </c>
      <c r="GZ47" s="509">
        <f>(+'Input BS ACCTS'!CK114+'Input BS ACCTS'!CK115)/1000</f>
        <v>8632.9570000000003</v>
      </c>
      <c r="HA47" s="509">
        <f>(+'Input BS ACCTS'!CL114+'Input BS ACCTS'!CL115)/1000</f>
        <v>8612.8029999999999</v>
      </c>
      <c r="HB47" s="509">
        <f>(+'Input BS ACCTS'!CM114+'Input BS ACCTS'!CM115)/1000</f>
        <v>8592.49</v>
      </c>
      <c r="HC47" s="509">
        <f>(+'Input BS ACCTS'!CN114+'Input BS ACCTS'!CN115)/1000</f>
        <v>8572.0130000000008</v>
      </c>
      <c r="HD47" s="509">
        <f>(+'Input BS ACCTS'!CO114+'Input BS ACCTS'!CO115)/1000</f>
        <v>8551.3729999999996</v>
      </c>
      <c r="HE47" s="509">
        <f>(+'Input BS ACCTS'!CP114+'Input BS ACCTS'!CP115)/1000</f>
        <v>8530.5679999999993</v>
      </c>
      <c r="HF47" s="509">
        <f>(+'Input BS ACCTS'!CQ114+'Input BS ACCTS'!CQ115)/1000</f>
        <v>8509.5969999999998</v>
      </c>
      <c r="HG47" s="509">
        <f>(+'Input BS ACCTS'!CR114+'Input BS ACCTS'!CR115)/1000</f>
        <v>8488.4580000000005</v>
      </c>
      <c r="HH47" s="509">
        <f>(+'Input BS ACCTS'!CS114+'Input BS ACCTS'!CS115)/1000</f>
        <v>8467.1489999999994</v>
      </c>
      <c r="HI47" s="509">
        <f>(+'Input BS ACCTS'!CT114+'Input BS ACCTS'!CT115)/1000</f>
        <v>8445.67</v>
      </c>
      <c r="HJ47" s="509">
        <f>(+'Input BS ACCTS'!CU114+'Input BS ACCTS'!CU115)/1000</f>
        <v>8424.02</v>
      </c>
      <c r="HK47" s="509">
        <f>(+'Input BS ACCTS'!CV114+'Input BS ACCTS'!CV115)/1000</f>
        <v>8402.1949999999997</v>
      </c>
      <c r="HL47" s="515" t="s">
        <v>1686</v>
      </c>
      <c r="HM47" s="513" t="s">
        <v>1478</v>
      </c>
      <c r="HN47" s="217"/>
      <c r="HO47" s="35"/>
      <c r="HP47" s="35"/>
      <c r="HQ47" s="35"/>
      <c r="HR47" s="35"/>
      <c r="HS47" s="35"/>
      <c r="HT47" s="35"/>
      <c r="HU47" s="35"/>
      <c r="HV47" s="35"/>
      <c r="HW47" s="35"/>
      <c r="HX47" s="35"/>
      <c r="HY47" s="35"/>
      <c r="HZ47" s="35"/>
      <c r="IA47" s="35"/>
    </row>
    <row r="48" spans="1:235">
      <c r="A48" s="780" t="s">
        <v>1831</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213"/>
      <c r="AN48" s="213"/>
      <c r="AO48" s="213"/>
      <c r="AP48" s="213"/>
      <c r="AQ48" s="213"/>
      <c r="AR48" s="213"/>
      <c r="AS48" s="251"/>
      <c r="AT48" s="251"/>
      <c r="AU48" s="251"/>
      <c r="AV48" s="251"/>
      <c r="AW48" s="251"/>
      <c r="AX48" s="251"/>
      <c r="AY48" s="216"/>
      <c r="AZ48" s="216"/>
      <c r="BA48" s="408"/>
      <c r="BB48" s="408"/>
      <c r="BC48" s="408"/>
      <c r="BD48" s="408"/>
      <c r="BE48" s="408"/>
      <c r="BF48" s="40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516"/>
      <c r="CF48" s="516"/>
      <c r="CG48" s="516"/>
      <c r="CH48" s="158"/>
      <c r="CI48" s="158"/>
      <c r="CJ48" s="158"/>
      <c r="CK48" s="158"/>
      <c r="CL48" s="158"/>
      <c r="CM48" s="158"/>
      <c r="CN48" s="158"/>
      <c r="CO48" s="158"/>
      <c r="CP48" s="158"/>
      <c r="CQ48" s="158"/>
      <c r="CR48" s="243">
        <v>0</v>
      </c>
      <c r="CS48" s="243">
        <v>644.17999999999995</v>
      </c>
      <c r="CT48" s="243">
        <v>1043.8399999999999</v>
      </c>
      <c r="CU48" s="243">
        <v>2243.0770000000002</v>
      </c>
      <c r="CV48" s="243">
        <v>2637.5909999999999</v>
      </c>
      <c r="CW48" s="243">
        <v>2498.4279999999999</v>
      </c>
      <c r="CX48" s="243">
        <v>1599.3420000000001</v>
      </c>
      <c r="CY48" s="243">
        <v>1232.539</v>
      </c>
      <c r="CZ48" s="243">
        <v>1526.2539999999999</v>
      </c>
      <c r="DA48" s="243">
        <v>2526.5859999999998</v>
      </c>
      <c r="DB48" s="243">
        <v>2276.018</v>
      </c>
      <c r="DC48" s="243">
        <v>2209.5439999999999</v>
      </c>
      <c r="DD48" s="243">
        <v>3301.2719999999999</v>
      </c>
      <c r="DE48" s="243">
        <v>3838.4580000000001</v>
      </c>
      <c r="DF48" s="243">
        <v>3615.23</v>
      </c>
      <c r="DG48" s="243">
        <v>4659.576</v>
      </c>
      <c r="DH48" s="243">
        <v>4538.8100000000004</v>
      </c>
      <c r="DI48" s="243">
        <v>4327.5010000000002</v>
      </c>
      <c r="DJ48" s="243">
        <v>3928.9780000000001</v>
      </c>
      <c r="DK48" s="243">
        <v>2604.221</v>
      </c>
      <c r="DL48" s="243">
        <v>1941.3720000000001</v>
      </c>
      <c r="DM48" s="243">
        <v>1695.605</v>
      </c>
      <c r="DN48" s="243">
        <v>1332.769</v>
      </c>
      <c r="DO48" s="243">
        <v>1894.2370000000001</v>
      </c>
      <c r="DP48" s="243">
        <v>2877.2060000000001</v>
      </c>
      <c r="DQ48" s="243">
        <v>3118.9749999999999</v>
      </c>
      <c r="DR48" s="243">
        <v>2922.4319999999998</v>
      </c>
      <c r="DS48" s="243">
        <v>3370.67</v>
      </c>
      <c r="DT48" s="243">
        <v>3465.7420000000002</v>
      </c>
      <c r="DU48" s="243">
        <v>3036.8220000000001</v>
      </c>
      <c r="DV48" s="243">
        <v>2633.6970000000001</v>
      </c>
      <c r="DW48" s="243">
        <v>1715.623</v>
      </c>
      <c r="DX48" s="243">
        <v>691.83600000000001</v>
      </c>
      <c r="DY48" s="243">
        <v>723.55700000000002</v>
      </c>
      <c r="DZ48" s="243">
        <v>748.01800000000003</v>
      </c>
      <c r="EA48" s="243">
        <v>833.63699999999994</v>
      </c>
      <c r="EB48" s="243">
        <v>867.66099999999994</v>
      </c>
      <c r="EC48" s="243">
        <v>1134.3910000000001</v>
      </c>
      <c r="ED48" s="243">
        <v>1694.7570000000001</v>
      </c>
      <c r="EE48" s="243">
        <v>2368.913</v>
      </c>
      <c r="EF48" s="243">
        <v>2272.665</v>
      </c>
      <c r="EG48" s="243">
        <v>1885.1020000000001</v>
      </c>
      <c r="EH48" s="243">
        <v>889.68399999999997</v>
      </c>
      <c r="EI48" s="243">
        <v>650.52</v>
      </c>
      <c r="EJ48" s="243">
        <v>483.07799999999997</v>
      </c>
      <c r="EK48" s="243">
        <v>194.67500000000001</v>
      </c>
      <c r="EL48" s="243">
        <v>88.787000000000006</v>
      </c>
      <c r="EM48" s="243">
        <v>5.1230000000000002</v>
      </c>
      <c r="EN48" s="243">
        <v>209.42</v>
      </c>
      <c r="EO48" s="243">
        <v>59.927</v>
      </c>
      <c r="EP48" s="243">
        <v>468.40600000000001</v>
      </c>
      <c r="EQ48" s="243">
        <f>(VLOOKUP("1823040",'Input BS ACCTS'!$A$5:$DD$1052,98,FALSE)/1000)</f>
        <v>764.14599999999996</v>
      </c>
      <c r="ER48" s="243">
        <f>(VLOOKUP("1823040",'Input BS ACCTS'!$A$5:$DD$1052,99,FALSE)/1000)</f>
        <v>808.83299999999997</v>
      </c>
      <c r="ES48" s="243">
        <f>(VLOOKUP("1823040",'Input BS ACCTS'!$A$5:$DD$1052,100,FALSE)/1000)</f>
        <v>601.75800000000004</v>
      </c>
      <c r="ET48" s="467">
        <f t="shared" si="42"/>
        <v>546.88146153846151</v>
      </c>
      <c r="EU48" s="801"/>
      <c r="EV48" s="801"/>
      <c r="EW48" s="509"/>
      <c r="EX48" s="509"/>
      <c r="EY48" s="509"/>
      <c r="EZ48" s="509"/>
      <c r="FA48" s="781"/>
      <c r="FB48" s="781"/>
      <c r="FC48" s="781"/>
      <c r="FD48" s="781"/>
      <c r="FE48" s="781"/>
      <c r="FF48" s="781"/>
      <c r="FG48" s="781"/>
      <c r="FH48" s="781"/>
      <c r="FI48" s="781"/>
      <c r="FJ48" s="781"/>
      <c r="FK48" s="781"/>
      <c r="FL48" s="781"/>
      <c r="FM48" s="781"/>
      <c r="FN48" s="781"/>
      <c r="FO48" s="781"/>
      <c r="FP48" s="781"/>
      <c r="FQ48" s="781"/>
      <c r="FR48" s="781"/>
      <c r="FS48" s="781"/>
      <c r="FT48" s="781"/>
      <c r="FU48" s="781"/>
      <c r="FV48" s="781"/>
      <c r="FW48" s="781"/>
      <c r="FX48" s="781"/>
      <c r="FY48" s="781"/>
      <c r="FZ48" s="781"/>
      <c r="GA48" s="781"/>
      <c r="GB48" s="781"/>
      <c r="GC48" s="781"/>
      <c r="GD48" s="781"/>
      <c r="GE48" s="781"/>
      <c r="GF48" s="781"/>
      <c r="GG48" s="781"/>
      <c r="GH48" s="781"/>
      <c r="GI48" s="781"/>
      <c r="GJ48" s="781"/>
      <c r="GK48" s="781"/>
      <c r="GL48" s="781"/>
      <c r="GM48" s="781"/>
      <c r="GN48" s="781"/>
      <c r="GO48" s="781"/>
      <c r="GP48" s="781"/>
      <c r="GQ48" s="781"/>
      <c r="GR48" s="781"/>
      <c r="GS48" s="781"/>
      <c r="GT48" s="781"/>
      <c r="GU48" s="781"/>
      <c r="GV48" s="781"/>
      <c r="GW48" s="781"/>
      <c r="GX48" s="781"/>
      <c r="GY48" s="781"/>
      <c r="GZ48" s="781"/>
      <c r="HA48" s="781"/>
      <c r="HB48" s="781"/>
      <c r="HC48" s="781"/>
      <c r="HD48" s="781"/>
      <c r="HE48" s="781"/>
      <c r="HF48" s="781"/>
      <c r="HG48" s="781"/>
      <c r="HH48" s="781"/>
      <c r="HI48" s="781"/>
      <c r="HJ48" s="781"/>
      <c r="HK48" s="781"/>
      <c r="HL48" s="130"/>
      <c r="HM48" s="782"/>
      <c r="HN48" s="258"/>
      <c r="HO48" s="57"/>
      <c r="HP48" s="57"/>
      <c r="HQ48" s="35"/>
      <c r="HR48" s="35"/>
      <c r="HS48" s="35"/>
      <c r="HT48" s="35"/>
      <c r="HU48" s="35"/>
      <c r="HV48" s="35"/>
      <c r="HW48" s="35"/>
      <c r="HX48" s="35"/>
      <c r="HY48" s="35"/>
      <c r="HZ48" s="35"/>
      <c r="IA48" s="35"/>
    </row>
    <row r="49" spans="1:235">
      <c r="A49" s="780" t="s">
        <v>1832</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213"/>
      <c r="AN49" s="213"/>
      <c r="AO49" s="213"/>
      <c r="AP49" s="213"/>
      <c r="AQ49" s="213"/>
      <c r="AR49" s="213"/>
      <c r="AS49" s="251"/>
      <c r="AT49" s="251"/>
      <c r="AU49" s="251"/>
      <c r="AV49" s="251"/>
      <c r="AW49" s="251"/>
      <c r="AX49" s="251"/>
      <c r="AY49" s="216"/>
      <c r="AZ49" s="216"/>
      <c r="BA49" s="408"/>
      <c r="BB49" s="408"/>
      <c r="BC49" s="408"/>
      <c r="BD49" s="408"/>
      <c r="BE49" s="408"/>
      <c r="BF49" s="40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516"/>
      <c r="CF49" s="516"/>
      <c r="CG49" s="516"/>
      <c r="CH49" s="158"/>
      <c r="CI49" s="158"/>
      <c r="CJ49" s="158"/>
      <c r="CK49" s="158"/>
      <c r="CL49" s="158"/>
      <c r="CM49" s="158"/>
      <c r="CN49" s="158"/>
      <c r="CO49" s="158"/>
      <c r="CP49" s="158"/>
      <c r="CQ49" s="158"/>
      <c r="CR49" s="243">
        <v>0</v>
      </c>
      <c r="CS49" s="243">
        <v>0</v>
      </c>
      <c r="CT49" s="243">
        <v>20.891999999999999</v>
      </c>
      <c r="CU49" s="243">
        <v>374.99400000000003</v>
      </c>
      <c r="CV49" s="243">
        <v>691.18499999999995</v>
      </c>
      <c r="CW49" s="243">
        <v>1030.5519999999999</v>
      </c>
      <c r="CX49" s="243">
        <v>409.47899999999998</v>
      </c>
      <c r="CY49" s="243">
        <v>0</v>
      </c>
      <c r="CZ49" s="243">
        <v>0</v>
      </c>
      <c r="DA49" s="243">
        <v>0</v>
      </c>
      <c r="DB49" s="243">
        <v>0</v>
      </c>
      <c r="DC49" s="243">
        <v>0</v>
      </c>
      <c r="DD49" s="243">
        <v>0</v>
      </c>
      <c r="DE49" s="243">
        <v>0</v>
      </c>
      <c r="DF49" s="243">
        <v>0</v>
      </c>
      <c r="DG49" s="243">
        <v>0</v>
      </c>
      <c r="DH49" s="243">
        <v>0</v>
      </c>
      <c r="DI49" s="243">
        <v>0</v>
      </c>
      <c r="DJ49" s="243">
        <v>0</v>
      </c>
      <c r="DK49" s="243">
        <v>0</v>
      </c>
      <c r="DL49" s="243">
        <v>0</v>
      </c>
      <c r="DM49" s="243">
        <v>0</v>
      </c>
      <c r="DN49" s="243">
        <v>0</v>
      </c>
      <c r="DO49" s="243">
        <v>296.89600000000002</v>
      </c>
      <c r="DP49" s="243">
        <v>764.38</v>
      </c>
      <c r="DQ49" s="243">
        <v>1275.1410000000001</v>
      </c>
      <c r="DR49" s="243">
        <v>1795.596</v>
      </c>
      <c r="DS49" s="243">
        <v>2279.5509999999999</v>
      </c>
      <c r="DT49" s="243">
        <v>2772.7640000000001</v>
      </c>
      <c r="DU49" s="243">
        <v>3382.549</v>
      </c>
      <c r="DV49" s="243">
        <v>2748.2489999999998</v>
      </c>
      <c r="DW49" s="243">
        <v>2185.6979999999999</v>
      </c>
      <c r="DX49" s="243">
        <v>1786.204</v>
      </c>
      <c r="DY49" s="243">
        <v>1888.6959999999999</v>
      </c>
      <c r="DZ49" s="243">
        <v>2168.596</v>
      </c>
      <c r="EA49" s="243">
        <v>2473.6979999999999</v>
      </c>
      <c r="EB49" s="243">
        <v>2911.0990000000002</v>
      </c>
      <c r="EC49" s="243">
        <v>3383.4540000000002</v>
      </c>
      <c r="ED49" s="243">
        <v>3892.511</v>
      </c>
      <c r="EE49" s="243">
        <v>4349.6639999999998</v>
      </c>
      <c r="EF49" s="243">
        <v>4644.3119999999999</v>
      </c>
      <c r="EG49" s="243">
        <v>4581.2120000000004</v>
      </c>
      <c r="EH49" s="243">
        <v>3927.8789999999999</v>
      </c>
      <c r="EI49" s="243">
        <v>3358.08</v>
      </c>
      <c r="EJ49" s="243">
        <v>2895.96</v>
      </c>
      <c r="EK49" s="243">
        <v>2471.0880000000002</v>
      </c>
      <c r="EL49" s="243">
        <v>2144.0070000000001</v>
      </c>
      <c r="EM49" s="243">
        <v>1861.7829999999999</v>
      </c>
      <c r="EN49" s="243">
        <v>1609.829</v>
      </c>
      <c r="EO49" s="243">
        <v>1407.7550000000001</v>
      </c>
      <c r="EP49" s="243">
        <v>1200.758</v>
      </c>
      <c r="EQ49" s="243">
        <f>(VLOOKUP("1823071",'Input BS ACCTS'!$A$5:$DD$1052,98,FALSE)/1000)</f>
        <v>1033.527</v>
      </c>
      <c r="ER49" s="243">
        <f>(VLOOKUP("1823071",'Input BS ACCTS'!$A$5:$DD$1052,99,FALSE)/1000)</f>
        <v>837.17</v>
      </c>
      <c r="ES49" s="243">
        <f>(VLOOKUP("1823071",'Input BS ACCTS'!$A$5:$DD$1052,100,FALSE)/1000)</f>
        <v>563.79399999999998</v>
      </c>
      <c r="ET49" s="467">
        <f t="shared" si="42"/>
        <v>2145.6032307692312</v>
      </c>
      <c r="EU49" s="801"/>
      <c r="EV49" s="801"/>
      <c r="EW49" s="509"/>
      <c r="EX49" s="509"/>
      <c r="EY49" s="509"/>
      <c r="EZ49" s="509"/>
      <c r="FA49" s="781"/>
      <c r="FB49" s="781"/>
      <c r="FC49" s="781"/>
      <c r="FD49" s="781"/>
      <c r="FE49" s="781"/>
      <c r="FF49" s="781"/>
      <c r="FG49" s="781"/>
      <c r="FH49" s="781"/>
      <c r="FI49" s="781"/>
      <c r="FJ49" s="781"/>
      <c r="FK49" s="781"/>
      <c r="FL49" s="781"/>
      <c r="FM49" s="781"/>
      <c r="FN49" s="781"/>
      <c r="FO49" s="781"/>
      <c r="FP49" s="781"/>
      <c r="FQ49" s="781"/>
      <c r="FR49" s="781"/>
      <c r="FS49" s="781"/>
      <c r="FT49" s="781"/>
      <c r="FU49" s="781"/>
      <c r="FV49" s="781"/>
      <c r="FW49" s="781"/>
      <c r="FX49" s="781"/>
      <c r="FY49" s="781"/>
      <c r="FZ49" s="781"/>
      <c r="GA49" s="781"/>
      <c r="GB49" s="781"/>
      <c r="GC49" s="781"/>
      <c r="GD49" s="781"/>
      <c r="GE49" s="781"/>
      <c r="GF49" s="781"/>
      <c r="GG49" s="781"/>
      <c r="GH49" s="781"/>
      <c r="GI49" s="781"/>
      <c r="GJ49" s="781"/>
      <c r="GK49" s="781"/>
      <c r="GL49" s="781"/>
      <c r="GM49" s="781"/>
      <c r="GN49" s="781"/>
      <c r="GO49" s="781"/>
      <c r="GP49" s="781"/>
      <c r="GQ49" s="781"/>
      <c r="GR49" s="781"/>
      <c r="GS49" s="781"/>
      <c r="GT49" s="781"/>
      <c r="GU49" s="781"/>
      <c r="GV49" s="781"/>
      <c r="GW49" s="781"/>
      <c r="GX49" s="781"/>
      <c r="GY49" s="781"/>
      <c r="GZ49" s="781"/>
      <c r="HA49" s="781"/>
      <c r="HB49" s="781"/>
      <c r="HC49" s="781"/>
      <c r="HD49" s="781"/>
      <c r="HE49" s="781"/>
      <c r="HF49" s="781"/>
      <c r="HG49" s="781"/>
      <c r="HH49" s="781"/>
      <c r="HI49" s="781"/>
      <c r="HJ49" s="781"/>
      <c r="HK49" s="781"/>
      <c r="HL49" s="130"/>
      <c r="HM49" s="782"/>
      <c r="HN49" s="258"/>
      <c r="HO49" s="57"/>
      <c r="HP49" s="57"/>
      <c r="HQ49" s="35"/>
      <c r="HR49" s="35"/>
      <c r="HS49" s="35"/>
      <c r="HT49" s="35"/>
      <c r="HU49" s="35"/>
      <c r="HV49" s="35"/>
      <c r="HW49" s="35"/>
      <c r="HX49" s="35"/>
      <c r="HY49" s="35"/>
      <c r="HZ49" s="35"/>
      <c r="IA49" s="35"/>
    </row>
    <row r="50" spans="1:235">
      <c r="A50" s="27" t="s">
        <v>251</v>
      </c>
      <c r="B50" s="121">
        <v>0</v>
      </c>
      <c r="C50" s="121">
        <v>0</v>
      </c>
      <c r="D50" s="121">
        <v>0</v>
      </c>
      <c r="E50" s="121">
        <v>0</v>
      </c>
      <c r="F50" s="121">
        <v>0</v>
      </c>
      <c r="G50" s="121">
        <v>0</v>
      </c>
      <c r="H50" s="121">
        <v>0</v>
      </c>
      <c r="I50" s="121">
        <v>0</v>
      </c>
      <c r="J50" s="121">
        <v>0</v>
      </c>
      <c r="K50" s="121">
        <v>0</v>
      </c>
      <c r="L50" s="121">
        <v>0</v>
      </c>
      <c r="M50" s="121">
        <v>0</v>
      </c>
      <c r="N50" s="121">
        <v>0</v>
      </c>
      <c r="O50" s="121">
        <v>0</v>
      </c>
      <c r="P50" s="121">
        <v>0</v>
      </c>
      <c r="Q50" s="121">
        <v>0</v>
      </c>
      <c r="R50" s="121">
        <v>0</v>
      </c>
      <c r="S50" s="121">
        <v>0</v>
      </c>
      <c r="T50" s="121">
        <v>0</v>
      </c>
      <c r="U50" s="121">
        <v>0</v>
      </c>
      <c r="V50" s="121">
        <v>0</v>
      </c>
      <c r="W50" s="121">
        <v>0</v>
      </c>
      <c r="X50" s="121">
        <v>0</v>
      </c>
      <c r="Y50" s="121">
        <v>0</v>
      </c>
      <c r="Z50" s="121">
        <v>0</v>
      </c>
      <c r="AA50" s="121">
        <v>0</v>
      </c>
      <c r="AB50" s="121">
        <v>0</v>
      </c>
      <c r="AC50" s="121">
        <v>0</v>
      </c>
      <c r="AD50" s="121">
        <v>0</v>
      </c>
      <c r="AE50" s="121">
        <v>0</v>
      </c>
      <c r="AF50" s="121">
        <v>0</v>
      </c>
      <c r="AG50" s="121"/>
      <c r="AH50" s="121"/>
      <c r="AI50" s="121">
        <v>0</v>
      </c>
      <c r="AJ50" s="121">
        <v>0</v>
      </c>
      <c r="AK50" s="121">
        <v>0</v>
      </c>
      <c r="AL50" s="121">
        <v>0</v>
      </c>
      <c r="AM50" s="213">
        <v>0</v>
      </c>
      <c r="AN50" s="213">
        <v>0</v>
      </c>
      <c r="AO50" s="213">
        <v>0</v>
      </c>
      <c r="AP50" s="213">
        <v>0</v>
      </c>
      <c r="AQ50" s="213">
        <v>0</v>
      </c>
      <c r="AR50" s="213">
        <v>0</v>
      </c>
      <c r="AS50" s="251">
        <v>0</v>
      </c>
      <c r="AT50" s="251">
        <v>0</v>
      </c>
      <c r="AU50" s="251">
        <v>0</v>
      </c>
      <c r="AV50" s="251">
        <v>0</v>
      </c>
      <c r="AW50" s="251">
        <v>0</v>
      </c>
      <c r="AX50" s="251">
        <v>0</v>
      </c>
      <c r="AY50" s="251">
        <v>0</v>
      </c>
      <c r="AZ50" s="251">
        <v>0</v>
      </c>
      <c r="BA50" s="409">
        <v>0</v>
      </c>
      <c r="BB50" s="409">
        <v>0</v>
      </c>
      <c r="BC50" s="409">
        <v>0</v>
      </c>
      <c r="BD50" s="409">
        <v>0</v>
      </c>
      <c r="BE50" s="409">
        <v>0</v>
      </c>
      <c r="BF50" s="409">
        <v>0</v>
      </c>
      <c r="BG50" s="251">
        <v>0</v>
      </c>
      <c r="BH50" s="251">
        <v>0</v>
      </c>
      <c r="BI50" s="251">
        <v>0</v>
      </c>
      <c r="BJ50" s="251">
        <v>0</v>
      </c>
      <c r="BK50" s="251">
        <v>0</v>
      </c>
      <c r="BL50" s="251">
        <v>0</v>
      </c>
      <c r="BM50" s="251">
        <v>0</v>
      </c>
      <c r="BN50" s="251">
        <v>0</v>
      </c>
      <c r="BO50" s="251">
        <v>0</v>
      </c>
      <c r="BP50" s="251">
        <v>0</v>
      </c>
      <c r="BQ50" s="251">
        <v>0</v>
      </c>
      <c r="BR50" s="251">
        <v>0</v>
      </c>
      <c r="BS50" s="251">
        <v>0</v>
      </c>
      <c r="BT50" s="251">
        <v>0</v>
      </c>
      <c r="BU50" s="251">
        <v>0</v>
      </c>
      <c r="BV50" s="251">
        <v>0</v>
      </c>
      <c r="BW50" s="251">
        <v>0</v>
      </c>
      <c r="BX50" s="251">
        <v>0</v>
      </c>
      <c r="BY50" s="251">
        <v>0</v>
      </c>
      <c r="BZ50" s="251">
        <v>0</v>
      </c>
      <c r="CA50" s="251">
        <v>0</v>
      </c>
      <c r="CB50" s="251">
        <v>0</v>
      </c>
      <c r="CC50" s="251">
        <v>0</v>
      </c>
      <c r="CD50" s="251">
        <v>0</v>
      </c>
      <c r="CE50" s="251">
        <v>0</v>
      </c>
      <c r="CF50" s="251">
        <v>0</v>
      </c>
      <c r="CG50" s="251">
        <v>0</v>
      </c>
      <c r="CH50" s="251">
        <v>0</v>
      </c>
      <c r="CI50" s="251">
        <v>0</v>
      </c>
      <c r="CJ50" s="251">
        <v>0</v>
      </c>
      <c r="CK50" s="251">
        <v>0</v>
      </c>
      <c r="CL50" s="251">
        <v>0</v>
      </c>
      <c r="CM50" s="251">
        <v>0</v>
      </c>
      <c r="CN50" s="251">
        <v>0</v>
      </c>
      <c r="CO50" s="251">
        <v>0</v>
      </c>
      <c r="CP50" s="251">
        <v>0</v>
      </c>
      <c r="CQ50" s="251">
        <v>0</v>
      </c>
      <c r="CR50" s="251">
        <v>0</v>
      </c>
      <c r="CS50" s="251">
        <v>0</v>
      </c>
      <c r="CT50" s="251">
        <v>0</v>
      </c>
      <c r="CU50" s="251">
        <v>0</v>
      </c>
      <c r="CV50" s="251">
        <v>0</v>
      </c>
      <c r="CW50" s="251">
        <v>0</v>
      </c>
      <c r="CX50" s="251">
        <v>0</v>
      </c>
      <c r="CY50" s="251">
        <v>0</v>
      </c>
      <c r="CZ50" s="251">
        <v>0</v>
      </c>
      <c r="DA50" s="251">
        <v>0</v>
      </c>
      <c r="DB50" s="251">
        <v>0</v>
      </c>
      <c r="DC50" s="251">
        <v>0</v>
      </c>
      <c r="DD50" s="251">
        <v>0</v>
      </c>
      <c r="DE50" s="251">
        <v>0</v>
      </c>
      <c r="DF50" s="251">
        <v>0</v>
      </c>
      <c r="DG50" s="251">
        <v>0</v>
      </c>
      <c r="DH50" s="251">
        <v>0</v>
      </c>
      <c r="DI50" s="251">
        <v>0</v>
      </c>
      <c r="DJ50" s="251">
        <v>0</v>
      </c>
      <c r="DK50" s="251">
        <v>0</v>
      </c>
      <c r="DL50" s="251">
        <v>0</v>
      </c>
      <c r="DM50" s="251">
        <v>0</v>
      </c>
      <c r="DN50" s="251">
        <v>0</v>
      </c>
      <c r="DO50" s="251">
        <v>0</v>
      </c>
      <c r="DP50" s="251">
        <v>0</v>
      </c>
      <c r="DQ50" s="251">
        <v>0</v>
      </c>
      <c r="DR50" s="251">
        <v>0</v>
      </c>
      <c r="DS50" s="251">
        <v>0</v>
      </c>
      <c r="DT50" s="251">
        <v>0</v>
      </c>
      <c r="DU50" s="251">
        <v>0</v>
      </c>
      <c r="DV50" s="251">
        <v>0</v>
      </c>
      <c r="DW50" s="251">
        <v>0</v>
      </c>
      <c r="DX50" s="251">
        <v>0</v>
      </c>
      <c r="DY50" s="251">
        <v>0</v>
      </c>
      <c r="DZ50" s="251">
        <v>0</v>
      </c>
      <c r="EA50" s="251">
        <v>0</v>
      </c>
      <c r="EB50" s="251">
        <v>0</v>
      </c>
      <c r="EC50" s="251">
        <v>0</v>
      </c>
      <c r="ED50" s="251">
        <v>0</v>
      </c>
      <c r="EE50" s="251">
        <v>0</v>
      </c>
      <c r="EF50" s="251">
        <v>0</v>
      </c>
      <c r="EG50" s="251">
        <v>0</v>
      </c>
      <c r="EH50" s="251">
        <v>0</v>
      </c>
      <c r="EI50" s="251">
        <v>0</v>
      </c>
      <c r="EJ50" s="251">
        <v>0</v>
      </c>
      <c r="EK50" s="251">
        <v>0</v>
      </c>
      <c r="EL50" s="251">
        <v>0</v>
      </c>
      <c r="EM50" s="251">
        <v>0</v>
      </c>
      <c r="EN50" s="251">
        <v>0</v>
      </c>
      <c r="EO50" s="251">
        <v>0</v>
      </c>
      <c r="EP50" s="251">
        <v>0</v>
      </c>
      <c r="EQ50" s="251">
        <v>0</v>
      </c>
      <c r="ER50" s="251">
        <v>0</v>
      </c>
      <c r="ES50" s="251">
        <v>0</v>
      </c>
      <c r="ET50" s="467">
        <f t="shared" si="42"/>
        <v>0</v>
      </c>
      <c r="EU50" s="801"/>
      <c r="EV50" s="801"/>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253"/>
      <c r="HN50" s="258"/>
      <c r="HO50" s="57"/>
      <c r="HP50" s="57"/>
      <c r="HQ50" s="35"/>
      <c r="HR50" s="35"/>
      <c r="HS50" s="35"/>
      <c r="HT50" s="35"/>
      <c r="HU50" s="35"/>
      <c r="HV50" s="35"/>
      <c r="HW50" s="35"/>
      <c r="HX50" s="35"/>
      <c r="HY50" s="35"/>
      <c r="HZ50" s="35"/>
      <c r="IA50" s="35"/>
    </row>
    <row r="51" spans="1:235">
      <c r="A51" s="27" t="s">
        <v>2598</v>
      </c>
      <c r="B51" s="121">
        <v>627.45829000000003</v>
      </c>
      <c r="C51" s="121">
        <v>613.19829000000004</v>
      </c>
      <c r="D51" s="121">
        <v>598.93829000000005</v>
      </c>
      <c r="E51" s="121">
        <v>584.67829000000006</v>
      </c>
      <c r="F51" s="121">
        <v>570.41829000000007</v>
      </c>
      <c r="G51" s="121">
        <v>559.37629000000004</v>
      </c>
      <c r="H51" s="121">
        <v>541.89829000000009</v>
      </c>
      <c r="I51" s="121">
        <v>532.72629000000006</v>
      </c>
      <c r="J51" s="121">
        <v>513.37828999999999</v>
      </c>
      <c r="K51" s="121">
        <v>499.11829</v>
      </c>
      <c r="L51" s="121">
        <v>484.85828999999995</v>
      </c>
      <c r="M51" s="121">
        <v>470.59828999999996</v>
      </c>
      <c r="N51" s="121">
        <v>456.33828999999997</v>
      </c>
      <c r="O51" s="121">
        <v>442</v>
      </c>
      <c r="P51" s="121">
        <v>428</v>
      </c>
      <c r="Q51" s="121">
        <v>414</v>
      </c>
      <c r="R51" s="121">
        <v>399</v>
      </c>
      <c r="S51" s="121">
        <v>385</v>
      </c>
      <c r="T51" s="121">
        <v>371</v>
      </c>
      <c r="U51" s="121">
        <v>357</v>
      </c>
      <c r="V51" s="121">
        <v>342</v>
      </c>
      <c r="W51" s="121">
        <v>328</v>
      </c>
      <c r="X51" s="121">
        <v>314</v>
      </c>
      <c r="Y51" s="121">
        <v>299</v>
      </c>
      <c r="Z51" s="121">
        <v>285</v>
      </c>
      <c r="AA51" s="121">
        <v>271</v>
      </c>
      <c r="AB51" s="121">
        <v>257</v>
      </c>
      <c r="AC51" s="121">
        <v>242</v>
      </c>
      <c r="AD51" s="121">
        <v>228</v>
      </c>
      <c r="AE51" s="121">
        <v>214</v>
      </c>
      <c r="AF51" s="121">
        <v>200</v>
      </c>
      <c r="AG51" s="121">
        <v>185</v>
      </c>
      <c r="AH51" s="121">
        <v>171</v>
      </c>
      <c r="AI51" s="121">
        <v>156.86445999999998</v>
      </c>
      <c r="AJ51" s="121">
        <v>142.60404</v>
      </c>
      <c r="AK51" s="121">
        <v>128.34361999999999</v>
      </c>
      <c r="AL51" s="121">
        <v>114.08319999999999</v>
      </c>
      <c r="AM51" s="213">
        <v>99.822779999999995</v>
      </c>
      <c r="AN51" s="213">
        <v>85.562359999999998</v>
      </c>
      <c r="AO51" s="213">
        <v>71.301940000000002</v>
      </c>
      <c r="AP51" s="213">
        <v>57.041519999999998</v>
      </c>
      <c r="AQ51" s="213">
        <v>42.781099999999995</v>
      </c>
      <c r="AR51" s="213">
        <v>28.520679999999999</v>
      </c>
      <c r="AS51" s="251">
        <v>14.260260000000001</v>
      </c>
      <c r="AT51" s="251">
        <v>0</v>
      </c>
      <c r="AU51" s="251">
        <v>0</v>
      </c>
      <c r="AV51" s="251">
        <v>0</v>
      </c>
      <c r="AW51" s="251">
        <v>0</v>
      </c>
      <c r="AX51" s="251">
        <v>0</v>
      </c>
      <c r="AY51" s="202">
        <v>0</v>
      </c>
      <c r="AZ51" s="202">
        <v>0</v>
      </c>
      <c r="BA51" s="411">
        <v>0</v>
      </c>
      <c r="BB51" s="411">
        <v>0</v>
      </c>
      <c r="BC51" s="411">
        <v>0</v>
      </c>
      <c r="BD51" s="411">
        <v>0</v>
      </c>
      <c r="BE51" s="411">
        <v>0</v>
      </c>
      <c r="BF51" s="411">
        <v>0</v>
      </c>
      <c r="BG51" s="464">
        <v>0</v>
      </c>
      <c r="BH51" s="464">
        <v>0</v>
      </c>
      <c r="BI51" s="464">
        <v>0</v>
      </c>
      <c r="BJ51" s="464">
        <v>0</v>
      </c>
      <c r="BK51" s="464">
        <v>0</v>
      </c>
      <c r="BL51" s="464">
        <v>0</v>
      </c>
      <c r="BM51" s="464">
        <v>0</v>
      </c>
      <c r="BN51" s="464">
        <v>0</v>
      </c>
      <c r="BO51" s="464">
        <v>0</v>
      </c>
      <c r="BP51" s="464">
        <v>0</v>
      </c>
      <c r="BQ51" s="464">
        <v>0</v>
      </c>
      <c r="BR51" s="464">
        <v>0</v>
      </c>
      <c r="BS51" s="464">
        <v>0</v>
      </c>
      <c r="BT51" s="464">
        <v>0</v>
      </c>
      <c r="BU51" s="464">
        <v>0</v>
      </c>
      <c r="BV51" s="464">
        <v>0</v>
      </c>
      <c r="BW51" s="464">
        <v>0</v>
      </c>
      <c r="BX51" s="464">
        <v>0</v>
      </c>
      <c r="BY51" s="464">
        <v>0</v>
      </c>
      <c r="BZ51" s="464">
        <v>0</v>
      </c>
      <c r="CA51" s="464">
        <v>0</v>
      </c>
      <c r="CB51" s="464">
        <v>0</v>
      </c>
      <c r="CC51" s="464">
        <v>0</v>
      </c>
      <c r="CD51" s="464">
        <v>0</v>
      </c>
      <c r="CE51" s="464">
        <v>0</v>
      </c>
      <c r="CF51" s="464">
        <v>0</v>
      </c>
      <c r="CG51" s="464">
        <v>0</v>
      </c>
      <c r="CH51" s="464">
        <v>0</v>
      </c>
      <c r="CI51" s="464">
        <v>0</v>
      </c>
      <c r="CJ51" s="464">
        <v>0</v>
      </c>
      <c r="CK51" s="464">
        <v>0</v>
      </c>
      <c r="CL51" s="464">
        <v>0</v>
      </c>
      <c r="CM51" s="464">
        <v>0</v>
      </c>
      <c r="CN51" s="464">
        <v>0</v>
      </c>
      <c r="CO51" s="464">
        <v>0</v>
      </c>
      <c r="CP51" s="464">
        <v>0</v>
      </c>
      <c r="CQ51" s="464">
        <v>0</v>
      </c>
      <c r="CR51" s="464">
        <v>0</v>
      </c>
      <c r="CS51" s="464">
        <v>0</v>
      </c>
      <c r="CT51" s="464">
        <v>0</v>
      </c>
      <c r="CU51" s="464">
        <v>0</v>
      </c>
      <c r="CV51" s="464">
        <v>0</v>
      </c>
      <c r="CW51" s="464">
        <v>0</v>
      </c>
      <c r="CX51" s="464">
        <v>0</v>
      </c>
      <c r="CY51" s="464">
        <v>0</v>
      </c>
      <c r="CZ51" s="464">
        <v>0</v>
      </c>
      <c r="DA51" s="464">
        <v>0</v>
      </c>
      <c r="DB51" s="464">
        <v>0</v>
      </c>
      <c r="DC51" s="464">
        <v>0</v>
      </c>
      <c r="DD51" s="464">
        <v>0</v>
      </c>
      <c r="DE51" s="464">
        <v>0</v>
      </c>
      <c r="DF51" s="464">
        <v>0</v>
      </c>
      <c r="DG51" s="464">
        <v>0</v>
      </c>
      <c r="DH51" s="464">
        <v>0</v>
      </c>
      <c r="DI51" s="464">
        <v>0</v>
      </c>
      <c r="DJ51" s="464">
        <v>0</v>
      </c>
      <c r="DK51" s="464">
        <v>0</v>
      </c>
      <c r="DL51" s="464">
        <v>0</v>
      </c>
      <c r="DM51" s="464">
        <v>0</v>
      </c>
      <c r="DN51" s="464">
        <v>0</v>
      </c>
      <c r="DO51" s="464">
        <v>0</v>
      </c>
      <c r="DP51" s="464">
        <v>0</v>
      </c>
      <c r="DQ51" s="464">
        <v>0</v>
      </c>
      <c r="DR51" s="464">
        <v>0</v>
      </c>
      <c r="DS51" s="464">
        <v>0</v>
      </c>
      <c r="DT51" s="464">
        <v>0</v>
      </c>
      <c r="DU51" s="464">
        <v>0</v>
      </c>
      <c r="DV51" s="464">
        <v>0</v>
      </c>
      <c r="DW51" s="464">
        <v>0</v>
      </c>
      <c r="DX51" s="464">
        <v>0</v>
      </c>
      <c r="DY51" s="464">
        <v>0</v>
      </c>
      <c r="DZ51" s="464">
        <v>0</v>
      </c>
      <c r="EA51" s="464">
        <v>0</v>
      </c>
      <c r="EB51" s="464">
        <v>0</v>
      </c>
      <c r="EC51" s="464">
        <v>0</v>
      </c>
      <c r="ED51" s="464">
        <v>0</v>
      </c>
      <c r="EE51" s="464">
        <v>0</v>
      </c>
      <c r="EF51" s="464">
        <v>0</v>
      </c>
      <c r="EG51" s="464">
        <v>1230.44886</v>
      </c>
      <c r="EH51" s="464">
        <v>1224.81459</v>
      </c>
      <c r="EI51" s="464">
        <v>1190.2958899999999</v>
      </c>
      <c r="EJ51" s="464">
        <v>1155.32736</v>
      </c>
      <c r="EK51" s="464">
        <v>1120.31744</v>
      </c>
      <c r="EL51" s="464">
        <v>1093.98074</v>
      </c>
      <c r="EM51" s="464">
        <v>1058.6910399999999</v>
      </c>
      <c r="EN51" s="464">
        <v>1023.40134</v>
      </c>
      <c r="EO51" s="464">
        <v>988.11163999999997</v>
      </c>
      <c r="EP51" s="464">
        <v>952.82193999999993</v>
      </c>
      <c r="EQ51" s="464">
        <f>(VLOOKUP("1823102",'Input BS ACCTS'!$A$5:$DD$1052,98,FALSE))/1000+(VLOOKUP("1823202",'Input BS ACCTS'!$A$5:$DD$1052,98,FALSE))/1000</f>
        <v>917.53224</v>
      </c>
      <c r="ER51" s="464">
        <f>(VLOOKUP("1823102",'Input BS ACCTS'!$A$5:$DD$1052,99,FALSE))/1000+(VLOOKUP("1823202",'Input BS ACCTS'!$A$5:$DD$1052,99,FALSE))/1000</f>
        <v>882.24253999999996</v>
      </c>
      <c r="ES51" s="464">
        <f>(VLOOKUP("1823102",'Input BS ACCTS'!$A$5:$DD$1052,100,FALSE))/1000+(VLOOKUP("1823202",'Input BS ACCTS'!$A$5:$DD$1052,100,FALSE))/1000</f>
        <v>846.95283999999992</v>
      </c>
      <c r="ET51" s="467">
        <f t="shared" si="42"/>
        <v>1052.6875738461536</v>
      </c>
      <c r="EU51" s="801"/>
      <c r="EV51" s="801"/>
      <c r="HL51" s="35"/>
      <c r="HM51" s="253"/>
      <c r="HN51" s="217"/>
      <c r="HO51" s="35"/>
      <c r="HP51" s="35"/>
      <c r="HQ51" s="35"/>
      <c r="HR51" s="35"/>
      <c r="HS51" s="35"/>
      <c r="HT51" s="35"/>
      <c r="HU51" s="35"/>
      <c r="HV51" s="35"/>
      <c r="HW51" s="35"/>
      <c r="HX51" s="35"/>
      <c r="HY51" s="35"/>
      <c r="HZ51" s="35"/>
      <c r="IA51" s="35"/>
    </row>
    <row r="52" spans="1:235">
      <c r="A52" s="131" t="s">
        <v>521</v>
      </c>
      <c r="B52" s="126">
        <v>-3438.4031600000003</v>
      </c>
      <c r="C52" s="126">
        <v>-277.88115999999997</v>
      </c>
      <c r="D52" s="126">
        <v>3775.9618399999999</v>
      </c>
      <c r="E52" s="126">
        <v>6649.1068399999995</v>
      </c>
      <c r="F52" s="126">
        <v>1480.0968400000002</v>
      </c>
      <c r="G52" s="126">
        <v>-562.57716000000005</v>
      </c>
      <c r="H52" s="126">
        <v>-7006.4071599999997</v>
      </c>
      <c r="I52" s="126">
        <v>-10183.22616</v>
      </c>
      <c r="J52" s="126">
        <v>-10698.70516</v>
      </c>
      <c r="K52" s="126">
        <v>-11038.274160000001</v>
      </c>
      <c r="L52" s="126">
        <v>-7506.0361600000006</v>
      </c>
      <c r="M52" s="126">
        <v>-9008.5761600000005</v>
      </c>
      <c r="N52" s="126">
        <v>-7442.4601600000005</v>
      </c>
      <c r="O52" s="136">
        <v>-664.00300000001153</v>
      </c>
      <c r="P52" s="136">
        <v>6315.9630000000034</v>
      </c>
      <c r="Q52" s="136">
        <v>10603.276840000004</v>
      </c>
      <c r="R52" s="136">
        <v>1036</v>
      </c>
      <c r="S52" s="136">
        <v>-4768</v>
      </c>
      <c r="T52" s="136">
        <v>-1891</v>
      </c>
      <c r="U52" s="160">
        <v>-2372.5179999999964</v>
      </c>
      <c r="V52" s="160">
        <v>-9368.4040000000095</v>
      </c>
      <c r="W52" s="160">
        <v>-10412.503000000012</v>
      </c>
      <c r="X52" s="160">
        <v>-10191.448999999993</v>
      </c>
      <c r="Y52" s="171">
        <v>-8488.23999</v>
      </c>
      <c r="Z52" s="171">
        <v>-7264.6000000000058</v>
      </c>
      <c r="AA52" s="171">
        <v>-3350.3976599999964</v>
      </c>
      <c r="AB52" s="171">
        <v>-72.217179999992254</v>
      </c>
      <c r="AC52" s="171">
        <v>-700</v>
      </c>
      <c r="AD52" s="171">
        <v>-3474.9510000000009</v>
      </c>
      <c r="AE52" s="171">
        <v>-833.47500000000582</v>
      </c>
      <c r="AF52" s="171">
        <v>43</v>
      </c>
      <c r="AG52" s="171">
        <v>303.28162999999523</v>
      </c>
      <c r="AH52" s="171">
        <v>-404.2669800000042</v>
      </c>
      <c r="AI52" s="171">
        <v>-358.11307999999821</v>
      </c>
      <c r="AJ52" s="171">
        <v>-1547.1483699999953</v>
      </c>
      <c r="AK52" s="171">
        <v>-2688.9853700000094</v>
      </c>
      <c r="AL52" s="171">
        <v>-2941</v>
      </c>
      <c r="AM52" s="171">
        <v>-1639</v>
      </c>
      <c r="AN52" s="171">
        <v>1254.0035999999818</v>
      </c>
      <c r="AO52" s="290">
        <v>1773.8144199999952</v>
      </c>
      <c r="AP52" s="291">
        <v>-366.72316999999748</v>
      </c>
      <c r="AQ52" s="291">
        <v>-215.96954999999434</v>
      </c>
      <c r="AR52" s="291">
        <v>-438.70205000000715</v>
      </c>
      <c r="AS52" s="251">
        <v>-4796.6526899999881</v>
      </c>
      <c r="AT52" s="251">
        <v>-4379.3465399999986</v>
      </c>
      <c r="AU52" s="251">
        <v>-4815.4747799999896</v>
      </c>
      <c r="AV52" s="251">
        <v>-3868.5467799999897</v>
      </c>
      <c r="AW52" s="251">
        <v>-3019.1824299999862</v>
      </c>
      <c r="AX52" s="251">
        <v>-2552.3837799999892</v>
      </c>
      <c r="AY52" s="202">
        <v>138.33722000000125</v>
      </c>
      <c r="AZ52" s="202">
        <v>3050.5392199999915</v>
      </c>
      <c r="BA52" s="387">
        <v>3028.97622</v>
      </c>
      <c r="BB52" s="387">
        <v>2328.3177000000001</v>
      </c>
      <c r="BC52" s="387">
        <v>-2690.3802999999998</v>
      </c>
      <c r="BD52" s="387">
        <v>-1871.1873000000001</v>
      </c>
      <c r="BE52" s="387">
        <v>-3825.4810600000001</v>
      </c>
      <c r="BF52" s="387">
        <v>-1871.3850600000001</v>
      </c>
      <c r="BG52" s="243">
        <v>-3731.5799900000002</v>
      </c>
      <c r="BH52" s="243">
        <v>-4495.6860399999996</v>
      </c>
      <c r="BI52" s="243">
        <v>-4685.3030399999998</v>
      </c>
      <c r="BJ52" s="243">
        <v>-4415.6190399999996</v>
      </c>
      <c r="BK52" s="243">
        <v>-2426.5390400000001</v>
      </c>
      <c r="BL52" s="243">
        <v>3262.1099599999998</v>
      </c>
      <c r="BM52" s="243">
        <v>822.72206000000006</v>
      </c>
      <c r="BN52" s="243">
        <v>0.39906000000000003</v>
      </c>
      <c r="BO52" s="243">
        <v>524.58106000000009</v>
      </c>
      <c r="BP52" s="243">
        <v>-1116.13194</v>
      </c>
      <c r="BQ52" s="243">
        <v>556.28506000000004</v>
      </c>
      <c r="BR52" s="243">
        <v>1052.61806</v>
      </c>
      <c r="BS52" s="243">
        <v>-1241.4639399999999</v>
      </c>
      <c r="BT52" s="243">
        <v>-106.14194000000001</v>
      </c>
      <c r="BU52" s="243">
        <v>-587.0299399999999</v>
      </c>
      <c r="BV52" s="243">
        <v>-165.11194</v>
      </c>
      <c r="BW52" s="243">
        <v>2251.20406</v>
      </c>
      <c r="BX52" s="243">
        <v>4566.4820599999994</v>
      </c>
      <c r="BY52" s="243">
        <v>4817.53107</v>
      </c>
      <c r="BZ52" s="243">
        <v>3876.6620699999999</v>
      </c>
      <c r="CA52" s="243">
        <v>-1124.46813</v>
      </c>
      <c r="CB52" s="243">
        <v>-2680.7141299999998</v>
      </c>
      <c r="CC52" s="243">
        <v>-3391.79513</v>
      </c>
      <c r="CD52" s="243">
        <v>-4918.1541299999999</v>
      </c>
      <c r="CE52" s="243">
        <v>-6825.0291299999999</v>
      </c>
      <c r="CF52" s="243">
        <v>-8051.7024599999995</v>
      </c>
      <c r="CG52" s="243">
        <v>-8821.9664600000015</v>
      </c>
      <c r="CH52" s="243">
        <v>-8283.9264600000006</v>
      </c>
      <c r="CI52" s="243">
        <v>-5545.72246</v>
      </c>
      <c r="CJ52" s="243">
        <v>-2658.0414599999999</v>
      </c>
      <c r="CK52" s="243">
        <v>-2176.6693999999998</v>
      </c>
      <c r="CL52" s="243">
        <v>-2642.3463999999999</v>
      </c>
      <c r="CM52" s="243">
        <v>-5804.9904100000003</v>
      </c>
      <c r="CN52" s="243">
        <v>-2294.8544100000004</v>
      </c>
      <c r="CO52" s="243">
        <v>-3251.3334100000002</v>
      </c>
      <c r="CP52" s="243">
        <v>-3259.4184100000002</v>
      </c>
      <c r="CQ52" s="243">
        <v>-2333.7824100000003</v>
      </c>
      <c r="CR52" s="243">
        <v>-1140.35977</v>
      </c>
      <c r="CS52" s="243">
        <v>62.853230000000003</v>
      </c>
      <c r="CT52" s="243">
        <v>-1125.28477</v>
      </c>
      <c r="CU52" s="243">
        <v>2293.4382300000002</v>
      </c>
      <c r="CV52" s="243">
        <v>3505.8082300000001</v>
      </c>
      <c r="CW52" s="243">
        <v>2834.6660699999998</v>
      </c>
      <c r="CX52" s="243">
        <v>-2384.06493</v>
      </c>
      <c r="CY52" s="243">
        <v>-8545.5559300000004</v>
      </c>
      <c r="CZ52" s="243">
        <v>-5868.12093</v>
      </c>
      <c r="DA52" s="243">
        <v>-9522.9779299999991</v>
      </c>
      <c r="DB52" s="243">
        <v>-9400.2139299999999</v>
      </c>
      <c r="DC52" s="243">
        <v>-9953.1939299999995</v>
      </c>
      <c r="DD52" s="243">
        <v>-10094.4262</v>
      </c>
      <c r="DE52" s="243">
        <v>-9688.2971999999991</v>
      </c>
      <c r="DF52" s="243">
        <v>-10202.183199999999</v>
      </c>
      <c r="DG52" s="243">
        <v>-7149.3702499999999</v>
      </c>
      <c r="DH52" s="243">
        <v>-834.98125000000005</v>
      </c>
      <c r="DI52" s="243">
        <v>2412.1773399999997</v>
      </c>
      <c r="DJ52" s="243">
        <v>629.81018999999992</v>
      </c>
      <c r="DK52" s="243">
        <v>-2764.29981</v>
      </c>
      <c r="DL52" s="243">
        <v>-3806.5178100000003</v>
      </c>
      <c r="DM52" s="243">
        <v>-6734.3098099999997</v>
      </c>
      <c r="DN52" s="243">
        <v>-9153.0648099999999</v>
      </c>
      <c r="DO52" s="243">
        <v>-10301.39481</v>
      </c>
      <c r="DP52" s="243">
        <v>-10461.658810000001</v>
      </c>
      <c r="DQ52" s="243">
        <v>-8902.0558099999998</v>
      </c>
      <c r="DR52" s="243">
        <v>-9455.8124700000008</v>
      </c>
      <c r="DS52" s="243">
        <v>-6835.5414700000001</v>
      </c>
      <c r="DT52" s="243">
        <v>-4507.6064699999997</v>
      </c>
      <c r="DU52" s="243">
        <v>-5610.4994699999997</v>
      </c>
      <c r="DV52" s="243">
        <v>-9000.5974700000006</v>
      </c>
      <c r="DW52" s="243">
        <v>-12085.26064</v>
      </c>
      <c r="DX52" s="243">
        <v>-13315.27664</v>
      </c>
      <c r="DY52" s="243">
        <v>-13955.91264</v>
      </c>
      <c r="DZ52" s="243">
        <v>-13419.80364</v>
      </c>
      <c r="EA52" s="243">
        <v>-14069.898640000001</v>
      </c>
      <c r="EB52" s="243">
        <v>-13486.354640000001</v>
      </c>
      <c r="EC52" s="243">
        <v>-10977.932640000001</v>
      </c>
      <c r="ED52" s="243">
        <v>-10183.908800000001</v>
      </c>
      <c r="EE52" s="243">
        <v>-6168.0937999999996</v>
      </c>
      <c r="EF52" s="243">
        <v>-2672.3439900000003</v>
      </c>
      <c r="EG52" s="243">
        <v>-1887.38102</v>
      </c>
      <c r="EH52" s="243">
        <v>-5514.3590199999999</v>
      </c>
      <c r="EI52" s="243">
        <v>-2984.17236</v>
      </c>
      <c r="EJ52" s="243">
        <v>-1677.6023600000001</v>
      </c>
      <c r="EK52" s="243">
        <v>-5499.4693600000001</v>
      </c>
      <c r="EL52" s="243">
        <v>-5895.4843600000004</v>
      </c>
      <c r="EM52" s="243">
        <v>-5154.9673600000006</v>
      </c>
      <c r="EN52" s="243">
        <v>-5465.9473600000001</v>
      </c>
      <c r="EO52" s="243">
        <v>-4455.3223600000001</v>
      </c>
      <c r="EP52" s="243">
        <v>-2979.20154</v>
      </c>
      <c r="EQ52" s="243">
        <f>(VLOOKUP("191",'Input BS ACCTS'!$A$5:$DD$1052,98,FALSE))/1000</f>
        <v>4737.4064600000002</v>
      </c>
      <c r="ER52" s="243">
        <f>(VLOOKUP("191",'Input BS ACCTS'!$A$5:$DD$1052,99,FALSE))/1000</f>
        <v>12530.13495</v>
      </c>
      <c r="ES52" s="243">
        <f>(VLOOKUP("191",'Input BS ACCTS'!$A$5:$DD$1052,100,FALSE))/1000</f>
        <v>12048.953949999999</v>
      </c>
      <c r="ET52" s="467">
        <f t="shared" si="42"/>
        <v>-938.2624415384621</v>
      </c>
      <c r="EU52" s="801"/>
      <c r="EV52" s="801"/>
      <c r="HL52" s="35"/>
      <c r="HM52" s="250"/>
      <c r="HN52" s="217"/>
      <c r="HO52" s="35"/>
      <c r="HP52" s="35"/>
      <c r="HQ52" s="35"/>
      <c r="HR52" s="35"/>
      <c r="HS52" s="35"/>
      <c r="HT52" s="35"/>
      <c r="HU52" s="35"/>
      <c r="HV52" s="35"/>
      <c r="HW52" s="35"/>
      <c r="HX52" s="35"/>
      <c r="HY52" s="35"/>
      <c r="HZ52" s="35"/>
      <c r="IA52" s="35"/>
    </row>
    <row r="53" spans="1:235">
      <c r="A53" s="132" t="s">
        <v>524</v>
      </c>
      <c r="B53" s="124">
        <v>8731.67</v>
      </c>
      <c r="C53" s="124">
        <v>11554.7</v>
      </c>
      <c r="D53" s="124">
        <v>13521.98</v>
      </c>
      <c r="E53" s="124">
        <v>7759.35</v>
      </c>
      <c r="F53" s="124">
        <v>8829.9699999999993</v>
      </c>
      <c r="G53" s="124">
        <v>8988.98</v>
      </c>
      <c r="H53" s="124">
        <v>12377.32</v>
      </c>
      <c r="I53" s="124">
        <v>10778.83</v>
      </c>
      <c r="J53" s="124">
        <v>8567.17</v>
      </c>
      <c r="K53" s="124">
        <v>7279.58</v>
      </c>
      <c r="L53" s="124">
        <v>6522.55</v>
      </c>
      <c r="M53" s="124">
        <v>10856.52</v>
      </c>
      <c r="N53" s="124">
        <v>12107.47</v>
      </c>
      <c r="O53" s="137">
        <v>11835.01</v>
      </c>
      <c r="P53" s="137">
        <v>10534.08</v>
      </c>
      <c r="Q53" s="137">
        <v>7883.63</v>
      </c>
      <c r="R53" s="137">
        <v>6119</v>
      </c>
      <c r="S53" s="137">
        <v>6341</v>
      </c>
      <c r="T53" s="137">
        <v>2376</v>
      </c>
      <c r="U53" s="137">
        <v>132.11500000000001</v>
      </c>
      <c r="V53" s="137">
        <v>346.94499999999999</v>
      </c>
      <c r="W53" s="137">
        <v>2750.2649999999999</v>
      </c>
      <c r="X53" s="137">
        <v>4460.5050000000001</v>
      </c>
      <c r="Y53" s="172">
        <v>4710.8850000000002</v>
      </c>
      <c r="Z53" s="172">
        <v>7331.1350000000002</v>
      </c>
      <c r="AA53" s="172">
        <v>7477.41</v>
      </c>
      <c r="AB53" s="172">
        <v>10935.28</v>
      </c>
      <c r="AC53" s="172">
        <v>14232.67</v>
      </c>
      <c r="AD53" s="172">
        <v>15205.951000000001</v>
      </c>
      <c r="AE53" s="172">
        <v>12426.475000000006</v>
      </c>
      <c r="AF53" s="172">
        <v>12237</v>
      </c>
      <c r="AG53" s="172">
        <v>10708.065000000001</v>
      </c>
      <c r="AH53" s="172">
        <v>9120.7350000000006</v>
      </c>
      <c r="AI53" s="172">
        <v>6823.3</v>
      </c>
      <c r="AJ53" s="172">
        <v>4973.55</v>
      </c>
      <c r="AK53" s="172">
        <v>6521.39</v>
      </c>
      <c r="AL53" s="172">
        <v>3570.7092699999916</v>
      </c>
      <c r="AM53" s="239">
        <v>2879.8349999999996</v>
      </c>
      <c r="AN53" s="239">
        <v>3476.73</v>
      </c>
      <c r="AO53" s="292">
        <v>4281.25</v>
      </c>
      <c r="AP53" s="293">
        <v>3100.915</v>
      </c>
      <c r="AQ53" s="293">
        <v>1453.645</v>
      </c>
      <c r="AR53" s="293">
        <v>103.03</v>
      </c>
      <c r="AS53" s="283">
        <v>44.1</v>
      </c>
      <c r="AT53" s="283">
        <v>184.9</v>
      </c>
      <c r="AU53" s="283">
        <v>1573.61</v>
      </c>
      <c r="AV53" s="283">
        <v>1917.0450000000001</v>
      </c>
      <c r="AW53" s="283">
        <v>1127.355</v>
      </c>
      <c r="AX53" s="283">
        <v>1557.98</v>
      </c>
      <c r="AY53" s="307">
        <v>2211.3150000000001</v>
      </c>
      <c r="AZ53" s="307">
        <v>503.84</v>
      </c>
      <c r="BA53" s="410">
        <v>35.685000000000002</v>
      </c>
      <c r="BB53" s="410">
        <v>16.835000000000001</v>
      </c>
      <c r="BC53" s="410">
        <v>11.185</v>
      </c>
      <c r="BD53" s="410">
        <v>18.489999999999998</v>
      </c>
      <c r="BE53" s="410">
        <v>0.8</v>
      </c>
      <c r="BF53" s="410">
        <v>87.69</v>
      </c>
      <c r="BG53" s="465">
        <v>187.64</v>
      </c>
      <c r="BH53" s="465">
        <v>3248.625</v>
      </c>
      <c r="BI53" s="465">
        <v>1525.8</v>
      </c>
      <c r="BJ53" s="465">
        <v>1617.85</v>
      </c>
      <c r="BK53" s="465">
        <v>3658.9</v>
      </c>
      <c r="BL53" s="465">
        <v>2703.12</v>
      </c>
      <c r="BM53" s="465">
        <v>8985.49</v>
      </c>
      <c r="BN53" s="465">
        <v>9064.9449999999997</v>
      </c>
      <c r="BO53" s="465">
        <v>7427.67</v>
      </c>
      <c r="BP53" s="465">
        <v>7222.0349999999999</v>
      </c>
      <c r="BQ53" s="465">
        <v>6292.5050000000001</v>
      </c>
      <c r="BR53" s="465">
        <v>6307.9449999999997</v>
      </c>
      <c r="BS53" s="465">
        <v>5194.335</v>
      </c>
      <c r="BT53" s="465">
        <v>5218.4449999999997</v>
      </c>
      <c r="BU53" s="465">
        <v>5549.665</v>
      </c>
      <c r="BV53" s="465">
        <v>6332.3649999999998</v>
      </c>
      <c r="BW53" s="465">
        <v>8044.0349999999999</v>
      </c>
      <c r="BX53" s="465">
        <v>8065.5349999999999</v>
      </c>
      <c r="BY53" s="465">
        <v>6345.9549999999999</v>
      </c>
      <c r="BZ53" s="465">
        <v>4883.1350000000002</v>
      </c>
      <c r="CA53" s="465">
        <v>5431.0450000000001</v>
      </c>
      <c r="CB53" s="465">
        <v>3452.55</v>
      </c>
      <c r="CC53" s="465">
        <v>1971.79</v>
      </c>
      <c r="CD53" s="465">
        <v>1688.615</v>
      </c>
      <c r="CE53" s="465">
        <v>343.60500000000002</v>
      </c>
      <c r="CF53" s="465">
        <v>334.97500000000002</v>
      </c>
      <c r="CG53" s="465">
        <v>323.42500000000001</v>
      </c>
      <c r="CH53" s="465">
        <v>404.26499999999999</v>
      </c>
      <c r="CI53" s="465">
        <v>408.51499999999999</v>
      </c>
      <c r="CJ53" s="465">
        <v>76.784999999999997</v>
      </c>
      <c r="CK53" s="465">
        <v>0</v>
      </c>
      <c r="CL53" s="465">
        <v>56.05</v>
      </c>
      <c r="CM53" s="465">
        <v>389.5</v>
      </c>
      <c r="CN53" s="465">
        <v>4.2350000000000003</v>
      </c>
      <c r="CO53" s="465">
        <v>0</v>
      </c>
      <c r="CP53" s="465">
        <v>3.92</v>
      </c>
      <c r="CQ53" s="465">
        <v>22.28</v>
      </c>
      <c r="CR53" s="465">
        <v>140.02500000000001</v>
      </c>
      <c r="CS53" s="465">
        <v>4.68</v>
      </c>
      <c r="CT53" s="465">
        <v>9.23</v>
      </c>
      <c r="CU53" s="465">
        <v>138.22499999999999</v>
      </c>
      <c r="CV53" s="465">
        <v>60.555</v>
      </c>
      <c r="CW53" s="465">
        <v>181.065</v>
      </c>
      <c r="CX53" s="465">
        <v>1.78</v>
      </c>
      <c r="CY53" s="465">
        <v>113.125</v>
      </c>
      <c r="CZ53" s="465">
        <v>32.645000000000003</v>
      </c>
      <c r="DA53" s="465">
        <v>25.69</v>
      </c>
      <c r="DB53" s="465">
        <v>0</v>
      </c>
      <c r="DC53" s="465">
        <v>0.28000000000000003</v>
      </c>
      <c r="DD53" s="465">
        <v>11.72</v>
      </c>
      <c r="DE53" s="465">
        <v>0</v>
      </c>
      <c r="DF53" s="465">
        <v>0</v>
      </c>
      <c r="DG53" s="465">
        <v>0</v>
      </c>
      <c r="DH53" s="465">
        <v>0</v>
      </c>
      <c r="DI53" s="465">
        <v>0</v>
      </c>
      <c r="DJ53" s="465">
        <v>0</v>
      </c>
      <c r="DK53" s="465">
        <v>0</v>
      </c>
      <c r="DL53" s="465">
        <v>0</v>
      </c>
      <c r="DM53" s="465">
        <v>0</v>
      </c>
      <c r="DN53" s="465">
        <v>0</v>
      </c>
      <c r="DO53" s="465">
        <v>0</v>
      </c>
      <c r="DP53" s="465">
        <v>0</v>
      </c>
      <c r="DQ53" s="465">
        <v>0</v>
      </c>
      <c r="DR53" s="465">
        <v>0</v>
      </c>
      <c r="DS53" s="465">
        <v>0</v>
      </c>
      <c r="DT53" s="465">
        <v>0</v>
      </c>
      <c r="DU53" s="465">
        <v>0</v>
      </c>
      <c r="DV53" s="465">
        <v>0</v>
      </c>
      <c r="DW53" s="465">
        <v>0</v>
      </c>
      <c r="DX53" s="465">
        <v>0</v>
      </c>
      <c r="DY53" s="465">
        <v>0</v>
      </c>
      <c r="DZ53" s="465">
        <v>0</v>
      </c>
      <c r="EA53" s="465">
        <v>0</v>
      </c>
      <c r="EB53" s="465">
        <v>0</v>
      </c>
      <c r="EC53" s="465">
        <v>0</v>
      </c>
      <c r="ED53" s="465">
        <v>0</v>
      </c>
      <c r="EE53" s="465">
        <v>0</v>
      </c>
      <c r="EF53" s="465">
        <v>0</v>
      </c>
      <c r="EG53" s="465">
        <v>0</v>
      </c>
      <c r="EH53" s="465">
        <v>0</v>
      </c>
      <c r="EI53" s="465">
        <v>0</v>
      </c>
      <c r="EJ53" s="465">
        <v>0</v>
      </c>
      <c r="EK53" s="465">
        <v>0</v>
      </c>
      <c r="EL53" s="465">
        <v>0</v>
      </c>
      <c r="EM53" s="465">
        <v>0</v>
      </c>
      <c r="EN53" s="465">
        <v>0</v>
      </c>
      <c r="EO53" s="465">
        <v>0</v>
      </c>
      <c r="EP53" s="465">
        <v>0</v>
      </c>
      <c r="EQ53" s="465">
        <f>(VLOOKUP("1823105",'Input BS ACCTS'!$A$5:$DD$1052,98,FALSE)+VLOOKUP("1823205",'Input BS ACCTS'!$A$5:$DD$1052,98,FALSE))/1000</f>
        <v>0</v>
      </c>
      <c r="ER53" s="465">
        <f>(VLOOKUP("1823105",'Input BS ACCTS'!$A$5:$DD$1052,99,FALSE)+VLOOKUP("1823205",'Input BS ACCTS'!$A$5:$DD$1052,99,FALSE))/1000</f>
        <v>0</v>
      </c>
      <c r="ES53" s="465">
        <f>(VLOOKUP("1823105",'Input BS ACCTS'!$A$5:$DD$1052,100,FALSE)+VLOOKUP("1823205",'Input BS ACCTS'!$A$5:$DD$1052,100,FALSE))/1000</f>
        <v>0</v>
      </c>
      <c r="ET53" s="467">
        <f t="shared" si="42"/>
        <v>0</v>
      </c>
      <c r="EU53" s="801"/>
      <c r="EV53" s="801"/>
      <c r="HL53" s="35"/>
      <c r="HM53" s="250"/>
      <c r="HN53" s="217"/>
      <c r="HO53" s="35"/>
      <c r="HP53" s="35"/>
      <c r="HQ53" s="35"/>
      <c r="HR53" s="35"/>
      <c r="HS53" s="35"/>
      <c r="HT53" s="35"/>
      <c r="HU53" s="35"/>
      <c r="HV53" s="35"/>
      <c r="HW53" s="35"/>
      <c r="HX53" s="35"/>
      <c r="HY53" s="35"/>
      <c r="HZ53" s="35"/>
      <c r="IA53" s="35"/>
    </row>
    <row r="54" spans="1:235">
      <c r="A54" s="29" t="s">
        <v>254</v>
      </c>
      <c r="B54" s="125">
        <v>95110.855379999979</v>
      </c>
      <c r="C54" s="125">
        <v>102104.53937999999</v>
      </c>
      <c r="D54" s="125">
        <v>106665.81938</v>
      </c>
      <c r="E54" s="125">
        <v>110024.31438</v>
      </c>
      <c r="F54" s="125">
        <v>106739.12838000001</v>
      </c>
      <c r="G54" s="125">
        <v>105297.82638</v>
      </c>
      <c r="H54" s="125">
        <v>102413.57437999998</v>
      </c>
      <c r="I54" s="125">
        <v>101745.55637999999</v>
      </c>
      <c r="J54" s="125">
        <v>100957.34237999999</v>
      </c>
      <c r="K54" s="125">
        <v>103920.83338</v>
      </c>
      <c r="L54" s="125">
        <v>110072.47338000001</v>
      </c>
      <c r="M54" s="125">
        <v>118523.80537999999</v>
      </c>
      <c r="N54" s="125">
        <v>125797.07737999999</v>
      </c>
      <c r="O54" s="125">
        <v>116013.00699999998</v>
      </c>
      <c r="P54" s="125">
        <v>122757.04300000001</v>
      </c>
      <c r="Q54" s="125">
        <v>120577.90684000001</v>
      </c>
      <c r="R54" s="125">
        <v>103749</v>
      </c>
      <c r="S54" s="125">
        <v>98253</v>
      </c>
      <c r="T54" s="125">
        <v>96724</v>
      </c>
      <c r="U54" s="125">
        <v>91895.597000000009</v>
      </c>
      <c r="V54" s="125">
        <v>84935.540999999997</v>
      </c>
      <c r="W54" s="125">
        <v>82111.761999999988</v>
      </c>
      <c r="X54" s="125">
        <v>84491.056000000011</v>
      </c>
      <c r="Y54" s="125">
        <v>87334.645009999993</v>
      </c>
      <c r="Z54" s="125">
        <v>91095.534999999989</v>
      </c>
      <c r="AA54" s="125">
        <v>95080.012340000001</v>
      </c>
      <c r="AB54" s="125">
        <v>102822.06282000001</v>
      </c>
      <c r="AC54" s="125">
        <v>113659.67</v>
      </c>
      <c r="AD54" s="125">
        <v>116788</v>
      </c>
      <c r="AE54" s="125">
        <v>115734</v>
      </c>
      <c r="AF54" s="125">
        <v>115763</v>
      </c>
      <c r="AG54" s="125">
        <v>113945.34663</v>
      </c>
      <c r="AH54" s="125">
        <v>111616.46802</v>
      </c>
      <c r="AI54" s="125">
        <v>111147.31242000002</v>
      </c>
      <c r="AJ54" s="125">
        <v>107130.66502</v>
      </c>
      <c r="AK54" s="125">
        <v>108505.45214999998</v>
      </c>
      <c r="AL54" s="125">
        <v>103405.58065999998</v>
      </c>
      <c r="AM54" s="125">
        <v>105578.36094000001</v>
      </c>
      <c r="AN54" s="125">
        <v>109290.92675999997</v>
      </c>
      <c r="AO54" s="125">
        <v>122915.89439</v>
      </c>
      <c r="AP54" s="125">
        <v>119205.35422000004</v>
      </c>
      <c r="AQ54" s="125">
        <v>117101.41822000001</v>
      </c>
      <c r="AR54" s="125">
        <v>114330.31599999999</v>
      </c>
      <c r="AS54" s="125">
        <v>110353.51811000002</v>
      </c>
      <c r="AT54" s="125">
        <v>110436.33924999999</v>
      </c>
      <c r="AU54" s="125">
        <v>110971.12892000003</v>
      </c>
      <c r="AV54" s="125">
        <v>112787.66317000001</v>
      </c>
      <c r="AW54" s="125">
        <v>112887.60007000001</v>
      </c>
      <c r="AX54" s="125">
        <v>113187.86462000001</v>
      </c>
      <c r="AY54" s="125">
        <v>116952.14152000002</v>
      </c>
      <c r="AZ54" s="125">
        <v>117421.39043999997</v>
      </c>
      <c r="BA54" s="125">
        <v>108268.60247</v>
      </c>
      <c r="BB54" s="125">
        <v>107551.01139</v>
      </c>
      <c r="BC54" s="125">
        <v>102971.35231</v>
      </c>
      <c r="BD54" s="125">
        <v>101032.60107</v>
      </c>
      <c r="BE54" s="125">
        <v>101026.92551</v>
      </c>
      <c r="BF54" s="125">
        <v>103464.1578</v>
      </c>
      <c r="BG54" s="125">
        <v>99387.233569999997</v>
      </c>
      <c r="BH54" s="125">
        <v>103754.80113000001</v>
      </c>
      <c r="BI54" s="125">
        <v>102390.88385</v>
      </c>
      <c r="BJ54" s="125">
        <v>100727.98504</v>
      </c>
      <c r="BK54" s="125">
        <v>106071.74092999999</v>
      </c>
      <c r="BL54" s="125">
        <v>108310.50813999999</v>
      </c>
      <c r="BM54" s="125">
        <v>119214.80356000001</v>
      </c>
      <c r="BN54" s="125">
        <v>119076.42022</v>
      </c>
      <c r="BO54" s="125">
        <v>116525.32638</v>
      </c>
      <c r="BP54" s="125">
        <v>115793.97783999999</v>
      </c>
      <c r="BQ54" s="125">
        <v>114843.08347999999</v>
      </c>
      <c r="BR54" s="125">
        <v>115691.42903</v>
      </c>
      <c r="BS54" s="125">
        <v>110645.25612999999</v>
      </c>
      <c r="BT54" s="125">
        <v>111965.93682999999</v>
      </c>
      <c r="BU54" s="125">
        <v>112504.74422000001</v>
      </c>
      <c r="BV54" s="125">
        <v>113226.59524000001</v>
      </c>
      <c r="BW54" s="125">
        <v>121024.78371999999</v>
      </c>
      <c r="BX54" s="125">
        <v>124067.37509999999</v>
      </c>
      <c r="BY54" s="125">
        <v>133060.23928999997</v>
      </c>
      <c r="BZ54" s="125">
        <v>130445.03073</v>
      </c>
      <c r="CA54" s="125">
        <v>125770.08315999999</v>
      </c>
      <c r="CB54" s="125">
        <v>121506.69812000002</v>
      </c>
      <c r="CC54" s="125">
        <v>118877.76796999999</v>
      </c>
      <c r="CD54" s="125">
        <v>117112.15916000001</v>
      </c>
      <c r="CE54" s="125">
        <v>112908.67307</v>
      </c>
      <c r="CF54" s="125">
        <v>111771.22185</v>
      </c>
      <c r="CG54" s="125">
        <v>111526.73342000002</v>
      </c>
      <c r="CH54" s="125">
        <v>124052.69936</v>
      </c>
      <c r="CI54" s="125">
        <v>126855.34350999998</v>
      </c>
      <c r="CJ54" s="125">
        <v>129355.59572</v>
      </c>
      <c r="CK54" s="125">
        <v>115480.18128999999</v>
      </c>
      <c r="CL54" s="125">
        <f t="shared" ref="CL54:CW54" si="43">SUM(CL44:CL53)</f>
        <v>117595.90716</v>
      </c>
      <c r="CM54" s="125">
        <f t="shared" si="43"/>
        <v>112671.16764000001</v>
      </c>
      <c r="CN54" s="125">
        <f t="shared" si="43"/>
        <v>114454.63258000002</v>
      </c>
      <c r="CO54" s="125">
        <f t="shared" si="43"/>
        <v>113380.26432</v>
      </c>
      <c r="CP54" s="125">
        <f t="shared" si="43"/>
        <v>112969.34354</v>
      </c>
      <c r="CQ54" s="125">
        <f t="shared" si="43"/>
        <v>114854.58638000001</v>
      </c>
      <c r="CR54" s="125">
        <f t="shared" si="43"/>
        <v>115962.55045</v>
      </c>
      <c r="CS54" s="125">
        <f t="shared" si="43"/>
        <v>117782.65563999998</v>
      </c>
      <c r="CT54" s="125">
        <f t="shared" si="43"/>
        <v>118062.60464999999</v>
      </c>
      <c r="CU54" s="125">
        <f t="shared" si="43"/>
        <v>122738.35031000001</v>
      </c>
      <c r="CV54" s="125">
        <f t="shared" si="43"/>
        <v>124324.21917999997</v>
      </c>
      <c r="CW54" s="125">
        <f t="shared" si="43"/>
        <v>120684.17943999999</v>
      </c>
      <c r="CX54" s="125">
        <f t="shared" ref="CX54:DC54" si="44">SUM(CX44:CX53)</f>
        <v>114436.39966000002</v>
      </c>
      <c r="CY54" s="125">
        <f t="shared" si="44"/>
        <v>107619.80021999999</v>
      </c>
      <c r="CZ54" s="125">
        <f t="shared" si="44"/>
        <v>106087.43987</v>
      </c>
      <c r="DA54" s="125">
        <f t="shared" si="44"/>
        <v>103994.10926</v>
      </c>
      <c r="DB54" s="125">
        <f t="shared" si="44"/>
        <v>104063.14856999999</v>
      </c>
      <c r="DC54" s="125">
        <f t="shared" si="44"/>
        <v>103767.25976999999</v>
      </c>
      <c r="DD54" s="125">
        <f t="shared" ref="DD54:DI54" si="45">SUM(DD44:DD53)</f>
        <v>105150.92490999999</v>
      </c>
      <c r="DE54" s="125">
        <f t="shared" si="45"/>
        <v>106768.50816</v>
      </c>
      <c r="DF54" s="125">
        <f t="shared" si="45"/>
        <v>100437.79409</v>
      </c>
      <c r="DG54" s="125">
        <f t="shared" si="45"/>
        <v>105745.54045</v>
      </c>
      <c r="DH54" s="125">
        <f t="shared" si="45"/>
        <v>114007.86962</v>
      </c>
      <c r="DI54" s="125">
        <f t="shared" si="45"/>
        <v>120624.33461000001</v>
      </c>
      <c r="DJ54" s="125">
        <f t="shared" ref="DJ54:DP54" si="46">SUM(DJ44:DJ53)</f>
        <v>118469.22069</v>
      </c>
      <c r="DK54" s="125">
        <f t="shared" si="46"/>
        <v>113741.87184000001</v>
      </c>
      <c r="DL54" s="125">
        <f t="shared" si="46"/>
        <v>112331.76964</v>
      </c>
      <c r="DM54" s="125">
        <f t="shared" si="46"/>
        <v>109780.8317</v>
      </c>
      <c r="DN54" s="125">
        <f t="shared" si="46"/>
        <v>107684.84142999999</v>
      </c>
      <c r="DO54" s="125">
        <f t="shared" si="46"/>
        <v>107606.25763999998</v>
      </c>
      <c r="DP54" s="125">
        <f t="shared" si="46"/>
        <v>109428.92073000001</v>
      </c>
      <c r="DQ54" s="125">
        <f t="shared" ref="DQ54:DX54" si="47">SUM(DQ44:DQ53)</f>
        <v>112278.93780000001</v>
      </c>
      <c r="DR54" s="125">
        <f t="shared" si="47"/>
        <v>112579.82223000001</v>
      </c>
      <c r="DS54" s="125">
        <f t="shared" si="47"/>
        <v>116495.56875000002</v>
      </c>
      <c r="DT54" s="125">
        <f t="shared" si="47"/>
        <v>120515.90647</v>
      </c>
      <c r="DU54" s="125">
        <f t="shared" si="47"/>
        <v>112640.84417</v>
      </c>
      <c r="DV54" s="125">
        <f t="shared" si="47"/>
        <v>108754.65049</v>
      </c>
      <c r="DW54" s="125">
        <f t="shared" si="47"/>
        <v>103483.52286000003</v>
      </c>
      <c r="DX54" s="125">
        <f t="shared" si="47"/>
        <v>101056.84251999999</v>
      </c>
      <c r="DY54" s="125">
        <f t="shared" ref="DY54:ED54" si="48">SUM(DY44:DY53)</f>
        <v>101101.36022</v>
      </c>
      <c r="DZ54" s="125">
        <f t="shared" si="48"/>
        <v>102814.69624000002</v>
      </c>
      <c r="EA54" s="125">
        <f t="shared" si="48"/>
        <v>102607.67090000001</v>
      </c>
      <c r="EB54" s="125">
        <f t="shared" si="48"/>
        <v>104172.48450999999</v>
      </c>
      <c r="EC54" s="125">
        <f t="shared" si="48"/>
        <v>108629.54023</v>
      </c>
      <c r="ED54" s="125">
        <f t="shared" si="48"/>
        <v>111752.12089999999</v>
      </c>
      <c r="EE54" s="125">
        <f t="shared" ref="EE54:EJ54" si="49">SUM(EE44:EE53)</f>
        <v>116880.39949999998</v>
      </c>
      <c r="EF54" s="125">
        <f t="shared" si="49"/>
        <v>121527.55162</v>
      </c>
      <c r="EG54" s="125">
        <f t="shared" si="49"/>
        <v>128481.71492000001</v>
      </c>
      <c r="EH54" s="125">
        <f t="shared" si="49"/>
        <v>123437.80124</v>
      </c>
      <c r="EI54" s="125">
        <f t="shared" si="49"/>
        <v>126528.97064</v>
      </c>
      <c r="EJ54" s="125">
        <f t="shared" si="49"/>
        <v>127612.31348</v>
      </c>
      <c r="EK54" s="125">
        <f t="shared" ref="EK54:EP54" si="50">SUM(EK44:EK53)</f>
        <v>123561.25693</v>
      </c>
      <c r="EL54" s="125">
        <f t="shared" si="50"/>
        <v>124218.55222999999</v>
      </c>
      <c r="EM54" s="125">
        <f t="shared" si="50"/>
        <v>124839.13046000001</v>
      </c>
      <c r="EN54" s="125">
        <f t="shared" si="50"/>
        <v>125825.86316999998</v>
      </c>
      <c r="EO54" s="125">
        <f t="shared" si="50"/>
        <v>126778.94393999998</v>
      </c>
      <c r="EP54" s="125">
        <f t="shared" si="50"/>
        <v>126597.09943</v>
      </c>
      <c r="EQ54" s="125">
        <f>SUM(EQ44:EQ53)</f>
        <v>134079.96959000002</v>
      </c>
      <c r="ER54" s="125">
        <f>SUM(ER44:ER53)</f>
        <v>143166.69583000001</v>
      </c>
      <c r="ES54" s="125">
        <f>SUM(ES44:ES53)</f>
        <v>131918.05197</v>
      </c>
      <c r="ET54" s="417">
        <f>SUM(ET44:ET53)</f>
        <v>128234.33567923076</v>
      </c>
      <c r="EU54" s="125"/>
      <c r="EV54" s="125"/>
      <c r="HL54" s="35"/>
      <c r="HM54" s="252"/>
      <c r="HN54" s="217"/>
      <c r="HO54" s="35"/>
      <c r="HP54" s="35"/>
      <c r="HQ54" s="35"/>
      <c r="HR54" s="35"/>
      <c r="HS54" s="35"/>
      <c r="HT54" s="35"/>
      <c r="HU54" s="35"/>
      <c r="HV54" s="35"/>
      <c r="HW54" s="35"/>
      <c r="HX54" s="35"/>
      <c r="HY54" s="35"/>
      <c r="HZ54" s="35"/>
      <c r="IA54" s="35"/>
    </row>
    <row r="55" spans="1:235" s="58" customFormat="1">
      <c r="A55" s="30"/>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254"/>
      <c r="HN55" s="217"/>
      <c r="HO55" s="35"/>
      <c r="HP55" s="35"/>
      <c r="HQ55" s="35"/>
      <c r="HR55" s="35"/>
      <c r="HS55" s="35"/>
      <c r="HT55" s="35"/>
      <c r="HU55" s="35"/>
      <c r="HV55" s="35"/>
      <c r="HW55" s="35"/>
      <c r="HX55" s="35"/>
      <c r="HY55" s="35"/>
      <c r="HZ55" s="35"/>
      <c r="IA55" s="35"/>
    </row>
    <row r="56" spans="1:235" ht="13.5" thickBot="1">
      <c r="A56" s="29" t="s">
        <v>255</v>
      </c>
      <c r="B56" s="128">
        <v>732136.63368999993</v>
      </c>
      <c r="C56" s="128">
        <v>753437.99468999996</v>
      </c>
      <c r="D56" s="128">
        <v>738108.01269000012</v>
      </c>
      <c r="E56" s="128">
        <v>757947.87469000008</v>
      </c>
      <c r="F56" s="128">
        <v>774206.03568999993</v>
      </c>
      <c r="G56" s="128">
        <v>767850.61668999994</v>
      </c>
      <c r="H56" s="128">
        <v>787097.81368999998</v>
      </c>
      <c r="I56" s="128">
        <v>767194.13269</v>
      </c>
      <c r="J56" s="128">
        <v>750048.96168999979</v>
      </c>
      <c r="K56" s="128">
        <v>746946.19968999992</v>
      </c>
      <c r="L56" s="128">
        <v>751584.88269</v>
      </c>
      <c r="M56" s="128">
        <v>753516.5986899999</v>
      </c>
      <c r="N56" s="128">
        <v>764001.42668999999</v>
      </c>
      <c r="O56" s="128">
        <v>756017.00699999998</v>
      </c>
      <c r="P56" s="128">
        <v>754021.04300000006</v>
      </c>
      <c r="Q56" s="128">
        <v>785191.90684000007</v>
      </c>
      <c r="R56" s="128">
        <v>782917</v>
      </c>
      <c r="S56" s="128">
        <v>774415</v>
      </c>
      <c r="T56" s="128">
        <v>779055</v>
      </c>
      <c r="U56" s="128">
        <v>770396.59700000007</v>
      </c>
      <c r="V56" s="128">
        <v>759212.54099999997</v>
      </c>
      <c r="W56" s="128">
        <v>743395.76199999999</v>
      </c>
      <c r="X56" s="128">
        <v>741222.05599999998</v>
      </c>
      <c r="Y56" s="128">
        <v>734561.64500999998</v>
      </c>
      <c r="Z56" s="128">
        <v>745554.53500000003</v>
      </c>
      <c r="AA56" s="128">
        <v>748297.01234000002</v>
      </c>
      <c r="AB56" s="128">
        <v>751863.06281999999</v>
      </c>
      <c r="AC56" s="128">
        <v>793456.43988000008</v>
      </c>
      <c r="AD56" s="128">
        <v>814021.89700000011</v>
      </c>
      <c r="AE56" s="128">
        <v>807522</v>
      </c>
      <c r="AF56" s="128">
        <v>816558.42140999995</v>
      </c>
      <c r="AG56" s="128">
        <v>815865.34663000004</v>
      </c>
      <c r="AH56" s="128">
        <v>810040.46802000003</v>
      </c>
      <c r="AI56" s="128">
        <v>828739.50385999994</v>
      </c>
      <c r="AJ56" s="128">
        <v>839266.10551999998</v>
      </c>
      <c r="AK56" s="128">
        <v>812479.57125000004</v>
      </c>
      <c r="AL56" s="128">
        <v>823160.60380000016</v>
      </c>
      <c r="AM56" s="128">
        <v>831978.81398999994</v>
      </c>
      <c r="AN56" s="128">
        <v>831387.13845999935</v>
      </c>
      <c r="AO56" s="128">
        <v>852462.26173000003</v>
      </c>
      <c r="AP56" s="128">
        <v>848912.69047000003</v>
      </c>
      <c r="AQ56" s="128">
        <v>845222.77669000009</v>
      </c>
      <c r="AR56" s="128">
        <v>853483.6614900002</v>
      </c>
      <c r="AS56" s="128">
        <v>855460.99614000006</v>
      </c>
      <c r="AT56" s="128">
        <v>854246.58372999984</v>
      </c>
      <c r="AU56" s="128">
        <v>849347.29793999996</v>
      </c>
      <c r="AV56" s="128">
        <v>847699.70388000016</v>
      </c>
      <c r="AW56" s="128">
        <v>840027.83071999985</v>
      </c>
      <c r="AX56" s="128">
        <v>847523.03612000018</v>
      </c>
      <c r="AY56" s="128">
        <v>850838.0125500001</v>
      </c>
      <c r="AZ56" s="128">
        <v>849780.70192999998</v>
      </c>
      <c r="BA56" s="128">
        <v>856468.89259000018</v>
      </c>
      <c r="BB56" s="128">
        <v>870114.43599999999</v>
      </c>
      <c r="BC56" s="128">
        <v>867599.27324000013</v>
      </c>
      <c r="BD56" s="128">
        <v>863255.61109000002</v>
      </c>
      <c r="BE56" s="128">
        <v>862453.56843999994</v>
      </c>
      <c r="BF56" s="128">
        <v>878003.33444999985</v>
      </c>
      <c r="BG56" s="128">
        <v>863922.89253000019</v>
      </c>
      <c r="BH56" s="128">
        <v>864346.02322999993</v>
      </c>
      <c r="BI56" s="128">
        <v>863074.2195799998</v>
      </c>
      <c r="BJ56" s="128">
        <v>862527.22998000006</v>
      </c>
      <c r="BK56" s="128">
        <v>870316.99988999974</v>
      </c>
      <c r="BL56" s="128">
        <v>876086.28480999987</v>
      </c>
      <c r="BM56" s="128">
        <v>914627.86423000006</v>
      </c>
      <c r="BN56" s="128">
        <v>909311.27175000031</v>
      </c>
      <c r="BO56" s="128">
        <v>909859.05848000001</v>
      </c>
      <c r="BP56" s="128">
        <v>915951.59245</v>
      </c>
      <c r="BQ56" s="128">
        <v>913073.54204000044</v>
      </c>
      <c r="BR56" s="128">
        <v>927907.38038000022</v>
      </c>
      <c r="BS56" s="128">
        <v>919594.86877000029</v>
      </c>
      <c r="BT56" s="128">
        <v>924202.7306100002</v>
      </c>
      <c r="BU56" s="128">
        <v>930172.78902999987</v>
      </c>
      <c r="BV56" s="128">
        <v>929778.41236000007</v>
      </c>
      <c r="BW56" s="128">
        <v>940120.19267000025</v>
      </c>
      <c r="BX56" s="128">
        <v>944592.09980999993</v>
      </c>
      <c r="BY56" s="128">
        <v>967348.66900000011</v>
      </c>
      <c r="BZ56" s="128">
        <v>961821.77744000009</v>
      </c>
      <c r="CA56" s="128">
        <v>966484.87622000009</v>
      </c>
      <c r="CB56" s="128">
        <v>977169.93616000027</v>
      </c>
      <c r="CC56" s="128">
        <v>978701.2419100001</v>
      </c>
      <c r="CD56" s="128">
        <v>962582.35757000011</v>
      </c>
      <c r="CE56" s="128">
        <v>959913.11365000019</v>
      </c>
      <c r="CF56" s="128">
        <v>966577.89016000007</v>
      </c>
      <c r="CG56" s="128">
        <v>967349.22284000018</v>
      </c>
      <c r="CH56" s="128">
        <v>983591.04563999979</v>
      </c>
      <c r="CI56" s="128">
        <v>993184.64677999984</v>
      </c>
      <c r="CJ56" s="128">
        <v>996109.79933999968</v>
      </c>
      <c r="CK56" s="128">
        <v>1019086.0026499999</v>
      </c>
      <c r="CL56" s="128">
        <f>CL16+CL21+CL41+CL54</f>
        <v>1027437.3379499998</v>
      </c>
      <c r="CM56" s="128">
        <f>CM16+CM21+CM41+CM54</f>
        <v>1035745.0914100002</v>
      </c>
      <c r="CN56" s="128">
        <f>CN16+CN21+CN41+CN54</f>
        <v>1036332.5189799999</v>
      </c>
      <c r="CO56" s="128">
        <v>1046983.3606000002</v>
      </c>
      <c r="CP56" s="128">
        <v>1052134.9567800001</v>
      </c>
      <c r="CQ56" s="128">
        <v>1047551.6080799999</v>
      </c>
      <c r="CR56" s="128">
        <f t="shared" ref="CR56:CW56" si="51">CR16+CR21+CR41+CR54</f>
        <v>1056362.1461500002</v>
      </c>
      <c r="CS56" s="128">
        <f t="shared" si="51"/>
        <v>1075627.1228800002</v>
      </c>
      <c r="CT56" s="128">
        <f t="shared" si="51"/>
        <v>1077460.4413000001</v>
      </c>
      <c r="CU56" s="128">
        <f t="shared" si="51"/>
        <v>1081661.1270000001</v>
      </c>
      <c r="CV56" s="128">
        <f t="shared" si="51"/>
        <v>1092238.7630300005</v>
      </c>
      <c r="CW56" s="128">
        <f t="shared" si="51"/>
        <v>1109086.2270700003</v>
      </c>
      <c r="CX56" s="128">
        <f t="shared" ref="CX56:DC56" si="52">CX16+CX21+CX41+CX54</f>
        <v>1124220.4602699999</v>
      </c>
      <c r="CY56" s="128">
        <f t="shared" si="52"/>
        <v>1117203.8624</v>
      </c>
      <c r="CZ56" s="128">
        <f t="shared" si="52"/>
        <v>1114893.87439</v>
      </c>
      <c r="DA56" s="128">
        <f t="shared" si="52"/>
        <v>1118672.52892</v>
      </c>
      <c r="DB56" s="128">
        <f t="shared" si="52"/>
        <v>1126393.3693500001</v>
      </c>
      <c r="DC56" s="128">
        <f t="shared" si="52"/>
        <v>1133533.4235199997</v>
      </c>
      <c r="DD56" s="128">
        <f t="shared" ref="DD56:DI56" si="53">DD16+DD21+DD41+DD54</f>
        <v>1140836.4437100003</v>
      </c>
      <c r="DE56" s="128">
        <f t="shared" si="53"/>
        <v>1147765.9900200001</v>
      </c>
      <c r="DF56" s="128">
        <f t="shared" si="53"/>
        <v>1160834.0952499998</v>
      </c>
      <c r="DG56" s="128">
        <f t="shared" si="53"/>
        <v>1180935.26844</v>
      </c>
      <c r="DH56" s="128">
        <f t="shared" si="53"/>
        <v>1201359.64811</v>
      </c>
      <c r="DI56" s="128">
        <f t="shared" si="53"/>
        <v>1224685.8870099999</v>
      </c>
      <c r="DJ56" s="128">
        <f t="shared" ref="DJ56:DO56" si="54">DJ16+DJ21+DJ41+DJ54</f>
        <v>1245851.9252299999</v>
      </c>
      <c r="DK56" s="128">
        <f t="shared" si="54"/>
        <v>1246408.9092299996</v>
      </c>
      <c r="DL56" s="128">
        <f t="shared" si="54"/>
        <v>1257593.64787</v>
      </c>
      <c r="DM56" s="128">
        <f t="shared" si="54"/>
        <v>1261451.9914099998</v>
      </c>
      <c r="DN56" s="128">
        <f t="shared" si="54"/>
        <v>1273924.8077200004</v>
      </c>
      <c r="DO56" s="128">
        <f t="shared" si="54"/>
        <v>1285251.3940599996</v>
      </c>
      <c r="DP56" s="128">
        <f t="shared" ref="DP56:DU56" si="55">DP16+DP21+DP41+DP54</f>
        <v>1298898.81721</v>
      </c>
      <c r="DQ56" s="128">
        <f t="shared" si="55"/>
        <v>1317782.3628100001</v>
      </c>
      <c r="DR56" s="128">
        <f t="shared" si="55"/>
        <v>1340764.3386000004</v>
      </c>
      <c r="DS56" s="128">
        <f t="shared" si="55"/>
        <v>1357190.2992300002</v>
      </c>
      <c r="DT56" s="128">
        <f t="shared" si="55"/>
        <v>1382140.3589399999</v>
      </c>
      <c r="DU56" s="128">
        <f t="shared" si="55"/>
        <v>1406757.1951299997</v>
      </c>
      <c r="DV56" s="128">
        <f t="shared" ref="DV56:EA56" si="56">DV16+DV21+DV41+DV54</f>
        <v>1428603.57672</v>
      </c>
      <c r="DW56" s="128">
        <f t="shared" si="56"/>
        <v>1440657.0037800004</v>
      </c>
      <c r="DX56" s="128">
        <f t="shared" si="56"/>
        <v>1451715.1169100001</v>
      </c>
      <c r="DY56" s="128">
        <f t="shared" si="56"/>
        <v>1470020.7291399997</v>
      </c>
      <c r="DZ56" s="128">
        <f t="shared" si="56"/>
        <v>1493213.2055599997</v>
      </c>
      <c r="EA56" s="128">
        <f t="shared" si="56"/>
        <v>1515171.8157800001</v>
      </c>
      <c r="EB56" s="128">
        <f t="shared" ref="EB56:EG56" si="57">EB16+EB21+EB41+EB54</f>
        <v>1535872.1685000004</v>
      </c>
      <c r="EC56" s="128">
        <f t="shared" si="57"/>
        <v>1572823.2239699995</v>
      </c>
      <c r="ED56" s="128">
        <f t="shared" si="57"/>
        <v>1598138.4987300001</v>
      </c>
      <c r="EE56" s="128">
        <f t="shared" si="57"/>
        <v>1630045.0579199996</v>
      </c>
      <c r="EF56" s="128">
        <f t="shared" si="57"/>
        <v>1664498.6577899996</v>
      </c>
      <c r="EG56" s="128">
        <f t="shared" si="57"/>
        <v>1714605.0781199997</v>
      </c>
      <c r="EH56" s="128">
        <f t="shared" ref="EH56:EM56" si="58">EH16+EH21+EH41+EH54</f>
        <v>1742610.5259999994</v>
      </c>
      <c r="EI56" s="128">
        <f t="shared" si="58"/>
        <v>1765420.0003699998</v>
      </c>
      <c r="EJ56" s="128">
        <f t="shared" si="58"/>
        <v>1781368.5336600002</v>
      </c>
      <c r="EK56" s="128">
        <f t="shared" si="58"/>
        <v>1797765.6539399999</v>
      </c>
      <c r="EL56" s="128">
        <f t="shared" si="58"/>
        <v>1806154.1584799998</v>
      </c>
      <c r="EM56" s="128">
        <f t="shared" si="58"/>
        <v>1825581.5122899995</v>
      </c>
      <c r="EN56" s="128">
        <f t="shared" ref="EN56:ET56" si="59">EN16+EN21+EN41+EN54</f>
        <v>1851639.4994399997</v>
      </c>
      <c r="EO56" s="128">
        <f t="shared" si="59"/>
        <v>1869701.8853399998</v>
      </c>
      <c r="EP56" s="128">
        <f t="shared" si="59"/>
        <v>1892848.811759999</v>
      </c>
      <c r="EQ56" s="128">
        <f t="shared" si="59"/>
        <v>1927505.7080899999</v>
      </c>
      <c r="ER56" s="128">
        <f t="shared" si="59"/>
        <v>1958911.4607199999</v>
      </c>
      <c r="ES56" s="128">
        <f t="shared" si="59"/>
        <v>1990225.3773999996</v>
      </c>
      <c r="ET56" s="471">
        <f t="shared" si="59"/>
        <v>1840333.708123846</v>
      </c>
      <c r="EU56" s="126"/>
      <c r="EV56" s="126"/>
      <c r="HL56" s="35"/>
      <c r="HM56" s="252"/>
      <c r="HN56" s="217"/>
      <c r="HO56" s="35"/>
      <c r="HP56" s="35"/>
      <c r="HQ56" s="35"/>
      <c r="HR56" s="35"/>
      <c r="HS56" s="35"/>
      <c r="HT56" s="35"/>
      <c r="HU56" s="35"/>
      <c r="HV56" s="35"/>
      <c r="HW56" s="35"/>
      <c r="HX56" s="35"/>
      <c r="HY56" s="35"/>
      <c r="HZ56" s="35"/>
      <c r="IA56" s="35"/>
    </row>
    <row r="57" spans="1:235" ht="13.5" thickTop="1">
      <c r="A57" s="30"/>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v>4.1500000515952706E-3</v>
      </c>
      <c r="AP57" s="125">
        <v>0</v>
      </c>
      <c r="AQ57" s="125">
        <v>0</v>
      </c>
      <c r="AR57" s="125">
        <v>0</v>
      </c>
      <c r="AS57" s="202">
        <v>0</v>
      </c>
      <c r="AT57" s="202">
        <v>0</v>
      </c>
      <c r="AU57" s="202">
        <v>0</v>
      </c>
      <c r="AV57" s="202">
        <v>0</v>
      </c>
      <c r="AW57" s="202">
        <v>0</v>
      </c>
      <c r="AX57" s="202">
        <v>0</v>
      </c>
      <c r="AY57" s="202">
        <v>0</v>
      </c>
      <c r="AZ57" s="202">
        <v>0</v>
      </c>
      <c r="BA57" s="202">
        <v>0</v>
      </c>
      <c r="BB57" s="202">
        <v>0.23600000003352761</v>
      </c>
      <c r="BC57" s="202">
        <v>-0.22675999987404794</v>
      </c>
      <c r="BD57" s="202">
        <v>0.51109000004362315</v>
      </c>
      <c r="BE57" s="202">
        <v>0.16843999980483204</v>
      </c>
      <c r="BF57" s="202">
        <v>-6.5549999941140413E-2</v>
      </c>
      <c r="BG57" s="202">
        <v>0.29253000032622367</v>
      </c>
      <c r="BH57" s="202">
        <v>-0.3767700003227219</v>
      </c>
      <c r="BI57" s="202">
        <v>1.9579999847337604E-2</v>
      </c>
      <c r="BJ57" s="202">
        <v>0.32998000038787723</v>
      </c>
      <c r="BK57" s="202">
        <v>-0.30011000018566847</v>
      </c>
      <c r="BL57" s="202">
        <v>-0.51519000018015504</v>
      </c>
      <c r="BM57" s="202">
        <v>0.26423000020440668</v>
      </c>
      <c r="BN57" s="202">
        <v>0.2717500003054738</v>
      </c>
      <c r="BO57" s="202">
        <v>5.8479999890550971E-2</v>
      </c>
      <c r="BP57" s="202">
        <v>9.2450000112876296E-2</v>
      </c>
      <c r="BQ57" s="202">
        <v>0.1420400005299598</v>
      </c>
      <c r="BR57" s="202">
        <v>8.0380000406876206E-2</v>
      </c>
      <c r="BS57" s="202">
        <v>6.877000059466809E-2</v>
      </c>
      <c r="BT57" s="202">
        <v>3.0610000248998404E-2</v>
      </c>
      <c r="BU57" s="202">
        <v>-0.21097000024747103</v>
      </c>
      <c r="BV57" s="202">
        <v>-0.18763999990187585</v>
      </c>
      <c r="BW57" s="202">
        <v>-0.20732999953906983</v>
      </c>
      <c r="BX57" s="202">
        <v>-0.10019000002648681</v>
      </c>
      <c r="BY57" s="202">
        <v>0.26900000032037497</v>
      </c>
      <c r="BZ57" s="202">
        <v>-0.22255999990738928</v>
      </c>
      <c r="CA57" s="202">
        <v>-0.32377999997697771</v>
      </c>
      <c r="CB57" s="202">
        <v>-0.16383999958634377</v>
      </c>
      <c r="CC57" s="202">
        <v>-5.8089999947696924E-2</v>
      </c>
      <c r="CD57" s="202">
        <v>-4.24299999140203E-2</v>
      </c>
      <c r="CE57" s="512">
        <v>-0.10334999983479065</v>
      </c>
      <c r="CF57" s="512">
        <v>9.515999997529434E-2</v>
      </c>
      <c r="CG57" s="512">
        <v>-0.16615999980058405</v>
      </c>
      <c r="CH57" s="512">
        <v>-0.15136000029906427</v>
      </c>
      <c r="CI57" s="512">
        <v>3.177999995295977E-2</v>
      </c>
      <c r="CJ57" s="512">
        <v>-0.28566000027603877</v>
      </c>
      <c r="CK57" s="512">
        <v>-4.0350000173930312E-2</v>
      </c>
      <c r="CL57" s="512">
        <v>-8.0050000531628029E-2</v>
      </c>
      <c r="CM57" s="512">
        <v>9.4410000061543542E-2</v>
      </c>
      <c r="CN57" s="512">
        <v>-5.9020000042437459E-2</v>
      </c>
      <c r="CO57" s="512">
        <v>-0.10439999980007997</v>
      </c>
      <c r="CP57" s="512">
        <v>-6.0219999970286153E-2</v>
      </c>
      <c r="CQ57" s="512">
        <v>-0.22592000017539249</v>
      </c>
      <c r="CR57" s="512">
        <v>-7.0849999699930777E-2</v>
      </c>
      <c r="CS57" s="512">
        <v>-0.24411999989206379</v>
      </c>
      <c r="CT57" s="512">
        <v>0.25730000020303123</v>
      </c>
      <c r="CU57" s="512">
        <v>-0.30800000004637695</v>
      </c>
      <c r="CV57" s="512">
        <v>-5.4969999599052244E-2</v>
      </c>
      <c r="CW57" s="512">
        <v>-0.50792999983787013</v>
      </c>
      <c r="CX57" s="512">
        <v>0.20926999964467541</v>
      </c>
      <c r="CY57" s="512">
        <v>-4.7600000389138586E-2</v>
      </c>
      <c r="CZ57" s="512">
        <v>-4.0610000081869657E-2</v>
      </c>
      <c r="DA57" s="512">
        <v>-3.8079999767433037E-2</v>
      </c>
      <c r="DB57" s="512">
        <v>9.9349999956757529E-2</v>
      </c>
      <c r="DC57" s="512">
        <v>-0.20548000018607127</v>
      </c>
      <c r="DD57" s="512">
        <v>-0.19328999984099937</v>
      </c>
      <c r="DE57" s="512">
        <v>9.0020000328877359E-2</v>
      </c>
      <c r="DF57" s="512">
        <v>-0.32575000022006861</v>
      </c>
      <c r="DG57" s="512">
        <v>-0.33355999984814844</v>
      </c>
      <c r="DH57" s="512">
        <v>-9.6890000422718003E-2</v>
      </c>
      <c r="DI57" s="512">
        <v>-0.26499000000512751</v>
      </c>
      <c r="DJ57" s="512">
        <v>-0.16476999992482888</v>
      </c>
      <c r="DK57" s="512">
        <v>-9.2770000544987852E-2</v>
      </c>
      <c r="DL57" s="512">
        <v>-0.14212999992196274</v>
      </c>
      <c r="DM57" s="512">
        <v>-6.5590000263910042E-2</v>
      </c>
      <c r="DN57" s="512">
        <v>-0.29727999956412532</v>
      </c>
      <c r="DO57" s="512">
        <v>0.35705999989113479</v>
      </c>
      <c r="DP57" s="512">
        <v>-0.13678999990042939</v>
      </c>
      <c r="DQ57" s="512">
        <v>-0.19618999968952266</v>
      </c>
      <c r="DR57" s="512">
        <v>8.3600000458318391E-2</v>
      </c>
      <c r="DS57" s="512">
        <v>-0.14476999976250227</v>
      </c>
      <c r="DT57" s="512">
        <v>-7.0059999912700732E-2</v>
      </c>
      <c r="DU57" s="512">
        <v>-1.5870000530412653E-2</v>
      </c>
      <c r="DV57" s="512">
        <v>0.41972000001078413</v>
      </c>
      <c r="DW57" s="512">
        <v>-0.30621999980758119</v>
      </c>
      <c r="DX57" s="512">
        <v>-0.35708999953021703</v>
      </c>
      <c r="DY57" s="512">
        <v>-0.1448600003732281</v>
      </c>
      <c r="DZ57" s="512">
        <v>0.24556000005577516</v>
      </c>
      <c r="EA57" s="512">
        <v>8.078000020213949E-2</v>
      </c>
      <c r="EB57" s="512">
        <v>-0.33049999952891085</v>
      </c>
      <c r="EC57" s="512">
        <v>-0.33003000081225764</v>
      </c>
      <c r="ED57" s="512">
        <v>-0.30326999961289403</v>
      </c>
      <c r="EE57" s="512">
        <v>-0.10308000041550258</v>
      </c>
      <c r="EF57" s="512">
        <v>-0.41221000010227726</v>
      </c>
      <c r="EG57" s="512">
        <v>2516.6611199999152</v>
      </c>
      <c r="EH57" s="512">
        <v>-0.38100000039594306</v>
      </c>
      <c r="EI57" s="512">
        <v>-0.54262999979255255</v>
      </c>
      <c r="EJ57" s="512">
        <v>-0.10634000018217193</v>
      </c>
      <c r="EK57" s="512">
        <v>-4.5059999709337717E-2</v>
      </c>
      <c r="EL57" s="512">
        <v>-0.26252000043677981</v>
      </c>
      <c r="EM57" s="512">
        <v>0.10328999979719811</v>
      </c>
      <c r="EN57" s="512">
        <v>3.6439999832509784E-2</v>
      </c>
      <c r="EO57" s="512">
        <v>-0.29966000019521744</v>
      </c>
      <c r="EP57" s="512">
        <v>-6.4240000700010569E-2</v>
      </c>
      <c r="EQ57" s="512">
        <v>-2.9909999821029487E-2</v>
      </c>
      <c r="ER57" s="512">
        <v>-1.0279999956765096E-2</v>
      </c>
      <c r="ES57" s="512">
        <v>-1.6000003051885869E-3</v>
      </c>
      <c r="ET57" s="467">
        <f>SUM(EH57:ES57)/13</f>
        <v>-0.1233469232204068</v>
      </c>
      <c r="EU57" s="801"/>
      <c r="EV57" s="801"/>
      <c r="HL57" s="35"/>
      <c r="HM57" s="252"/>
      <c r="HN57" s="217"/>
      <c r="HO57" s="35"/>
      <c r="HP57" s="35"/>
      <c r="HQ57" s="35"/>
      <c r="HR57" s="35"/>
      <c r="HS57" s="35"/>
      <c r="HT57" s="35"/>
      <c r="HU57" s="35"/>
      <c r="HV57" s="35"/>
      <c r="HW57" s="35"/>
      <c r="HX57" s="35"/>
      <c r="HY57" s="35"/>
      <c r="HZ57" s="35"/>
      <c r="IA57" s="35"/>
    </row>
    <row r="58" spans="1:235">
      <c r="A58" s="19" t="s">
        <v>256</v>
      </c>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HL58" s="35"/>
      <c r="HM58" s="249"/>
      <c r="HN58" s="35"/>
      <c r="HO58" s="35"/>
      <c r="HP58" s="35"/>
      <c r="HQ58" s="35"/>
      <c r="HR58" s="35"/>
      <c r="HS58" s="35"/>
      <c r="HT58" s="35"/>
      <c r="HU58" s="35"/>
      <c r="HV58" s="35"/>
      <c r="HW58" s="35"/>
      <c r="HX58" s="35"/>
      <c r="HY58" s="35"/>
      <c r="HZ58" s="35"/>
      <c r="IA58" s="35"/>
    </row>
    <row r="59" spans="1:235">
      <c r="A59" s="30"/>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HL59" s="35"/>
      <c r="HM59" s="252"/>
      <c r="HN59" s="258"/>
      <c r="HO59" s="35"/>
      <c r="HP59" s="35"/>
      <c r="HQ59" s="35"/>
      <c r="HR59" s="35"/>
      <c r="HS59" s="35"/>
      <c r="HT59" s="35"/>
      <c r="HU59" s="35"/>
      <c r="HV59" s="35"/>
      <c r="HW59" s="35"/>
      <c r="HX59" s="35"/>
      <c r="HY59" s="35"/>
      <c r="HZ59" s="35"/>
      <c r="IA59" s="35"/>
    </row>
    <row r="60" spans="1:235">
      <c r="A60" s="27" t="s">
        <v>258</v>
      </c>
      <c r="B60" s="121">
        <v>0</v>
      </c>
      <c r="C60" s="121">
        <v>0</v>
      </c>
      <c r="D60" s="121">
        <v>0</v>
      </c>
      <c r="E60" s="121">
        <v>0</v>
      </c>
      <c r="F60" s="121">
        <v>0</v>
      </c>
      <c r="G60" s="121">
        <v>0</v>
      </c>
      <c r="H60" s="121">
        <v>0</v>
      </c>
      <c r="I60" s="121">
        <v>0</v>
      </c>
      <c r="J60" s="121">
        <v>0</v>
      </c>
      <c r="K60" s="121">
        <v>0</v>
      </c>
      <c r="L60" s="121">
        <v>0</v>
      </c>
      <c r="M60" s="121">
        <v>0</v>
      </c>
      <c r="N60" s="121">
        <v>0</v>
      </c>
      <c r="O60" s="121">
        <v>0</v>
      </c>
      <c r="P60" s="121">
        <v>0</v>
      </c>
      <c r="Q60" s="121">
        <v>0</v>
      </c>
      <c r="R60" s="121">
        <v>0</v>
      </c>
      <c r="S60" s="121">
        <v>0</v>
      </c>
      <c r="T60" s="121">
        <v>0</v>
      </c>
      <c r="U60" s="121">
        <v>0</v>
      </c>
      <c r="V60" s="121">
        <v>0</v>
      </c>
      <c r="W60" s="121">
        <v>0</v>
      </c>
      <c r="X60" s="121">
        <v>0</v>
      </c>
      <c r="Y60" s="121">
        <v>0</v>
      </c>
      <c r="Z60" s="121">
        <v>0</v>
      </c>
      <c r="AA60" s="121">
        <v>0</v>
      </c>
      <c r="AB60" s="121">
        <v>0</v>
      </c>
      <c r="AC60" s="121">
        <v>0</v>
      </c>
      <c r="AD60" s="121">
        <v>0</v>
      </c>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HL60" s="35"/>
      <c r="HM60" s="250"/>
      <c r="HN60" s="258"/>
      <c r="HO60" s="35"/>
      <c r="HP60" s="35"/>
      <c r="HQ60" s="35"/>
      <c r="HR60" s="35"/>
      <c r="HS60" s="35"/>
      <c r="HT60" s="35"/>
      <c r="HU60" s="35"/>
      <c r="HV60" s="35"/>
      <c r="HW60" s="35"/>
      <c r="HX60" s="35"/>
      <c r="HY60" s="35"/>
      <c r="HZ60" s="35"/>
      <c r="IA60" s="35"/>
    </row>
    <row r="61" spans="1:235">
      <c r="A61" s="27" t="s">
        <v>259</v>
      </c>
      <c r="B61" s="121">
        <v>155550.16918999999</v>
      </c>
      <c r="C61" s="121">
        <v>155550.16918999999</v>
      </c>
      <c r="D61" s="121">
        <v>155550.16918999999</v>
      </c>
      <c r="E61" s="121">
        <v>155550.16918999999</v>
      </c>
      <c r="F61" s="121">
        <v>155550.16918999999</v>
      </c>
      <c r="G61" s="121">
        <v>155550.16918999999</v>
      </c>
      <c r="H61" s="121">
        <v>165550.16918999999</v>
      </c>
      <c r="I61" s="121">
        <v>165550.16918999999</v>
      </c>
      <c r="J61" s="121">
        <v>165550.16918999999</v>
      </c>
      <c r="K61" s="121">
        <v>165550.16918999999</v>
      </c>
      <c r="L61" s="121">
        <v>165550.16918999999</v>
      </c>
      <c r="M61" s="121">
        <v>165550.16918999999</v>
      </c>
      <c r="N61" s="121">
        <v>165550.16918999999</v>
      </c>
      <c r="O61" s="121">
        <v>165550</v>
      </c>
      <c r="P61" s="121">
        <v>165550</v>
      </c>
      <c r="Q61" s="121">
        <v>165550</v>
      </c>
      <c r="R61" s="121">
        <v>165550</v>
      </c>
      <c r="S61" s="121">
        <v>165550</v>
      </c>
      <c r="T61" s="121">
        <v>165550</v>
      </c>
      <c r="U61" s="121">
        <v>165550</v>
      </c>
      <c r="V61" s="121">
        <v>165550</v>
      </c>
      <c r="W61" s="121">
        <v>165550</v>
      </c>
      <c r="X61" s="121">
        <v>165550.16899999999</v>
      </c>
      <c r="Y61" s="121">
        <v>165550</v>
      </c>
      <c r="Z61" s="121">
        <v>165550</v>
      </c>
      <c r="AA61" s="121">
        <v>165550</v>
      </c>
      <c r="AB61" s="121">
        <v>165550</v>
      </c>
      <c r="AC61" s="121">
        <v>165550</v>
      </c>
      <c r="AD61" s="121">
        <v>165550</v>
      </c>
      <c r="AE61" s="121">
        <v>165550</v>
      </c>
      <c r="AF61" s="121">
        <v>165550</v>
      </c>
      <c r="AG61" s="121">
        <v>165550</v>
      </c>
      <c r="AH61" s="121">
        <v>165550</v>
      </c>
      <c r="AI61" s="211">
        <v>165550.16919000002</v>
      </c>
      <c r="AJ61" s="211">
        <v>165550.16919000002</v>
      </c>
      <c r="AK61" s="211">
        <v>173550.16919000002</v>
      </c>
      <c r="AL61" s="211">
        <v>173550.16919000002</v>
      </c>
      <c r="AM61" s="234">
        <v>173550.16919000002</v>
      </c>
      <c r="AN61" s="234">
        <v>175550.16919000002</v>
      </c>
      <c r="AO61" s="234">
        <v>175550.16919000002</v>
      </c>
      <c r="AP61" s="234">
        <v>175550.16919000002</v>
      </c>
      <c r="AQ61" s="234">
        <v>175550.16919000002</v>
      </c>
      <c r="AR61" s="234">
        <v>175550.16919000002</v>
      </c>
      <c r="AS61" s="246">
        <v>175550.16919000002</v>
      </c>
      <c r="AT61" s="246">
        <v>185550.16919000002</v>
      </c>
      <c r="AU61" s="246">
        <v>185550.16919000002</v>
      </c>
      <c r="AV61" s="246">
        <v>185550.16919000002</v>
      </c>
      <c r="AW61" s="246">
        <v>185550.16919000002</v>
      </c>
      <c r="AX61" s="246">
        <v>185550.16919000002</v>
      </c>
      <c r="AY61" s="246">
        <v>185550.16919000002</v>
      </c>
      <c r="AZ61" s="246">
        <v>185550.16919000002</v>
      </c>
      <c r="BA61" s="387">
        <v>185550.16919000002</v>
      </c>
      <c r="BB61" s="387">
        <v>185550.16919000002</v>
      </c>
      <c r="BC61" s="387">
        <v>192550.16919000002</v>
      </c>
      <c r="BD61" s="387">
        <v>192550.16919000002</v>
      </c>
      <c r="BE61" s="387">
        <v>192550.16919000002</v>
      </c>
      <c r="BF61" s="387">
        <v>202550.16919000002</v>
      </c>
      <c r="BG61" s="243">
        <v>202550.16919000002</v>
      </c>
      <c r="BH61" s="243">
        <v>202550.16919000002</v>
      </c>
      <c r="BI61" s="243">
        <v>205050.16919000002</v>
      </c>
      <c r="BJ61" s="243">
        <v>205050.16919000002</v>
      </c>
      <c r="BK61" s="243">
        <v>205050.16919000002</v>
      </c>
      <c r="BL61" s="243">
        <v>210550.16919000002</v>
      </c>
      <c r="BM61" s="243">
        <v>210550.16919000002</v>
      </c>
      <c r="BN61" s="243">
        <v>210550.16919000002</v>
      </c>
      <c r="BO61" s="243">
        <v>210550.16919000002</v>
      </c>
      <c r="BP61" s="243">
        <v>210550.16919000002</v>
      </c>
      <c r="BQ61" s="243">
        <v>210550.16919000002</v>
      </c>
      <c r="BR61" s="243">
        <v>220550.16919000002</v>
      </c>
      <c r="BS61" s="243">
        <v>220550.16919000002</v>
      </c>
      <c r="BT61" s="243">
        <v>220550.16919000002</v>
      </c>
      <c r="BU61" s="243">
        <v>228550.16919000002</v>
      </c>
      <c r="BV61" s="243">
        <v>228550.16919000002</v>
      </c>
      <c r="BW61" s="243">
        <v>228550.16919000002</v>
      </c>
      <c r="BX61" s="243">
        <v>235550.16919000002</v>
      </c>
      <c r="BY61" s="243">
        <v>235550.16919000002</v>
      </c>
      <c r="BZ61" s="243">
        <v>235550.16919000002</v>
      </c>
      <c r="CA61" s="243">
        <v>235550.16919000002</v>
      </c>
      <c r="CB61" s="243">
        <v>235550.16919000002</v>
      </c>
      <c r="CC61" s="243">
        <v>235550.16919000002</v>
      </c>
      <c r="CD61" s="243">
        <v>235550.16919000002</v>
      </c>
      <c r="CE61" s="243">
        <v>235550.16919000002</v>
      </c>
      <c r="CF61" s="243">
        <v>235550.16919000002</v>
      </c>
      <c r="CG61" s="243">
        <v>235550.16919000002</v>
      </c>
      <c r="CH61" s="243">
        <v>235550.16919000002</v>
      </c>
      <c r="CI61" s="243">
        <v>235550.16919000002</v>
      </c>
      <c r="CJ61" s="243">
        <v>235550.16919000002</v>
      </c>
      <c r="CK61" s="243">
        <v>235550.16919000002</v>
      </c>
      <c r="CL61" s="243">
        <v>235550.16919000002</v>
      </c>
      <c r="CM61" s="243">
        <v>242550.16919000002</v>
      </c>
      <c r="CN61" s="243">
        <v>242550.16919000002</v>
      </c>
      <c r="CO61" s="243">
        <v>242550.16919000002</v>
      </c>
      <c r="CP61" s="243">
        <v>258550.16919000002</v>
      </c>
      <c r="CQ61" s="243">
        <v>258550.16919000002</v>
      </c>
      <c r="CR61" s="243">
        <v>258550.16919000002</v>
      </c>
      <c r="CS61" s="243">
        <v>268550.16918999999</v>
      </c>
      <c r="CT61" s="243">
        <v>268550.16918999999</v>
      </c>
      <c r="CU61" s="243">
        <v>268550.16918999999</v>
      </c>
      <c r="CV61" s="243">
        <v>275550.16918999999</v>
      </c>
      <c r="CW61" s="243">
        <v>275550.16918999999</v>
      </c>
      <c r="CX61" s="243">
        <v>275550.16918999999</v>
      </c>
      <c r="CY61" s="243">
        <v>285550.16918999999</v>
      </c>
      <c r="CZ61" s="243">
        <v>285550.16918999999</v>
      </c>
      <c r="DA61" s="243">
        <v>285550.16918999999</v>
      </c>
      <c r="DB61" s="243">
        <v>300550.16918999999</v>
      </c>
      <c r="DC61" s="243">
        <v>300550.16918999999</v>
      </c>
      <c r="DD61" s="243">
        <v>300550.16918999999</v>
      </c>
      <c r="DE61" s="243">
        <v>310550.16918999999</v>
      </c>
      <c r="DF61" s="243">
        <v>310550.16918999999</v>
      </c>
      <c r="DG61" s="243">
        <v>310550.16918999999</v>
      </c>
      <c r="DH61" s="243">
        <v>320550.16918999999</v>
      </c>
      <c r="DI61" s="243">
        <v>320550.16918999999</v>
      </c>
      <c r="DJ61" s="243">
        <v>320550.16918999999</v>
      </c>
      <c r="DK61" s="243">
        <v>355550.16918999999</v>
      </c>
      <c r="DL61" s="243">
        <v>355550.16918999999</v>
      </c>
      <c r="DM61" s="243">
        <v>355550.16918999999</v>
      </c>
      <c r="DN61" s="243">
        <v>390550.16918999999</v>
      </c>
      <c r="DO61" s="243">
        <v>390550.16918999999</v>
      </c>
      <c r="DP61" s="243">
        <v>390550.16918999999</v>
      </c>
      <c r="DQ61" s="243">
        <v>390550.16918999999</v>
      </c>
      <c r="DR61" s="243">
        <v>415550.16918999999</v>
      </c>
      <c r="DS61" s="243">
        <v>415550.16918999999</v>
      </c>
      <c r="DT61" s="243">
        <v>415550.16918999999</v>
      </c>
      <c r="DU61" s="243">
        <v>415550.16918999999</v>
      </c>
      <c r="DV61" s="243">
        <v>415550.16918999999</v>
      </c>
      <c r="DW61" s="243">
        <v>455550.16918999999</v>
      </c>
      <c r="DX61" s="243">
        <v>455550.16918999999</v>
      </c>
      <c r="DY61" s="243">
        <v>455550.16918999999</v>
      </c>
      <c r="DZ61" s="243">
        <v>485550.16918999999</v>
      </c>
      <c r="EA61" s="243">
        <v>485550.16918999999</v>
      </c>
      <c r="EB61" s="243">
        <v>485550.16918999999</v>
      </c>
      <c r="EC61" s="243">
        <v>530550.16919000004</v>
      </c>
      <c r="ED61" s="243">
        <v>530550.16919000004</v>
      </c>
      <c r="EE61" s="243">
        <v>530550.16919000004</v>
      </c>
      <c r="EF61" s="243">
        <v>545550.16919000004</v>
      </c>
      <c r="EG61" s="243">
        <v>545550.16919000004</v>
      </c>
      <c r="EH61" s="243">
        <v>545550.16919000004</v>
      </c>
      <c r="EI61" s="243">
        <v>585550.16919000004</v>
      </c>
      <c r="EJ61" s="243">
        <v>585550.16919000004</v>
      </c>
      <c r="EK61" s="243">
        <v>585550.16919000004</v>
      </c>
      <c r="EL61" s="243">
        <v>605550.16919000004</v>
      </c>
      <c r="EM61" s="243">
        <v>605550.16919000004</v>
      </c>
      <c r="EN61" s="243">
        <v>605550.16919000004</v>
      </c>
      <c r="EO61" s="243">
        <v>640550.16919000004</v>
      </c>
      <c r="EP61" s="243">
        <v>640550.16919000004</v>
      </c>
      <c r="EQ61" s="243">
        <f>-(VLOOKUP("207",'Input BS ACCTS'!$A$5:$DD$1052,98,FALSE)+VLOOKUP("211",'Input BS ACCTS'!$A$5:$DD$1052,98,FALSE))/1000</f>
        <v>640550.16919000004</v>
      </c>
      <c r="ER61" s="243">
        <f>-(VLOOKUP("207",'Input BS ACCTS'!$A$5:$DD$1052,99,FALSE)+VLOOKUP("211",'Input BS ACCTS'!$A$5:$DD$1052,99,FALSE))/1000</f>
        <v>665550.16919000004</v>
      </c>
      <c r="ES61" s="243">
        <f>-(VLOOKUP("207",'Input BS ACCTS'!$A$5:$DD$1052,100,FALSE)+VLOOKUP("211",'Input BS ACCTS'!$A$5:$DD$1052,100,FALSE))/1000</f>
        <v>665550.16919000004</v>
      </c>
      <c r="ET61" s="467">
        <f>SUM(EG61:ES61)/13</f>
        <v>609011.70765153831</v>
      </c>
      <c r="EU61" s="801"/>
      <c r="EV61" s="801"/>
      <c r="HL61" s="35"/>
      <c r="HM61" s="253"/>
      <c r="HN61" s="258"/>
      <c r="HO61" s="35"/>
      <c r="HP61" s="35"/>
      <c r="HQ61" s="35"/>
      <c r="HR61" s="35"/>
      <c r="HS61" s="35"/>
      <c r="HT61" s="35"/>
      <c r="HU61" s="35"/>
      <c r="HV61" s="35"/>
      <c r="HW61" s="35"/>
      <c r="HX61" s="35"/>
      <c r="HY61" s="35"/>
      <c r="HZ61" s="35"/>
      <c r="IA61" s="35"/>
    </row>
    <row r="62" spans="1:235">
      <c r="A62" s="190" t="s">
        <v>260</v>
      </c>
      <c r="B62" s="191">
        <v>109294.75547000002</v>
      </c>
      <c r="C62" s="191">
        <v>108229.94647000001</v>
      </c>
      <c r="D62" s="191">
        <v>114558.24647000001</v>
      </c>
      <c r="E62" s="191">
        <v>118603.64147000002</v>
      </c>
      <c r="F62" s="191">
        <v>126091.14847000001</v>
      </c>
      <c r="G62" s="191">
        <v>120646.61447000001</v>
      </c>
      <c r="H62" s="191">
        <v>126151.00147000002</v>
      </c>
      <c r="I62" s="191">
        <v>129965.31547000002</v>
      </c>
      <c r="J62" s="191">
        <v>115600.53347000001</v>
      </c>
      <c r="K62" s="191">
        <v>114806.79447000001</v>
      </c>
      <c r="L62" s="191">
        <v>117053.51447000001</v>
      </c>
      <c r="M62" s="191">
        <v>107798.70347000001</v>
      </c>
      <c r="N62" s="191">
        <v>107151.12447000001</v>
      </c>
      <c r="O62" s="191">
        <v>108917</v>
      </c>
      <c r="P62" s="191">
        <v>107379</v>
      </c>
      <c r="Q62" s="191">
        <v>110951</v>
      </c>
      <c r="R62" s="191">
        <v>118333</v>
      </c>
      <c r="S62" s="191">
        <v>118965</v>
      </c>
      <c r="T62" s="191">
        <v>122503</v>
      </c>
      <c r="U62" s="191">
        <v>125500</v>
      </c>
      <c r="V62" s="191">
        <v>113103.238</v>
      </c>
      <c r="W62" s="191">
        <v>113654.605</v>
      </c>
      <c r="X62" s="191">
        <v>115531.21500000001</v>
      </c>
      <c r="Y62" s="191">
        <v>107431.10881999999</v>
      </c>
      <c r="Z62" s="191">
        <v>109535.76274999999</v>
      </c>
      <c r="AA62" s="191">
        <v>110994.13166</v>
      </c>
      <c r="AB62" s="191">
        <v>110160.34196999999</v>
      </c>
      <c r="AC62" s="191">
        <v>113528.64700000001</v>
      </c>
      <c r="AD62" s="191">
        <v>118624</v>
      </c>
      <c r="AE62" s="191">
        <v>115455.992</v>
      </c>
      <c r="AF62" s="191">
        <v>118617</v>
      </c>
      <c r="AG62" s="191">
        <v>122076.16545999999</v>
      </c>
      <c r="AH62" s="191">
        <v>114016</v>
      </c>
      <c r="AI62" s="224">
        <v>116322.30747000001</v>
      </c>
      <c r="AJ62" s="224">
        <v>118623.31238</v>
      </c>
      <c r="AK62" s="224">
        <v>111459.37164</v>
      </c>
      <c r="AL62" s="224">
        <v>113519.41815</v>
      </c>
      <c r="AM62" s="240">
        <v>107938.38733000001</v>
      </c>
      <c r="AN62" s="240">
        <v>110329.66400999999</v>
      </c>
      <c r="AO62" s="234">
        <v>113360.77571</v>
      </c>
      <c r="AP62" s="234">
        <v>118546.73678000001</v>
      </c>
      <c r="AQ62" s="234">
        <v>116037.67297000001</v>
      </c>
      <c r="AR62" s="234">
        <v>121033.89447</v>
      </c>
      <c r="AS62" s="246">
        <v>125032.48626000001</v>
      </c>
      <c r="AT62" s="246">
        <v>115259.77868999999</v>
      </c>
      <c r="AU62" s="246">
        <v>117152.52176999999</v>
      </c>
      <c r="AV62" s="246">
        <v>108147.84500999999</v>
      </c>
      <c r="AW62" s="246">
        <v>109479.60280000001</v>
      </c>
      <c r="AX62" s="246">
        <v>111504.75254</v>
      </c>
      <c r="AY62" s="246">
        <v>107981.54383</v>
      </c>
      <c r="AZ62" s="246">
        <v>111571.88115</v>
      </c>
      <c r="BA62" s="387">
        <v>113841.66134999999</v>
      </c>
      <c r="BB62" s="387">
        <v>111660.57131</v>
      </c>
      <c r="BC62" s="387">
        <v>116163.19815</v>
      </c>
      <c r="BD62" s="387">
        <v>121045.08171</v>
      </c>
      <c r="BE62" s="387">
        <v>112372.27353999999</v>
      </c>
      <c r="BF62" s="387">
        <v>114186.48793999999</v>
      </c>
      <c r="BG62" s="243">
        <v>116665.03001999999</v>
      </c>
      <c r="BH62" s="243">
        <v>108377.66984</v>
      </c>
      <c r="BI62" s="243">
        <v>110088.73094000001</v>
      </c>
      <c r="BJ62" s="243">
        <v>111423.39767999999</v>
      </c>
      <c r="BK62" s="243">
        <v>107968.84884000001</v>
      </c>
      <c r="BL62" s="243">
        <v>110793.95643999999</v>
      </c>
      <c r="BM62" s="243">
        <v>114523.84291999998</v>
      </c>
      <c r="BN62" s="243">
        <v>120069.51996999999</v>
      </c>
      <c r="BO62" s="243">
        <v>118450.78774</v>
      </c>
      <c r="BP62" s="243">
        <v>122572.27042999999</v>
      </c>
      <c r="BQ62" s="243">
        <v>110707.12529</v>
      </c>
      <c r="BR62" s="243">
        <v>113050.94301999999</v>
      </c>
      <c r="BS62" s="243">
        <v>115846.7638</v>
      </c>
      <c r="BT62" s="243">
        <v>108844.00087999999</v>
      </c>
      <c r="BU62" s="243">
        <v>111355.67753</v>
      </c>
      <c r="BV62" s="243">
        <v>113216.12493999999</v>
      </c>
      <c r="BW62" s="243">
        <v>115381.13481999999</v>
      </c>
      <c r="BX62" s="243">
        <v>110047.09287000001</v>
      </c>
      <c r="BY62" s="243">
        <v>112996.12616</v>
      </c>
      <c r="BZ62" s="243">
        <v>118293.50645</v>
      </c>
      <c r="CA62" s="243">
        <v>117913.11188</v>
      </c>
      <c r="CB62" s="243">
        <v>120286.27734999999</v>
      </c>
      <c r="CC62" s="243">
        <v>123232.29181</v>
      </c>
      <c r="CD62" s="243">
        <v>112306.85191000001</v>
      </c>
      <c r="CE62" s="243">
        <v>105536.92300999998</v>
      </c>
      <c r="CF62" s="243">
        <v>108153.02065999999</v>
      </c>
      <c r="CG62" s="243">
        <v>110172.89644</v>
      </c>
      <c r="CH62" s="243">
        <v>112131.87251999999</v>
      </c>
      <c r="CI62" s="243">
        <v>115075.85338</v>
      </c>
      <c r="CJ62" s="243">
        <v>112221.90700000001</v>
      </c>
      <c r="CK62" s="243">
        <v>114275.15604999999</v>
      </c>
      <c r="CL62" s="243">
        <v>119639.98492999999</v>
      </c>
      <c r="CM62" s="243">
        <v>115503.88343999999</v>
      </c>
      <c r="CN62" s="243">
        <v>120040.67487</v>
      </c>
      <c r="CO62" s="243">
        <v>123871.64290000001</v>
      </c>
      <c r="CP62" s="243">
        <v>116300.72661</v>
      </c>
      <c r="CQ62" s="243">
        <v>118382.34568000001</v>
      </c>
      <c r="CR62" s="243">
        <v>121141.22944</v>
      </c>
      <c r="CS62" s="243">
        <v>111552.00487999999</v>
      </c>
      <c r="CT62" s="243">
        <v>114259.92331</v>
      </c>
      <c r="CU62" s="243">
        <v>116890.07322000001</v>
      </c>
      <c r="CV62" s="243">
        <v>112995.99304</v>
      </c>
      <c r="CW62" s="243">
        <v>118580.11211</v>
      </c>
      <c r="CX62" s="243">
        <v>127882.21840000001</v>
      </c>
      <c r="CY62" s="243">
        <v>118020.16909</v>
      </c>
      <c r="CZ62" s="243">
        <v>119670.73780999999</v>
      </c>
      <c r="DA62" s="243">
        <v>124975.63945</v>
      </c>
      <c r="DB62" s="243">
        <v>112207.66015000001</v>
      </c>
      <c r="DC62" s="243">
        <v>115304.03515</v>
      </c>
      <c r="DD62" s="243">
        <v>118409.30535</v>
      </c>
      <c r="DE62" s="243">
        <v>109851.96798999999</v>
      </c>
      <c r="DF62" s="243">
        <v>113549.9185</v>
      </c>
      <c r="DG62" s="243">
        <v>116353.19173000001</v>
      </c>
      <c r="DH62" s="243">
        <v>110539.73106000001</v>
      </c>
      <c r="DI62" s="243">
        <v>116033.08682</v>
      </c>
      <c r="DJ62" s="243">
        <v>122651.03271</v>
      </c>
      <c r="DK62" s="243">
        <v>116699.20221</v>
      </c>
      <c r="DL62" s="243">
        <v>122195.25251999999</v>
      </c>
      <c r="DM62" s="243">
        <v>127422.18271000001</v>
      </c>
      <c r="DN62" s="243">
        <v>114024.68578</v>
      </c>
      <c r="DO62" s="243">
        <v>117789.85914999999</v>
      </c>
      <c r="DP62" s="243">
        <v>120848.67453</v>
      </c>
      <c r="DQ62" s="243">
        <v>111115.29369000001</v>
      </c>
      <c r="DR62" s="243">
        <v>114799.15332000001</v>
      </c>
      <c r="DS62" s="243">
        <v>118224.76241000001</v>
      </c>
      <c r="DT62" s="243">
        <v>112041.84311999999</v>
      </c>
      <c r="DU62" s="243">
        <v>116103.24680999998</v>
      </c>
      <c r="DV62" s="243">
        <v>123778.86442999999</v>
      </c>
      <c r="DW62" s="243">
        <v>117830.68035</v>
      </c>
      <c r="DX62" s="243">
        <v>122675.46353000001</v>
      </c>
      <c r="DY62" s="243">
        <v>126386.19180999999</v>
      </c>
      <c r="DZ62" s="243">
        <v>111533.67065</v>
      </c>
      <c r="EA62" s="243">
        <v>114743.46379000001</v>
      </c>
      <c r="EB62" s="243">
        <v>117839.59721000001</v>
      </c>
      <c r="EC62" s="243">
        <v>111068.55206</v>
      </c>
      <c r="ED62" s="243">
        <v>114483.90970999999</v>
      </c>
      <c r="EE62" s="243">
        <v>117430.78700999999</v>
      </c>
      <c r="EF62" s="243">
        <v>112251.37008999998</v>
      </c>
      <c r="EG62" s="243">
        <v>116870.93506999999</v>
      </c>
      <c r="EH62" s="243">
        <v>128266.4224</v>
      </c>
      <c r="EI62" s="243">
        <v>123619.7215</v>
      </c>
      <c r="EJ62" s="243">
        <v>131310.52197</v>
      </c>
      <c r="EK62" s="243">
        <v>111908.32908</v>
      </c>
      <c r="EL62" s="243">
        <v>117431.75122000002</v>
      </c>
      <c r="EM62" s="243">
        <v>122874.36940000001</v>
      </c>
      <c r="EN62" s="243">
        <v>127308.97186000001</v>
      </c>
      <c r="EO62" s="243">
        <v>113416.72528999999</v>
      </c>
      <c r="EP62" s="243">
        <v>118972.65316</v>
      </c>
      <c r="EQ62" s="243">
        <f>-(VLOOKUP("216",'Input BS ACCTS'!$A$5:$DD$1052,98,FALSE))/1000</f>
        <v>124078.34031</v>
      </c>
      <c r="ER62" s="243">
        <f>-(VLOOKUP("216",'Input BS ACCTS'!$A$5:$DD$1052,99,FALSE))/1000</f>
        <v>115121.16907999999</v>
      </c>
      <c r="ES62" s="243">
        <f>-(VLOOKUP("216",'Input BS ACCTS'!$A$5:$DD$1052,100,FALSE))/1000</f>
        <v>120983.76886999999</v>
      </c>
      <c r="ET62" s="467">
        <f>SUM(EG62:ES62)/13</f>
        <v>120935.66763153845</v>
      </c>
      <c r="EU62" s="801"/>
      <c r="EV62" s="801"/>
      <c r="HL62" s="35"/>
      <c r="HM62" s="253"/>
      <c r="HN62" s="258"/>
      <c r="HO62" s="35"/>
      <c r="HP62" s="35"/>
      <c r="HQ62" s="35"/>
      <c r="HR62" s="35"/>
      <c r="HS62" s="35"/>
      <c r="HT62" s="35"/>
      <c r="HU62" s="35"/>
      <c r="HV62" s="35"/>
      <c r="HW62" s="35"/>
      <c r="HX62" s="35"/>
      <c r="HY62" s="35"/>
      <c r="HZ62" s="35"/>
      <c r="IA62" s="35"/>
    </row>
    <row r="63" spans="1:235">
      <c r="A63" s="190" t="s">
        <v>261</v>
      </c>
      <c r="B63" s="191">
        <v>-2085.1149999999998</v>
      </c>
      <c r="C63" s="191">
        <v>-2064.9690000000001</v>
      </c>
      <c r="D63" s="191">
        <v>-2044.8230000000001</v>
      </c>
      <c r="E63" s="191">
        <v>-2024.6769999999999</v>
      </c>
      <c r="F63" s="191">
        <v>-2004.5309999999999</v>
      </c>
      <c r="G63" s="191">
        <v>-1984.385</v>
      </c>
      <c r="H63" s="191">
        <v>-1964.239</v>
      </c>
      <c r="I63" s="191">
        <v>-1944.0930000000001</v>
      </c>
      <c r="J63" s="191">
        <v>-1923.9469999999999</v>
      </c>
      <c r="K63" s="191">
        <v>-1903.8009999999999</v>
      </c>
      <c r="L63" s="191">
        <v>-1883.655</v>
      </c>
      <c r="M63" s="191">
        <v>-1863.509</v>
      </c>
      <c r="N63" s="191">
        <v>-1843.3630000000001</v>
      </c>
      <c r="O63" s="191">
        <v>-1823</v>
      </c>
      <c r="P63" s="191">
        <v>-1803</v>
      </c>
      <c r="Q63" s="192">
        <v>-1783</v>
      </c>
      <c r="R63" s="192">
        <v>-1763</v>
      </c>
      <c r="S63" s="192">
        <v>-1743</v>
      </c>
      <c r="T63" s="192">
        <v>-1722</v>
      </c>
      <c r="U63" s="192">
        <v>-1702</v>
      </c>
      <c r="V63" s="192">
        <v>-1682.194</v>
      </c>
      <c r="W63" s="192">
        <v>-1662.048</v>
      </c>
      <c r="X63" s="192">
        <v>-1641.902</v>
      </c>
      <c r="Y63" s="192">
        <v>-1621.7558200000001</v>
      </c>
      <c r="Z63" s="192">
        <v>-1601.60978</v>
      </c>
      <c r="AA63" s="192">
        <v>-1581.4637399999999</v>
      </c>
      <c r="AB63" s="192">
        <v>-1561.3177000000001</v>
      </c>
      <c r="AC63" s="192">
        <v>-1541.172</v>
      </c>
      <c r="AD63" s="192">
        <v>-1521</v>
      </c>
      <c r="AE63" s="192">
        <v>-1500.88</v>
      </c>
      <c r="AF63" s="192">
        <v>-1481</v>
      </c>
      <c r="AG63" s="192">
        <v>-1537.9486100000001</v>
      </c>
      <c r="AH63" s="192">
        <v>-2255.1212300000002</v>
      </c>
      <c r="AI63" s="192">
        <v>-2232.7121899999997</v>
      </c>
      <c r="AJ63" s="192">
        <v>-2210.3031499999979</v>
      </c>
      <c r="AK63" s="192">
        <v>-2187.8941099999993</v>
      </c>
      <c r="AL63" s="192">
        <v>-2165.4850699999997</v>
      </c>
      <c r="AM63" s="215">
        <v>-2143.0760300000002</v>
      </c>
      <c r="AN63" s="215">
        <v>-2120.6669899999997</v>
      </c>
      <c r="AO63" s="235">
        <v>-2098.2579500000002</v>
      </c>
      <c r="AP63" s="235">
        <v>-2075.8489100000002</v>
      </c>
      <c r="AQ63" s="235">
        <v>-2053.4398700000002</v>
      </c>
      <c r="AR63" s="235">
        <v>-2031.0308299999999</v>
      </c>
      <c r="AS63" s="244">
        <v>-2008.6217900000001</v>
      </c>
      <c r="AT63" s="244">
        <v>-1986.2127500000001</v>
      </c>
      <c r="AU63" s="244">
        <v>-1963.8037199999999</v>
      </c>
      <c r="AV63" s="244">
        <v>-1941.3946900000001</v>
      </c>
      <c r="AW63" s="244">
        <v>-1918.9856500000001</v>
      </c>
      <c r="AX63" s="244">
        <v>-1896.5766099999996</v>
      </c>
      <c r="AY63" s="244">
        <v>-1874.1675700000005</v>
      </c>
      <c r="AZ63" s="244">
        <v>-1851.75854</v>
      </c>
      <c r="BA63" s="404">
        <v>-1829.3495</v>
      </c>
      <c r="BB63" s="404">
        <v>-1806.94046</v>
      </c>
      <c r="BC63" s="404">
        <v>-1784.53142</v>
      </c>
      <c r="BD63" s="404">
        <v>-1762.12239</v>
      </c>
      <c r="BE63" s="404">
        <v>-1739.16869</v>
      </c>
      <c r="BF63" s="404">
        <v>-1723.6563899999999</v>
      </c>
      <c r="BG63" s="244">
        <v>-1701.2296899999999</v>
      </c>
      <c r="BH63" s="244">
        <v>-1678.8029799999999</v>
      </c>
      <c r="BI63" s="244">
        <v>-1656.37627</v>
      </c>
      <c r="BJ63" s="244">
        <v>-1633.94956</v>
      </c>
      <c r="BK63" s="244">
        <v>-1611.5228500000001</v>
      </c>
      <c r="BL63" s="244">
        <v>-1589.0961499999999</v>
      </c>
      <c r="BM63" s="244">
        <v>-1566.6694399999999</v>
      </c>
      <c r="BN63" s="244">
        <v>-1544.24272</v>
      </c>
      <c r="BO63" s="244">
        <v>-1521.81601</v>
      </c>
      <c r="BP63" s="244">
        <v>-1493.1001000000001</v>
      </c>
      <c r="BQ63" s="244">
        <v>-1361.6138700000001</v>
      </c>
      <c r="BR63" s="244">
        <v>-1168.9273799999999</v>
      </c>
      <c r="BS63" s="244">
        <v>-1219.53199</v>
      </c>
      <c r="BT63" s="244">
        <v>-1197.69742</v>
      </c>
      <c r="BU63" s="244">
        <v>-1175.86285</v>
      </c>
      <c r="BV63" s="244">
        <v>-1154.02828</v>
      </c>
      <c r="BW63" s="244">
        <v>-1132.19371</v>
      </c>
      <c r="BX63" s="244">
        <v>-1110.3591299999998</v>
      </c>
      <c r="BY63" s="244">
        <v>-1088.5245600000001</v>
      </c>
      <c r="BZ63" s="244">
        <v>-1066.6899799999999</v>
      </c>
      <c r="CA63" s="244">
        <v>-1044.8554200000001</v>
      </c>
      <c r="CB63" s="244">
        <v>-1023.02084</v>
      </c>
      <c r="CC63" s="244">
        <v>-1001.1862600000001</v>
      </c>
      <c r="CD63" s="244">
        <v>-979.35168999999996</v>
      </c>
      <c r="CE63" s="244">
        <v>-957.51711</v>
      </c>
      <c r="CF63" s="244">
        <v>-935.68254999999999</v>
      </c>
      <c r="CG63" s="244">
        <v>-913.84796999999992</v>
      </c>
      <c r="CH63" s="244">
        <v>-892.01340000000005</v>
      </c>
      <c r="CI63" s="244">
        <v>-870.17881999999997</v>
      </c>
      <c r="CJ63" s="244">
        <v>-848.34424999999999</v>
      </c>
      <c r="CK63" s="244">
        <v>-826.50968999999998</v>
      </c>
      <c r="CL63" s="244">
        <v>-804.67511000000002</v>
      </c>
      <c r="CM63" s="244">
        <v>-782.84054000000003</v>
      </c>
      <c r="CN63" s="244">
        <v>-761.00595999999996</v>
      </c>
      <c r="CO63" s="244">
        <v>-739.17138999999997</v>
      </c>
      <c r="CP63" s="244">
        <v>-717.33681999999999</v>
      </c>
      <c r="CQ63" s="244">
        <v>-695.50225</v>
      </c>
      <c r="CR63" s="244">
        <v>-673.66767000000004</v>
      </c>
      <c r="CS63" s="244">
        <v>-651.83309999999994</v>
      </c>
      <c r="CT63" s="244">
        <v>-629.99853000000007</v>
      </c>
      <c r="CU63" s="244">
        <v>-608.16395999999997</v>
      </c>
      <c r="CV63" s="244">
        <v>-586.32938999999999</v>
      </c>
      <c r="CW63" s="244">
        <v>-508.06084000000004</v>
      </c>
      <c r="CX63" s="244">
        <v>-481.52343999999999</v>
      </c>
      <c r="CY63" s="244">
        <v>-454.98603000000003</v>
      </c>
      <c r="CZ63" s="244">
        <v>-428.44862999999998</v>
      </c>
      <c r="DA63" s="244">
        <v>-401.91121999999996</v>
      </c>
      <c r="DB63" s="244">
        <v>-387.61651000000001</v>
      </c>
      <c r="DC63" s="244">
        <v>-385.56428999999997</v>
      </c>
      <c r="DD63" s="244">
        <v>-383.51208000000003</v>
      </c>
      <c r="DE63" s="244">
        <v>-381.45984000000004</v>
      </c>
      <c r="DF63" s="244">
        <v>-379.40762000000001</v>
      </c>
      <c r="DG63" s="244">
        <v>-377.35540000000003</v>
      </c>
      <c r="DH63" s="244">
        <v>-375.30318</v>
      </c>
      <c r="DI63" s="244">
        <v>-373.25094999999999</v>
      </c>
      <c r="DJ63" s="244">
        <v>-371.19872999999995</v>
      </c>
      <c r="DK63" s="244">
        <v>-369.1465</v>
      </c>
      <c r="DL63" s="244">
        <v>-367.09429</v>
      </c>
      <c r="DM63" s="244">
        <v>-365.04207000000002</v>
      </c>
      <c r="DN63" s="244">
        <v>-362.98984999999999</v>
      </c>
      <c r="DO63" s="244">
        <v>-360.93761999999998</v>
      </c>
      <c r="DP63" s="244">
        <v>-358.8854</v>
      </c>
      <c r="DQ63" s="244">
        <v>-356.83317999999997</v>
      </c>
      <c r="DR63" s="244">
        <v>-354.78096999999997</v>
      </c>
      <c r="DS63" s="244">
        <v>-352.72874000000002</v>
      </c>
      <c r="DT63" s="244">
        <v>-350.67652000000004</v>
      </c>
      <c r="DU63" s="244">
        <v>-348.62430000000001</v>
      </c>
      <c r="DV63" s="244">
        <v>-346.57208000000003</v>
      </c>
      <c r="DW63" s="244">
        <v>-344.51984999999996</v>
      </c>
      <c r="DX63" s="244">
        <v>-342.46764000000002</v>
      </c>
      <c r="DY63" s="244">
        <v>-340.41541999999998</v>
      </c>
      <c r="DZ63" s="244">
        <v>-338.36320000000001</v>
      </c>
      <c r="EA63" s="244">
        <v>-336.31097</v>
      </c>
      <c r="EB63" s="244">
        <v>-334.25875000000002</v>
      </c>
      <c r="EC63" s="244">
        <v>-332.20653000000004</v>
      </c>
      <c r="ED63" s="244">
        <v>-330.15431999999998</v>
      </c>
      <c r="EE63" s="244">
        <v>-328.10209000000003</v>
      </c>
      <c r="EF63" s="244">
        <v>-326.04987</v>
      </c>
      <c r="EG63" s="244">
        <v>-323.99765000000002</v>
      </c>
      <c r="EH63" s="244">
        <v>-321.94542999999999</v>
      </c>
      <c r="EI63" s="244">
        <v>-319.89320000000004</v>
      </c>
      <c r="EJ63" s="244">
        <v>-317.84098999999998</v>
      </c>
      <c r="EK63" s="244">
        <v>-315.77598</v>
      </c>
      <c r="EL63" s="244">
        <v>-313.72376000000003</v>
      </c>
      <c r="EM63" s="244">
        <v>-311.67153000000002</v>
      </c>
      <c r="EN63" s="244">
        <v>-309.61930999999998</v>
      </c>
      <c r="EO63" s="244">
        <v>-307.56709000000001</v>
      </c>
      <c r="EP63" s="244">
        <v>-305.51488000000001</v>
      </c>
      <c r="EQ63" s="244">
        <f>-(VLOOKUP("219",'Input BS ACCTS'!$A$5:$DD$1052,98,FALSE))/1000</f>
        <v>-303.46265</v>
      </c>
      <c r="ER63" s="244">
        <f>-(VLOOKUP("219",'Input BS ACCTS'!$A$5:$DD$1052,99,FALSE))/1000</f>
        <v>-301.41043000000002</v>
      </c>
      <c r="ES63" s="244">
        <f>-(VLOOKUP("219",'Input BS ACCTS'!$A$5:$DD$1052,100,FALSE))/1000</f>
        <v>-299.35821000000004</v>
      </c>
      <c r="ET63" s="467">
        <f>SUM(EG63:ES63)/13</f>
        <v>-311.67547000000002</v>
      </c>
      <c r="EU63" s="801"/>
      <c r="EV63" s="801"/>
      <c r="HL63" s="35"/>
      <c r="HM63" s="253"/>
      <c r="HN63" s="258"/>
      <c r="HO63" s="35"/>
      <c r="HP63" s="35"/>
      <c r="HQ63" s="35"/>
      <c r="HR63" s="35"/>
      <c r="HS63" s="35"/>
      <c r="HT63" s="35"/>
      <c r="HU63" s="35"/>
      <c r="HV63" s="35"/>
      <c r="HW63" s="35"/>
      <c r="HX63" s="35"/>
      <c r="HY63" s="35"/>
      <c r="HZ63" s="35"/>
      <c r="IA63" s="35"/>
    </row>
    <row r="64" spans="1:235">
      <c r="A64" s="29" t="s">
        <v>262</v>
      </c>
      <c r="B64" s="125">
        <v>262759.80966000003</v>
      </c>
      <c r="C64" s="125">
        <v>261715.14666</v>
      </c>
      <c r="D64" s="125">
        <v>268063.59266000002</v>
      </c>
      <c r="E64" s="125">
        <v>272129.13365999999</v>
      </c>
      <c r="F64" s="125">
        <v>279636.78665999998</v>
      </c>
      <c r="G64" s="125">
        <v>274212.39866000001</v>
      </c>
      <c r="H64" s="125">
        <v>289736.93166</v>
      </c>
      <c r="I64" s="125">
        <v>293571.39166000002</v>
      </c>
      <c r="J64" s="125">
        <v>279226.75566000002</v>
      </c>
      <c r="K64" s="125">
        <v>278453.16266000003</v>
      </c>
      <c r="L64" s="125">
        <v>280720.02865999995</v>
      </c>
      <c r="M64" s="125">
        <v>271485.36365999997</v>
      </c>
      <c r="N64" s="125">
        <v>270857.93065999995</v>
      </c>
      <c r="O64" s="125">
        <v>272644</v>
      </c>
      <c r="P64" s="125">
        <v>271126</v>
      </c>
      <c r="Q64" s="125">
        <v>274718</v>
      </c>
      <c r="R64" s="125">
        <v>282120</v>
      </c>
      <c r="S64" s="125">
        <v>282772</v>
      </c>
      <c r="T64" s="125">
        <v>286331</v>
      </c>
      <c r="U64" s="125">
        <v>289348</v>
      </c>
      <c r="V64" s="125">
        <v>276971.04399999999</v>
      </c>
      <c r="W64" s="125">
        <v>277542.55699999997</v>
      </c>
      <c r="X64" s="125">
        <v>279439.48200000002</v>
      </c>
      <c r="Y64" s="125">
        <v>271359.35299999994</v>
      </c>
      <c r="Z64" s="125">
        <v>273484.15297</v>
      </c>
      <c r="AA64" s="125">
        <v>274962.66792000004</v>
      </c>
      <c r="AB64" s="125">
        <v>274149.02426999999</v>
      </c>
      <c r="AC64" s="125">
        <v>277537.47499999998</v>
      </c>
      <c r="AD64" s="125">
        <v>282653</v>
      </c>
      <c r="AE64" s="125">
        <v>279505.11199999996</v>
      </c>
      <c r="AF64" s="125">
        <v>282686</v>
      </c>
      <c r="AG64" s="125">
        <v>286088.21684999997</v>
      </c>
      <c r="AH64" s="125">
        <v>277310.87877000001</v>
      </c>
      <c r="AI64" s="125">
        <v>279639.76447000005</v>
      </c>
      <c r="AJ64" s="125">
        <v>281963.17842000001</v>
      </c>
      <c r="AK64" s="125">
        <v>282821.64672000002</v>
      </c>
      <c r="AL64" s="125">
        <v>284904.10227000003</v>
      </c>
      <c r="AM64" s="125">
        <v>279345.48049000005</v>
      </c>
      <c r="AN64" s="125">
        <v>283759.16621</v>
      </c>
      <c r="AO64" s="125">
        <v>286812.68695</v>
      </c>
      <c r="AP64" s="125">
        <v>292021.05706000002</v>
      </c>
      <c r="AQ64" s="125">
        <v>289534.40229</v>
      </c>
      <c r="AR64" s="125">
        <v>294553.03282999998</v>
      </c>
      <c r="AS64" s="125">
        <v>298574.03366000002</v>
      </c>
      <c r="AT64" s="125">
        <v>298823.73512999999</v>
      </c>
      <c r="AU64" s="125">
        <v>300738.88724000001</v>
      </c>
      <c r="AV64" s="125">
        <v>291756.61950999999</v>
      </c>
      <c r="AW64" s="125">
        <v>293110.78634000005</v>
      </c>
      <c r="AX64" s="125">
        <v>295158.34512000001</v>
      </c>
      <c r="AY64" s="125">
        <v>291657.54545000003</v>
      </c>
      <c r="AZ64" s="125">
        <v>295270.29180000001</v>
      </c>
      <c r="BA64" s="417">
        <v>297562.48103999998</v>
      </c>
      <c r="BB64" s="417">
        <v>295403.80004</v>
      </c>
      <c r="BC64" s="417">
        <v>306928.83591999998</v>
      </c>
      <c r="BD64" s="417">
        <v>311833.12851000001</v>
      </c>
      <c r="BE64" s="417">
        <v>303183.27403999999</v>
      </c>
      <c r="BF64" s="417">
        <v>315013.00073999999</v>
      </c>
      <c r="BG64" s="125">
        <v>317513.96951999998</v>
      </c>
      <c r="BH64" s="125">
        <v>309249.03605000005</v>
      </c>
      <c r="BI64" s="125">
        <v>313482.52386000002</v>
      </c>
      <c r="BJ64" s="125">
        <v>314839.61731</v>
      </c>
      <c r="BK64" s="125">
        <v>311407.49518000003</v>
      </c>
      <c r="BL64" s="125">
        <v>319755.02948000003</v>
      </c>
      <c r="BM64" s="125">
        <v>323507.34266999998</v>
      </c>
      <c r="BN64" s="125">
        <v>329075.44644000003</v>
      </c>
      <c r="BO64" s="125">
        <v>327479.14091999998</v>
      </c>
      <c r="BP64" s="125">
        <v>331629.33952000004</v>
      </c>
      <c r="BQ64" s="125">
        <v>319895.68061000004</v>
      </c>
      <c r="BR64" s="125">
        <v>332432.18482999998</v>
      </c>
      <c r="BS64" s="125">
        <v>335177.40100000001</v>
      </c>
      <c r="BT64" s="125">
        <v>328196.47265000001</v>
      </c>
      <c r="BU64" s="125">
        <v>338729.98387000005</v>
      </c>
      <c r="BV64" s="125">
        <v>340612.26584999997</v>
      </c>
      <c r="BW64" s="125">
        <v>342799.1103</v>
      </c>
      <c r="BX64" s="125">
        <v>344486.90293000004</v>
      </c>
      <c r="BY64" s="125">
        <v>347457.77079000004</v>
      </c>
      <c r="BZ64" s="125">
        <v>352776.98566000001</v>
      </c>
      <c r="CA64" s="125">
        <v>352418.42565000005</v>
      </c>
      <c r="CB64" s="125">
        <v>354813.42570000002</v>
      </c>
      <c r="CC64" s="125">
        <v>357781.27474000002</v>
      </c>
      <c r="CD64" s="125">
        <v>346877.66941000003</v>
      </c>
      <c r="CE64" s="125">
        <v>340129.57509</v>
      </c>
      <c r="CF64" s="125">
        <v>342767.5073</v>
      </c>
      <c r="CG64" s="125">
        <v>344809.21766000002</v>
      </c>
      <c r="CH64" s="125">
        <v>346790.02831000002</v>
      </c>
      <c r="CI64" s="125">
        <v>349755.84375000006</v>
      </c>
      <c r="CJ64" s="125">
        <v>346923.73194000003</v>
      </c>
      <c r="CK64" s="125">
        <v>348998.81555000006</v>
      </c>
      <c r="CL64" s="125">
        <f t="shared" ref="CL64:CW64" si="60">SUM(CL61:CL63)</f>
        <v>354385.47901000001</v>
      </c>
      <c r="CM64" s="125">
        <f t="shared" si="60"/>
        <v>357271.21208999999</v>
      </c>
      <c r="CN64" s="125">
        <f t="shared" si="60"/>
        <v>361829.83810000005</v>
      </c>
      <c r="CO64" s="125">
        <f t="shared" si="60"/>
        <v>365682.64070000005</v>
      </c>
      <c r="CP64" s="125">
        <f t="shared" si="60"/>
        <v>374133.55897999997</v>
      </c>
      <c r="CQ64" s="125">
        <f t="shared" si="60"/>
        <v>376237.01261999999</v>
      </c>
      <c r="CR64" s="125">
        <f t="shared" si="60"/>
        <v>379017.73096000002</v>
      </c>
      <c r="CS64" s="125">
        <f t="shared" si="60"/>
        <v>379450.34096999996</v>
      </c>
      <c r="CT64" s="125">
        <f t="shared" si="60"/>
        <v>382180.09396999999</v>
      </c>
      <c r="CU64" s="125">
        <f t="shared" si="60"/>
        <v>384832.07845000003</v>
      </c>
      <c r="CV64" s="125">
        <f t="shared" si="60"/>
        <v>387959.83283999999</v>
      </c>
      <c r="CW64" s="125">
        <f t="shared" si="60"/>
        <v>393622.22045999998</v>
      </c>
      <c r="CX64" s="125">
        <f t="shared" ref="CX64:DC64" si="61">SUM(CX61:CX63)</f>
        <v>402950.86414999998</v>
      </c>
      <c r="CY64" s="125">
        <f t="shared" si="61"/>
        <v>403115.35225</v>
      </c>
      <c r="CZ64" s="125">
        <f t="shared" si="61"/>
        <v>404792.45837000001</v>
      </c>
      <c r="DA64" s="125">
        <f t="shared" si="61"/>
        <v>410123.89741999999</v>
      </c>
      <c r="DB64" s="125">
        <f t="shared" si="61"/>
        <v>412370.21282999997</v>
      </c>
      <c r="DC64" s="125">
        <f t="shared" si="61"/>
        <v>415468.64004999999</v>
      </c>
      <c r="DD64" s="125">
        <f t="shared" ref="DD64:DI64" si="62">SUM(DD61:DD63)</f>
        <v>418575.96245999995</v>
      </c>
      <c r="DE64" s="125">
        <f t="shared" si="62"/>
        <v>420020.67733999994</v>
      </c>
      <c r="DF64" s="125">
        <f t="shared" si="62"/>
        <v>423720.68006999994</v>
      </c>
      <c r="DG64" s="125">
        <f t="shared" si="62"/>
        <v>426526.00552000001</v>
      </c>
      <c r="DH64" s="125">
        <f t="shared" si="62"/>
        <v>430714.59707000002</v>
      </c>
      <c r="DI64" s="125">
        <f t="shared" si="62"/>
        <v>436210.00506</v>
      </c>
      <c r="DJ64" s="125">
        <f t="shared" ref="DJ64:DP64" si="63">SUM(DJ61:DJ63)</f>
        <v>442830.00316999998</v>
      </c>
      <c r="DK64" s="125">
        <f t="shared" si="63"/>
        <v>471880.22490000003</v>
      </c>
      <c r="DL64" s="125">
        <f t="shared" si="63"/>
        <v>477378.32741999999</v>
      </c>
      <c r="DM64" s="125">
        <f t="shared" si="63"/>
        <v>482607.30982999998</v>
      </c>
      <c r="DN64" s="125">
        <f t="shared" si="63"/>
        <v>504211.86511999997</v>
      </c>
      <c r="DO64" s="125">
        <f t="shared" si="63"/>
        <v>507979.09071999998</v>
      </c>
      <c r="DP64" s="125">
        <f t="shared" si="63"/>
        <v>511039.95831999998</v>
      </c>
      <c r="DQ64" s="125">
        <f t="shared" ref="DQ64:DX64" si="64">SUM(DQ61:DQ63)</f>
        <v>501308.62969999999</v>
      </c>
      <c r="DR64" s="125">
        <f t="shared" si="64"/>
        <v>529994.54154000001</v>
      </c>
      <c r="DS64" s="125">
        <f t="shared" si="64"/>
        <v>533422.20285999996</v>
      </c>
      <c r="DT64" s="125">
        <f t="shared" si="64"/>
        <v>527241.33579000004</v>
      </c>
      <c r="DU64" s="125">
        <f t="shared" si="64"/>
        <v>531304.79169999994</v>
      </c>
      <c r="DV64" s="125">
        <f t="shared" si="64"/>
        <v>538982.46154000005</v>
      </c>
      <c r="DW64" s="125">
        <f t="shared" si="64"/>
        <v>573036.32968999993</v>
      </c>
      <c r="DX64" s="125">
        <f t="shared" si="64"/>
        <v>577883.16507999995</v>
      </c>
      <c r="DY64" s="125">
        <f t="shared" ref="DY64:ED64" si="65">SUM(DY61:DY63)</f>
        <v>581595.94558000006</v>
      </c>
      <c r="DZ64" s="125">
        <f t="shared" si="65"/>
        <v>596745.47664000001</v>
      </c>
      <c r="EA64" s="125">
        <f t="shared" si="65"/>
        <v>599957.32201</v>
      </c>
      <c r="EB64" s="125">
        <f t="shared" si="65"/>
        <v>603055.50764999993</v>
      </c>
      <c r="EC64" s="125">
        <f t="shared" si="65"/>
        <v>641286.51472000009</v>
      </c>
      <c r="ED64" s="125">
        <f t="shared" si="65"/>
        <v>644703.92458000011</v>
      </c>
      <c r="EE64" s="125">
        <f t="shared" ref="EE64:EJ64" si="66">SUM(EE61:EE63)</f>
        <v>647652.85411000007</v>
      </c>
      <c r="EF64" s="125">
        <f t="shared" si="66"/>
        <v>657475.48941000004</v>
      </c>
      <c r="EG64" s="125">
        <f t="shared" si="66"/>
        <v>662097.10661000002</v>
      </c>
      <c r="EH64" s="125">
        <f t="shared" si="66"/>
        <v>673494.64616000012</v>
      </c>
      <c r="EI64" s="125">
        <f t="shared" si="66"/>
        <v>708849.99748999998</v>
      </c>
      <c r="EJ64" s="125">
        <f t="shared" si="66"/>
        <v>716542.85016999999</v>
      </c>
      <c r="EK64" s="125">
        <f t="shared" ref="EK64:EP64" si="67">SUM(EK61:EK63)</f>
        <v>697142.72229000006</v>
      </c>
      <c r="EL64" s="125">
        <f t="shared" si="67"/>
        <v>722668.19665000006</v>
      </c>
      <c r="EM64" s="125">
        <f t="shared" si="67"/>
        <v>728112.86705999996</v>
      </c>
      <c r="EN64" s="125">
        <f t="shared" si="67"/>
        <v>732549.52174000011</v>
      </c>
      <c r="EO64" s="125">
        <f t="shared" si="67"/>
        <v>753659.32738999999</v>
      </c>
      <c r="EP64" s="125">
        <f t="shared" si="67"/>
        <v>759217.30747</v>
      </c>
      <c r="EQ64" s="125">
        <f>SUM(EQ61:EQ63)</f>
        <v>764325.04685000004</v>
      </c>
      <c r="ER64" s="125">
        <f>SUM(ER61:ER63)</f>
        <v>780369.92784000002</v>
      </c>
      <c r="ES64" s="125">
        <f>SUM(ES61:ES63)</f>
        <v>786234.5798500001</v>
      </c>
      <c r="ET64" s="417">
        <f>SUM(ET61:ET63)</f>
        <v>729635.69981307676</v>
      </c>
      <c r="EU64" s="125"/>
      <c r="EV64" s="125"/>
      <c r="HL64" s="35"/>
      <c r="HM64" s="252"/>
      <c r="HN64" s="258"/>
      <c r="HO64" s="35"/>
      <c r="HP64" s="35"/>
      <c r="HQ64" s="35"/>
      <c r="HR64" s="35"/>
      <c r="HS64" s="35"/>
      <c r="HT64" s="35"/>
      <c r="HU64" s="35"/>
      <c r="HV64" s="35"/>
      <c r="HW64" s="35"/>
      <c r="HX64" s="35"/>
      <c r="HY64" s="35"/>
      <c r="HZ64" s="35"/>
      <c r="IA64" s="35"/>
    </row>
    <row r="65" spans="1:235">
      <c r="A65" s="30"/>
      <c r="B65" s="125">
        <v>0</v>
      </c>
      <c r="C65" s="125">
        <v>0</v>
      </c>
      <c r="D65" s="125">
        <v>0</v>
      </c>
      <c r="E65" s="125">
        <v>0</v>
      </c>
      <c r="F65" s="125">
        <v>0</v>
      </c>
      <c r="G65" s="125">
        <v>0</v>
      </c>
      <c r="H65" s="125">
        <v>0</v>
      </c>
      <c r="I65" s="125">
        <v>0</v>
      </c>
      <c r="J65" s="125">
        <v>0</v>
      </c>
      <c r="K65" s="125">
        <v>0</v>
      </c>
      <c r="L65" s="125">
        <v>0</v>
      </c>
      <c r="M65" s="125">
        <v>0</v>
      </c>
      <c r="N65" s="125">
        <v>0</v>
      </c>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417"/>
      <c r="BB65" s="417"/>
      <c r="BC65" s="417"/>
      <c r="BD65" s="417"/>
      <c r="BE65" s="417"/>
      <c r="BF65" s="417"/>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HL65" s="35"/>
      <c r="HM65" s="252"/>
      <c r="HN65" s="258"/>
      <c r="HO65" s="35"/>
      <c r="HP65" s="35"/>
      <c r="HQ65" s="35"/>
      <c r="HR65" s="35"/>
      <c r="HS65" s="35"/>
      <c r="HT65" s="35"/>
      <c r="HU65" s="35"/>
      <c r="HV65" s="35"/>
      <c r="HW65" s="35"/>
      <c r="HX65" s="35"/>
      <c r="HY65" s="35"/>
      <c r="HZ65" s="35"/>
      <c r="IA65" s="35"/>
    </row>
    <row r="66" spans="1:235">
      <c r="A66" s="27" t="s">
        <v>401</v>
      </c>
      <c r="B66" s="121">
        <v>230500</v>
      </c>
      <c r="C66" s="121">
        <v>230500</v>
      </c>
      <c r="D66" s="121">
        <v>230500</v>
      </c>
      <c r="E66" s="121">
        <v>230500</v>
      </c>
      <c r="F66" s="121">
        <v>230500</v>
      </c>
      <c r="G66" s="121">
        <v>230500</v>
      </c>
      <c r="H66" s="121">
        <v>230500</v>
      </c>
      <c r="I66" s="121">
        <v>230500</v>
      </c>
      <c r="J66" s="121">
        <v>230500</v>
      </c>
      <c r="K66" s="121">
        <v>230500</v>
      </c>
      <c r="L66" s="121">
        <v>226800</v>
      </c>
      <c r="M66" s="121">
        <v>226800</v>
      </c>
      <c r="N66" s="121">
        <v>226800</v>
      </c>
      <c r="O66" s="121">
        <v>226800</v>
      </c>
      <c r="P66" s="121">
        <v>226800</v>
      </c>
      <c r="Q66" s="121">
        <v>226800</v>
      </c>
      <c r="R66" s="121">
        <v>226800</v>
      </c>
      <c r="S66" s="121">
        <v>226800</v>
      </c>
      <c r="T66" s="121">
        <v>226800</v>
      </c>
      <c r="U66" s="121">
        <v>226800</v>
      </c>
      <c r="V66" s="121">
        <v>226800</v>
      </c>
      <c r="W66" s="121">
        <v>226800</v>
      </c>
      <c r="X66" s="121">
        <v>223400</v>
      </c>
      <c r="Y66" s="121">
        <v>223400</v>
      </c>
      <c r="Z66" s="121">
        <v>223400</v>
      </c>
      <c r="AA66" s="121">
        <v>223400</v>
      </c>
      <c r="AB66" s="121">
        <v>223400</v>
      </c>
      <c r="AC66" s="121">
        <v>223400</v>
      </c>
      <c r="AD66" s="121">
        <v>223400</v>
      </c>
      <c r="AE66" s="121">
        <v>223400</v>
      </c>
      <c r="AF66" s="121">
        <v>223400</v>
      </c>
      <c r="AG66" s="121">
        <v>223400</v>
      </c>
      <c r="AH66" s="121">
        <v>223400</v>
      </c>
      <c r="AI66" s="121">
        <v>254434.08</v>
      </c>
      <c r="AJ66" s="211">
        <v>251034.08</v>
      </c>
      <c r="AK66" s="211">
        <v>206764.68</v>
      </c>
      <c r="AL66" s="211">
        <v>231764.68</v>
      </c>
      <c r="AM66" s="234">
        <v>231764.68</v>
      </c>
      <c r="AN66" s="234">
        <v>231764.68</v>
      </c>
      <c r="AO66" s="234">
        <v>231764.68</v>
      </c>
      <c r="AP66" s="234">
        <v>231764.68</v>
      </c>
      <c r="AQ66" s="234">
        <v>231764.68</v>
      </c>
      <c r="AR66" s="234">
        <v>231764.68</v>
      </c>
      <c r="AS66" s="202">
        <v>231764.68</v>
      </c>
      <c r="AT66" s="202">
        <v>231764.68</v>
      </c>
      <c r="AU66" s="202">
        <v>231764.68</v>
      </c>
      <c r="AV66" s="202">
        <v>231764.68</v>
      </c>
      <c r="AW66" s="202">
        <v>231764.68</v>
      </c>
      <c r="AX66" s="202">
        <v>231764.68</v>
      </c>
      <c r="AY66" s="202">
        <v>231764.68</v>
      </c>
      <c r="AZ66" s="202">
        <v>231764.68</v>
      </c>
      <c r="BA66" s="387">
        <v>231764.68</v>
      </c>
      <c r="BB66" s="387">
        <v>231764.68</v>
      </c>
      <c r="BC66" s="387">
        <v>231764.68</v>
      </c>
      <c r="BD66" s="387">
        <v>231764.68</v>
      </c>
      <c r="BE66" s="387">
        <v>231764.68</v>
      </c>
      <c r="BF66" s="387">
        <v>241764.68</v>
      </c>
      <c r="BG66" s="243">
        <v>241764.68</v>
      </c>
      <c r="BH66" s="243">
        <v>241764.68</v>
      </c>
      <c r="BI66" s="243">
        <v>241764.68</v>
      </c>
      <c r="BJ66" s="243">
        <v>241764.68</v>
      </c>
      <c r="BK66" s="243">
        <v>241764.68</v>
      </c>
      <c r="BL66" s="243">
        <v>241764.68</v>
      </c>
      <c r="BM66" s="243">
        <v>241764.68</v>
      </c>
      <c r="BN66" s="243">
        <v>241764.68</v>
      </c>
      <c r="BO66" s="243">
        <v>241764.68</v>
      </c>
      <c r="BP66" s="243">
        <v>241764.68</v>
      </c>
      <c r="BQ66" s="243">
        <v>241764.68</v>
      </c>
      <c r="BR66" s="243">
        <v>261764.68</v>
      </c>
      <c r="BS66" s="243">
        <v>261764.68</v>
      </c>
      <c r="BT66" s="243">
        <v>261764.68</v>
      </c>
      <c r="BU66" s="243">
        <v>261764.68</v>
      </c>
      <c r="BV66" s="243">
        <v>261764.68</v>
      </c>
      <c r="BW66" s="243">
        <v>261764.68</v>
      </c>
      <c r="BX66" s="243">
        <v>261764.68</v>
      </c>
      <c r="BY66" s="243">
        <v>261764.68</v>
      </c>
      <c r="BZ66" s="243">
        <v>261764.68</v>
      </c>
      <c r="CA66" s="243">
        <v>261764.68</v>
      </c>
      <c r="CB66" s="243">
        <v>261764.68</v>
      </c>
      <c r="CC66" s="243">
        <v>261764.68</v>
      </c>
      <c r="CD66" s="243">
        <v>261764.68</v>
      </c>
      <c r="CE66" s="243">
        <v>261764.68</v>
      </c>
      <c r="CF66" s="243">
        <v>261764.68</v>
      </c>
      <c r="CG66" s="243">
        <v>261764.68</v>
      </c>
      <c r="CH66" s="243">
        <v>261764.68</v>
      </c>
      <c r="CI66" s="243">
        <v>261764.68</v>
      </c>
      <c r="CJ66" s="243">
        <v>261764.68</v>
      </c>
      <c r="CK66" s="243">
        <v>261764.68</v>
      </c>
      <c r="CL66" s="243">
        <v>261764.68</v>
      </c>
      <c r="CM66" s="243">
        <v>261764.68</v>
      </c>
      <c r="CN66" s="243">
        <v>261764.68</v>
      </c>
      <c r="CO66" s="243">
        <v>261764.68</v>
      </c>
      <c r="CP66" s="243">
        <v>261764.68</v>
      </c>
      <c r="CQ66" s="243">
        <v>261764.68</v>
      </c>
      <c r="CR66" s="243">
        <v>261764.68</v>
      </c>
      <c r="CS66" s="243">
        <v>261764.68</v>
      </c>
      <c r="CT66" s="243">
        <v>261764.68</v>
      </c>
      <c r="CU66" s="243">
        <v>261764.68</v>
      </c>
      <c r="CV66" s="243">
        <v>261764.68</v>
      </c>
      <c r="CW66" s="243">
        <v>261764.68</v>
      </c>
      <c r="CX66" s="243">
        <v>261764.68</v>
      </c>
      <c r="CY66" s="243">
        <v>261764.68</v>
      </c>
      <c r="CZ66" s="243">
        <v>261764.68</v>
      </c>
      <c r="DA66" s="243">
        <v>261764.68</v>
      </c>
      <c r="DB66" s="243">
        <v>211764.68</v>
      </c>
      <c r="DC66" s="243">
        <v>286764.68</v>
      </c>
      <c r="DD66" s="243">
        <v>286764.68</v>
      </c>
      <c r="DE66" s="243">
        <v>286764.68</v>
      </c>
      <c r="DF66" s="243">
        <v>286764.68</v>
      </c>
      <c r="DG66" s="243">
        <v>311764.68</v>
      </c>
      <c r="DH66" s="243">
        <v>311764.68</v>
      </c>
      <c r="DI66" s="243">
        <v>311764.68</v>
      </c>
      <c r="DJ66" s="243">
        <v>311764.68</v>
      </c>
      <c r="DK66" s="243">
        <v>311764.68</v>
      </c>
      <c r="DL66" s="243">
        <v>311764.68</v>
      </c>
      <c r="DM66" s="243">
        <v>311764.68</v>
      </c>
      <c r="DN66" s="243">
        <v>311764.68</v>
      </c>
      <c r="DO66" s="243">
        <v>311764.68</v>
      </c>
      <c r="DP66" s="243">
        <v>336764.68</v>
      </c>
      <c r="DQ66" s="243">
        <v>336764.68</v>
      </c>
      <c r="DR66" s="243">
        <v>336764.68</v>
      </c>
      <c r="DS66" s="243">
        <v>336764.68</v>
      </c>
      <c r="DT66" s="243">
        <v>336764.68</v>
      </c>
      <c r="DU66" s="243">
        <v>336764.68</v>
      </c>
      <c r="DV66" s="243">
        <v>336764.68</v>
      </c>
      <c r="DW66" s="243">
        <v>336764.68</v>
      </c>
      <c r="DX66" s="243">
        <v>336764.68</v>
      </c>
      <c r="DY66" s="243">
        <v>336764.68</v>
      </c>
      <c r="DZ66" s="243">
        <v>336764.68</v>
      </c>
      <c r="EA66" s="243">
        <v>336764.68</v>
      </c>
      <c r="EB66" s="243">
        <v>336764.68</v>
      </c>
      <c r="EC66" s="243">
        <v>336764.68</v>
      </c>
      <c r="ED66" s="243">
        <v>336764.68</v>
      </c>
      <c r="EE66" s="243">
        <v>336764.68</v>
      </c>
      <c r="EF66" s="243">
        <v>336764.68</v>
      </c>
      <c r="EG66" s="243">
        <v>336764.68</v>
      </c>
      <c r="EH66" s="243">
        <v>336764.68</v>
      </c>
      <c r="EI66" s="243">
        <v>336764.68</v>
      </c>
      <c r="EJ66" s="243">
        <v>566764.68000000005</v>
      </c>
      <c r="EK66" s="243">
        <v>566764.68000000005</v>
      </c>
      <c r="EL66" s="243">
        <v>520000</v>
      </c>
      <c r="EM66" s="243">
        <v>520000</v>
      </c>
      <c r="EN66" s="243">
        <v>520000</v>
      </c>
      <c r="EO66" s="243">
        <v>520000</v>
      </c>
      <c r="EP66" s="243">
        <v>520000</v>
      </c>
      <c r="EQ66" s="243">
        <f>-(VLOOKUP("224",'Input BS ACCTS'!$A$5:$DD$1052,98,FALSE))/1000</f>
        <v>520000</v>
      </c>
      <c r="ER66" s="243">
        <f>-(VLOOKUP("224",'Input BS ACCTS'!$A$5:$DD$1052,99,FALSE))/1000</f>
        <v>520000</v>
      </c>
      <c r="ES66" s="243">
        <f>-(VLOOKUP("224",'Input BS ACCTS'!$A$5:$DD$1052,100,FALSE))/1000</f>
        <v>520000</v>
      </c>
      <c r="ET66" s="467">
        <f>SUM(EG66:ES66)/13</f>
        <v>484909.49230769236</v>
      </c>
      <c r="EU66" s="801"/>
      <c r="EV66" s="801"/>
      <c r="HL66" s="35"/>
      <c r="HM66" s="253"/>
      <c r="HN66" s="258"/>
      <c r="HO66" s="35"/>
      <c r="HP66" s="35"/>
      <c r="HQ66" s="35"/>
      <c r="HR66" s="35"/>
      <c r="HS66" s="35"/>
      <c r="HT66" s="35"/>
      <c r="HU66" s="35"/>
      <c r="HV66" s="35"/>
      <c r="HW66" s="35"/>
      <c r="HX66" s="35"/>
      <c r="HY66" s="35"/>
      <c r="HZ66" s="35"/>
      <c r="IA66" s="35"/>
    </row>
    <row r="67" spans="1:235">
      <c r="A67" s="27" t="s">
        <v>402</v>
      </c>
      <c r="B67" s="121">
        <v>0</v>
      </c>
      <c r="C67" s="121">
        <v>0</v>
      </c>
      <c r="D67" s="121">
        <v>0</v>
      </c>
      <c r="E67" s="121">
        <v>0</v>
      </c>
      <c r="F67" s="121">
        <v>0</v>
      </c>
      <c r="G67" s="121">
        <v>0</v>
      </c>
      <c r="H67" s="121">
        <v>0</v>
      </c>
      <c r="I67" s="121">
        <v>0</v>
      </c>
      <c r="J67" s="121">
        <v>0</v>
      </c>
      <c r="K67" s="121">
        <v>0</v>
      </c>
      <c r="L67" s="121">
        <v>0</v>
      </c>
      <c r="M67" s="121">
        <v>0</v>
      </c>
      <c r="N67" s="121">
        <v>0</v>
      </c>
      <c r="O67" s="121">
        <v>0</v>
      </c>
      <c r="P67" s="121">
        <v>0</v>
      </c>
      <c r="Q67" s="121">
        <v>0</v>
      </c>
      <c r="R67" s="121"/>
      <c r="S67" s="121">
        <v>0</v>
      </c>
      <c r="T67" s="121">
        <v>0</v>
      </c>
      <c r="U67" s="121">
        <v>0</v>
      </c>
      <c r="V67" s="121">
        <v>0</v>
      </c>
      <c r="W67" s="121">
        <v>0</v>
      </c>
      <c r="X67" s="121">
        <v>0</v>
      </c>
      <c r="Y67" s="121">
        <v>0</v>
      </c>
      <c r="Z67" s="121">
        <v>0</v>
      </c>
      <c r="AA67" s="121">
        <v>0</v>
      </c>
      <c r="AB67" s="121">
        <v>0</v>
      </c>
      <c r="AC67" s="121">
        <v>0</v>
      </c>
      <c r="AD67" s="121">
        <v>0</v>
      </c>
      <c r="AE67" s="121"/>
      <c r="AF67" s="121"/>
      <c r="AG67" s="121"/>
      <c r="AH67" s="121"/>
      <c r="AI67" s="121"/>
      <c r="AJ67" s="211">
        <v>0</v>
      </c>
      <c r="AK67" s="211">
        <v>0</v>
      </c>
      <c r="AL67" s="211">
        <v>0</v>
      </c>
      <c r="AM67" s="234">
        <v>0</v>
      </c>
      <c r="AN67" s="234">
        <v>0</v>
      </c>
      <c r="AO67" s="234">
        <v>0</v>
      </c>
      <c r="AP67" s="234">
        <v>0</v>
      </c>
      <c r="AQ67" s="234">
        <v>0</v>
      </c>
      <c r="AR67" s="234">
        <v>0</v>
      </c>
      <c r="AS67" s="202">
        <v>0</v>
      </c>
      <c r="AT67" s="202">
        <v>0</v>
      </c>
      <c r="AU67" s="202">
        <v>0</v>
      </c>
      <c r="AV67" s="202">
        <v>0</v>
      </c>
      <c r="AW67" s="202">
        <v>0</v>
      </c>
      <c r="AX67" s="202">
        <v>0</v>
      </c>
      <c r="AY67" s="202">
        <v>0</v>
      </c>
      <c r="AZ67" s="202">
        <v>0</v>
      </c>
      <c r="BA67" s="387">
        <v>0</v>
      </c>
      <c r="BB67" s="387">
        <v>0</v>
      </c>
      <c r="BC67" s="387">
        <v>0</v>
      </c>
      <c r="BD67" s="387">
        <v>0</v>
      </c>
      <c r="BE67" s="387">
        <v>0</v>
      </c>
      <c r="BF67" s="387">
        <v>0</v>
      </c>
      <c r="BG67" s="243">
        <v>0</v>
      </c>
      <c r="BH67" s="243">
        <v>0</v>
      </c>
      <c r="BI67" s="243">
        <v>0</v>
      </c>
      <c r="BJ67" s="243">
        <v>0</v>
      </c>
      <c r="BK67" s="243">
        <v>0</v>
      </c>
      <c r="BL67" s="243">
        <v>0</v>
      </c>
      <c r="BM67" s="243">
        <v>0</v>
      </c>
      <c r="BN67" s="243">
        <v>0</v>
      </c>
      <c r="BO67" s="243">
        <v>0</v>
      </c>
      <c r="BP67" s="243">
        <v>0</v>
      </c>
      <c r="BQ67" s="243">
        <v>0</v>
      </c>
      <c r="BR67" s="243">
        <v>0</v>
      </c>
      <c r="BS67" s="243">
        <v>0</v>
      </c>
      <c r="BT67" s="243">
        <v>0</v>
      </c>
      <c r="BU67" s="243">
        <v>0</v>
      </c>
      <c r="BV67" s="243">
        <v>0</v>
      </c>
      <c r="BW67" s="243">
        <v>0</v>
      </c>
      <c r="BX67" s="243">
        <v>0</v>
      </c>
      <c r="BY67" s="243">
        <v>0</v>
      </c>
      <c r="BZ67" s="243">
        <v>0</v>
      </c>
      <c r="CA67" s="243">
        <v>0</v>
      </c>
      <c r="CB67" s="243">
        <v>0</v>
      </c>
      <c r="CC67" s="243">
        <v>0</v>
      </c>
      <c r="CD67" s="243">
        <v>0</v>
      </c>
      <c r="CE67" s="243">
        <v>0</v>
      </c>
      <c r="CF67" s="243">
        <v>0</v>
      </c>
      <c r="CG67" s="243">
        <v>0</v>
      </c>
      <c r="CH67" s="243">
        <v>0</v>
      </c>
      <c r="CI67" s="243">
        <v>0</v>
      </c>
      <c r="CJ67" s="243">
        <v>0</v>
      </c>
      <c r="CK67" s="243">
        <v>0</v>
      </c>
      <c r="CL67" s="243">
        <v>0</v>
      </c>
      <c r="CM67" s="243">
        <v>0</v>
      </c>
      <c r="CN67" s="243">
        <v>0</v>
      </c>
      <c r="CO67" s="243">
        <v>0</v>
      </c>
      <c r="CP67" s="243">
        <v>0</v>
      </c>
      <c r="CQ67" s="243">
        <v>0</v>
      </c>
      <c r="CR67" s="243">
        <v>0</v>
      </c>
      <c r="CS67" s="243">
        <v>0</v>
      </c>
      <c r="CT67" s="243">
        <v>0</v>
      </c>
      <c r="CU67" s="243">
        <v>0</v>
      </c>
      <c r="CV67" s="243">
        <v>0</v>
      </c>
      <c r="CW67" s="243">
        <v>0</v>
      </c>
      <c r="CX67" s="243">
        <v>0</v>
      </c>
      <c r="CY67" s="243">
        <v>0</v>
      </c>
      <c r="CZ67" s="243">
        <v>0</v>
      </c>
      <c r="DA67" s="243">
        <v>0</v>
      </c>
      <c r="DB67" s="243">
        <v>0</v>
      </c>
      <c r="DC67" s="243">
        <v>0</v>
      </c>
      <c r="DD67" s="243">
        <v>0</v>
      </c>
      <c r="DE67" s="243">
        <v>0</v>
      </c>
      <c r="DF67" s="243">
        <v>0</v>
      </c>
      <c r="DG67" s="243">
        <v>0</v>
      </c>
      <c r="DH67" s="243">
        <v>0</v>
      </c>
      <c r="DI67" s="243">
        <v>0</v>
      </c>
      <c r="DJ67" s="243">
        <v>0</v>
      </c>
      <c r="DK67" s="243">
        <v>0</v>
      </c>
      <c r="DL67" s="243">
        <v>0</v>
      </c>
      <c r="DM67" s="243">
        <v>0</v>
      </c>
      <c r="DN67" s="243">
        <v>0</v>
      </c>
      <c r="DO67" s="243">
        <v>0</v>
      </c>
      <c r="DP67" s="243">
        <v>0</v>
      </c>
      <c r="DQ67" s="243">
        <v>0</v>
      </c>
      <c r="DR67" s="243">
        <v>0</v>
      </c>
      <c r="DS67" s="243">
        <v>0</v>
      </c>
      <c r="DT67" s="243">
        <v>0</v>
      </c>
      <c r="DU67" s="243">
        <v>0</v>
      </c>
      <c r="DV67" s="243">
        <v>0</v>
      </c>
      <c r="DW67" s="243">
        <v>0</v>
      </c>
      <c r="DX67" s="243">
        <v>0</v>
      </c>
      <c r="DY67" s="243">
        <v>0</v>
      </c>
      <c r="DZ67" s="243">
        <v>0</v>
      </c>
      <c r="EA67" s="243">
        <v>0</v>
      </c>
      <c r="EB67" s="243">
        <v>0</v>
      </c>
      <c r="EC67" s="243">
        <v>0</v>
      </c>
      <c r="ED67" s="243">
        <v>0</v>
      </c>
      <c r="EE67" s="243">
        <v>0</v>
      </c>
      <c r="EF67" s="243">
        <v>0</v>
      </c>
      <c r="EG67" s="243">
        <v>0</v>
      </c>
      <c r="EH67" s="243">
        <v>0</v>
      </c>
      <c r="EI67" s="243">
        <v>0</v>
      </c>
      <c r="EJ67" s="243">
        <v>0</v>
      </c>
      <c r="EK67" s="243">
        <v>0</v>
      </c>
      <c r="EL67" s="243">
        <v>0</v>
      </c>
      <c r="EM67" s="243">
        <v>0</v>
      </c>
      <c r="EN67" s="243">
        <v>0</v>
      </c>
      <c r="EO67" s="243">
        <v>0</v>
      </c>
      <c r="EP67" s="243">
        <v>0</v>
      </c>
      <c r="EQ67" s="243">
        <v>0</v>
      </c>
      <c r="ER67" s="243">
        <v>0</v>
      </c>
      <c r="ES67" s="243">
        <v>0</v>
      </c>
      <c r="ET67" s="467">
        <f>SUM(EG67:ES67)/13</f>
        <v>0</v>
      </c>
      <c r="EU67" s="801"/>
      <c r="EV67" s="801"/>
      <c r="HL67" s="35"/>
      <c r="HM67" s="253"/>
      <c r="HN67" s="258"/>
      <c r="HO67" s="35"/>
      <c r="HP67" s="35"/>
      <c r="HQ67" s="35"/>
      <c r="HR67" s="35"/>
      <c r="HS67" s="35"/>
      <c r="HT67" s="35"/>
      <c r="HU67" s="35"/>
      <c r="HV67" s="35"/>
      <c r="HW67" s="35"/>
      <c r="HX67" s="35"/>
      <c r="HY67" s="35"/>
      <c r="HZ67" s="35"/>
      <c r="IA67" s="35"/>
    </row>
    <row r="68" spans="1:235">
      <c r="A68" s="27" t="s">
        <v>265</v>
      </c>
      <c r="B68" s="124">
        <v>-515.01133000000004</v>
      </c>
      <c r="C68" s="124">
        <v>-508.10333000000003</v>
      </c>
      <c r="D68" s="124">
        <v>-501.19533000000001</v>
      </c>
      <c r="E68" s="124">
        <v>-494.28733</v>
      </c>
      <c r="F68" s="124">
        <v>-487.37933000000004</v>
      </c>
      <c r="G68" s="124">
        <v>-480.47133000000002</v>
      </c>
      <c r="H68" s="124">
        <v>-473.56333000000001</v>
      </c>
      <c r="I68" s="124">
        <v>-466.65532999999999</v>
      </c>
      <c r="J68" s="124">
        <v>-459.74733000000003</v>
      </c>
      <c r="K68" s="124">
        <v>-452.83933000000002</v>
      </c>
      <c r="L68" s="124">
        <v>-445.93133</v>
      </c>
      <c r="M68" s="124">
        <v>-439.02333000000004</v>
      </c>
      <c r="N68" s="124">
        <v>-432.11533000000003</v>
      </c>
      <c r="O68" s="124">
        <v>-425</v>
      </c>
      <c r="P68" s="124">
        <v>-418</v>
      </c>
      <c r="Q68" s="124">
        <v>-411</v>
      </c>
      <c r="R68" s="124">
        <v>-404</v>
      </c>
      <c r="S68" s="124">
        <v>-398</v>
      </c>
      <c r="T68" s="124">
        <v>-391</v>
      </c>
      <c r="U68" s="124">
        <v>-384</v>
      </c>
      <c r="V68" s="124">
        <v>-377</v>
      </c>
      <c r="W68" s="124">
        <v>-370</v>
      </c>
      <c r="X68" s="124">
        <v>-363.03699999999998</v>
      </c>
      <c r="Y68" s="124">
        <v>-356</v>
      </c>
      <c r="Z68" s="124">
        <v>-349</v>
      </c>
      <c r="AA68" s="124">
        <v>-342</v>
      </c>
      <c r="AB68" s="124">
        <v>-335</v>
      </c>
      <c r="AC68" s="124">
        <v>-328.49700000000001</v>
      </c>
      <c r="AD68" s="124">
        <v>-322</v>
      </c>
      <c r="AE68" s="124">
        <v>-315</v>
      </c>
      <c r="AF68" s="124">
        <v>-308</v>
      </c>
      <c r="AG68" s="124">
        <v>-301</v>
      </c>
      <c r="AH68" s="124">
        <v>-294</v>
      </c>
      <c r="AI68" s="124">
        <v>-424.66644000000008</v>
      </c>
      <c r="AJ68" s="124">
        <v>-418.65434000000005</v>
      </c>
      <c r="AK68" s="124">
        <v>-417.32601</v>
      </c>
      <c r="AL68" s="124">
        <v>-446.49768</v>
      </c>
      <c r="AM68" s="235">
        <v>-444.91518000000002</v>
      </c>
      <c r="AN68" s="235">
        <v>-443.33267999999998</v>
      </c>
      <c r="AO68" s="235">
        <v>-441.75018</v>
      </c>
      <c r="AP68" s="235">
        <v>-440.16768000000002</v>
      </c>
      <c r="AQ68" s="235">
        <v>-438.58517999999998</v>
      </c>
      <c r="AR68" s="235">
        <v>-437.00268</v>
      </c>
      <c r="AS68" s="245">
        <v>-435.42018000000002</v>
      </c>
      <c r="AT68" s="245">
        <v>-433.83767999999998</v>
      </c>
      <c r="AU68" s="245">
        <v>-432.25518</v>
      </c>
      <c r="AV68" s="245">
        <v>-430.67268000000001</v>
      </c>
      <c r="AW68" s="245">
        <v>-429.09017999999998</v>
      </c>
      <c r="AX68" s="245">
        <v>-427.50767999999999</v>
      </c>
      <c r="AY68" s="245">
        <v>-425.92518000000001</v>
      </c>
      <c r="AZ68" s="245">
        <v>-424.34267999999997</v>
      </c>
      <c r="BA68" s="404">
        <v>-422.76017999999999</v>
      </c>
      <c r="BB68" s="404">
        <v>-421.17768000000001</v>
      </c>
      <c r="BC68" s="404">
        <v>-419.59517999999997</v>
      </c>
      <c r="BD68" s="404">
        <v>-418.01267999999999</v>
      </c>
      <c r="BE68" s="404">
        <v>-416.43018000000001</v>
      </c>
      <c r="BF68" s="404">
        <v>-421.54768000000001</v>
      </c>
      <c r="BG68" s="244">
        <v>-419.93726000000004</v>
      </c>
      <c r="BH68" s="244">
        <v>-418.33615000000003</v>
      </c>
      <c r="BI68" s="244">
        <v>-416.73503999999997</v>
      </c>
      <c r="BJ68" s="244">
        <v>-415.13393000000002</v>
      </c>
      <c r="BK68" s="244">
        <v>-413.53282000000002</v>
      </c>
      <c r="BL68" s="244">
        <v>-411.93171000000001</v>
      </c>
      <c r="BM68" s="244">
        <v>-410.3306</v>
      </c>
      <c r="BN68" s="244">
        <v>-408.72949</v>
      </c>
      <c r="BO68" s="244">
        <v>-407.12837999999999</v>
      </c>
      <c r="BP68" s="244">
        <v>-405.52727000000004</v>
      </c>
      <c r="BQ68" s="244">
        <v>-403.92615999999998</v>
      </c>
      <c r="BR68" s="244">
        <v>-439.52504999999996</v>
      </c>
      <c r="BS68" s="244">
        <v>-437.81940999999995</v>
      </c>
      <c r="BT68" s="244">
        <v>-436.11496999999997</v>
      </c>
      <c r="BU68" s="244">
        <v>-434.41053000000005</v>
      </c>
      <c r="BV68" s="244">
        <v>-432.70609000000002</v>
      </c>
      <c r="BW68" s="244">
        <v>-431.00165000000004</v>
      </c>
      <c r="BX68" s="244">
        <v>-429.29721000000001</v>
      </c>
      <c r="BY68" s="244">
        <v>-427.59277000000003</v>
      </c>
      <c r="BZ68" s="244">
        <v>-425.88833</v>
      </c>
      <c r="CA68" s="244">
        <v>-424.18389000000002</v>
      </c>
      <c r="CB68" s="244">
        <v>-422.47944999999999</v>
      </c>
      <c r="CC68" s="244">
        <v>-420.77501000000001</v>
      </c>
      <c r="CD68" s="244">
        <v>-419.07057000000003</v>
      </c>
      <c r="CE68" s="244">
        <v>-417.36613</v>
      </c>
      <c r="CF68" s="244">
        <v>-415.66169000000002</v>
      </c>
      <c r="CG68" s="244">
        <v>-413.95724999999999</v>
      </c>
      <c r="CH68" s="244">
        <v>-412.25281000000001</v>
      </c>
      <c r="CI68" s="244">
        <v>-410.54836999999998</v>
      </c>
      <c r="CJ68" s="244">
        <v>-408.84393</v>
      </c>
      <c r="CK68" s="244">
        <v>-407.13948999999997</v>
      </c>
      <c r="CL68" s="244">
        <v>-405.43504999999999</v>
      </c>
      <c r="CM68" s="244">
        <v>-403.73061000000001</v>
      </c>
      <c r="CN68" s="244">
        <v>-402.02616999999998</v>
      </c>
      <c r="CO68" s="244">
        <v>-400.32173</v>
      </c>
      <c r="CP68" s="244">
        <v>-398.61728999999997</v>
      </c>
      <c r="CQ68" s="244">
        <v>-396.91284999999999</v>
      </c>
      <c r="CR68" s="244">
        <v>-395.20840999999996</v>
      </c>
      <c r="CS68" s="244">
        <v>-393.50396999999998</v>
      </c>
      <c r="CT68" s="244">
        <v>-391.79953</v>
      </c>
      <c r="CU68" s="244">
        <v>-390.09509000000003</v>
      </c>
      <c r="CV68" s="244">
        <v>-388.39065000000005</v>
      </c>
      <c r="CW68" s="244">
        <v>-386.68621000000002</v>
      </c>
      <c r="CX68" s="244">
        <v>-384.98177000000004</v>
      </c>
      <c r="CY68" s="244">
        <v>-383.27733000000001</v>
      </c>
      <c r="CZ68" s="244">
        <v>-381.57289000000003</v>
      </c>
      <c r="DA68" s="244">
        <v>-379.86845</v>
      </c>
      <c r="DB68" s="244">
        <v>-378.16401000000002</v>
      </c>
      <c r="DC68" s="244">
        <v>-571.30250999999998</v>
      </c>
      <c r="DD68" s="244">
        <v>-774.52298999999994</v>
      </c>
      <c r="DE68" s="244">
        <v>-771.70187999999996</v>
      </c>
      <c r="DF68" s="244">
        <v>-768.88076999999998</v>
      </c>
      <c r="DG68" s="244">
        <v>-893.46370999999999</v>
      </c>
      <c r="DH68" s="244">
        <v>-890.29544999999996</v>
      </c>
      <c r="DI68" s="244">
        <v>-887.12718999999993</v>
      </c>
      <c r="DJ68" s="244">
        <v>-883.95893000000001</v>
      </c>
      <c r="DK68" s="244">
        <v>-880.79067000000009</v>
      </c>
      <c r="DL68" s="244">
        <v>-877.62241000000006</v>
      </c>
      <c r="DM68" s="244">
        <v>-874.45415000000003</v>
      </c>
      <c r="DN68" s="244">
        <v>-871.28588999999999</v>
      </c>
      <c r="DO68" s="244">
        <v>-868.11762999999996</v>
      </c>
      <c r="DP68" s="244">
        <v>-1171.44937</v>
      </c>
      <c r="DQ68" s="244">
        <v>-1167.4566100000002</v>
      </c>
      <c r="DR68" s="244">
        <v>-1163.4621999999999</v>
      </c>
      <c r="DS68" s="244">
        <v>-1159.4677900000002</v>
      </c>
      <c r="DT68" s="244">
        <v>-1155.4733799999999</v>
      </c>
      <c r="DU68" s="244">
        <v>-1151.4789699999999</v>
      </c>
      <c r="DV68" s="244">
        <v>-1147.4845600000001</v>
      </c>
      <c r="DW68" s="244">
        <v>-1143.4901499999999</v>
      </c>
      <c r="DX68" s="244">
        <v>-1139.4957400000001</v>
      </c>
      <c r="DY68" s="244">
        <v>-1135.5013300000001</v>
      </c>
      <c r="DZ68" s="244">
        <v>-1131.50692</v>
      </c>
      <c r="EA68" s="244">
        <v>-1127.51251</v>
      </c>
      <c r="EB68" s="244">
        <v>-1123.5181</v>
      </c>
      <c r="EC68" s="244">
        <v>-1119.52369</v>
      </c>
      <c r="ED68" s="244">
        <v>-1115.52928</v>
      </c>
      <c r="EE68" s="244">
        <v>-1111.5348700000002</v>
      </c>
      <c r="EF68" s="244">
        <v>-1107.5404599999999</v>
      </c>
      <c r="EG68" s="244">
        <v>-1103.5460500000002</v>
      </c>
      <c r="EH68" s="244">
        <v>-1099.5516399999999</v>
      </c>
      <c r="EI68" s="244">
        <v>-1095.5572299999999</v>
      </c>
      <c r="EJ68" s="244">
        <v>-1719.07629</v>
      </c>
      <c r="EK68" s="244">
        <v>-1711.4238500000001</v>
      </c>
      <c r="EL68" s="244">
        <v>-1703.5929099999998</v>
      </c>
      <c r="EM68" s="244">
        <v>-1695.76197</v>
      </c>
      <c r="EN68" s="244">
        <v>-1687.93103</v>
      </c>
      <c r="EO68" s="244">
        <v>-1680.1000900000001</v>
      </c>
      <c r="EP68" s="244">
        <v>-1672.2691499999999</v>
      </c>
      <c r="EQ68" s="244">
        <f>-(VLOOKUP("226",'Input BS ACCTS'!$A$5:$DD$1052,98,FALSE))/1000</f>
        <v>-1664.43821</v>
      </c>
      <c r="ER68" s="244">
        <f>-(VLOOKUP("226",'Input BS ACCTS'!$A$5:$DD$1052,99,FALSE))/1000</f>
        <v>-1656.60727</v>
      </c>
      <c r="ES68" s="244">
        <f>-(VLOOKUP("226",'Input BS ACCTS'!$A$5:$DD$1052,100,FALSE))/1000</f>
        <v>-1648.7763300000001</v>
      </c>
      <c r="ET68" s="467">
        <f>SUM(EG68:ES68)/13</f>
        <v>-1549.12554</v>
      </c>
      <c r="EU68" s="801"/>
      <c r="EV68" s="801"/>
      <c r="HL68" s="35"/>
      <c r="HM68" s="253"/>
      <c r="HN68" s="258"/>
      <c r="HO68" s="35"/>
      <c r="HP68" s="35"/>
      <c r="HQ68" s="35"/>
      <c r="HR68" s="35"/>
      <c r="HS68" s="35"/>
      <c r="HT68" s="35"/>
      <c r="HU68" s="35"/>
      <c r="HV68" s="35"/>
      <c r="HW68" s="35"/>
      <c r="HX68" s="35"/>
      <c r="HY68" s="35"/>
      <c r="HZ68" s="35"/>
      <c r="IA68" s="35"/>
    </row>
    <row r="69" spans="1:235">
      <c r="A69" s="29" t="s">
        <v>266</v>
      </c>
      <c r="B69" s="129">
        <v>229984.98866999999</v>
      </c>
      <c r="C69" s="129">
        <v>229991.89666999999</v>
      </c>
      <c r="D69" s="129">
        <v>229998.80467000001</v>
      </c>
      <c r="E69" s="129">
        <v>230005.71267000001</v>
      </c>
      <c r="F69" s="129">
        <v>230012.62067</v>
      </c>
      <c r="G69" s="129">
        <v>230019.52867</v>
      </c>
      <c r="H69" s="129">
        <v>230026.43667</v>
      </c>
      <c r="I69" s="129">
        <v>230033.34466999999</v>
      </c>
      <c r="J69" s="129">
        <v>230040.25266999999</v>
      </c>
      <c r="K69" s="129">
        <v>230047.16067000001</v>
      </c>
      <c r="L69" s="129">
        <v>226354.06867000001</v>
      </c>
      <c r="M69" s="129">
        <v>226360.97667</v>
      </c>
      <c r="N69" s="129">
        <v>226367.88467</v>
      </c>
      <c r="O69" s="129">
        <v>226375</v>
      </c>
      <c r="P69" s="129">
        <v>226382</v>
      </c>
      <c r="Q69" s="129">
        <v>226389</v>
      </c>
      <c r="R69" s="129">
        <v>226396</v>
      </c>
      <c r="S69" s="129">
        <v>226402</v>
      </c>
      <c r="T69" s="129">
        <v>226409</v>
      </c>
      <c r="U69" s="129">
        <v>226416</v>
      </c>
      <c r="V69" s="129">
        <v>226423</v>
      </c>
      <c r="W69" s="129">
        <v>226430</v>
      </c>
      <c r="X69" s="129">
        <v>223036.96299999999</v>
      </c>
      <c r="Y69" s="129">
        <v>223044</v>
      </c>
      <c r="Z69" s="129">
        <v>223051</v>
      </c>
      <c r="AA69" s="129">
        <v>223058</v>
      </c>
      <c r="AB69" s="129">
        <v>223065</v>
      </c>
      <c r="AC69" s="129">
        <v>223071.503</v>
      </c>
      <c r="AD69" s="129">
        <v>223078</v>
      </c>
      <c r="AE69" s="129">
        <v>223085</v>
      </c>
      <c r="AF69" s="129">
        <v>223092</v>
      </c>
      <c r="AG69" s="129">
        <v>223099</v>
      </c>
      <c r="AH69" s="129">
        <v>223106</v>
      </c>
      <c r="AI69" s="129">
        <v>254009.41355999999</v>
      </c>
      <c r="AJ69" s="129">
        <v>250615.42565999998</v>
      </c>
      <c r="AK69" s="129">
        <v>206347.35399</v>
      </c>
      <c r="AL69" s="129">
        <v>231318.18231999999</v>
      </c>
      <c r="AM69" s="129">
        <v>231319.76481999998</v>
      </c>
      <c r="AN69" s="129">
        <v>231321.34732</v>
      </c>
      <c r="AO69" s="129">
        <v>231322.92981999999</v>
      </c>
      <c r="AP69" s="129">
        <v>231324.51231999998</v>
      </c>
      <c r="AQ69" s="129">
        <v>231326.09482</v>
      </c>
      <c r="AR69" s="129">
        <v>231327.67731999999</v>
      </c>
      <c r="AS69" s="129">
        <v>231329.25982000001</v>
      </c>
      <c r="AT69" s="129">
        <v>231330.84232</v>
      </c>
      <c r="AU69" s="129">
        <v>231332.42481999999</v>
      </c>
      <c r="AV69" s="129">
        <v>231334.00732</v>
      </c>
      <c r="AW69" s="129">
        <v>231335.58981999999</v>
      </c>
      <c r="AX69" s="129">
        <v>231337.17231999998</v>
      </c>
      <c r="AY69" s="129">
        <v>231338.75482</v>
      </c>
      <c r="AZ69" s="129">
        <v>231340.33731999999</v>
      </c>
      <c r="BA69" s="418">
        <v>231341.91981999998</v>
      </c>
      <c r="BB69" s="418">
        <v>231343.50232</v>
      </c>
      <c r="BC69" s="418">
        <v>231345.08481999999</v>
      </c>
      <c r="BD69" s="418">
        <v>231346.66731999998</v>
      </c>
      <c r="BE69" s="418">
        <v>231348.24982</v>
      </c>
      <c r="BF69" s="418">
        <v>241343.13232</v>
      </c>
      <c r="BG69" s="129">
        <v>241344.74273999999</v>
      </c>
      <c r="BH69" s="129">
        <v>241346.34385</v>
      </c>
      <c r="BI69" s="129">
        <v>241347.94495999999</v>
      </c>
      <c r="BJ69" s="129">
        <v>241349.54606999998</v>
      </c>
      <c r="BK69" s="129">
        <v>241351.14718</v>
      </c>
      <c r="BL69" s="129">
        <v>241352.74828999999</v>
      </c>
      <c r="BM69" s="129">
        <v>241354.34940000001</v>
      </c>
      <c r="BN69" s="129">
        <v>241355.95051</v>
      </c>
      <c r="BO69" s="129">
        <v>241357.55161999998</v>
      </c>
      <c r="BP69" s="129">
        <v>241359.15273</v>
      </c>
      <c r="BQ69" s="129">
        <v>241360.75383999999</v>
      </c>
      <c r="BR69" s="129">
        <v>261325.15495</v>
      </c>
      <c r="BS69" s="129">
        <v>261326.86059</v>
      </c>
      <c r="BT69" s="129">
        <v>261328.56503</v>
      </c>
      <c r="BU69" s="129">
        <v>261330.26947</v>
      </c>
      <c r="BV69" s="129">
        <v>261331.97391</v>
      </c>
      <c r="BW69" s="129">
        <v>261333.67835</v>
      </c>
      <c r="BX69" s="129">
        <v>261335.38279</v>
      </c>
      <c r="BY69" s="129">
        <v>261337.08723</v>
      </c>
      <c r="BZ69" s="129">
        <v>261338.79167000001</v>
      </c>
      <c r="CA69" s="129">
        <v>261340.49611000001</v>
      </c>
      <c r="CB69" s="129">
        <v>261342.20054999998</v>
      </c>
      <c r="CC69" s="129">
        <v>261343.90498999998</v>
      </c>
      <c r="CD69" s="129">
        <v>261345.60942999998</v>
      </c>
      <c r="CE69" s="129">
        <v>261347.31386999998</v>
      </c>
      <c r="CF69" s="129">
        <v>261349.01830999998</v>
      </c>
      <c r="CG69" s="129">
        <v>261350.72274999999</v>
      </c>
      <c r="CH69" s="129">
        <v>261352.42718999999</v>
      </c>
      <c r="CI69" s="129">
        <v>261354.13162999999</v>
      </c>
      <c r="CJ69" s="129">
        <v>261355.83606999999</v>
      </c>
      <c r="CK69" s="129">
        <v>261357.54050999999</v>
      </c>
      <c r="CL69" s="129">
        <f t="shared" ref="CL69:CW69" si="68">SUM(CL66:CL68)</f>
        <v>261359.24494999999</v>
      </c>
      <c r="CM69" s="129">
        <f t="shared" si="68"/>
        <v>261360.94938999999</v>
      </c>
      <c r="CN69" s="129">
        <f t="shared" si="68"/>
        <v>261362.65383</v>
      </c>
      <c r="CO69" s="129">
        <f t="shared" si="68"/>
        <v>261364.35827</v>
      </c>
      <c r="CP69" s="129">
        <f t="shared" si="68"/>
        <v>261366.06271</v>
      </c>
      <c r="CQ69" s="129">
        <f t="shared" si="68"/>
        <v>261367.76715</v>
      </c>
      <c r="CR69" s="129">
        <f t="shared" si="68"/>
        <v>261369.47159</v>
      </c>
      <c r="CS69" s="129">
        <f t="shared" si="68"/>
        <v>261371.17603</v>
      </c>
      <c r="CT69" s="129">
        <f t="shared" si="68"/>
        <v>261372.88047</v>
      </c>
      <c r="CU69" s="129">
        <f t="shared" si="68"/>
        <v>261374.58491000001</v>
      </c>
      <c r="CV69" s="129">
        <f t="shared" si="68"/>
        <v>261376.28935000001</v>
      </c>
      <c r="CW69" s="129">
        <f t="shared" si="68"/>
        <v>261377.99378999998</v>
      </c>
      <c r="CX69" s="129">
        <f t="shared" ref="CX69:DC69" si="69">SUM(CX66:CX68)</f>
        <v>261379.69822999998</v>
      </c>
      <c r="CY69" s="129">
        <f t="shared" si="69"/>
        <v>261381.40266999998</v>
      </c>
      <c r="CZ69" s="129">
        <f t="shared" si="69"/>
        <v>261383.10710999998</v>
      </c>
      <c r="DA69" s="129">
        <f t="shared" si="69"/>
        <v>261384.81154999998</v>
      </c>
      <c r="DB69" s="129">
        <f t="shared" si="69"/>
        <v>211386.51598999999</v>
      </c>
      <c r="DC69" s="129">
        <f t="shared" si="69"/>
        <v>286193.37748999998</v>
      </c>
      <c r="DD69" s="129">
        <f t="shared" ref="DD69:DI69" si="70">SUM(DD66:DD68)</f>
        <v>285990.15700999997</v>
      </c>
      <c r="DE69" s="129">
        <f t="shared" si="70"/>
        <v>285992.97811999999</v>
      </c>
      <c r="DF69" s="129">
        <f t="shared" si="70"/>
        <v>285995.79923</v>
      </c>
      <c r="DG69" s="129">
        <f t="shared" si="70"/>
        <v>310871.21629000001</v>
      </c>
      <c r="DH69" s="129">
        <f t="shared" si="70"/>
        <v>310874.38455000002</v>
      </c>
      <c r="DI69" s="129">
        <f t="shared" si="70"/>
        <v>310877.55280999996</v>
      </c>
      <c r="DJ69" s="129">
        <f t="shared" ref="DJ69:DP69" si="71">SUM(DJ66:DJ68)</f>
        <v>310880.72106999997</v>
      </c>
      <c r="DK69" s="129">
        <f t="shared" si="71"/>
        <v>310883.88932999998</v>
      </c>
      <c r="DL69" s="129">
        <f t="shared" si="71"/>
        <v>310887.05758999998</v>
      </c>
      <c r="DM69" s="129">
        <f t="shared" si="71"/>
        <v>310890.22584999999</v>
      </c>
      <c r="DN69" s="129">
        <f t="shared" si="71"/>
        <v>310893.39410999999</v>
      </c>
      <c r="DO69" s="129">
        <f t="shared" si="71"/>
        <v>310896.56237</v>
      </c>
      <c r="DP69" s="129">
        <f t="shared" si="71"/>
        <v>335593.23063000001</v>
      </c>
      <c r="DQ69" s="129">
        <f t="shared" ref="DQ69:DX69" si="72">SUM(DQ66:DQ68)</f>
        <v>335597.22339</v>
      </c>
      <c r="DR69" s="129">
        <f t="shared" si="72"/>
        <v>335601.21779999998</v>
      </c>
      <c r="DS69" s="129">
        <f t="shared" si="72"/>
        <v>335605.21220999997</v>
      </c>
      <c r="DT69" s="129">
        <f t="shared" si="72"/>
        <v>335609.20662000001</v>
      </c>
      <c r="DU69" s="129">
        <f t="shared" si="72"/>
        <v>335613.20103</v>
      </c>
      <c r="DV69" s="129">
        <f t="shared" si="72"/>
        <v>335617.19543999998</v>
      </c>
      <c r="DW69" s="129">
        <f t="shared" si="72"/>
        <v>335621.18984999997</v>
      </c>
      <c r="DX69" s="129">
        <f t="shared" si="72"/>
        <v>335625.18426000001</v>
      </c>
      <c r="DY69" s="129">
        <f t="shared" ref="DY69:ED69" si="73">SUM(DY66:DY68)</f>
        <v>335629.17866999999</v>
      </c>
      <c r="DZ69" s="129">
        <f t="shared" si="73"/>
        <v>335633.17307999998</v>
      </c>
      <c r="EA69" s="129">
        <f t="shared" si="73"/>
        <v>335637.16749000002</v>
      </c>
      <c r="EB69" s="129">
        <f t="shared" si="73"/>
        <v>335641.16190000001</v>
      </c>
      <c r="EC69" s="129">
        <f t="shared" si="73"/>
        <v>335645.15630999999</v>
      </c>
      <c r="ED69" s="129">
        <f t="shared" si="73"/>
        <v>335649.15071999998</v>
      </c>
      <c r="EE69" s="129">
        <f t="shared" ref="EE69:EJ69" si="74">SUM(EE66:EE68)</f>
        <v>335653.14513000002</v>
      </c>
      <c r="EF69" s="129">
        <f t="shared" si="74"/>
        <v>335657.13954</v>
      </c>
      <c r="EG69" s="129">
        <f t="shared" si="74"/>
        <v>335661.13394999999</v>
      </c>
      <c r="EH69" s="129">
        <f t="shared" si="74"/>
        <v>335665.12835999997</v>
      </c>
      <c r="EI69" s="129">
        <f t="shared" si="74"/>
        <v>335669.12277000002</v>
      </c>
      <c r="EJ69" s="129">
        <f t="shared" si="74"/>
        <v>565045.60371000005</v>
      </c>
      <c r="EK69" s="129">
        <f t="shared" ref="EK69:EP69" si="75">SUM(EK66:EK68)</f>
        <v>565053.25615000003</v>
      </c>
      <c r="EL69" s="129">
        <f t="shared" si="75"/>
        <v>518296.40708999999</v>
      </c>
      <c r="EM69" s="129">
        <f t="shared" si="75"/>
        <v>518304.23803000001</v>
      </c>
      <c r="EN69" s="129">
        <f t="shared" si="75"/>
        <v>518312.06897000002</v>
      </c>
      <c r="EO69" s="129">
        <f t="shared" si="75"/>
        <v>518319.89990999998</v>
      </c>
      <c r="EP69" s="129">
        <f t="shared" si="75"/>
        <v>518327.73084999999</v>
      </c>
      <c r="EQ69" s="129">
        <f>SUM(EQ66:EQ68)</f>
        <v>518335.56179000001</v>
      </c>
      <c r="ER69" s="129">
        <f>SUM(ER66:ER68)</f>
        <v>518343.39273000002</v>
      </c>
      <c r="ES69" s="129">
        <f>SUM(ES66:ES68)</f>
        <v>518351.22366999998</v>
      </c>
      <c r="ET69" s="418">
        <f>SUM(ET66:ET68)</f>
        <v>483360.36676769238</v>
      </c>
      <c r="EU69" s="126"/>
      <c r="EV69" s="126"/>
      <c r="HL69" s="35"/>
      <c r="HM69" s="252"/>
      <c r="HN69" s="258"/>
      <c r="HO69" s="35"/>
      <c r="HP69" s="35"/>
      <c r="HQ69" s="35"/>
      <c r="HR69" s="35"/>
      <c r="HS69" s="35"/>
      <c r="HT69" s="35"/>
      <c r="HU69" s="35"/>
      <c r="HV69" s="35"/>
      <c r="HW69" s="35"/>
      <c r="HX69" s="35"/>
      <c r="HY69" s="35"/>
      <c r="HZ69" s="35"/>
      <c r="IA69" s="35"/>
    </row>
    <row r="70" spans="1:235">
      <c r="A70" s="30"/>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419"/>
      <c r="BB70" s="419"/>
      <c r="BC70" s="419"/>
      <c r="BD70" s="419"/>
      <c r="BE70" s="419"/>
      <c r="BF70" s="419"/>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HL70" s="35"/>
      <c r="HM70" s="252"/>
      <c r="HN70" s="258"/>
      <c r="HO70" s="35"/>
      <c r="HP70" s="35"/>
      <c r="HQ70" s="35"/>
      <c r="HR70" s="35"/>
      <c r="HS70" s="35"/>
      <c r="HT70" s="35"/>
      <c r="HU70" s="35"/>
      <c r="HV70" s="35"/>
      <c r="HW70" s="35"/>
      <c r="HX70" s="35"/>
      <c r="HY70" s="35"/>
      <c r="HZ70" s="35"/>
      <c r="IA70" s="35"/>
    </row>
    <row r="71" spans="1:235">
      <c r="A71" s="29" t="s">
        <v>267</v>
      </c>
      <c r="B71" s="158">
        <v>492744.79833000002</v>
      </c>
      <c r="C71" s="158">
        <v>491707.04333000001</v>
      </c>
      <c r="D71" s="158">
        <v>498062.39733000007</v>
      </c>
      <c r="E71" s="158">
        <v>502134.84632999997</v>
      </c>
      <c r="F71" s="158">
        <v>509649.40732999996</v>
      </c>
      <c r="G71" s="158">
        <v>504231.92732999998</v>
      </c>
      <c r="H71" s="158">
        <v>519763.36832999997</v>
      </c>
      <c r="I71" s="158">
        <v>523604.73632999999</v>
      </c>
      <c r="J71" s="158">
        <v>509267.00832999998</v>
      </c>
      <c r="K71" s="158">
        <v>508500.32333000004</v>
      </c>
      <c r="L71" s="158">
        <v>507074.09732999996</v>
      </c>
      <c r="M71" s="158">
        <v>497846.34032999998</v>
      </c>
      <c r="N71" s="158">
        <v>497225.81532999995</v>
      </c>
      <c r="O71" s="158">
        <v>499019</v>
      </c>
      <c r="P71" s="158">
        <v>497508</v>
      </c>
      <c r="Q71" s="158">
        <v>501107</v>
      </c>
      <c r="R71" s="158">
        <v>508516</v>
      </c>
      <c r="S71" s="158">
        <v>509174</v>
      </c>
      <c r="T71" s="158">
        <v>512740</v>
      </c>
      <c r="U71" s="158">
        <v>515764</v>
      </c>
      <c r="V71" s="158">
        <v>503394.04399999999</v>
      </c>
      <c r="W71" s="158">
        <v>503972.55699999997</v>
      </c>
      <c r="X71" s="158">
        <v>502476.44500000001</v>
      </c>
      <c r="Y71" s="158">
        <v>494403.35299999994</v>
      </c>
      <c r="Z71" s="158">
        <v>496535.15297</v>
      </c>
      <c r="AA71" s="158">
        <v>498020.66792000004</v>
      </c>
      <c r="AB71" s="158">
        <v>497214.02426999999</v>
      </c>
      <c r="AC71" s="158">
        <v>500608.978</v>
      </c>
      <c r="AD71" s="158">
        <v>505731</v>
      </c>
      <c r="AE71" s="158">
        <v>502590.11199999996</v>
      </c>
      <c r="AF71" s="158">
        <v>505778</v>
      </c>
      <c r="AG71" s="158">
        <v>509187.21684999997</v>
      </c>
      <c r="AH71" s="158">
        <v>500416.87877000001</v>
      </c>
      <c r="AI71" s="158">
        <v>533649.17803000007</v>
      </c>
      <c r="AJ71" s="158">
        <v>532578.60407999996</v>
      </c>
      <c r="AK71" s="158">
        <v>489169.00071000005</v>
      </c>
      <c r="AL71" s="158">
        <v>516222.28459000005</v>
      </c>
      <c r="AM71" s="158">
        <v>510665.24531000003</v>
      </c>
      <c r="AN71" s="158">
        <v>515080.51353</v>
      </c>
      <c r="AO71" s="158">
        <v>518135.61676999996</v>
      </c>
      <c r="AP71" s="158">
        <v>523345.56938</v>
      </c>
      <c r="AQ71" s="158">
        <v>520860.49711</v>
      </c>
      <c r="AR71" s="158">
        <v>525880.71014999994</v>
      </c>
      <c r="AS71" s="158">
        <v>529903.29347999999</v>
      </c>
      <c r="AT71" s="158">
        <v>530154.57744999998</v>
      </c>
      <c r="AU71" s="158">
        <v>532071.31206000003</v>
      </c>
      <c r="AV71" s="158">
        <v>523090.62682999996</v>
      </c>
      <c r="AW71" s="158">
        <v>524446.37615999999</v>
      </c>
      <c r="AX71" s="158">
        <v>526495.51743999997</v>
      </c>
      <c r="AY71" s="158">
        <v>522996.30027000001</v>
      </c>
      <c r="AZ71" s="158">
        <v>526610.62911999994</v>
      </c>
      <c r="BA71" s="420">
        <v>528904.40085999994</v>
      </c>
      <c r="BB71" s="420">
        <v>526747.30235999997</v>
      </c>
      <c r="BC71" s="420">
        <v>538273.92073999997</v>
      </c>
      <c r="BD71" s="420">
        <v>543179.79582999996</v>
      </c>
      <c r="BE71" s="420">
        <v>534531.52385999996</v>
      </c>
      <c r="BF71" s="420">
        <v>556356.13306000002</v>
      </c>
      <c r="BG71" s="130">
        <v>558858.71225999994</v>
      </c>
      <c r="BH71" s="130">
        <v>550595.37990000006</v>
      </c>
      <c r="BI71" s="130">
        <v>554830.46882000007</v>
      </c>
      <c r="BJ71" s="130">
        <v>556189.16338000004</v>
      </c>
      <c r="BK71" s="130">
        <v>552758.64236000006</v>
      </c>
      <c r="BL71" s="130">
        <v>561107.77777000004</v>
      </c>
      <c r="BM71" s="130">
        <v>564861.69206999999</v>
      </c>
      <c r="BN71" s="130">
        <v>570431.39694999997</v>
      </c>
      <c r="BO71" s="130">
        <v>568836.69253999996</v>
      </c>
      <c r="BP71" s="130">
        <v>572988.49225000001</v>
      </c>
      <c r="BQ71" s="130">
        <v>561256.43445000006</v>
      </c>
      <c r="BR71" s="130">
        <v>593757.33978000004</v>
      </c>
      <c r="BS71" s="130">
        <v>596504.26159000001</v>
      </c>
      <c r="BT71" s="130">
        <v>589525.03768000007</v>
      </c>
      <c r="BU71" s="130">
        <v>600060.25334000005</v>
      </c>
      <c r="BV71" s="130">
        <v>601944.23976000003</v>
      </c>
      <c r="BW71" s="130">
        <v>604132.78865</v>
      </c>
      <c r="BX71" s="130">
        <v>605822.28572000004</v>
      </c>
      <c r="BY71" s="130">
        <v>608794.85802000004</v>
      </c>
      <c r="BZ71" s="130">
        <v>614115.77732999995</v>
      </c>
      <c r="CA71" s="130">
        <v>613758.92176000006</v>
      </c>
      <c r="CB71" s="130">
        <v>616155.62624999997</v>
      </c>
      <c r="CC71" s="130">
        <v>619125.17972999997</v>
      </c>
      <c r="CD71" s="130">
        <v>608223.27884000004</v>
      </c>
      <c r="CE71" s="130">
        <v>601476.88896000001</v>
      </c>
      <c r="CF71" s="130">
        <v>604116.52561000001</v>
      </c>
      <c r="CG71" s="130">
        <v>606159.94041000004</v>
      </c>
      <c r="CH71" s="130">
        <v>608142.45550000004</v>
      </c>
      <c r="CI71" s="130">
        <v>611109.97538000008</v>
      </c>
      <c r="CJ71" s="130">
        <v>608279.56801000005</v>
      </c>
      <c r="CK71" s="130">
        <v>610356.35606000002</v>
      </c>
      <c r="CL71" s="130">
        <f t="shared" ref="CL71:CW71" si="76">CL64+CL69</f>
        <v>615744.72395999997</v>
      </c>
      <c r="CM71" s="130">
        <f t="shared" si="76"/>
        <v>618632.16148000001</v>
      </c>
      <c r="CN71" s="130">
        <f t="shared" si="76"/>
        <v>623192.49193000002</v>
      </c>
      <c r="CO71" s="130">
        <f t="shared" si="76"/>
        <v>627046.99897000007</v>
      </c>
      <c r="CP71" s="130">
        <f t="shared" si="76"/>
        <v>635499.62168999994</v>
      </c>
      <c r="CQ71" s="130">
        <f t="shared" si="76"/>
        <v>637604.77977000002</v>
      </c>
      <c r="CR71" s="130">
        <f t="shared" si="76"/>
        <v>640387.20255000005</v>
      </c>
      <c r="CS71" s="130">
        <f t="shared" si="76"/>
        <v>640821.51699999999</v>
      </c>
      <c r="CT71" s="130">
        <f t="shared" si="76"/>
        <v>643552.97444000002</v>
      </c>
      <c r="CU71" s="130">
        <f t="shared" si="76"/>
        <v>646206.66336000001</v>
      </c>
      <c r="CV71" s="130">
        <f t="shared" si="76"/>
        <v>649336.12219000002</v>
      </c>
      <c r="CW71" s="130">
        <f t="shared" si="76"/>
        <v>655000.21424999996</v>
      </c>
      <c r="CX71" s="130">
        <f t="shared" ref="CX71:DC71" si="77">CX64+CX69</f>
        <v>664330.56238000002</v>
      </c>
      <c r="CY71" s="130">
        <f t="shared" si="77"/>
        <v>664496.75491999998</v>
      </c>
      <c r="CZ71" s="130">
        <f t="shared" si="77"/>
        <v>666175.56547999999</v>
      </c>
      <c r="DA71" s="130">
        <f t="shared" si="77"/>
        <v>671508.70897000004</v>
      </c>
      <c r="DB71" s="130">
        <f t="shared" si="77"/>
        <v>623756.72881999996</v>
      </c>
      <c r="DC71" s="130">
        <f t="shared" si="77"/>
        <v>701662.01753999991</v>
      </c>
      <c r="DD71" s="130">
        <f t="shared" ref="DD71:DI71" si="78">DD64+DD69</f>
        <v>704566.11946999992</v>
      </c>
      <c r="DE71" s="130">
        <f t="shared" si="78"/>
        <v>706013.65545999992</v>
      </c>
      <c r="DF71" s="130">
        <f t="shared" si="78"/>
        <v>709716.47930000001</v>
      </c>
      <c r="DG71" s="130">
        <f t="shared" si="78"/>
        <v>737397.22181000002</v>
      </c>
      <c r="DH71" s="130">
        <f t="shared" si="78"/>
        <v>741588.98161999998</v>
      </c>
      <c r="DI71" s="130">
        <f t="shared" si="78"/>
        <v>747087.5578699999</v>
      </c>
      <c r="DJ71" s="130">
        <f t="shared" ref="DJ71:DP71" si="79">DJ64+DJ69</f>
        <v>753710.72423999989</v>
      </c>
      <c r="DK71" s="130">
        <f t="shared" si="79"/>
        <v>782764.11422999995</v>
      </c>
      <c r="DL71" s="130">
        <f t="shared" si="79"/>
        <v>788265.38500999997</v>
      </c>
      <c r="DM71" s="130">
        <f t="shared" si="79"/>
        <v>793497.53567999997</v>
      </c>
      <c r="DN71" s="130">
        <f t="shared" si="79"/>
        <v>815105.25922999997</v>
      </c>
      <c r="DO71" s="130">
        <f t="shared" si="79"/>
        <v>818875.65308999992</v>
      </c>
      <c r="DP71" s="130">
        <f t="shared" si="79"/>
        <v>846633.18894999998</v>
      </c>
      <c r="DQ71" s="130">
        <f t="shared" ref="DQ71:DX71" si="80">DQ64+DQ69</f>
        <v>836905.85308999999</v>
      </c>
      <c r="DR71" s="130">
        <f t="shared" si="80"/>
        <v>865595.75933999999</v>
      </c>
      <c r="DS71" s="130">
        <f t="shared" si="80"/>
        <v>869027.41506999987</v>
      </c>
      <c r="DT71" s="130">
        <f t="shared" si="80"/>
        <v>862850.54240999999</v>
      </c>
      <c r="DU71" s="130">
        <f t="shared" si="80"/>
        <v>866917.99272999994</v>
      </c>
      <c r="DV71" s="130">
        <f t="shared" si="80"/>
        <v>874599.65697999997</v>
      </c>
      <c r="DW71" s="130">
        <f t="shared" si="80"/>
        <v>908657.51953999989</v>
      </c>
      <c r="DX71" s="130">
        <f t="shared" si="80"/>
        <v>913508.34933999996</v>
      </c>
      <c r="DY71" s="130">
        <f t="shared" ref="DY71:ED71" si="81">DY64+DY69</f>
        <v>917225.12425000011</v>
      </c>
      <c r="DZ71" s="130">
        <f t="shared" si="81"/>
        <v>932378.64971999999</v>
      </c>
      <c r="EA71" s="130">
        <f t="shared" si="81"/>
        <v>935594.48950000003</v>
      </c>
      <c r="EB71" s="130">
        <f t="shared" si="81"/>
        <v>938696.66954999999</v>
      </c>
      <c r="EC71" s="130">
        <f t="shared" si="81"/>
        <v>976931.67103000009</v>
      </c>
      <c r="ED71" s="130">
        <f t="shared" si="81"/>
        <v>980353.07530000014</v>
      </c>
      <c r="EE71" s="130">
        <f t="shared" ref="EE71:EJ71" si="82">EE64+EE69</f>
        <v>983305.99924000003</v>
      </c>
      <c r="EF71" s="130">
        <f t="shared" si="82"/>
        <v>993132.62895000004</v>
      </c>
      <c r="EG71" s="130">
        <f t="shared" si="82"/>
        <v>997758.24056000006</v>
      </c>
      <c r="EH71" s="130">
        <f t="shared" si="82"/>
        <v>1009159.7745200001</v>
      </c>
      <c r="EI71" s="130">
        <f t="shared" si="82"/>
        <v>1044519.12026</v>
      </c>
      <c r="EJ71" s="130">
        <f t="shared" si="82"/>
        <v>1281588.4538799999</v>
      </c>
      <c r="EK71" s="130">
        <f t="shared" ref="EK71:EP71" si="83">EK64+EK69</f>
        <v>1262195.9784400002</v>
      </c>
      <c r="EL71" s="130">
        <f t="shared" si="83"/>
        <v>1240964.6037400002</v>
      </c>
      <c r="EM71" s="130">
        <f t="shared" si="83"/>
        <v>1246417.10509</v>
      </c>
      <c r="EN71" s="130">
        <f t="shared" si="83"/>
        <v>1250861.5907100001</v>
      </c>
      <c r="EO71" s="130">
        <f t="shared" si="83"/>
        <v>1271979.2272999999</v>
      </c>
      <c r="EP71" s="130">
        <f t="shared" si="83"/>
        <v>1277545.0383200001</v>
      </c>
      <c r="EQ71" s="130">
        <f>EQ64+EQ69</f>
        <v>1282660.60864</v>
      </c>
      <c r="ER71" s="130">
        <f>ER64+ER69</f>
        <v>1298713.32057</v>
      </c>
      <c r="ES71" s="130">
        <f>ES64+ES69</f>
        <v>1304585.8035200001</v>
      </c>
      <c r="ET71" s="467">
        <f>SUM(EG71:ES71)/13</f>
        <v>1212996.0665807691</v>
      </c>
      <c r="EU71" s="801"/>
      <c r="EV71" s="801"/>
      <c r="HL71" s="35"/>
      <c r="HM71" s="255"/>
      <c r="HN71" s="258"/>
      <c r="HO71" s="35"/>
      <c r="HP71" s="35"/>
      <c r="HQ71" s="35"/>
      <c r="HR71" s="35"/>
      <c r="HS71" s="35"/>
      <c r="HT71" s="35"/>
      <c r="HU71" s="35"/>
      <c r="HV71" s="35"/>
      <c r="HW71" s="35"/>
      <c r="HX71" s="35"/>
      <c r="HY71" s="35"/>
      <c r="HZ71" s="35"/>
      <c r="IA71" s="35"/>
    </row>
    <row r="72" spans="1:235">
      <c r="A72" s="29"/>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419"/>
      <c r="BB72" s="419"/>
      <c r="BC72" s="419"/>
      <c r="BD72" s="419"/>
      <c r="BE72" s="419"/>
      <c r="BF72" s="419"/>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243"/>
      <c r="EU72" s="243"/>
      <c r="EV72" s="243"/>
      <c r="HL72" s="35"/>
      <c r="HM72" s="252"/>
      <c r="HN72" s="258"/>
      <c r="HO72" s="35"/>
      <c r="HP72" s="35"/>
      <c r="HQ72" s="35"/>
      <c r="HR72" s="35"/>
      <c r="HS72" s="35"/>
      <c r="HT72" s="35"/>
      <c r="HU72" s="35"/>
      <c r="HV72" s="35"/>
      <c r="HW72" s="35"/>
      <c r="HX72" s="35"/>
      <c r="HY72" s="35"/>
      <c r="HZ72" s="35"/>
      <c r="IA72" s="35"/>
    </row>
    <row r="73" spans="1:235">
      <c r="A73" s="34" t="s">
        <v>268</v>
      </c>
      <c r="B73" s="125">
        <v>0</v>
      </c>
      <c r="C73" s="125">
        <v>0</v>
      </c>
      <c r="D73" s="125">
        <v>0</v>
      </c>
      <c r="E73" s="125">
        <v>0</v>
      </c>
      <c r="F73" s="125"/>
      <c r="G73" s="125"/>
      <c r="H73" s="125"/>
      <c r="I73" s="125"/>
      <c r="J73" s="125"/>
      <c r="K73" s="125"/>
      <c r="L73" s="125"/>
      <c r="M73" s="125"/>
      <c r="N73" s="125"/>
      <c r="O73" s="125"/>
      <c r="P73" s="125"/>
      <c r="Q73" s="125"/>
      <c r="R73" s="159"/>
      <c r="S73" s="125"/>
      <c r="T73" s="159" t="s">
        <v>515</v>
      </c>
      <c r="U73" s="159" t="s">
        <v>515</v>
      </c>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421"/>
      <c r="BB73" s="421"/>
      <c r="BC73" s="421"/>
      <c r="BD73" s="421"/>
      <c r="BE73" s="421"/>
      <c r="BF73" s="421"/>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c r="DR73" s="159"/>
      <c r="DS73" s="159"/>
      <c r="DT73" s="159"/>
      <c r="DU73" s="159"/>
      <c r="DV73" s="159"/>
      <c r="DW73" s="159"/>
      <c r="DX73" s="159"/>
      <c r="DY73" s="159"/>
      <c r="DZ73" s="159"/>
      <c r="EA73" s="159"/>
      <c r="EB73" s="159"/>
      <c r="EC73" s="159"/>
      <c r="ED73" s="159"/>
      <c r="EE73" s="159"/>
      <c r="EF73" s="159"/>
      <c r="EG73" s="159"/>
      <c r="EH73" s="159"/>
      <c r="EI73" s="159"/>
      <c r="EJ73" s="159"/>
      <c r="EK73" s="159"/>
      <c r="EL73" s="159"/>
      <c r="EM73" s="159"/>
      <c r="EN73" s="159"/>
      <c r="EO73" s="159"/>
      <c r="EP73" s="159"/>
      <c r="EQ73" s="159"/>
      <c r="ER73" s="159"/>
      <c r="ES73" s="159"/>
      <c r="ET73" s="243"/>
      <c r="EU73" s="243"/>
      <c r="EV73" s="243"/>
      <c r="HL73" s="35"/>
      <c r="HM73" s="256"/>
      <c r="HN73" s="258"/>
      <c r="HO73" s="35"/>
      <c r="HP73" s="35"/>
      <c r="HQ73" s="35"/>
      <c r="HR73" s="35"/>
      <c r="HS73" s="35"/>
      <c r="HT73" s="35"/>
      <c r="HU73" s="35"/>
      <c r="HV73" s="35"/>
      <c r="HW73" s="35"/>
      <c r="HX73" s="35"/>
      <c r="HY73" s="35"/>
      <c r="HZ73" s="35"/>
      <c r="IA73" s="35"/>
    </row>
    <row r="74" spans="1:235">
      <c r="A74" s="193" t="s">
        <v>269</v>
      </c>
      <c r="B74" s="196">
        <v>-225</v>
      </c>
      <c r="C74" s="196">
        <v>0</v>
      </c>
      <c r="D74" s="196">
        <v>0</v>
      </c>
      <c r="E74" s="196">
        <v>-1775</v>
      </c>
      <c r="F74" s="196">
        <v>4250</v>
      </c>
      <c r="G74" s="196">
        <v>4100</v>
      </c>
      <c r="H74" s="196">
        <v>0</v>
      </c>
      <c r="I74" s="196">
        <v>0</v>
      </c>
      <c r="J74" s="196">
        <v>0</v>
      </c>
      <c r="K74" s="196">
        <v>0</v>
      </c>
      <c r="L74" s="195">
        <v>0</v>
      </c>
      <c r="M74" s="196">
        <v>6450</v>
      </c>
      <c r="N74" s="196">
        <v>8100</v>
      </c>
      <c r="O74" s="196">
        <v>0</v>
      </c>
      <c r="P74" s="196">
        <v>0</v>
      </c>
      <c r="Q74" s="196">
        <v>16900</v>
      </c>
      <c r="R74" s="196">
        <v>12150</v>
      </c>
      <c r="S74" s="196">
        <v>7400</v>
      </c>
      <c r="T74" s="196">
        <v>0</v>
      </c>
      <c r="U74" s="196">
        <v>0</v>
      </c>
      <c r="V74" s="196">
        <v>0</v>
      </c>
      <c r="W74" s="196">
        <v>0</v>
      </c>
      <c r="X74" s="196">
        <v>0</v>
      </c>
      <c r="Y74" s="196">
        <v>1400</v>
      </c>
      <c r="Z74" s="196">
        <v>0</v>
      </c>
      <c r="AA74" s="196">
        <v>0</v>
      </c>
      <c r="AB74" s="196">
        <v>3900</v>
      </c>
      <c r="AC74" s="196">
        <v>0</v>
      </c>
      <c r="AD74" s="212">
        <v>0</v>
      </c>
      <c r="AE74" s="196">
        <v>0</v>
      </c>
      <c r="AF74" s="196">
        <v>0</v>
      </c>
      <c r="AG74" s="196">
        <v>0</v>
      </c>
      <c r="AH74" s="196">
        <v>0</v>
      </c>
      <c r="AI74" s="196">
        <v>0</v>
      </c>
      <c r="AJ74" s="196">
        <v>0</v>
      </c>
      <c r="AK74" s="196">
        <v>0</v>
      </c>
      <c r="AL74" s="196">
        <v>0</v>
      </c>
      <c r="AM74" s="212">
        <v>0</v>
      </c>
      <c r="AN74" s="212">
        <v>0</v>
      </c>
      <c r="AO74" s="213">
        <v>0</v>
      </c>
      <c r="AP74" s="213">
        <v>0</v>
      </c>
      <c r="AQ74" s="213">
        <v>0</v>
      </c>
      <c r="AR74" s="213">
        <v>0</v>
      </c>
      <c r="AS74" s="251">
        <v>0</v>
      </c>
      <c r="AT74" s="251">
        <v>0</v>
      </c>
      <c r="AU74" s="251">
        <v>0</v>
      </c>
      <c r="AV74" s="251">
        <v>0</v>
      </c>
      <c r="AW74" s="251">
        <v>0</v>
      </c>
      <c r="AX74" s="251">
        <v>0</v>
      </c>
      <c r="AY74" s="202">
        <v>0</v>
      </c>
      <c r="AZ74" s="202">
        <v>0</v>
      </c>
      <c r="BA74" s="387">
        <v>15600</v>
      </c>
      <c r="BB74" s="387">
        <v>16500</v>
      </c>
      <c r="BC74" s="387">
        <v>12200</v>
      </c>
      <c r="BD74" s="387">
        <v>0</v>
      </c>
      <c r="BE74" s="387">
        <v>0</v>
      </c>
      <c r="BF74" s="387">
        <v>0</v>
      </c>
      <c r="BG74" s="243">
        <v>0</v>
      </c>
      <c r="BH74" s="243">
        <v>0</v>
      </c>
      <c r="BI74" s="243">
        <v>800</v>
      </c>
      <c r="BJ74" s="243">
        <v>4700</v>
      </c>
      <c r="BK74" s="243">
        <v>0</v>
      </c>
      <c r="BL74" s="243">
        <v>0</v>
      </c>
      <c r="BM74" s="243">
        <v>12900</v>
      </c>
      <c r="BN74" s="243">
        <v>8350</v>
      </c>
      <c r="BO74" s="243">
        <v>5800</v>
      </c>
      <c r="BP74" s="243">
        <v>0</v>
      </c>
      <c r="BQ74" s="243">
        <v>0</v>
      </c>
      <c r="BR74" s="243">
        <v>0</v>
      </c>
      <c r="BS74" s="243">
        <v>0</v>
      </c>
      <c r="BT74" s="243">
        <v>0</v>
      </c>
      <c r="BU74" s="243">
        <v>0</v>
      </c>
      <c r="BV74" s="243">
        <v>0</v>
      </c>
      <c r="BW74" s="243">
        <v>0</v>
      </c>
      <c r="BX74" s="243">
        <v>0</v>
      </c>
      <c r="BY74" s="243">
        <v>0</v>
      </c>
      <c r="BZ74" s="243">
        <v>0</v>
      </c>
      <c r="CA74" s="243">
        <v>2300</v>
      </c>
      <c r="CB74" s="243">
        <v>0</v>
      </c>
      <c r="CC74" s="243">
        <v>0</v>
      </c>
      <c r="CD74" s="243">
        <v>0</v>
      </c>
      <c r="CE74" s="243">
        <v>600</v>
      </c>
      <c r="CF74" s="243">
        <v>1800</v>
      </c>
      <c r="CG74" s="243">
        <v>3150</v>
      </c>
      <c r="CH74" s="243">
        <v>700</v>
      </c>
      <c r="CI74" s="243">
        <v>0</v>
      </c>
      <c r="CJ74" s="243">
        <v>9750</v>
      </c>
      <c r="CK74" s="243">
        <v>30050</v>
      </c>
      <c r="CL74" s="243">
        <v>41225.800000000003</v>
      </c>
      <c r="CM74" s="243">
        <v>40506.800000000003</v>
      </c>
      <c r="CN74" s="243">
        <v>41810.800000000003</v>
      </c>
      <c r="CO74" s="243">
        <v>37148.300000000003</v>
      </c>
      <c r="CP74" s="243">
        <v>31842.1</v>
      </c>
      <c r="CQ74" s="243">
        <v>36126.699999999997</v>
      </c>
      <c r="CR74" s="243">
        <v>33325.4</v>
      </c>
      <c r="CS74" s="243">
        <v>46233.9</v>
      </c>
      <c r="CT74" s="243">
        <v>48013.8</v>
      </c>
      <c r="CU74" s="243">
        <v>43884.1</v>
      </c>
      <c r="CV74" s="243">
        <v>46059.9</v>
      </c>
      <c r="CW74" s="243">
        <v>57684.3</v>
      </c>
      <c r="CX74" s="243">
        <v>55045.713000000003</v>
      </c>
      <c r="CY74" s="243">
        <v>58203.643530000001</v>
      </c>
      <c r="CZ74" s="243">
        <v>53438.296759999997</v>
      </c>
      <c r="DA74" s="243">
        <v>53973.759039999997</v>
      </c>
      <c r="DB74" s="243">
        <v>86871.59375</v>
      </c>
      <c r="DC74" s="243">
        <v>32647.32645</v>
      </c>
      <c r="DD74" s="243">
        <v>32403.666739999997</v>
      </c>
      <c r="DE74" s="243">
        <v>36635.669780000004</v>
      </c>
      <c r="DF74" s="243">
        <v>44924.345580000001</v>
      </c>
      <c r="DG74" s="243">
        <v>26601.973979999999</v>
      </c>
      <c r="DH74" s="243">
        <v>35033.765530000004</v>
      </c>
      <c r="DI74" s="243">
        <v>53651.64284</v>
      </c>
      <c r="DJ74" s="243">
        <v>70274.1008</v>
      </c>
      <c r="DK74" s="243">
        <v>51017.831979999995</v>
      </c>
      <c r="DL74" s="243">
        <v>43526.147640000003</v>
      </c>
      <c r="DM74" s="243">
        <v>47854.03026</v>
      </c>
      <c r="DN74" s="243">
        <v>32302.624949999998</v>
      </c>
      <c r="DO74" s="243">
        <v>43946.02736</v>
      </c>
      <c r="DP74" s="243">
        <v>30168.533420000003</v>
      </c>
      <c r="DQ74" s="243">
        <v>48717.414859999997</v>
      </c>
      <c r="DR74" s="243">
        <v>44435.200189999996</v>
      </c>
      <c r="DS74" s="243">
        <v>47028.28342</v>
      </c>
      <c r="DT74" s="243">
        <v>77517.735260000001</v>
      </c>
      <c r="DU74" s="243">
        <v>91138.979059999998</v>
      </c>
      <c r="DV74" s="243">
        <v>104160.10278</v>
      </c>
      <c r="DW74" s="243">
        <v>90190.82</v>
      </c>
      <c r="DX74" s="243">
        <v>91778.96686</v>
      </c>
      <c r="DY74" s="243">
        <v>99145.211670000004</v>
      </c>
      <c r="DZ74" s="243">
        <v>104893.603</v>
      </c>
      <c r="EA74" s="243">
        <v>127591.36500000001</v>
      </c>
      <c r="EB74" s="243">
        <v>145194.42319</v>
      </c>
      <c r="EC74" s="243">
        <v>133998.43737999999</v>
      </c>
      <c r="ED74" s="243">
        <v>144415.73919999998</v>
      </c>
      <c r="EE74" s="243">
        <v>162258.20669999998</v>
      </c>
      <c r="EF74" s="243">
        <v>179528.11132</v>
      </c>
      <c r="EG74" s="243">
        <v>214352.13493999999</v>
      </c>
      <c r="EH74" s="243">
        <v>236511.39825999999</v>
      </c>
      <c r="EI74" s="243">
        <v>221147.72566</v>
      </c>
      <c r="EJ74" s="243">
        <v>14181.103999999999</v>
      </c>
      <c r="EK74" s="243">
        <v>17122.357</v>
      </c>
      <c r="EL74" s="243">
        <v>87741.525890000004</v>
      </c>
      <c r="EM74" s="243">
        <v>99244.299809999997</v>
      </c>
      <c r="EN74" s="243">
        <v>111939.289</v>
      </c>
      <c r="EO74" s="243">
        <v>101333.505</v>
      </c>
      <c r="EP74" s="243">
        <v>115219.00199999999</v>
      </c>
      <c r="EQ74" s="243">
        <f>-((VLOOKUP("231",'Input BS ACCTS'!$A$5:$DD$1052,98,FALSE)/1000+VLOOKUP("2330711",'Input BS ACCTS'!$A$5:$DD$1052,98,FALSE)/1000))</f>
        <v>136200.897</v>
      </c>
      <c r="ER74" s="243">
        <f>-((VLOOKUP("231",'Input BS ACCTS'!$A$5:$DD$1052,99,FALSE)/1000+VLOOKUP("2330711",'Input BS ACCTS'!$A$5:$DD$1052,99,FALSE)/1000))</f>
        <v>144763.516</v>
      </c>
      <c r="ES74" s="243">
        <f>-((VLOOKUP("231",'Input BS ACCTS'!$A$5:$DD$1052,100,FALSE)/1000+VLOOKUP("2330711",'Input BS ACCTS'!$A$5:$DD$1052,100,FALSE)/1000))</f>
        <v>189522.084</v>
      </c>
      <c r="ET74" s="467">
        <f t="shared" ref="ET74:ET89" si="84">SUM(EG74:ES74)/13</f>
        <v>129944.52604307693</v>
      </c>
      <c r="EU74" s="801"/>
      <c r="EV74" s="801"/>
      <c r="HL74" s="35"/>
      <c r="HM74" s="253"/>
      <c r="HN74" s="258"/>
      <c r="HO74" s="35"/>
      <c r="HP74" s="35"/>
      <c r="HQ74" s="35"/>
      <c r="HR74" s="35"/>
      <c r="HS74" s="35"/>
      <c r="HT74" s="35"/>
      <c r="HU74" s="35"/>
      <c r="HV74" s="35"/>
      <c r="HW74" s="35"/>
      <c r="HX74" s="35"/>
      <c r="HY74" s="35"/>
      <c r="HZ74" s="35"/>
      <c r="IA74" s="35"/>
    </row>
    <row r="75" spans="1:235">
      <c r="A75" s="27" t="s">
        <v>270</v>
      </c>
      <c r="B75" s="121">
        <v>24415.259509999996</v>
      </c>
      <c r="C75" s="121">
        <v>29196.455509999996</v>
      </c>
      <c r="D75" s="121">
        <v>25711.788509999998</v>
      </c>
      <c r="E75" s="121">
        <v>27828.799509999997</v>
      </c>
      <c r="F75" s="121">
        <v>43497.706509999996</v>
      </c>
      <c r="G75" s="121">
        <v>33089.99151</v>
      </c>
      <c r="H75" s="121">
        <v>34708.333509999997</v>
      </c>
      <c r="I75" s="121">
        <v>19970.132509999999</v>
      </c>
      <c r="J75" s="121">
        <v>21058.429509999998</v>
      </c>
      <c r="K75" s="121">
        <v>26612.149509999999</v>
      </c>
      <c r="L75" s="121">
        <v>27641.755509999999</v>
      </c>
      <c r="M75" s="121">
        <v>25940.192509999997</v>
      </c>
      <c r="N75" s="121">
        <v>26687.664509999999</v>
      </c>
      <c r="O75" s="121">
        <v>23584</v>
      </c>
      <c r="P75" s="121">
        <v>27351</v>
      </c>
      <c r="Q75" s="121">
        <v>40887</v>
      </c>
      <c r="R75" s="121">
        <v>32566</v>
      </c>
      <c r="S75" s="121">
        <v>25385</v>
      </c>
      <c r="T75" s="121">
        <v>23109</v>
      </c>
      <c r="U75" s="121">
        <v>23586</v>
      </c>
      <c r="V75" s="121">
        <v>22436</v>
      </c>
      <c r="W75" s="121">
        <v>19039</v>
      </c>
      <c r="X75" s="121">
        <v>19789.858</v>
      </c>
      <c r="Y75" s="121">
        <v>19710</v>
      </c>
      <c r="Z75" s="121">
        <v>20005</v>
      </c>
      <c r="AA75" s="121">
        <v>19160</v>
      </c>
      <c r="AB75" s="121">
        <v>19392</v>
      </c>
      <c r="AC75" s="121">
        <v>17467.682000000001</v>
      </c>
      <c r="AD75" s="213">
        <v>20053</v>
      </c>
      <c r="AE75" s="121">
        <v>16021</v>
      </c>
      <c r="AF75" s="121">
        <v>18831</v>
      </c>
      <c r="AG75" s="121">
        <v>16118</v>
      </c>
      <c r="AH75" s="121">
        <v>17404</v>
      </c>
      <c r="AI75" s="121">
        <v>15721.02982</v>
      </c>
      <c r="AJ75" s="121">
        <v>24315.596270000002</v>
      </c>
      <c r="AK75" s="121">
        <v>28847.573249999998</v>
      </c>
      <c r="AL75" s="121">
        <v>19993.272520000002</v>
      </c>
      <c r="AM75" s="213">
        <v>22532.424829999996</v>
      </c>
      <c r="AN75" s="213">
        <v>31263.312680000003</v>
      </c>
      <c r="AO75" s="213">
        <v>34276.655339999998</v>
      </c>
      <c r="AP75" s="213">
        <v>26351.568659999997</v>
      </c>
      <c r="AQ75" s="213">
        <v>23083.808659999999</v>
      </c>
      <c r="AR75" s="213">
        <v>23777.321069999998</v>
      </c>
      <c r="AS75" s="251">
        <v>21719.128380000002</v>
      </c>
      <c r="AT75" s="251">
        <v>17086.470820000002</v>
      </c>
      <c r="AU75" s="251">
        <v>20044.614380000003</v>
      </c>
      <c r="AV75" s="251">
        <v>14757.462769999998</v>
      </c>
      <c r="AW75" s="251">
        <v>16791.390169999999</v>
      </c>
      <c r="AX75" s="251">
        <v>18974.269400000001</v>
      </c>
      <c r="AY75" s="202">
        <v>17811.850060000001</v>
      </c>
      <c r="AZ75" s="202">
        <v>29292.338929999994</v>
      </c>
      <c r="BA75" s="412">
        <v>27274.456549999992</v>
      </c>
      <c r="BB75" s="412">
        <v>27907.202669999999</v>
      </c>
      <c r="BC75" s="412">
        <v>23755.899619999993</v>
      </c>
      <c r="BD75" s="412">
        <v>24776.783349999994</v>
      </c>
      <c r="BE75" s="412">
        <v>23536.312179999997</v>
      </c>
      <c r="BF75" s="412">
        <v>16409.932669999998</v>
      </c>
      <c r="BG75" s="216">
        <v>15758.944720000001</v>
      </c>
      <c r="BH75" s="216">
        <v>17058.085039999994</v>
      </c>
      <c r="BI75" s="216">
        <v>22667.795439999994</v>
      </c>
      <c r="BJ75" s="216">
        <v>19868.930789999995</v>
      </c>
      <c r="BK75" s="216">
        <v>19639.360469999996</v>
      </c>
      <c r="BL75" s="216">
        <v>30088.285189999999</v>
      </c>
      <c r="BM75" s="216">
        <v>28815.17383</v>
      </c>
      <c r="BN75" s="216">
        <v>28519.498089999997</v>
      </c>
      <c r="BO75" s="216">
        <v>24055.504749999996</v>
      </c>
      <c r="BP75" s="216">
        <v>23190.676910000002</v>
      </c>
      <c r="BQ75" s="216">
        <v>24001.110049999996</v>
      </c>
      <c r="BR75" s="216">
        <v>17293.189809999996</v>
      </c>
      <c r="BS75" s="216">
        <v>18379.426789999998</v>
      </c>
      <c r="BT75" s="216">
        <v>18984.127839999997</v>
      </c>
      <c r="BU75" s="216">
        <v>22304.285379999998</v>
      </c>
      <c r="BV75" s="216">
        <v>20135.897430000001</v>
      </c>
      <c r="BW75" s="216">
        <v>23179.572249999997</v>
      </c>
      <c r="BX75" s="216">
        <v>30159.862089999991</v>
      </c>
      <c r="BY75" s="216">
        <v>25306.372739999995</v>
      </c>
      <c r="BZ75" s="216">
        <v>28529.387650000001</v>
      </c>
      <c r="CA75" s="216">
        <v>24828.321099999997</v>
      </c>
      <c r="CB75" s="216">
        <v>20079.69053</v>
      </c>
      <c r="CC75" s="216">
        <v>25780.829969999999</v>
      </c>
      <c r="CD75" s="216">
        <v>20305.079399999999</v>
      </c>
      <c r="CE75" s="216">
        <v>26497.115379999999</v>
      </c>
      <c r="CF75" s="216">
        <v>29190.302709999996</v>
      </c>
      <c r="CG75" s="216">
        <v>27751.911569999997</v>
      </c>
      <c r="CH75" s="216">
        <v>26756.236829999994</v>
      </c>
      <c r="CI75" s="216">
        <v>32896.135590000005</v>
      </c>
      <c r="CJ75" s="216">
        <v>36050.174950000001</v>
      </c>
      <c r="CK75" s="216">
        <v>32790.333050000001</v>
      </c>
      <c r="CL75" s="216">
        <v>29614.249519999998</v>
      </c>
      <c r="CM75" s="216">
        <v>23250.567239999997</v>
      </c>
      <c r="CN75" s="216">
        <v>22646.528630000001</v>
      </c>
      <c r="CO75" s="216">
        <v>25314.02679</v>
      </c>
      <c r="CP75" s="216">
        <v>24235.38408</v>
      </c>
      <c r="CQ75" s="216">
        <v>22358.859919999995</v>
      </c>
      <c r="CR75" s="216">
        <v>26713.88077</v>
      </c>
      <c r="CS75" s="216">
        <v>32954.537100000001</v>
      </c>
      <c r="CT75" s="216">
        <v>27562.694949999997</v>
      </c>
      <c r="CU75" s="216">
        <v>27556.440710000003</v>
      </c>
      <c r="CV75" s="216">
        <v>36878.143369999998</v>
      </c>
      <c r="CW75" s="216">
        <v>37851.570309999996</v>
      </c>
      <c r="CX75" s="216">
        <v>42384.39819</v>
      </c>
      <c r="CY75" s="216">
        <v>28529.321889999996</v>
      </c>
      <c r="CZ75" s="216">
        <v>27191.031509999997</v>
      </c>
      <c r="DA75" s="216">
        <v>26859.843059999996</v>
      </c>
      <c r="DB75" s="216">
        <v>31526.73201</v>
      </c>
      <c r="DC75" s="216">
        <v>32289.214540000001</v>
      </c>
      <c r="DD75" s="216">
        <v>35032.979610000002</v>
      </c>
      <c r="DE75" s="216">
        <v>33136.66502</v>
      </c>
      <c r="DF75" s="216">
        <v>36345.488340000004</v>
      </c>
      <c r="DG75" s="216">
        <v>44135.03153</v>
      </c>
      <c r="DH75" s="216">
        <v>59377.74145999999</v>
      </c>
      <c r="DI75" s="216">
        <v>49836.349900000001</v>
      </c>
      <c r="DJ75" s="216">
        <v>43828.983799999995</v>
      </c>
      <c r="DK75" s="216">
        <v>33595.937319999997</v>
      </c>
      <c r="DL75" s="216">
        <v>40949.708469999998</v>
      </c>
      <c r="DM75" s="216">
        <v>36762.280700000003</v>
      </c>
      <c r="DN75" s="216">
        <v>40153.656750000002</v>
      </c>
      <c r="DO75" s="216">
        <v>36642.683879999997</v>
      </c>
      <c r="DP75" s="216">
        <v>35874.949749999992</v>
      </c>
      <c r="DQ75" s="216">
        <v>39844.774130000005</v>
      </c>
      <c r="DR75" s="216">
        <v>38448.288360000006</v>
      </c>
      <c r="DS75" s="216">
        <v>44342.945189999991</v>
      </c>
      <c r="DT75" s="216">
        <v>51420.960829999989</v>
      </c>
      <c r="DU75" s="216">
        <v>62038.988300000005</v>
      </c>
      <c r="DV75" s="216">
        <v>61688.316500000001</v>
      </c>
      <c r="DW75" s="216">
        <v>53206.636410000006</v>
      </c>
      <c r="DX75" s="216">
        <v>52216.403459999994</v>
      </c>
      <c r="DY75" s="216">
        <v>56659.843179999989</v>
      </c>
      <c r="DZ75" s="216">
        <v>54419.067229999993</v>
      </c>
      <c r="EA75" s="216">
        <v>48085.875910000002</v>
      </c>
      <c r="EB75" s="216">
        <v>49198.686760000004</v>
      </c>
      <c r="EC75" s="216">
        <v>55932.038059999992</v>
      </c>
      <c r="ED75" s="216">
        <v>62017.170850000002</v>
      </c>
      <c r="EE75" s="216">
        <v>70456.453890000004</v>
      </c>
      <c r="EF75" s="216">
        <v>82145.932429999986</v>
      </c>
      <c r="EG75" s="216">
        <v>83946.034320000006</v>
      </c>
      <c r="EH75" s="216">
        <v>72913.717289999986</v>
      </c>
      <c r="EI75" s="216">
        <v>72152.029780000012</v>
      </c>
      <c r="EJ75" s="216">
        <v>67553.222450000001</v>
      </c>
      <c r="EK75" s="216">
        <v>60583.162370000005</v>
      </c>
      <c r="EL75" s="216">
        <v>49549.497879999995</v>
      </c>
      <c r="EM75" s="216">
        <v>50599.638369999993</v>
      </c>
      <c r="EN75" s="216">
        <v>57251.743600000002</v>
      </c>
      <c r="EO75" s="216">
        <v>62063.100990000006</v>
      </c>
      <c r="EP75" s="216">
        <v>63853.377550000005</v>
      </c>
      <c r="EQ75" s="216">
        <f>-(VLOOKUP("232",'Input BS ACCTS'!$A$5:$DD$1052,98,FALSE)+VLOOKUP("2420300",'Input BS ACCTS'!$A$5:$DD$1052,98,FALSE)-VLOOKUP("2320008",'Input BS ACCTS'!$A$5:$DD$1052,98,FALSE)-VLOOKUP("2320015",'Input BS ACCTS'!$A$5:$DD$1052,98,FALSE)-VLOOKUP("2320020",'Input BS ACCTS'!$A$5:$DD$1052,98,FALSE)-VLOOKUP("2320022",'Input BS ACCTS'!$A$5:$DD$1052,98,FALSE))/1000</f>
        <v>75490.841990000001</v>
      </c>
      <c r="ER75" s="216">
        <f>-(VLOOKUP("232",'Input BS ACCTS'!$A$5:$DD$1052,99,FALSE)+VLOOKUP("2420300",'Input BS ACCTS'!$A$5:$DD$1052,99,FALSE)-VLOOKUP("2320008",'Input BS ACCTS'!$A$5:$DD$1052,99,FALSE)-VLOOKUP("2320015",'Input BS ACCTS'!$A$5:$DD$1052,99,FALSE)-VLOOKUP("2320020",'Input BS ACCTS'!$A$5:$DD$1052,99,FALSE)-VLOOKUP("2320022",'Input BS ACCTS'!$A$5:$DD$1052,99,FALSE))/1000</f>
        <v>86452.891669999997</v>
      </c>
      <c r="ES75" s="216">
        <f>-(VLOOKUP("232",'Input BS ACCTS'!$A$5:$DD$1052,100,FALSE)+VLOOKUP("2420300",'Input BS ACCTS'!$A$5:$DD$1052,100,FALSE)-VLOOKUP("2320008",'Input BS ACCTS'!$A$5:$DD$1052,100,FALSE)-VLOOKUP("2320015",'Input BS ACCTS'!$A$5:$DD$1052,100,FALSE)-VLOOKUP("2320020",'Input BS ACCTS'!$A$5:$DD$1052,100,FALSE)-VLOOKUP("2320022",'Input BS ACCTS'!$A$5:$DD$1052,100,FALSE))/1000</f>
        <v>73129.695100000026</v>
      </c>
      <c r="ET75" s="467">
        <f t="shared" si="84"/>
        <v>67349.150258461537</v>
      </c>
      <c r="EU75" s="801"/>
      <c r="EV75" s="801"/>
      <c r="HL75" s="35"/>
      <c r="HM75" s="253"/>
      <c r="HN75" s="258"/>
      <c r="HO75" s="35"/>
      <c r="HP75" s="35"/>
      <c r="HQ75" s="35"/>
      <c r="HR75" s="35"/>
      <c r="HS75" s="35"/>
      <c r="HT75" s="35"/>
      <c r="HU75" s="35"/>
      <c r="HV75" s="35"/>
      <c r="HW75" s="35"/>
      <c r="HX75" s="35"/>
      <c r="HY75" s="35"/>
      <c r="HZ75" s="35"/>
      <c r="IA75" s="35"/>
    </row>
    <row r="76" spans="1:235">
      <c r="A76" s="193" t="s">
        <v>529</v>
      </c>
      <c r="B76" s="194">
        <v>-297.95263999999781</v>
      </c>
      <c r="C76" s="194">
        <v>-406.3596399999978</v>
      </c>
      <c r="D76" s="194">
        <v>2.3600000021979212E-3</v>
      </c>
      <c r="E76" s="194">
        <v>-887.21363999999778</v>
      </c>
      <c r="F76" s="194">
        <v>2.3600000021979212E-3</v>
      </c>
      <c r="G76" s="194">
        <v>-428.07763999999781</v>
      </c>
      <c r="H76" s="194">
        <v>2.3600000021979212E-3</v>
      </c>
      <c r="I76" s="194">
        <v>2.3600000021979212E-3</v>
      </c>
      <c r="J76" s="194">
        <v>2.3600000021979212E-3</v>
      </c>
      <c r="K76" s="194">
        <v>2.3600000021979212E-3</v>
      </c>
      <c r="L76" s="195">
        <v>-5052.2326400000002</v>
      </c>
      <c r="M76" s="194">
        <v>-1990.59764</v>
      </c>
      <c r="N76" s="194">
        <v>-1974.25164</v>
      </c>
      <c r="O76" s="196">
        <v>-554.21500000000003</v>
      </c>
      <c r="P76" s="196">
        <v>-545.02199999999993</v>
      </c>
      <c r="Q76" s="196">
        <v>-874</v>
      </c>
      <c r="R76" s="196">
        <v>-697</v>
      </c>
      <c r="S76" s="196">
        <v>-809</v>
      </c>
      <c r="T76" s="196">
        <v>465</v>
      </c>
      <c r="U76" s="196">
        <v>-774.16100000000006</v>
      </c>
      <c r="V76" s="196">
        <v>800.06000000000006</v>
      </c>
      <c r="W76" s="196">
        <v>-695.68500000000006</v>
      </c>
      <c r="X76" s="196">
        <v>-788.01650000000006</v>
      </c>
      <c r="Y76" s="196">
        <v>-780.30500000000006</v>
      </c>
      <c r="Z76" s="196">
        <v>-710.26</v>
      </c>
      <c r="AA76" s="196">
        <v>-561.3103900000001</v>
      </c>
      <c r="AB76" s="196">
        <v>-624.29050000000007</v>
      </c>
      <c r="AC76" s="196">
        <v>-881.21900000000005</v>
      </c>
      <c r="AD76" s="212">
        <v>12</v>
      </c>
      <c r="AE76" s="196">
        <v>-16.539000000000001</v>
      </c>
      <c r="AF76" s="196">
        <v>-20.773289999999999</v>
      </c>
      <c r="AG76" s="196">
        <v>8.5885499999998363</v>
      </c>
      <c r="AH76" s="196">
        <v>-19.891600000000167</v>
      </c>
      <c r="AI76" s="196">
        <v>-68.998120000000156</v>
      </c>
      <c r="AJ76" s="196">
        <v>-1.23</v>
      </c>
      <c r="AK76" s="196">
        <v>11598.77</v>
      </c>
      <c r="AL76" s="196">
        <v>-1.23</v>
      </c>
      <c r="AM76" s="212">
        <v>-1.23</v>
      </c>
      <c r="AN76" s="212">
        <v>-1.23</v>
      </c>
      <c r="AO76" s="213">
        <v>2298.8379399999999</v>
      </c>
      <c r="AP76" s="213">
        <v>0</v>
      </c>
      <c r="AQ76" s="213">
        <v>0</v>
      </c>
      <c r="AR76" s="213">
        <v>0</v>
      </c>
      <c r="AS76" s="251">
        <v>6.794E-2</v>
      </c>
      <c r="AT76" s="251">
        <v>0</v>
      </c>
      <c r="AU76" s="251">
        <v>0</v>
      </c>
      <c r="AV76" s="251">
        <v>0</v>
      </c>
      <c r="AW76" s="251">
        <v>0</v>
      </c>
      <c r="AX76" s="251">
        <v>0</v>
      </c>
      <c r="AY76" s="216">
        <v>0</v>
      </c>
      <c r="AZ76" s="216">
        <v>3200</v>
      </c>
      <c r="BA76" s="408">
        <v>0</v>
      </c>
      <c r="BB76" s="408">
        <v>0</v>
      </c>
      <c r="BC76" s="408">
        <v>0</v>
      </c>
      <c r="BD76" s="408">
        <v>0</v>
      </c>
      <c r="BE76" s="408">
        <v>0</v>
      </c>
      <c r="BF76" s="408">
        <v>0</v>
      </c>
      <c r="BG76" s="158">
        <v>0</v>
      </c>
      <c r="BH76" s="158">
        <v>0</v>
      </c>
      <c r="BI76" s="158">
        <v>0</v>
      </c>
      <c r="BJ76" s="158">
        <v>0</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8">
        <v>0</v>
      </c>
      <c r="CH76" s="158">
        <v>0</v>
      </c>
      <c r="CI76" s="158">
        <v>0</v>
      </c>
      <c r="CJ76" s="158">
        <v>0</v>
      </c>
      <c r="CK76" s="158">
        <v>0</v>
      </c>
      <c r="CL76" s="158">
        <v>0</v>
      </c>
      <c r="CM76" s="158">
        <v>0</v>
      </c>
      <c r="CN76" s="158">
        <v>0</v>
      </c>
      <c r="CO76" s="158">
        <v>0</v>
      </c>
      <c r="CP76" s="158">
        <v>0</v>
      </c>
      <c r="CQ76" s="158">
        <v>0</v>
      </c>
      <c r="CR76" s="158">
        <v>0</v>
      </c>
      <c r="CS76" s="158">
        <v>0</v>
      </c>
      <c r="CT76" s="158">
        <v>0</v>
      </c>
      <c r="CU76" s="158">
        <v>0</v>
      </c>
      <c r="CV76" s="158">
        <v>0</v>
      </c>
      <c r="CW76" s="158">
        <v>0</v>
      </c>
      <c r="CX76" s="158">
        <v>0</v>
      </c>
      <c r="CY76" s="158">
        <v>0</v>
      </c>
      <c r="CZ76" s="158">
        <v>0</v>
      </c>
      <c r="DA76" s="158">
        <v>0</v>
      </c>
      <c r="DB76" s="158">
        <v>0</v>
      </c>
      <c r="DC76" s="158">
        <v>0</v>
      </c>
      <c r="DD76" s="158">
        <v>0</v>
      </c>
      <c r="DE76" s="158">
        <v>0</v>
      </c>
      <c r="DF76" s="158">
        <v>0</v>
      </c>
      <c r="DG76" s="158">
        <v>0</v>
      </c>
      <c r="DH76" s="158">
        <v>0</v>
      </c>
      <c r="DI76" s="158">
        <v>0</v>
      </c>
      <c r="DJ76" s="158">
        <v>0</v>
      </c>
      <c r="DK76" s="158">
        <v>0</v>
      </c>
      <c r="DL76" s="158">
        <v>0</v>
      </c>
      <c r="DM76" s="158">
        <v>0</v>
      </c>
      <c r="DN76" s="158">
        <v>0</v>
      </c>
      <c r="DO76" s="158">
        <v>0</v>
      </c>
      <c r="DP76" s="158">
        <v>0</v>
      </c>
      <c r="DQ76" s="158">
        <v>0</v>
      </c>
      <c r="DR76" s="158">
        <v>0</v>
      </c>
      <c r="DS76" s="158">
        <v>0</v>
      </c>
      <c r="DT76" s="158">
        <v>0</v>
      </c>
      <c r="DU76" s="158">
        <v>0</v>
      </c>
      <c r="DV76" s="158">
        <v>0</v>
      </c>
      <c r="DW76" s="158">
        <v>0</v>
      </c>
      <c r="DX76" s="158">
        <v>0</v>
      </c>
      <c r="DY76" s="158">
        <v>0</v>
      </c>
      <c r="DZ76" s="158">
        <v>0</v>
      </c>
      <c r="EA76" s="158">
        <v>0</v>
      </c>
      <c r="EB76" s="158">
        <v>0</v>
      </c>
      <c r="EC76" s="158">
        <v>0</v>
      </c>
      <c r="ED76" s="158">
        <v>0</v>
      </c>
      <c r="EE76" s="158">
        <v>0</v>
      </c>
      <c r="EF76" s="158">
        <v>0</v>
      </c>
      <c r="EG76" s="158">
        <v>0</v>
      </c>
      <c r="EH76" s="158">
        <v>0</v>
      </c>
      <c r="EI76" s="158">
        <v>0</v>
      </c>
      <c r="EJ76" s="158">
        <v>0</v>
      </c>
      <c r="EK76" s="158">
        <v>0</v>
      </c>
      <c r="EL76" s="158">
        <v>0</v>
      </c>
      <c r="EM76" s="158">
        <v>0</v>
      </c>
      <c r="EN76" s="158">
        <v>0</v>
      </c>
      <c r="EO76" s="158">
        <v>0</v>
      </c>
      <c r="EP76" s="158">
        <v>0</v>
      </c>
      <c r="EQ76" s="158">
        <f>VLOOKUP("2330711",'Input BS ACCTS'!$A$5:$DD$1052,98,FALSE)/1000-VLOOKUP("2330711",'Input BS ACCTS'!$A$5:$DD$1052,98,FALSE)/1000</f>
        <v>0</v>
      </c>
      <c r="ER76" s="158">
        <f>VLOOKUP("2330711",'Input BS ACCTS'!$A$5:$DD$1052,99,FALSE)/1000-VLOOKUP("2330711",'Input BS ACCTS'!$A$5:$DD$1052,99,FALSE)/1000</f>
        <v>0</v>
      </c>
      <c r="ES76" s="158">
        <f>VLOOKUP("2330711",'Input BS ACCTS'!$A$5:$DD$1052,100,FALSE)/1000-VLOOKUP("2330711",'Input BS ACCTS'!$A$5:$DD$1052,100,FALSE)/1000</f>
        <v>0</v>
      </c>
      <c r="ET76" s="467">
        <f t="shared" si="84"/>
        <v>0</v>
      </c>
      <c r="EU76" s="801"/>
      <c r="EV76" s="801"/>
      <c r="HL76" s="35"/>
      <c r="HM76" s="253"/>
      <c r="HN76" s="258"/>
      <c r="HO76" s="35"/>
      <c r="HP76" s="35"/>
      <c r="HQ76" s="35"/>
      <c r="HR76" s="35"/>
      <c r="HS76" s="35"/>
      <c r="HT76" s="35"/>
      <c r="HU76" s="35"/>
      <c r="HV76" s="35"/>
      <c r="HW76" s="35"/>
      <c r="HX76" s="35"/>
      <c r="HY76" s="35"/>
      <c r="HZ76" s="35"/>
      <c r="IA76" s="35"/>
    </row>
    <row r="77" spans="1:235">
      <c r="A77" s="197" t="s">
        <v>526</v>
      </c>
      <c r="B77" s="196">
        <v>7201.5473200000006</v>
      </c>
      <c r="C77" s="196">
        <v>3718.9603199999997</v>
      </c>
      <c r="D77" s="196">
        <v>1.3200000002980233E-3</v>
      </c>
      <c r="E77" s="196">
        <v>7860.4053199999998</v>
      </c>
      <c r="F77" s="196">
        <v>1.3200000002980233E-3</v>
      </c>
      <c r="G77" s="196">
        <v>7869.1213200000002</v>
      </c>
      <c r="H77" s="196">
        <v>1.3200000002980233E-3</v>
      </c>
      <c r="I77" s="196">
        <v>1.3200000002980233E-3</v>
      </c>
      <c r="J77" s="196">
        <v>1.3200000002980233E-3</v>
      </c>
      <c r="K77" s="196">
        <v>1.3200000002980233E-3</v>
      </c>
      <c r="L77" s="196">
        <v>9161.8013200000005</v>
      </c>
      <c r="M77" s="196">
        <v>7350.8013200000005</v>
      </c>
      <c r="N77" s="196">
        <v>8391.8023200000007</v>
      </c>
      <c r="O77" s="194">
        <v>5235.3420000000006</v>
      </c>
      <c r="P77" s="194">
        <v>9565.3739999999998</v>
      </c>
      <c r="Q77" s="196">
        <v>11604</v>
      </c>
      <c r="R77" s="196">
        <v>9421</v>
      </c>
      <c r="S77" s="196">
        <v>9078</v>
      </c>
      <c r="T77" s="196">
        <v>6739</v>
      </c>
      <c r="U77" s="196">
        <v>7318.9480000000003</v>
      </c>
      <c r="V77" s="196">
        <v>10161.672</v>
      </c>
      <c r="W77" s="196">
        <v>12063.582</v>
      </c>
      <c r="X77" s="196">
        <v>7759.0904999999993</v>
      </c>
      <c r="Y77" s="196">
        <v>8640.6890000000003</v>
      </c>
      <c r="Z77" s="196">
        <v>7444.3280000000004</v>
      </c>
      <c r="AA77" s="196">
        <v>6032.4242200000008</v>
      </c>
      <c r="AB77" s="196">
        <v>11394.584500000001</v>
      </c>
      <c r="AC77" s="196">
        <v>12166.923999999999</v>
      </c>
      <c r="AD77" s="212">
        <v>6940</v>
      </c>
      <c r="AE77" s="196">
        <v>8347.9970000000012</v>
      </c>
      <c r="AF77" s="196">
        <v>8626.1502899999996</v>
      </c>
      <c r="AG77" s="196">
        <v>5549.3345800000025</v>
      </c>
      <c r="AH77" s="196">
        <v>10365.536110000005</v>
      </c>
      <c r="AI77" s="196">
        <v>3464.5116000000016</v>
      </c>
      <c r="AJ77" s="196">
        <v>8570.1916600000004</v>
      </c>
      <c r="AK77" s="196">
        <v>6739.6665599999997</v>
      </c>
      <c r="AL77" s="196">
        <v>4649.6225199999999</v>
      </c>
      <c r="AM77" s="212">
        <v>6563.3233099999998</v>
      </c>
      <c r="AN77" s="212">
        <v>9052.2224999999999</v>
      </c>
      <c r="AO77" s="213">
        <v>6106.0212299999994</v>
      </c>
      <c r="AP77" s="213">
        <v>5377.08979</v>
      </c>
      <c r="AQ77" s="213">
        <v>4747.2100600000003</v>
      </c>
      <c r="AR77" s="213">
        <v>5644.1537500000004</v>
      </c>
      <c r="AS77" s="251">
        <v>5727.2289100000007</v>
      </c>
      <c r="AT77" s="251">
        <v>12316.68533</v>
      </c>
      <c r="AU77" s="251">
        <v>6268.3827899999997</v>
      </c>
      <c r="AV77" s="251">
        <v>5623.9846100000004</v>
      </c>
      <c r="AW77" s="251">
        <v>4594.2491600000003</v>
      </c>
      <c r="AX77" s="251">
        <v>6580.0334499999999</v>
      </c>
      <c r="AY77" s="216">
        <v>5882.8475599999992</v>
      </c>
      <c r="AZ77" s="216">
        <v>9115.0297200000005</v>
      </c>
      <c r="BA77" s="387">
        <v>7116.1821600000003</v>
      </c>
      <c r="BB77" s="387">
        <v>5784.3874400000004</v>
      </c>
      <c r="BC77" s="387">
        <v>5514.6706599999998</v>
      </c>
      <c r="BD77" s="387">
        <v>5919.2510899999997</v>
      </c>
      <c r="BE77" s="387">
        <v>5377.0384400000003</v>
      </c>
      <c r="BF77" s="387">
        <v>20708.921300000002</v>
      </c>
      <c r="BG77" s="243">
        <v>13845.023880000001</v>
      </c>
      <c r="BH77" s="243">
        <v>6123.2677699999995</v>
      </c>
      <c r="BI77" s="243">
        <v>5130.2318299999997</v>
      </c>
      <c r="BJ77" s="243">
        <v>4896.4541900000004</v>
      </c>
      <c r="BK77" s="243">
        <v>4922.1022300000004</v>
      </c>
      <c r="BL77" s="243">
        <v>10883.02202</v>
      </c>
      <c r="BM77" s="243">
        <v>6974.3277699999999</v>
      </c>
      <c r="BN77" s="243">
        <v>5766.0720599999995</v>
      </c>
      <c r="BO77" s="243">
        <v>5525.1313300000002</v>
      </c>
      <c r="BP77" s="243">
        <v>6172.1099599999998</v>
      </c>
      <c r="BQ77" s="243">
        <v>5675.1078099999995</v>
      </c>
      <c r="BR77" s="243">
        <v>10351.095130000002</v>
      </c>
      <c r="BS77" s="243">
        <v>6018.5597800000005</v>
      </c>
      <c r="BT77" s="243">
        <v>6678.4763800000001</v>
      </c>
      <c r="BU77" s="243">
        <v>4918.4618600000003</v>
      </c>
      <c r="BV77" s="243">
        <v>5126.6800800000001</v>
      </c>
      <c r="BW77" s="243">
        <v>4962.85142</v>
      </c>
      <c r="BX77" s="243">
        <v>10730.328890000001</v>
      </c>
      <c r="BY77" s="243">
        <v>8403.2053500000002</v>
      </c>
      <c r="BZ77" s="243">
        <v>5323.7914500000006</v>
      </c>
      <c r="CA77" s="243">
        <v>5600.32395</v>
      </c>
      <c r="CB77" s="243">
        <v>6055.3327900000004</v>
      </c>
      <c r="CC77" s="243">
        <v>4577.0779599999996</v>
      </c>
      <c r="CD77" s="243">
        <v>9378.5414000000001</v>
      </c>
      <c r="CE77" s="243">
        <v>5145.4194100000004</v>
      </c>
      <c r="CF77" s="243">
        <v>4794.9193499999992</v>
      </c>
      <c r="CG77" s="243">
        <v>3198.0982400000003</v>
      </c>
      <c r="CH77" s="243">
        <v>3354.53496</v>
      </c>
      <c r="CI77" s="243">
        <v>4471.5271600000005</v>
      </c>
      <c r="CJ77" s="243">
        <v>9428.5840000000007</v>
      </c>
      <c r="CK77" s="243">
        <v>8167.3288499999999</v>
      </c>
      <c r="CL77" s="243">
        <v>2335.0118499999999</v>
      </c>
      <c r="CM77" s="243">
        <v>11570.825409999999</v>
      </c>
      <c r="CN77" s="243">
        <v>4085.8183300000001</v>
      </c>
      <c r="CO77" s="243">
        <v>8579.6544200000008</v>
      </c>
      <c r="CP77" s="243">
        <v>13996.85288</v>
      </c>
      <c r="CQ77" s="243">
        <v>2652.29457</v>
      </c>
      <c r="CR77" s="243">
        <v>7947.7794699999995</v>
      </c>
      <c r="CS77" s="243">
        <v>4475.47876</v>
      </c>
      <c r="CT77" s="243">
        <v>3001.0500099999999</v>
      </c>
      <c r="CU77" s="243">
        <v>4552.1015599999992</v>
      </c>
      <c r="CV77" s="243">
        <v>11106.33135</v>
      </c>
      <c r="CW77" s="243">
        <v>8001.4238399999995</v>
      </c>
      <c r="CX77" s="243">
        <v>7200.9321200000004</v>
      </c>
      <c r="CY77" s="243">
        <v>6628.3147499999995</v>
      </c>
      <c r="CZ77" s="243">
        <v>6442.00461</v>
      </c>
      <c r="DA77" s="243">
        <v>6810.7524899999999</v>
      </c>
      <c r="DB77" s="243">
        <v>10383.811169999999</v>
      </c>
      <c r="DC77" s="243">
        <v>8069.8789900000002</v>
      </c>
      <c r="DD77" s="243">
        <v>7327.8662999999997</v>
      </c>
      <c r="DE77" s="243">
        <v>6511.5921900000003</v>
      </c>
      <c r="DF77" s="243">
        <v>7276.4551500000007</v>
      </c>
      <c r="DG77" s="243">
        <v>7215.6289900000002</v>
      </c>
      <c r="DH77" s="243">
        <v>10352.34922</v>
      </c>
      <c r="DI77" s="243">
        <v>9568.9542000000001</v>
      </c>
      <c r="DJ77" s="243">
        <v>9616.3110399999987</v>
      </c>
      <c r="DK77" s="243">
        <v>6876.6940800000002</v>
      </c>
      <c r="DL77" s="243">
        <v>7920.9587300000003</v>
      </c>
      <c r="DM77" s="243">
        <v>6148.6368000000002</v>
      </c>
      <c r="DN77" s="243">
        <v>9403.0199900000007</v>
      </c>
      <c r="DO77" s="243">
        <v>8706.5546799999993</v>
      </c>
      <c r="DP77" s="243">
        <v>5766.29126</v>
      </c>
      <c r="DQ77" s="243">
        <v>6705.1080700000002</v>
      </c>
      <c r="DR77" s="243">
        <v>6340.70525</v>
      </c>
      <c r="DS77" s="243">
        <v>5809.0511900000001</v>
      </c>
      <c r="DT77" s="243">
        <v>9435.7610399999994</v>
      </c>
      <c r="DU77" s="243">
        <v>11465.299789999999</v>
      </c>
      <c r="DV77" s="243">
        <v>8005.2563899999996</v>
      </c>
      <c r="DW77" s="243">
        <v>6583.2082399999999</v>
      </c>
      <c r="DX77" s="243">
        <v>8367.6247100000001</v>
      </c>
      <c r="DY77" s="243">
        <v>6436.9436799999994</v>
      </c>
      <c r="DZ77" s="243">
        <v>9806.2314000000006</v>
      </c>
      <c r="EA77" s="243">
        <v>10042.27017</v>
      </c>
      <c r="EB77" s="243">
        <v>6059.6397400000005</v>
      </c>
      <c r="EC77" s="243">
        <v>5253.8059699999994</v>
      </c>
      <c r="ED77" s="243">
        <v>7058.4332699999995</v>
      </c>
      <c r="EE77" s="243">
        <v>6069.0720199999996</v>
      </c>
      <c r="EF77" s="243">
        <v>12802.38442</v>
      </c>
      <c r="EG77" s="243">
        <v>14186.404259999999</v>
      </c>
      <c r="EH77" s="243">
        <v>12774.503279999999</v>
      </c>
      <c r="EI77" s="243">
        <v>12213.36923</v>
      </c>
      <c r="EJ77" s="243">
        <v>5551.0028600000005</v>
      </c>
      <c r="EK77" s="243">
        <v>15103.570750000001</v>
      </c>
      <c r="EL77" s="243">
        <v>11668.17966</v>
      </c>
      <c r="EM77" s="243">
        <v>13634.860560000001</v>
      </c>
      <c r="EN77" s="243">
        <v>12336.51057</v>
      </c>
      <c r="EO77" s="243">
        <v>10228.56855</v>
      </c>
      <c r="EP77" s="243">
        <v>14919.462680000001</v>
      </c>
      <c r="EQ77" s="243">
        <f>-(VLOOKUP("234",'Input BS ACCTS'!$A$5:$DD$1052,98,FALSE))/1000</f>
        <v>11299.470589999999</v>
      </c>
      <c r="ER77" s="243">
        <f>-(VLOOKUP("234",'Input BS ACCTS'!$A$5:$DD$1052,99,FALSE))/1000</f>
        <v>13776.142669999999</v>
      </c>
      <c r="ES77" s="243">
        <f>-(VLOOKUP("234",'Input BS ACCTS'!$A$5:$DD$1052,100,FALSE))/1000</f>
        <v>16072.202789999999</v>
      </c>
      <c r="ET77" s="467">
        <f t="shared" si="84"/>
        <v>12597.249880769232</v>
      </c>
      <c r="EU77" s="801"/>
      <c r="EV77" s="801"/>
      <c r="HL77" s="35"/>
      <c r="HM77" s="253"/>
      <c r="HN77" s="258"/>
      <c r="HO77" s="35"/>
      <c r="HP77" s="35"/>
      <c r="HQ77" s="35"/>
      <c r="HR77" s="35"/>
      <c r="HS77" s="35"/>
      <c r="HT77" s="35"/>
      <c r="HU77" s="35"/>
      <c r="HV77" s="35"/>
      <c r="HW77" s="35"/>
      <c r="HX77" s="35"/>
      <c r="HY77" s="35"/>
      <c r="HZ77" s="35"/>
      <c r="IA77" s="35"/>
    </row>
    <row r="78" spans="1:235">
      <c r="A78" s="27" t="s">
        <v>527</v>
      </c>
      <c r="B78" s="121">
        <v>4830</v>
      </c>
      <c r="C78" s="121">
        <v>4781</v>
      </c>
      <c r="D78" s="121">
        <v>4922</v>
      </c>
      <c r="E78" s="121">
        <v>4961</v>
      </c>
      <c r="F78" s="121">
        <v>4951</v>
      </c>
      <c r="G78" s="121">
        <v>5006</v>
      </c>
      <c r="H78" s="121">
        <v>5116</v>
      </c>
      <c r="I78" s="121">
        <v>5130</v>
      </c>
      <c r="J78" s="121">
        <v>5069</v>
      </c>
      <c r="K78" s="121">
        <v>5203</v>
      </c>
      <c r="L78" s="121">
        <v>5145</v>
      </c>
      <c r="M78" s="121">
        <v>5211</v>
      </c>
      <c r="N78" s="121">
        <v>5301</v>
      </c>
      <c r="O78" s="121">
        <v>5274</v>
      </c>
      <c r="P78" s="121">
        <v>5347</v>
      </c>
      <c r="Q78" s="121">
        <v>5416</v>
      </c>
      <c r="R78" s="121">
        <v>5358</v>
      </c>
      <c r="S78" s="121">
        <v>5454</v>
      </c>
      <c r="T78" s="121">
        <v>5500</v>
      </c>
      <c r="U78" s="121">
        <v>5442</v>
      </c>
      <c r="V78" s="121">
        <v>5426</v>
      </c>
      <c r="W78" s="121">
        <v>5461</v>
      </c>
      <c r="X78" s="121">
        <v>5370</v>
      </c>
      <c r="Y78" s="121">
        <v>5371</v>
      </c>
      <c r="Z78" s="121">
        <v>5367</v>
      </c>
      <c r="AA78" s="121">
        <v>5307</v>
      </c>
      <c r="AB78" s="121">
        <v>5343</v>
      </c>
      <c r="AC78" s="121">
        <v>5280</v>
      </c>
      <c r="AD78" s="213">
        <v>5283</v>
      </c>
      <c r="AE78" s="121">
        <v>5262</v>
      </c>
      <c r="AF78" s="121">
        <v>5236</v>
      </c>
      <c r="AG78" s="121">
        <v>5158</v>
      </c>
      <c r="AH78" s="121">
        <v>5089</v>
      </c>
      <c r="AI78" s="121">
        <v>5020</v>
      </c>
      <c r="AJ78" s="121">
        <v>0</v>
      </c>
      <c r="AK78" s="121">
        <v>0</v>
      </c>
      <c r="AL78" s="121">
        <v>695.03200000000004</v>
      </c>
      <c r="AM78" s="213">
        <v>695.03200000000004</v>
      </c>
      <c r="AN78" s="213">
        <v>695.03200000000004</v>
      </c>
      <c r="AO78" s="213">
        <v>695.03200000000004</v>
      </c>
      <c r="AP78" s="213">
        <v>695.03200000000004</v>
      </c>
      <c r="AQ78" s="213">
        <v>695.03200000000004</v>
      </c>
      <c r="AR78" s="213">
        <v>695.03200000000004</v>
      </c>
      <c r="AS78" s="251">
        <v>707.03200000000004</v>
      </c>
      <c r="AT78" s="251">
        <v>799.93200000000002</v>
      </c>
      <c r="AU78" s="251">
        <v>799.93200000000002</v>
      </c>
      <c r="AV78" s="251">
        <v>799.93200000000002</v>
      </c>
      <c r="AW78" s="251">
        <v>799.93200000000002</v>
      </c>
      <c r="AX78" s="251">
        <v>669.93200000000002</v>
      </c>
      <c r="AY78" s="216">
        <v>819.93200000000002</v>
      </c>
      <c r="AZ78" s="216">
        <v>819.93200000000002</v>
      </c>
      <c r="BA78" s="412">
        <v>709.93200000000002</v>
      </c>
      <c r="BB78" s="412">
        <v>709.93200000000002</v>
      </c>
      <c r="BC78" s="412">
        <v>709.93200000000002</v>
      </c>
      <c r="BD78" s="412">
        <v>709.93200000000002</v>
      </c>
      <c r="BE78" s="412">
        <v>734.93200000000002</v>
      </c>
      <c r="BF78" s="412">
        <v>734.93200000000002</v>
      </c>
      <c r="BG78" s="216">
        <v>734.93200000000002</v>
      </c>
      <c r="BH78" s="216">
        <v>734.93200000000002</v>
      </c>
      <c r="BI78" s="216">
        <v>709.93200000000002</v>
      </c>
      <c r="BJ78" s="216">
        <v>709.93200000000002</v>
      </c>
      <c r="BK78" s="216">
        <v>709.93200000000002</v>
      </c>
      <c r="BL78" s="216">
        <v>709.93200000000002</v>
      </c>
      <c r="BM78" s="216">
        <v>709.93200000000002</v>
      </c>
      <c r="BN78" s="216">
        <v>709.93200000000002</v>
      </c>
      <c r="BO78" s="216">
        <v>682.93200000000002</v>
      </c>
      <c r="BP78" s="216">
        <v>682.93200000000002</v>
      </c>
      <c r="BQ78" s="216">
        <v>682.93200000000002</v>
      </c>
      <c r="BR78" s="216">
        <v>682.93200000000002</v>
      </c>
      <c r="BS78" s="216">
        <v>682.93200000000002</v>
      </c>
      <c r="BT78" s="216">
        <v>682.93200000000002</v>
      </c>
      <c r="BU78" s="216">
        <v>682.93200000000002</v>
      </c>
      <c r="BV78" s="216">
        <v>682.93200000000002</v>
      </c>
      <c r="BW78" s="216">
        <v>682.93200000000002</v>
      </c>
      <c r="BX78" s="216">
        <v>682.93200000000002</v>
      </c>
      <c r="BY78" s="216">
        <v>682.93200000000002</v>
      </c>
      <c r="BZ78" s="216">
        <v>682.93200000000002</v>
      </c>
      <c r="CA78" s="216">
        <v>682.93200000000002</v>
      </c>
      <c r="CB78" s="216">
        <v>857.93200000000002</v>
      </c>
      <c r="CC78" s="216">
        <v>826</v>
      </c>
      <c r="CD78" s="216">
        <v>826</v>
      </c>
      <c r="CE78" s="216">
        <v>826</v>
      </c>
      <c r="CF78" s="216">
        <v>826</v>
      </c>
      <c r="CG78" s="216">
        <v>826</v>
      </c>
      <c r="CH78" s="216">
        <v>826</v>
      </c>
      <c r="CI78" s="216">
        <v>826</v>
      </c>
      <c r="CJ78" s="216">
        <v>826</v>
      </c>
      <c r="CK78" s="216">
        <v>826</v>
      </c>
      <c r="CL78" s="216">
        <v>826</v>
      </c>
      <c r="CM78" s="216">
        <v>826</v>
      </c>
      <c r="CN78" s="216">
        <v>826</v>
      </c>
      <c r="CO78" s="216">
        <v>826</v>
      </c>
      <c r="CP78" s="216">
        <v>826</v>
      </c>
      <c r="CQ78" s="216">
        <v>826</v>
      </c>
      <c r="CR78" s="216">
        <v>826</v>
      </c>
      <c r="CS78" s="216">
        <v>826</v>
      </c>
      <c r="CT78" s="216">
        <v>826</v>
      </c>
      <c r="CU78" s="216">
        <v>826</v>
      </c>
      <c r="CV78" s="216">
        <v>826</v>
      </c>
      <c r="CW78" s="216">
        <v>826</v>
      </c>
      <c r="CX78" s="216">
        <v>826</v>
      </c>
      <c r="CY78" s="216">
        <v>826</v>
      </c>
      <c r="CZ78" s="216">
        <v>826</v>
      </c>
      <c r="DA78" s="216">
        <v>826</v>
      </c>
      <c r="DB78" s="216">
        <v>826</v>
      </c>
      <c r="DC78" s="827">
        <v>836</v>
      </c>
      <c r="DD78" s="827">
        <v>836</v>
      </c>
      <c r="DE78" s="827">
        <v>661</v>
      </c>
      <c r="DF78" s="827">
        <v>661</v>
      </c>
      <c r="DG78" s="827">
        <v>511</v>
      </c>
      <c r="DH78" s="827">
        <v>511</v>
      </c>
      <c r="DI78" s="827">
        <v>511</v>
      </c>
      <c r="DJ78" s="827">
        <v>511</v>
      </c>
      <c r="DK78" s="827">
        <v>511</v>
      </c>
      <c r="DL78" s="827">
        <v>511</v>
      </c>
      <c r="DM78" s="827">
        <v>521</v>
      </c>
      <c r="DN78" s="827">
        <v>521</v>
      </c>
      <c r="DO78" s="827">
        <v>521</v>
      </c>
      <c r="DP78" s="827">
        <v>605</v>
      </c>
      <c r="DQ78" s="827">
        <v>595</v>
      </c>
      <c r="DR78" s="827">
        <v>569</v>
      </c>
      <c r="DS78" s="827">
        <v>569</v>
      </c>
      <c r="DT78" s="827">
        <v>569</v>
      </c>
      <c r="DU78" s="827">
        <v>569</v>
      </c>
      <c r="DV78" s="827">
        <v>569</v>
      </c>
      <c r="DW78" s="827">
        <v>594</v>
      </c>
      <c r="DX78" s="827">
        <v>594</v>
      </c>
      <c r="DY78" s="827">
        <v>594</v>
      </c>
      <c r="DZ78" s="827">
        <v>594</v>
      </c>
      <c r="EA78" s="827">
        <v>594</v>
      </c>
      <c r="EB78" s="827">
        <v>594</v>
      </c>
      <c r="EC78" s="827">
        <v>594</v>
      </c>
      <c r="ED78" s="827">
        <v>594</v>
      </c>
      <c r="EE78" s="827">
        <v>594</v>
      </c>
      <c r="EF78" s="827">
        <v>594</v>
      </c>
      <c r="EG78" s="827">
        <v>594</v>
      </c>
      <c r="EH78" s="827">
        <v>594</v>
      </c>
      <c r="EI78" s="827">
        <v>589</v>
      </c>
      <c r="EJ78" s="827">
        <v>589</v>
      </c>
      <c r="EK78" s="827">
        <v>589</v>
      </c>
      <c r="EL78" s="827">
        <v>589</v>
      </c>
      <c r="EM78" s="827">
        <v>589</v>
      </c>
      <c r="EN78" s="827">
        <v>579</v>
      </c>
      <c r="EO78" s="827">
        <v>579</v>
      </c>
      <c r="EP78" s="827">
        <v>579</v>
      </c>
      <c r="EQ78" s="827">
        <f>-VLOOKUP("2350110",'Input BS ACCTS'!$A$5:$DD$1052,98,FALSE)/1000</f>
        <v>604</v>
      </c>
      <c r="ER78" s="827">
        <f>-VLOOKUP("2350110",'Input BS ACCTS'!$A$5:$DD$1052,99,FALSE)/1000</f>
        <v>604</v>
      </c>
      <c r="ES78" s="827">
        <f>-VLOOKUP("2350110",'Input BS ACCTS'!$A$5:$DD$1052,100,FALSE)/1000</f>
        <v>604</v>
      </c>
      <c r="ET78" s="467">
        <f t="shared" si="84"/>
        <v>590.92307692307691</v>
      </c>
      <c r="EU78" s="801"/>
      <c r="EV78" s="801"/>
      <c r="HL78" s="35"/>
      <c r="HM78" s="253"/>
      <c r="HN78" s="258"/>
      <c r="HO78" s="35"/>
      <c r="HP78" s="35"/>
      <c r="HQ78" s="35"/>
      <c r="HR78" s="35"/>
      <c r="HS78" s="35"/>
      <c r="HT78" s="35"/>
      <c r="HU78" s="35"/>
      <c r="HV78" s="35"/>
      <c r="HW78" s="35"/>
      <c r="HX78" s="35"/>
      <c r="HY78" s="35"/>
      <c r="HZ78" s="35"/>
      <c r="IA78" s="35"/>
    </row>
    <row r="79" spans="1:235">
      <c r="A79" s="27" t="s">
        <v>274</v>
      </c>
      <c r="B79" s="121">
        <v>6994.1180400000003</v>
      </c>
      <c r="C79" s="121">
        <v>7617.9430400000001</v>
      </c>
      <c r="D79" s="121">
        <v>945.87603999999999</v>
      </c>
      <c r="E79" s="121">
        <v>2061.71504</v>
      </c>
      <c r="F79" s="121">
        <v>3033.0680400000001</v>
      </c>
      <c r="G79" s="121">
        <v>3837.4660400000002</v>
      </c>
      <c r="H79" s="121">
        <v>4895.3700399999998</v>
      </c>
      <c r="I79" s="121">
        <v>5272.30404</v>
      </c>
      <c r="J79" s="121">
        <v>5731.99604</v>
      </c>
      <c r="K79" s="121">
        <v>6302.9090400000005</v>
      </c>
      <c r="L79" s="121">
        <v>5985.8960399999996</v>
      </c>
      <c r="M79" s="121">
        <v>6672.9690399999999</v>
      </c>
      <c r="N79" s="121">
        <v>7573.2770399999999</v>
      </c>
      <c r="O79" s="121">
        <v>8427</v>
      </c>
      <c r="P79" s="121">
        <v>1013</v>
      </c>
      <c r="Q79" s="121">
        <v>2341</v>
      </c>
      <c r="R79" s="121">
        <v>3276</v>
      </c>
      <c r="S79" s="121">
        <v>4085</v>
      </c>
      <c r="T79" s="121">
        <v>4543</v>
      </c>
      <c r="U79" s="121">
        <v>5219</v>
      </c>
      <c r="V79" s="121">
        <v>5637</v>
      </c>
      <c r="W79" s="121">
        <v>6532</v>
      </c>
      <c r="X79" s="121">
        <v>5983.7939999999999</v>
      </c>
      <c r="Y79" s="121">
        <v>6751</v>
      </c>
      <c r="Z79" s="121">
        <v>7486</v>
      </c>
      <c r="AA79" s="121">
        <v>8440</v>
      </c>
      <c r="AB79" s="121">
        <v>562</v>
      </c>
      <c r="AC79" s="121">
        <v>1891</v>
      </c>
      <c r="AD79" s="213">
        <v>2441</v>
      </c>
      <c r="AE79" s="121">
        <v>3251</v>
      </c>
      <c r="AF79" s="121">
        <v>4047</v>
      </c>
      <c r="AG79" s="121">
        <v>4855</v>
      </c>
      <c r="AH79" s="121">
        <v>5331</v>
      </c>
      <c r="AI79" s="121">
        <v>6084.9542999999994</v>
      </c>
      <c r="AJ79" s="121">
        <v>6054.8972499999991</v>
      </c>
      <c r="AK79" s="121">
        <v>6869.2956500000009</v>
      </c>
      <c r="AL79" s="121">
        <v>7705.8437000000004</v>
      </c>
      <c r="AM79" s="213">
        <v>8547.1519900000003</v>
      </c>
      <c r="AN79" s="213">
        <v>956.16525999999999</v>
      </c>
      <c r="AO79" s="213">
        <v>1911.6452399999996</v>
      </c>
      <c r="AP79" s="213">
        <v>2273.8115199999997</v>
      </c>
      <c r="AQ79" s="213">
        <v>3247.5470999999998</v>
      </c>
      <c r="AR79" s="213">
        <v>4371.8834400000005</v>
      </c>
      <c r="AS79" s="251">
        <v>5112.2267999999995</v>
      </c>
      <c r="AT79" s="251">
        <v>5759.4437099999996</v>
      </c>
      <c r="AU79" s="251">
        <v>6506.7515999999996</v>
      </c>
      <c r="AV79" s="251">
        <v>6325.4878199999994</v>
      </c>
      <c r="AW79" s="251">
        <v>7374.9180999999999</v>
      </c>
      <c r="AX79" s="251">
        <v>8299.3171000000002</v>
      </c>
      <c r="AY79" s="216">
        <v>9309.5637499999993</v>
      </c>
      <c r="AZ79" s="216">
        <v>754.52139000000011</v>
      </c>
      <c r="BA79" s="412">
        <v>1798.4035200000001</v>
      </c>
      <c r="BB79" s="412">
        <v>2737.2460799999999</v>
      </c>
      <c r="BC79" s="412">
        <v>3467.5794300000002</v>
      </c>
      <c r="BD79" s="412">
        <v>4313.03262</v>
      </c>
      <c r="BE79" s="412">
        <v>5034.8637699999999</v>
      </c>
      <c r="BF79" s="412">
        <v>5814.8124200000002</v>
      </c>
      <c r="BG79" s="216">
        <v>6656.8975799999998</v>
      </c>
      <c r="BH79" s="216">
        <v>6546.33007</v>
      </c>
      <c r="BI79" s="216">
        <v>7146.7496500000007</v>
      </c>
      <c r="BJ79" s="216">
        <v>8118.5154399999992</v>
      </c>
      <c r="BK79" s="216">
        <v>9003.5701799999988</v>
      </c>
      <c r="BL79" s="216">
        <v>782.90447000000006</v>
      </c>
      <c r="BM79" s="216">
        <v>2154.35817</v>
      </c>
      <c r="BN79" s="216">
        <v>2517.9499699999997</v>
      </c>
      <c r="BO79" s="216">
        <v>3505.1159300000004</v>
      </c>
      <c r="BP79" s="216">
        <v>4532.5905200000007</v>
      </c>
      <c r="BQ79" s="216">
        <v>5243.3299900000002</v>
      </c>
      <c r="BR79" s="216">
        <v>5988.8314900000005</v>
      </c>
      <c r="BS79" s="216">
        <v>6878.16896</v>
      </c>
      <c r="BT79" s="216">
        <v>6799.0495700000001</v>
      </c>
      <c r="BU79" s="216">
        <v>7418.4207099999994</v>
      </c>
      <c r="BV79" s="216">
        <v>8273.1842199999992</v>
      </c>
      <c r="BW79" s="216">
        <v>9223.4987400000009</v>
      </c>
      <c r="BX79" s="216">
        <v>1012.1790299999999</v>
      </c>
      <c r="BY79" s="216">
        <v>2203.0308600000003</v>
      </c>
      <c r="BZ79" s="216">
        <v>2675.7293899999995</v>
      </c>
      <c r="CA79" s="216">
        <v>3685.6664000000005</v>
      </c>
      <c r="CB79" s="216">
        <v>4500.167989999999</v>
      </c>
      <c r="CC79" s="216">
        <v>5138.478970000001</v>
      </c>
      <c r="CD79" s="216">
        <v>6091.8356699999995</v>
      </c>
      <c r="CE79" s="216">
        <v>6929.0209500000001</v>
      </c>
      <c r="CF79" s="216">
        <v>6844.1563500000002</v>
      </c>
      <c r="CG79" s="216">
        <v>7760.5038099999992</v>
      </c>
      <c r="CH79" s="216">
        <v>8846.2570400000004</v>
      </c>
      <c r="CI79" s="216">
        <v>9797.3169699999999</v>
      </c>
      <c r="CJ79" s="216">
        <v>1216.76576</v>
      </c>
      <c r="CK79" s="216">
        <v>2366.0382500000001</v>
      </c>
      <c r="CL79" s="216">
        <v>1826.5664100000001</v>
      </c>
      <c r="CM79" s="216">
        <v>3484.9449500000001</v>
      </c>
      <c r="CN79" s="216">
        <v>4515.6567599999998</v>
      </c>
      <c r="CO79" s="216">
        <v>5475.2851300000002</v>
      </c>
      <c r="CP79" s="216">
        <v>6085.7606299999998</v>
      </c>
      <c r="CQ79" s="216">
        <v>6944.7039799999993</v>
      </c>
      <c r="CR79" s="216">
        <v>6788.0562000000009</v>
      </c>
      <c r="CS79" s="216">
        <v>7816.5889500000003</v>
      </c>
      <c r="CT79" s="216">
        <v>8672.3568800000012</v>
      </c>
      <c r="CU79" s="216">
        <v>9670.360319999998</v>
      </c>
      <c r="CV79" s="216">
        <v>1085.2319000000002</v>
      </c>
      <c r="CW79" s="216">
        <v>2302.5307799999996</v>
      </c>
      <c r="CX79" s="216">
        <v>3112.4171799999999</v>
      </c>
      <c r="CY79" s="216">
        <v>3900.6653700000002</v>
      </c>
      <c r="CZ79" s="216">
        <v>4805.9942899999996</v>
      </c>
      <c r="DA79" s="216">
        <v>5975.929180000001</v>
      </c>
      <c r="DB79" s="216">
        <v>6833.498959999999</v>
      </c>
      <c r="DC79" s="216">
        <v>7906.3087799999994</v>
      </c>
      <c r="DD79" s="216">
        <v>7757.4725899999994</v>
      </c>
      <c r="DE79" s="216">
        <v>8848.4747899999984</v>
      </c>
      <c r="DF79" s="216">
        <v>10118.895889999998</v>
      </c>
      <c r="DG79" s="216">
        <v>11132.661629999999</v>
      </c>
      <c r="DH79" s="216">
        <v>1093.6059300000002</v>
      </c>
      <c r="DI79" s="216">
        <v>2719.5430200000001</v>
      </c>
      <c r="DJ79" s="216">
        <v>3392.6411699999999</v>
      </c>
      <c r="DK79" s="216">
        <v>4397.5642500000004</v>
      </c>
      <c r="DL79" s="216">
        <v>5331.8971500000007</v>
      </c>
      <c r="DM79" s="216">
        <v>6269.4486200000001</v>
      </c>
      <c r="DN79" s="216">
        <v>7567.9415099999997</v>
      </c>
      <c r="DO79" s="216">
        <v>8644.428969999999</v>
      </c>
      <c r="DP79" s="216">
        <v>8782.1048800000008</v>
      </c>
      <c r="DQ79" s="216">
        <v>9443.5895099999998</v>
      </c>
      <c r="DR79" s="216">
        <f>-(VLOOKUP("2360600",'Input BS ACCTS'!$A$5:$DD$1052,73,FALSE)+VLOOKUP("2360601",'Input BS ACCTS'!$A$5:$DD$1052,73,FALSE)+VLOOKUP("2360800",'Input BS ACCTS'!$A$5:$DD$1052,73,FALSE)+VLOOKUP("2360602",'Input BS ACCTS'!$A$5:$DD$1052,73,FALSE)+VLOOKUP("2360603",'Input BS ACCTS'!$A$5:$DD$1052,73,FALSE)+VLOOKUP("2360604",'Input BS ACCTS'!$A$5:$DD$1052,73,FALSE)+VLOOKUP("2360605",'Input BS ACCTS'!$A$5:$DD$1052,73,FALSE)+VLOOKUP("2360620",'Input BS ACCTS'!$A$5:$DD$1052,73,FALSE))/1000</f>
        <v>11560.506560000002</v>
      </c>
      <c r="DS79" s="216">
        <f>-(VLOOKUP("2360600",'Input BS ACCTS'!$A$5:$DD$1052,74,FALSE)+VLOOKUP("2360601",'Input BS ACCTS'!$A$5:$DD$1052,74,FALSE)+VLOOKUP("2360800",'Input BS ACCTS'!$A$5:$DD$1052,74,FALSE)+VLOOKUP("2360602",'Input BS ACCTS'!$A$5:$DD$1052,74,FALSE)+VLOOKUP("2360603",'Input BS ACCTS'!$A$5:$DD$1052,74,FALSE)+VLOOKUP("2360604",'Input BS ACCTS'!$A$5:$DD$1052,74,FALSE)+VLOOKUP("2360605",'Input BS ACCTS'!$A$5:$DD$1052,74,FALSE)+VLOOKUP("2360620",'Input BS ACCTS'!$A$5:$DD$1052,74,FALSE))/1000</f>
        <v>12722.241840000001</v>
      </c>
      <c r="DT79" s="216">
        <f>-(VLOOKUP("2360600",'Input BS ACCTS'!$A$5:$DD$1052,75,FALSE)+VLOOKUP("2360601",'Input BS ACCTS'!$A$5:$DD$1052,75,FALSE)+VLOOKUP("2360800",'Input BS ACCTS'!$A$5:$DD$1052,75,FALSE)+VLOOKUP("2360602",'Input BS ACCTS'!$A$5:$DD$1052,75,FALSE)+VLOOKUP("2360603",'Input BS ACCTS'!$A$5:$DD$1052,75,FALSE)+VLOOKUP("2360604",'Input BS ACCTS'!$A$5:$DD$1052,75,FALSE)+VLOOKUP("2360605",'Input BS ACCTS'!$A$5:$DD$1052,75,FALSE)+VLOOKUP("2360620",'Input BS ACCTS'!$A$5:$DD$1052,75,FALSE))/1000</f>
        <v>2296.1607300000001</v>
      </c>
      <c r="DU79" s="216">
        <f>-(VLOOKUP("2360600",'Input BS ACCTS'!$A$5:$DD$1052,76,FALSE)+VLOOKUP("2360601",'Input BS ACCTS'!$A$5:$DD$1052,76,FALSE)+VLOOKUP("2360800",'Input BS ACCTS'!$A$5:$DD$1052,76,FALSE)+VLOOKUP("2360602",'Input BS ACCTS'!$A$5:$DD$1052,76,FALSE)+VLOOKUP("2360603",'Input BS ACCTS'!$A$5:$DD$1052,76,FALSE)+VLOOKUP("2360604",'Input BS ACCTS'!$A$5:$DD$1052,76,FALSE)+VLOOKUP("2360605",'Input BS ACCTS'!$A$5:$DD$1052,76,FALSE)+VLOOKUP("2360620",'Input BS ACCTS'!$A$5:$DD$1052,76,FALSE))/1000</f>
        <v>4004.3660999999997</v>
      </c>
      <c r="DV79" s="216">
        <f>-(VLOOKUP("2360600",'Input BS ACCTS'!$A$5:$DD$1052,77,FALSE)+VLOOKUP("2360601",'Input BS ACCTS'!$A$5:$DD$1052,77,FALSE)+VLOOKUP("2360800",'Input BS ACCTS'!$A$5:$DD$1052,77,FALSE)+VLOOKUP("2360602",'Input BS ACCTS'!$A$5:$DD$1052,77,FALSE)+VLOOKUP("2360603",'Input BS ACCTS'!$A$5:$DD$1052,77,FALSE)+VLOOKUP("2360604",'Input BS ACCTS'!$A$5:$DD$1052,77,FALSE)+VLOOKUP("2360605",'Input BS ACCTS'!$A$5:$DD$1052,77,FALSE)+VLOOKUP("2360620",'Input BS ACCTS'!$A$5:$DD$1052,77,FALSE))/1000</f>
        <v>4618.2359799999995</v>
      </c>
      <c r="DW79" s="216">
        <f>-(VLOOKUP("2360600",'Input BS ACCTS'!$A$5:$DD$1052,78,FALSE)+VLOOKUP("2360601",'Input BS ACCTS'!$A$5:$DD$1052,78,FALSE)+VLOOKUP("2360800",'Input BS ACCTS'!$A$5:$DD$1052,78,FALSE)+VLOOKUP("2360602",'Input BS ACCTS'!$A$5:$DD$1052,78,FALSE)+VLOOKUP("2360603",'Input BS ACCTS'!$A$5:$DD$1052,78,FALSE)+VLOOKUP("2360604",'Input BS ACCTS'!$A$5:$DD$1052,78,FALSE)+VLOOKUP("2360605",'Input BS ACCTS'!$A$5:$DD$1052,78,FALSE)+VLOOKUP("2360620",'Input BS ACCTS'!$A$5:$DD$1052,78,FALSE))/1000</f>
        <v>5522.4920999999995</v>
      </c>
      <c r="DX79" s="216">
        <f>-(VLOOKUP("2360600",'Input BS ACCTS'!$A$5:$DD$1052,79,FALSE)+VLOOKUP("2360601",'Input BS ACCTS'!$A$5:$DD$1052,79,FALSE)+VLOOKUP("2360800",'Input BS ACCTS'!$A$5:$DD$1052,79,FALSE)+VLOOKUP("2360602",'Input BS ACCTS'!$A$5:$DD$1052,79,FALSE)+VLOOKUP("2360603",'Input BS ACCTS'!$A$5:$DD$1052,79,FALSE)+VLOOKUP("2360604",'Input BS ACCTS'!$A$5:$DD$1052,79,FALSE)+VLOOKUP("2360605",'Input BS ACCTS'!$A$5:$DD$1052,79,FALSE)+VLOOKUP("2360620",'Input BS ACCTS'!$A$5:$DD$1052,79,FALSE))/1000</f>
        <v>6632.6185400000004</v>
      </c>
      <c r="DY79" s="216">
        <f>-(VLOOKUP("2360600",'Input BS ACCTS'!$A$5:$DD$1052,80,FALSE)+VLOOKUP("2360601",'Input BS ACCTS'!$A$5:$DD$1052,80,FALSE)+VLOOKUP("2360800",'Input BS ACCTS'!$A$5:$DD$1052,80,FALSE)+VLOOKUP("2360602",'Input BS ACCTS'!$A$5:$DD$1052,80,FALSE)+VLOOKUP("2360603",'Input BS ACCTS'!$A$5:$DD$1052,80,FALSE)+VLOOKUP("2360604",'Input BS ACCTS'!$A$5:$DD$1052,80,FALSE)+VLOOKUP("2360605",'Input BS ACCTS'!$A$5:$DD$1052,80,FALSE)+VLOOKUP("2360620",'Input BS ACCTS'!$A$5:$DD$1052,80,FALSE))/1000</f>
        <v>7540.5890899999995</v>
      </c>
      <c r="DZ79" s="216">
        <f>-(VLOOKUP("2360600",'Input BS ACCTS'!$A$5:$DD$1052,81,FALSE)+VLOOKUP("2360601",'Input BS ACCTS'!$A$5:$DD$1052,81,FALSE)+VLOOKUP("2360800",'Input BS ACCTS'!$A$5:$DD$1052,81,FALSE)+VLOOKUP("2360602",'Input BS ACCTS'!$A$5:$DD$1052,81,FALSE)+VLOOKUP("2360603",'Input BS ACCTS'!$A$5:$DD$1052,81,FALSE)+VLOOKUP("2360604",'Input BS ACCTS'!$A$5:$DD$1052,81,FALSE)+VLOOKUP("2360605",'Input BS ACCTS'!$A$5:$DD$1052,81,FALSE)+VLOOKUP("2360620",'Input BS ACCTS'!$A$5:$DD$1052,81,FALSE))/1000</f>
        <v>8860.6276799999996</v>
      </c>
      <c r="EA79" s="216">
        <f>-(VLOOKUP("2360600",'Input BS ACCTS'!$A$5:$DD$1052,82,FALSE)+VLOOKUP("2360601",'Input BS ACCTS'!$A$5:$DD$1052,82,FALSE)+VLOOKUP("2360800",'Input BS ACCTS'!$A$5:$DD$1052,82,FALSE)+VLOOKUP("2360602",'Input BS ACCTS'!$A$5:$DD$1052,82,FALSE)+VLOOKUP("2360603",'Input BS ACCTS'!$A$5:$DD$1052,82,FALSE)+VLOOKUP("2360604",'Input BS ACCTS'!$A$5:$DD$1052,82,FALSE)+VLOOKUP("2360605",'Input BS ACCTS'!$A$5:$DD$1052,82,FALSE)+VLOOKUP("2360620",'Input BS ACCTS'!$A$5:$DD$1052,82,FALSE))/1000</f>
        <v>10333.355479999998</v>
      </c>
      <c r="EB79" s="216">
        <v>10854.755899999998</v>
      </c>
      <c r="EC79" s="216">
        <v>12425.299010000001</v>
      </c>
      <c r="ED79" s="216">
        <v>13747.201730000001</v>
      </c>
      <c r="EE79" s="216">
        <v>15397.22748</v>
      </c>
      <c r="EF79" s="216">
        <v>3762.20037</v>
      </c>
      <c r="EG79" s="216">
        <v>5259.8825099999995</v>
      </c>
      <c r="EH79" s="216">
        <v>6711.2380899999998</v>
      </c>
      <c r="EI79" s="216">
        <v>7920.3094099999998</v>
      </c>
      <c r="EJ79" s="216">
        <v>8751.4627899999996</v>
      </c>
      <c r="EK79" s="216">
        <v>10180.265290000001</v>
      </c>
      <c r="EL79" s="216">
        <v>11278.53404</v>
      </c>
      <c r="EM79" s="216">
        <v>12612.689839999999</v>
      </c>
      <c r="EN79" s="216">
        <v>12730.01604</v>
      </c>
      <c r="EO79" s="216">
        <v>13959.51836</v>
      </c>
      <c r="EP79" s="216">
        <v>14835.18792</v>
      </c>
      <c r="EQ79" s="216">
        <f>-(VLOOKUP("2360600",'Input BS ACCTS'!$A$5:$DD$1052,98,FALSE)+VLOOKUP("2360601",'Input BS ACCTS'!$A$5:$DD$1052,98,FALSE)+VLOOKUP("2360800",'Input BS ACCTS'!$A$5:$DD$1052,98,FALSE)+VLOOKUP("2360602",'Input BS ACCTS'!$A$5:$DD$1052,98,FALSE)+VLOOKUP("2360603",'Input BS ACCTS'!$A$5:$DD$1052,98,FALSE)+VLOOKUP("2360604",'Input BS ACCTS'!$A$5:$DD$1052,98,FALSE)+VLOOKUP("2360605",'Input BS ACCTS'!$A$5:$DD$1052,98,FALSE)+VLOOKUP("2360620",'Input BS ACCTS'!$A$5:$DD$1052,98,FALSE))/1000</f>
        <v>16316.390210000001</v>
      </c>
      <c r="ER79" s="216">
        <f>-(VLOOKUP("2360600",'Input BS ACCTS'!$A$5:$DD$1052,99,FALSE)+VLOOKUP("2360601",'Input BS ACCTS'!$A$5:$DD$1052,99,FALSE)+VLOOKUP("2360800",'Input BS ACCTS'!$A$5:$DD$1052,99,FALSE)+VLOOKUP("2360602",'Input BS ACCTS'!$A$5:$DD$1052,99,FALSE)+VLOOKUP("2360603",'Input BS ACCTS'!$A$5:$DD$1052,99,FALSE)+VLOOKUP("2360604",'Input BS ACCTS'!$A$5:$DD$1052,99,FALSE)+VLOOKUP("2360605",'Input BS ACCTS'!$A$5:$DD$1052,99,FALSE)+VLOOKUP("2360620",'Input BS ACCTS'!$A$5:$DD$1052,99,FALSE))/1000</f>
        <v>4307.0778300000002</v>
      </c>
      <c r="ES79" s="216">
        <f>-(VLOOKUP("2360600",'Input BS ACCTS'!$A$5:$DD$1052,100,FALSE)+VLOOKUP("2360601",'Input BS ACCTS'!$A$5:$DD$1052,100,FALSE)+VLOOKUP("2360800",'Input BS ACCTS'!$A$5:$DD$1052,100,FALSE)+VLOOKUP("2360602",'Input BS ACCTS'!$A$5:$DD$1052,100,FALSE)+VLOOKUP("2360603",'Input BS ACCTS'!$A$5:$DD$1052,100,FALSE)+VLOOKUP("2360604",'Input BS ACCTS'!$A$5:$DD$1052,100,FALSE)+VLOOKUP("2360605",'Input BS ACCTS'!$A$5:$DD$1052,100,FALSE)+VLOOKUP("2360620",'Input BS ACCTS'!$A$5:$DD$1052,100,FALSE))/1000</f>
        <v>5474.3132600000008</v>
      </c>
      <c r="ET79" s="467">
        <f t="shared" si="84"/>
        <v>10025.914276153844</v>
      </c>
      <c r="EU79" s="801"/>
      <c r="EV79" s="801"/>
      <c r="HL79" s="35"/>
      <c r="HM79" s="253"/>
      <c r="HN79" s="258"/>
      <c r="HO79" s="35"/>
      <c r="HP79" s="35"/>
      <c r="HQ79" s="35"/>
      <c r="HR79" s="35"/>
      <c r="HS79" s="35"/>
      <c r="HT79" s="35"/>
      <c r="HU79" s="35"/>
      <c r="HV79" s="35"/>
      <c r="HW79" s="35"/>
      <c r="HX79" s="35"/>
      <c r="HY79" s="35"/>
      <c r="HZ79" s="35"/>
      <c r="IA79" s="35"/>
    </row>
    <row r="80" spans="1:235">
      <c r="A80" s="27" t="s">
        <v>275</v>
      </c>
      <c r="B80" s="121">
        <v>-1027.3019999999999</v>
      </c>
      <c r="C80" s="121">
        <v>-2216.4450000000002</v>
      </c>
      <c r="D80" s="121">
        <v>-3692.9859999999999</v>
      </c>
      <c r="E80" s="121">
        <v>141.62</v>
      </c>
      <c r="F80" s="121">
        <v>-281.83499999999998</v>
      </c>
      <c r="G80" s="121">
        <v>3395.7930000000001</v>
      </c>
      <c r="H80" s="121">
        <v>12750.083000000001</v>
      </c>
      <c r="I80" s="121">
        <v>3191.5569999999998</v>
      </c>
      <c r="J80" s="121">
        <v>3856.4209999999998</v>
      </c>
      <c r="K80" s="121">
        <v>-7443.3909999999996</v>
      </c>
      <c r="L80" s="121">
        <v>-6467.6880000000001</v>
      </c>
      <c r="M80" s="121">
        <v>-5734.3760000000002</v>
      </c>
      <c r="N80" s="121">
        <v>-4710.9189999999999</v>
      </c>
      <c r="O80" s="121">
        <v>-3324</v>
      </c>
      <c r="P80" s="121">
        <v>-8344</v>
      </c>
      <c r="Q80" s="142">
        <v>-11607</v>
      </c>
      <c r="R80" s="142">
        <v>-4160</v>
      </c>
      <c r="S80" s="121">
        <v>-2585</v>
      </c>
      <c r="T80" s="121">
        <v>9102</v>
      </c>
      <c r="U80" s="121">
        <v>504</v>
      </c>
      <c r="V80" s="121">
        <v>255</v>
      </c>
      <c r="W80" s="121">
        <v>-8858</v>
      </c>
      <c r="X80" s="121">
        <v>-9705.0265999999992</v>
      </c>
      <c r="Y80" s="121">
        <v>-11318</v>
      </c>
      <c r="Z80" s="121">
        <v>-6671</v>
      </c>
      <c r="AA80" s="121">
        <v>-7634</v>
      </c>
      <c r="AB80" s="121">
        <v>-30442</v>
      </c>
      <c r="AC80" s="121">
        <v>-2029.2059999999999</v>
      </c>
      <c r="AD80" s="213">
        <v>-889</v>
      </c>
      <c r="AE80" s="121">
        <v>-1278</v>
      </c>
      <c r="AF80" s="121">
        <v>425</v>
      </c>
      <c r="AG80" s="121">
        <v>48</v>
      </c>
      <c r="AH80" s="121">
        <v>-373</v>
      </c>
      <c r="AI80" s="121">
        <v>-5138.01037</v>
      </c>
      <c r="AJ80" s="121">
        <v>-5956.7409900000002</v>
      </c>
      <c r="AK80" s="121">
        <v>-6519.3001500000009</v>
      </c>
      <c r="AL80" s="121">
        <v>-87.143869999999993</v>
      </c>
      <c r="AM80" s="213">
        <v>-907.18664000000001</v>
      </c>
      <c r="AN80" s="213">
        <v>-2095.4197400000003</v>
      </c>
      <c r="AO80" s="213">
        <v>2194.3672100000003</v>
      </c>
      <c r="AP80" s="213">
        <v>4819.9899299999997</v>
      </c>
      <c r="AQ80" s="213">
        <v>6089.1077100000002</v>
      </c>
      <c r="AR80" s="213">
        <v>6128.5032600000013</v>
      </c>
      <c r="AS80" s="251">
        <v>2435.8737100000003</v>
      </c>
      <c r="AT80" s="251">
        <v>2665.0429000000004</v>
      </c>
      <c r="AU80" s="251">
        <v>-2951.2969900000003</v>
      </c>
      <c r="AV80" s="251">
        <v>-2600.5273399999996</v>
      </c>
      <c r="AW80" s="251">
        <v>-2993.5943199999997</v>
      </c>
      <c r="AX80" s="251">
        <v>-3826.06403</v>
      </c>
      <c r="AY80" s="202">
        <v>-3811.4666199999997</v>
      </c>
      <c r="AZ80" s="202">
        <v>-3831.0932200000002</v>
      </c>
      <c r="BA80" s="412">
        <v>0</v>
      </c>
      <c r="BB80" s="412">
        <v>1302.28199</v>
      </c>
      <c r="BC80" s="412">
        <v>4234.4713499999998</v>
      </c>
      <c r="BD80" s="412">
        <v>8271.5717800000002</v>
      </c>
      <c r="BE80" s="412">
        <v>2191.4221600000001</v>
      </c>
      <c r="BF80" s="412">
        <v>3603.4432600000005</v>
      </c>
      <c r="BG80" s="216">
        <v>-3215.1335200000003</v>
      </c>
      <c r="BH80" s="216">
        <v>-2658.8854200000001</v>
      </c>
      <c r="BI80" s="216">
        <v>-2364.0506399999995</v>
      </c>
      <c r="BJ80" s="216">
        <v>-6138.5119699999996</v>
      </c>
      <c r="BK80" s="216">
        <v>-1669.42127</v>
      </c>
      <c r="BL80" s="216">
        <v>-3063.0949499999997</v>
      </c>
      <c r="BM80" s="216">
        <v>0</v>
      </c>
      <c r="BN80" s="216">
        <v>-6509.0804699999999</v>
      </c>
      <c r="BO80" s="216">
        <v>-5026.25864</v>
      </c>
      <c r="BP80" s="216">
        <v>7421.2626000000009</v>
      </c>
      <c r="BQ80" s="216">
        <v>1691.2192399999999</v>
      </c>
      <c r="BR80" s="216">
        <v>2668.8544999999999</v>
      </c>
      <c r="BS80" s="216">
        <v>-2957.2798599999996</v>
      </c>
      <c r="BT80" s="216">
        <v>-1855.4932200000003</v>
      </c>
      <c r="BU80" s="216">
        <v>-735.43710999999996</v>
      </c>
      <c r="BV80" s="216">
        <v>-3093.9299599999999</v>
      </c>
      <c r="BW80" s="216">
        <v>-3872.7633600000004</v>
      </c>
      <c r="BX80" s="216">
        <v>-4131.1810700000005</v>
      </c>
      <c r="BY80" s="216">
        <v>0</v>
      </c>
      <c r="BZ80" s="216">
        <v>-11498.69614</v>
      </c>
      <c r="CA80" s="216">
        <v>-8555.8609399999987</v>
      </c>
      <c r="CB80" s="216">
        <v>6036.1744699999999</v>
      </c>
      <c r="CC80" s="216">
        <v>1149.90904</v>
      </c>
      <c r="CD80" s="216">
        <v>1352.36481</v>
      </c>
      <c r="CE80" s="216">
        <v>-4112.6319300000005</v>
      </c>
      <c r="CF80" s="216">
        <v>-3763.3587299999995</v>
      </c>
      <c r="CG80" s="216">
        <v>-4535.920180000001</v>
      </c>
      <c r="CH80" s="216">
        <v>893.9615500000001</v>
      </c>
      <c r="CI80" s="216">
        <v>-1058.0587800000001</v>
      </c>
      <c r="CJ80" s="216">
        <v>-1246.3311799999999</v>
      </c>
      <c r="CK80" s="216">
        <v>33.203110000000002</v>
      </c>
      <c r="CL80" s="216">
        <v>1218.3196600000001</v>
      </c>
      <c r="CM80" s="216">
        <v>664.62072000000001</v>
      </c>
      <c r="CN80" s="216">
        <v>776.46587999999997</v>
      </c>
      <c r="CO80" s="216">
        <v>1627.8128000000002</v>
      </c>
      <c r="CP80" s="216">
        <v>855.23186999999996</v>
      </c>
      <c r="CQ80" s="216">
        <v>483.44291999999996</v>
      </c>
      <c r="CR80" s="216">
        <v>-431.38654000000002</v>
      </c>
      <c r="CS80" s="216">
        <v>-1391.2199500000002</v>
      </c>
      <c r="CT80" s="216">
        <v>183.89595</v>
      </c>
      <c r="CU80" s="216">
        <v>-1760.4175400000001</v>
      </c>
      <c r="CV80" s="216">
        <v>-2712.9843100000003</v>
      </c>
      <c r="CW80" s="216">
        <v>5917.8919100000003</v>
      </c>
      <c r="CX80" s="216">
        <v>9137.7768799999994</v>
      </c>
      <c r="CY80" s="216">
        <v>9528.6870699999999</v>
      </c>
      <c r="CZ80" s="216">
        <v>10351.167939999999</v>
      </c>
      <c r="DA80" s="216">
        <v>4074.8491899999999</v>
      </c>
      <c r="DB80" s="216">
        <v>4320.2222700000002</v>
      </c>
      <c r="DC80" s="216">
        <v>2686.9885899999999</v>
      </c>
      <c r="DD80" s="216">
        <v>2898.5594300000002</v>
      </c>
      <c r="DE80" s="216">
        <v>2060.4149300000004</v>
      </c>
      <c r="DF80" s="216">
        <v>1143.8678300000001</v>
      </c>
      <c r="DG80" s="216">
        <v>821.47520000000009</v>
      </c>
      <c r="DH80" s="216">
        <v>-2529.3949400000006</v>
      </c>
      <c r="DI80" s="216">
        <v>2694.5114199999998</v>
      </c>
      <c r="DJ80" s="216">
        <v>4355.7901700000002</v>
      </c>
      <c r="DK80" s="216">
        <v>4311.5134900000003</v>
      </c>
      <c r="DL80" s="216">
        <v>5435.6130999999996</v>
      </c>
      <c r="DM80" s="216">
        <v>2908.0823</v>
      </c>
      <c r="DN80" s="216">
        <v>3228.2966199999996</v>
      </c>
      <c r="DO80" s="216">
        <v>2414.2994899999999</v>
      </c>
      <c r="DP80" s="216">
        <v>2448.7563500000001</v>
      </c>
      <c r="DQ80" s="216">
        <v>2493.2497400000002</v>
      </c>
      <c r="DR80" s="216">
        <v>697.39471000000003</v>
      </c>
      <c r="DS80" s="216">
        <v>871.61304000000007</v>
      </c>
      <c r="DT80" s="216">
        <v>1410.9714799999999</v>
      </c>
      <c r="DU80" s="216">
        <v>-1.0000000000000001E-5</v>
      </c>
      <c r="DV80" s="216">
        <v>3124.5150300000005</v>
      </c>
      <c r="DW80" s="216">
        <v>1117.3269299999999</v>
      </c>
      <c r="DX80" s="216">
        <v>1492.18869</v>
      </c>
      <c r="DY80" s="216">
        <v>2220.2245200000002</v>
      </c>
      <c r="DZ80" s="216">
        <v>1908.7737099999999</v>
      </c>
      <c r="EA80" s="216">
        <v>2493.3735099999999</v>
      </c>
      <c r="EB80" s="216">
        <v>2074.2094900000002</v>
      </c>
      <c r="EC80" s="216">
        <v>2044.7551899999999</v>
      </c>
      <c r="ED80" s="216">
        <v>2340.2763399999999</v>
      </c>
      <c r="EE80" s="216">
        <v>706.76859999999999</v>
      </c>
      <c r="EF80" s="216">
        <v>1853.6941600000002</v>
      </c>
      <c r="EG80" s="216">
        <v>1537.1815300000001</v>
      </c>
      <c r="EH80" s="216">
        <v>4384.3406999999997</v>
      </c>
      <c r="EI80" s="216">
        <v>5537.8809799999999</v>
      </c>
      <c r="EJ80" s="216">
        <v>4948.4920499999998</v>
      </c>
      <c r="EK80" s="216">
        <v>3068.42688</v>
      </c>
      <c r="EL80" s="216">
        <v>2487.3352699999996</v>
      </c>
      <c r="EM80" s="216">
        <v>2665.9445100000003</v>
      </c>
      <c r="EN80" s="216">
        <v>2347.3771200000001</v>
      </c>
      <c r="EO80" s="216">
        <v>2992.1392700000001</v>
      </c>
      <c r="EP80" s="216">
        <v>-422.22386999999998</v>
      </c>
      <c r="EQ80" s="216">
        <f>-(VLOOKUP("2360310",'Input BS ACCTS'!$A$5:$DD$1052,98,FALSE)+VLOOKUP("2360320",'Input BS ACCTS'!$A$5:$DD$1052,98,FALSE)+VLOOKUP("2360410",'Input BS ACCTS'!$A$5:$DD$1052,98,FALSE)+VLOOKUP("2360420",'Input BS ACCTS'!$A$5:$DD$1052,98,FALSE))/1000</f>
        <v>-2041.9777900000001</v>
      </c>
      <c r="ER80" s="216">
        <f>-(VLOOKUP("2360310",'Input BS ACCTS'!$A$5:$DD$1052,99,FALSE)+VLOOKUP("2360320",'Input BS ACCTS'!$A$5:$DD$1052,99,FALSE)+VLOOKUP("2360410",'Input BS ACCTS'!$A$5:$DD$1052,99,FALSE)+VLOOKUP("2360420",'Input BS ACCTS'!$A$5:$DD$1052,99,FALSE))/1000</f>
        <v>-3677.1605999999997</v>
      </c>
      <c r="ES80" s="216">
        <f>-(VLOOKUP("2360310",'Input BS ACCTS'!$A$5:$DD$1052,100,FALSE)+VLOOKUP("2360320",'Input BS ACCTS'!$A$5:$DD$1052,100,FALSE)+VLOOKUP("2360410",'Input BS ACCTS'!$A$5:$DD$1052,100,FALSE)+VLOOKUP("2360420",'Input BS ACCTS'!$A$5:$DD$1052,100,FALSE))/1000</f>
        <v>0</v>
      </c>
      <c r="ET80" s="467">
        <f t="shared" si="84"/>
        <v>1832.9043115384616</v>
      </c>
      <c r="EU80" s="801"/>
      <c r="EV80" s="801"/>
      <c r="HL80" s="35"/>
      <c r="HM80" s="253"/>
      <c r="HN80" s="258"/>
      <c r="HO80" s="35"/>
      <c r="HP80" s="35"/>
      <c r="HQ80" s="35"/>
      <c r="HR80" s="35"/>
      <c r="HS80" s="35"/>
      <c r="HT80" s="35"/>
      <c r="HU80" s="35"/>
      <c r="HV80" s="35"/>
      <c r="HW80" s="35"/>
      <c r="HX80" s="35"/>
      <c r="HY80" s="35"/>
      <c r="HZ80" s="35"/>
      <c r="IA80" s="35"/>
    </row>
    <row r="81" spans="1:235">
      <c r="A81" s="27" t="s">
        <v>276</v>
      </c>
      <c r="B81" s="121">
        <v>4363.0705599999992</v>
      </c>
      <c r="C81" s="121">
        <v>5786.7065600000005</v>
      </c>
      <c r="D81" s="121">
        <v>3837.01856</v>
      </c>
      <c r="E81" s="121">
        <v>3882.5345600000001</v>
      </c>
      <c r="F81" s="121">
        <v>4874.2855599999994</v>
      </c>
      <c r="G81" s="121">
        <v>4062.72856</v>
      </c>
      <c r="H81" s="121">
        <v>5479.3785600000001</v>
      </c>
      <c r="I81" s="121">
        <v>6892.6905600000009</v>
      </c>
      <c r="J81" s="121">
        <v>4933.9905599999993</v>
      </c>
      <c r="K81" s="121">
        <v>4967.24856</v>
      </c>
      <c r="L81" s="121">
        <v>5917.9885600000007</v>
      </c>
      <c r="M81" s="121">
        <v>2887.7855600000003</v>
      </c>
      <c r="N81" s="121">
        <v>4297.44056</v>
      </c>
      <c r="O81" s="121">
        <v>5706</v>
      </c>
      <c r="P81" s="121">
        <v>3742</v>
      </c>
      <c r="Q81" s="121">
        <v>3235</v>
      </c>
      <c r="R81" s="121">
        <v>4326</v>
      </c>
      <c r="S81" s="121">
        <v>4262</v>
      </c>
      <c r="T81" s="121">
        <v>5614</v>
      </c>
      <c r="U81" s="121">
        <v>6966</v>
      </c>
      <c r="V81" s="121">
        <v>3840</v>
      </c>
      <c r="W81" s="121">
        <v>4528</v>
      </c>
      <c r="X81" s="121">
        <v>5564</v>
      </c>
      <c r="Y81" s="121">
        <v>3211</v>
      </c>
      <c r="Z81" s="121">
        <v>4554</v>
      </c>
      <c r="AA81" s="121">
        <v>5895</v>
      </c>
      <c r="AB81" s="121">
        <v>2600</v>
      </c>
      <c r="AC81" s="121">
        <v>3283</v>
      </c>
      <c r="AD81" s="213">
        <v>4480</v>
      </c>
      <c r="AE81" s="121">
        <v>4397</v>
      </c>
      <c r="AF81" s="121">
        <v>5723</v>
      </c>
      <c r="AG81" s="121">
        <v>7043</v>
      </c>
      <c r="AH81" s="121">
        <v>3731</v>
      </c>
      <c r="AI81" s="121">
        <v>4485.2594500000005</v>
      </c>
      <c r="AJ81" s="121">
        <v>5700.37327</v>
      </c>
      <c r="AK81" s="121">
        <v>3241.6790999999998</v>
      </c>
      <c r="AL81" s="121">
        <v>4264.1992799999998</v>
      </c>
      <c r="AM81" s="213">
        <v>5345.0623799999994</v>
      </c>
      <c r="AN81" s="213">
        <v>1787.2828099999999</v>
      </c>
      <c r="AO81" s="213">
        <v>1778.5652400000001</v>
      </c>
      <c r="AP81" s="213">
        <v>2851.18451</v>
      </c>
      <c r="AQ81" s="213">
        <v>3922.2889799999998</v>
      </c>
      <c r="AR81" s="213">
        <v>4689.2837499999996</v>
      </c>
      <c r="AS81" s="251">
        <v>5758.8128100000004</v>
      </c>
      <c r="AT81" s="251">
        <v>2195.0412799999999</v>
      </c>
      <c r="AU81" s="251">
        <v>2236.8141999999998</v>
      </c>
      <c r="AV81" s="251">
        <v>3302.12462</v>
      </c>
      <c r="AW81" s="251">
        <v>3456.6113599999999</v>
      </c>
      <c r="AX81" s="251">
        <v>4208.3441599999996</v>
      </c>
      <c r="AY81" s="202">
        <v>5284.7081800000005</v>
      </c>
      <c r="AZ81" s="202">
        <v>1727.70874</v>
      </c>
      <c r="BA81" s="412">
        <v>1777.75974</v>
      </c>
      <c r="BB81" s="412">
        <v>2851.8599800000002</v>
      </c>
      <c r="BC81" s="412">
        <v>3924.6988700000002</v>
      </c>
      <c r="BD81" s="412">
        <v>4672.1183700000001</v>
      </c>
      <c r="BE81" s="412">
        <v>5743.8763499999995</v>
      </c>
      <c r="BF81" s="412">
        <v>2200.9958799999999</v>
      </c>
      <c r="BG81" s="216">
        <v>2282.19787</v>
      </c>
      <c r="BH81" s="216">
        <v>3388.2823199999998</v>
      </c>
      <c r="BI81" s="216">
        <v>3585.97415</v>
      </c>
      <c r="BJ81" s="216">
        <v>4377.3241600000001</v>
      </c>
      <c r="BK81" s="216">
        <v>5492.6870999999992</v>
      </c>
      <c r="BL81" s="216">
        <v>1755.6808900000001</v>
      </c>
      <c r="BM81" s="216">
        <v>1844.9015099999999</v>
      </c>
      <c r="BN81" s="216">
        <v>2956.7542699999995</v>
      </c>
      <c r="BO81" s="216">
        <v>4068.2921499999998</v>
      </c>
      <c r="BP81" s="216">
        <v>4853.52232</v>
      </c>
      <c r="BQ81" s="216">
        <v>5964.77736</v>
      </c>
      <c r="BR81" s="216">
        <v>2255.4737700000001</v>
      </c>
      <c r="BS81" s="216">
        <v>2408.3195000000001</v>
      </c>
      <c r="BT81" s="216">
        <v>3586.7572400000004</v>
      </c>
      <c r="BU81" s="216">
        <v>3829.4431600000003</v>
      </c>
      <c r="BV81" s="216">
        <v>4693.1670200000008</v>
      </c>
      <c r="BW81" s="216">
        <v>5881.2533300000005</v>
      </c>
      <c r="BX81" s="216">
        <v>1800.5588699999998</v>
      </c>
      <c r="BY81" s="216">
        <v>1626.90481</v>
      </c>
      <c r="BZ81" s="216">
        <v>2816.7041899999999</v>
      </c>
      <c r="CA81" s="216">
        <v>4002.1883000000003</v>
      </c>
      <c r="CB81" s="216">
        <v>4858.9058999999997</v>
      </c>
      <c r="CC81" s="216">
        <v>6037.3006799999994</v>
      </c>
      <c r="CD81" s="216">
        <v>1942.1230899999998</v>
      </c>
      <c r="CE81" s="216">
        <v>2089.5374299999999</v>
      </c>
      <c r="CF81" s="216">
        <v>3257.2559100000003</v>
      </c>
      <c r="CG81" s="216">
        <v>3819.1987400000003</v>
      </c>
      <c r="CH81" s="216">
        <v>4664.75587</v>
      </c>
      <c r="CI81" s="216">
        <v>5832.5163899999998</v>
      </c>
      <c r="CJ81" s="216">
        <v>1725.0981399999998</v>
      </c>
      <c r="CK81" s="216">
        <v>1610.3489999999999</v>
      </c>
      <c r="CL81" s="216">
        <v>2770.21173</v>
      </c>
      <c r="CM81" s="216">
        <v>3926.4707400000002</v>
      </c>
      <c r="CN81" s="216">
        <v>4756.6811999999991</v>
      </c>
      <c r="CO81" s="216">
        <v>5910.0565700000006</v>
      </c>
      <c r="CP81" s="216">
        <v>1791.8053599999998</v>
      </c>
      <c r="CQ81" s="216">
        <v>1918.3488300000001</v>
      </c>
      <c r="CR81" s="216">
        <v>3064.0813800000001</v>
      </c>
      <c r="CS81" s="216">
        <v>4211.7048900000009</v>
      </c>
      <c r="CT81" s="216">
        <v>5034.8600999999999</v>
      </c>
      <c r="CU81" s="216">
        <v>6181.1579399999991</v>
      </c>
      <c r="CV81" s="216">
        <v>2053.0972099999999</v>
      </c>
      <c r="CW81" s="216">
        <v>1610.1098599999998</v>
      </c>
      <c r="CX81" s="216">
        <v>2767.5090900000005</v>
      </c>
      <c r="CY81" s="216">
        <v>3924.17</v>
      </c>
      <c r="CZ81" s="216">
        <v>4753.8465400000005</v>
      </c>
      <c r="DA81" s="216">
        <v>5908.4847099999997</v>
      </c>
      <c r="DB81" s="216">
        <v>1665.3694499999999</v>
      </c>
      <c r="DC81" s="216">
        <v>1537.0272000000002</v>
      </c>
      <c r="DD81" s="216">
        <v>2909.7936900000004</v>
      </c>
      <c r="DE81" s="216">
        <v>4075.8676199999995</v>
      </c>
      <c r="DF81" s="216">
        <v>4916.0469299999995</v>
      </c>
      <c r="DG81" s="216">
        <v>6159.8755600000004</v>
      </c>
      <c r="DH81" s="216">
        <v>3671.2960800000001</v>
      </c>
      <c r="DI81" s="216">
        <v>1628.03539</v>
      </c>
      <c r="DJ81" s="216">
        <v>2893.1340799999998</v>
      </c>
      <c r="DK81" s="216">
        <v>4157.3870999999999</v>
      </c>
      <c r="DL81" s="216">
        <v>5094.9714800000002</v>
      </c>
      <c r="DM81" s="216">
        <v>6357.8734999999997</v>
      </c>
      <c r="DN81" s="216">
        <v>3873.8124600000001</v>
      </c>
      <c r="DO81" s="216">
        <v>1719.86643</v>
      </c>
      <c r="DP81" s="216">
        <v>2996.9513299999999</v>
      </c>
      <c r="DQ81" s="216">
        <v>4329.0941399999992</v>
      </c>
      <c r="DR81" s="216">
        <v>5336.7681700000003</v>
      </c>
      <c r="DS81" s="216">
        <v>6668.6694100000004</v>
      </c>
      <c r="DT81" s="216">
        <v>4253.4423200000001</v>
      </c>
      <c r="DU81" s="216">
        <v>1450.83709</v>
      </c>
      <c r="DV81" s="216">
        <v>2790.87041</v>
      </c>
      <c r="DW81" s="216">
        <v>4130.76</v>
      </c>
      <c r="DX81" s="216">
        <v>5138.9768300000005</v>
      </c>
      <c r="DY81" s="216">
        <v>6476.2561700000006</v>
      </c>
      <c r="DZ81" s="216">
        <v>4067.1598899999995</v>
      </c>
      <c r="EA81" s="216">
        <v>1755.2275</v>
      </c>
      <c r="EB81" s="216">
        <v>3088.45496</v>
      </c>
      <c r="EC81" s="216">
        <v>4420.7581799999998</v>
      </c>
      <c r="ED81" s="216">
        <v>5426.8159399999995</v>
      </c>
      <c r="EE81" s="216">
        <v>6756.1770100000003</v>
      </c>
      <c r="EF81" s="216">
        <v>4341.5842599999996</v>
      </c>
      <c r="EG81" s="216">
        <v>1444.46074</v>
      </c>
      <c r="EH81" s="216">
        <v>2783.8603700000003</v>
      </c>
      <c r="EI81" s="216">
        <v>4122.85214</v>
      </c>
      <c r="EJ81" s="216">
        <v>5453.95208</v>
      </c>
      <c r="EK81" s="216">
        <v>7351.6719999999996</v>
      </c>
      <c r="EL81" s="216">
        <v>5292.8487700000005</v>
      </c>
      <c r="EM81" s="216">
        <v>3437.04873</v>
      </c>
      <c r="EN81" s="216">
        <v>5123.9392400000006</v>
      </c>
      <c r="EO81" s="216">
        <v>6809.8387199999997</v>
      </c>
      <c r="EP81" s="216">
        <v>4769.5174800000004</v>
      </c>
      <c r="EQ81" s="216">
        <f>-(VLOOKUP("2370300",'Input BS ACCTS'!$A$5:$DD$1052,98,FALSE)+VLOOKUP("2370350",'Input BS ACCTS'!$A$5:$DD$1052,98,FALSE)+VLOOKUP("2370400",'Input BS ACCTS'!$A$5:$DD$1052,98,FALSE)+VLOOKUP("2370900",'Input BS ACCTS'!$A$5:$DD$1052,98,FALSE))/1000</f>
        <v>6452.8537000000006</v>
      </c>
      <c r="ER81" s="216">
        <f>-(VLOOKUP("2370300",'Input BS ACCTS'!$A$5:$DD$1052,99,FALSE)+VLOOKUP("2370350",'Input BS ACCTS'!$A$5:$DD$1052,99,FALSE)+VLOOKUP("2370400",'Input BS ACCTS'!$A$5:$DD$1052,99,FALSE)+VLOOKUP("2370900",'Input BS ACCTS'!$A$5:$DD$1052,99,FALSE))/1000</f>
        <v>5655.6043000000009</v>
      </c>
      <c r="ES81" s="216">
        <f>-(VLOOKUP("2370300",'Input BS ACCTS'!$A$5:$DD$1052,100,FALSE)+VLOOKUP("2370350",'Input BS ACCTS'!$A$5:$DD$1052,100,FALSE)+VLOOKUP("2370400",'Input BS ACCTS'!$A$5:$DD$1052,100,FALSE)+VLOOKUP("2370900",'Input BS ACCTS'!$A$5:$DD$1052,100,FALSE))/1000</f>
        <v>3091.8601200000003</v>
      </c>
      <c r="ET81" s="467">
        <f t="shared" si="84"/>
        <v>4753.1006453846148</v>
      </c>
      <c r="EU81" s="801"/>
      <c r="EV81" s="801"/>
      <c r="HL81" s="35"/>
      <c r="HM81" s="253"/>
      <c r="HN81" s="258"/>
      <c r="HO81" s="35"/>
      <c r="HP81" s="35"/>
      <c r="HQ81" s="35"/>
      <c r="HR81" s="35"/>
      <c r="HS81" s="35"/>
      <c r="HT81" s="35"/>
      <c r="HU81" s="35"/>
      <c r="HV81" s="35"/>
      <c r="HW81" s="35"/>
      <c r="HX81" s="35"/>
      <c r="HY81" s="35"/>
      <c r="HZ81" s="35"/>
      <c r="IA81" s="35"/>
    </row>
    <row r="82" spans="1:235">
      <c r="A82" s="27" t="s">
        <v>277</v>
      </c>
      <c r="B82" s="121">
        <v>0</v>
      </c>
      <c r="C82" s="121">
        <v>3301.674</v>
      </c>
      <c r="D82" s="121">
        <v>0</v>
      </c>
      <c r="E82" s="121">
        <v>0</v>
      </c>
      <c r="F82" s="121">
        <v>0</v>
      </c>
      <c r="G82" s="121">
        <v>0</v>
      </c>
      <c r="H82" s="121">
        <v>0</v>
      </c>
      <c r="I82" s="121">
        <v>0</v>
      </c>
      <c r="J82" s="121">
        <v>0</v>
      </c>
      <c r="K82" s="121">
        <v>0</v>
      </c>
      <c r="L82" s="121">
        <v>0</v>
      </c>
      <c r="M82" s="121">
        <v>0</v>
      </c>
      <c r="N82" s="121">
        <v>0</v>
      </c>
      <c r="O82" s="121">
        <v>0</v>
      </c>
      <c r="P82" s="121">
        <v>0</v>
      </c>
      <c r="Q82" s="121">
        <v>0</v>
      </c>
      <c r="R82" s="121">
        <v>0</v>
      </c>
      <c r="S82" s="121">
        <v>0</v>
      </c>
      <c r="T82" s="121">
        <v>0</v>
      </c>
      <c r="U82" s="121">
        <v>0</v>
      </c>
      <c r="V82" s="121">
        <v>0</v>
      </c>
      <c r="W82" s="121">
        <v>0</v>
      </c>
      <c r="X82" s="121">
        <v>0</v>
      </c>
      <c r="Y82" s="121">
        <v>0</v>
      </c>
      <c r="Z82" s="121">
        <v>0</v>
      </c>
      <c r="AA82" s="121">
        <v>0</v>
      </c>
      <c r="AB82" s="121">
        <v>0</v>
      </c>
      <c r="AC82" s="121">
        <v>0</v>
      </c>
      <c r="AD82" s="213">
        <v>0</v>
      </c>
      <c r="AE82" s="121">
        <v>0</v>
      </c>
      <c r="AF82" s="121">
        <v>0</v>
      </c>
      <c r="AG82" s="121">
        <v>0</v>
      </c>
      <c r="AH82" s="121">
        <v>0</v>
      </c>
      <c r="AI82" s="121">
        <v>0</v>
      </c>
      <c r="AJ82" s="121">
        <v>0</v>
      </c>
      <c r="AK82" s="121">
        <v>0</v>
      </c>
      <c r="AL82" s="121">
        <v>0</v>
      </c>
      <c r="AM82" s="213">
        <v>7244.7771700000003</v>
      </c>
      <c r="AN82" s="213">
        <v>0</v>
      </c>
      <c r="AO82" s="213">
        <v>0</v>
      </c>
      <c r="AP82" s="213">
        <v>0</v>
      </c>
      <c r="AQ82" s="213">
        <v>0</v>
      </c>
      <c r="AR82" s="213">
        <v>0</v>
      </c>
      <c r="AS82" s="251">
        <v>0</v>
      </c>
      <c r="AT82" s="251">
        <v>0</v>
      </c>
      <c r="AU82" s="251">
        <v>0</v>
      </c>
      <c r="AV82" s="251">
        <v>11045.184220000001</v>
      </c>
      <c r="AW82" s="251">
        <v>0</v>
      </c>
      <c r="AX82" s="251">
        <v>0</v>
      </c>
      <c r="AY82" s="202">
        <v>5265.0083299999997</v>
      </c>
      <c r="AZ82" s="202">
        <v>0</v>
      </c>
      <c r="BA82" s="387">
        <v>0</v>
      </c>
      <c r="BB82" s="387">
        <v>7357.2866799999993</v>
      </c>
      <c r="BC82" s="387">
        <v>0</v>
      </c>
      <c r="BD82" s="387">
        <v>0</v>
      </c>
      <c r="BE82" s="387">
        <v>11948.60368</v>
      </c>
      <c r="BF82" s="387">
        <v>0</v>
      </c>
      <c r="BG82" s="243">
        <v>0</v>
      </c>
      <c r="BH82" s="243">
        <v>9971.8934700000009</v>
      </c>
      <c r="BI82" s="243">
        <v>0</v>
      </c>
      <c r="BJ82" s="243">
        <v>0</v>
      </c>
      <c r="BK82" s="243">
        <v>5874.1364699999995</v>
      </c>
      <c r="BL82" s="243">
        <v>0</v>
      </c>
      <c r="BM82" s="243">
        <v>0</v>
      </c>
      <c r="BN82" s="243">
        <v>0</v>
      </c>
      <c r="BO82" s="243">
        <v>6579.3619699999999</v>
      </c>
      <c r="BP82" s="243">
        <v>0</v>
      </c>
      <c r="BQ82" s="243">
        <v>14236.19327</v>
      </c>
      <c r="BR82" s="243">
        <v>0</v>
      </c>
      <c r="BS82" s="243">
        <v>0</v>
      </c>
      <c r="BT82" s="243">
        <v>8836.3485500000006</v>
      </c>
      <c r="BU82" s="243">
        <v>0</v>
      </c>
      <c r="BV82" s="243">
        <v>0</v>
      </c>
      <c r="BW82" s="243">
        <v>0</v>
      </c>
      <c r="BX82" s="243">
        <v>0</v>
      </c>
      <c r="BY82" s="243">
        <v>0</v>
      </c>
      <c r="BZ82" s="243">
        <v>0</v>
      </c>
      <c r="CA82" s="243">
        <v>0</v>
      </c>
      <c r="CB82" s="243">
        <v>0</v>
      </c>
      <c r="CC82" s="243">
        <v>0</v>
      </c>
      <c r="CD82" s="243">
        <v>0</v>
      </c>
      <c r="CE82" s="243">
        <v>0</v>
      </c>
      <c r="CF82" s="243">
        <v>0</v>
      </c>
      <c r="CG82" s="243">
        <v>0</v>
      </c>
      <c r="CH82" s="243">
        <v>0</v>
      </c>
      <c r="CI82" s="243">
        <v>0</v>
      </c>
      <c r="CJ82" s="243">
        <v>0</v>
      </c>
      <c r="CK82" s="243">
        <v>0</v>
      </c>
      <c r="CL82" s="243">
        <v>0</v>
      </c>
      <c r="CM82" s="243">
        <v>0</v>
      </c>
      <c r="CN82" s="243">
        <v>0</v>
      </c>
      <c r="CO82" s="243">
        <v>0</v>
      </c>
      <c r="CP82" s="243">
        <v>0</v>
      </c>
      <c r="CQ82" s="243">
        <v>0</v>
      </c>
      <c r="CR82" s="243">
        <v>0</v>
      </c>
      <c r="CS82" s="243">
        <v>0</v>
      </c>
      <c r="CT82" s="243">
        <v>0</v>
      </c>
      <c r="CU82" s="243">
        <v>0</v>
      </c>
      <c r="CV82" s="243">
        <v>0</v>
      </c>
      <c r="CW82" s="243">
        <v>0</v>
      </c>
      <c r="CX82" s="243">
        <v>0</v>
      </c>
      <c r="CY82" s="243">
        <v>0</v>
      </c>
      <c r="CZ82" s="243">
        <v>0</v>
      </c>
      <c r="DA82" s="243">
        <v>0</v>
      </c>
      <c r="DB82" s="243">
        <v>15456.143340000001</v>
      </c>
      <c r="DC82" s="243">
        <v>0</v>
      </c>
      <c r="DD82" s="243">
        <v>0</v>
      </c>
      <c r="DE82" s="243">
        <v>0</v>
      </c>
      <c r="DF82" s="243">
        <v>0</v>
      </c>
      <c r="DG82" s="243">
        <v>0</v>
      </c>
      <c r="DH82" s="243">
        <v>0</v>
      </c>
      <c r="DI82" s="243">
        <v>0</v>
      </c>
      <c r="DJ82" s="243">
        <v>0</v>
      </c>
      <c r="DK82" s="243">
        <v>0</v>
      </c>
      <c r="DL82" s="243">
        <v>0</v>
      </c>
      <c r="DM82" s="243">
        <v>0</v>
      </c>
      <c r="DN82" s="243">
        <v>0</v>
      </c>
      <c r="DO82" s="243">
        <v>0</v>
      </c>
      <c r="DP82" s="243">
        <v>0</v>
      </c>
      <c r="DQ82" s="243">
        <v>0</v>
      </c>
      <c r="DR82" s="243">
        <v>0</v>
      </c>
      <c r="DS82" s="243">
        <v>0</v>
      </c>
      <c r="DT82" s="243">
        <v>0</v>
      </c>
      <c r="DU82" s="243">
        <v>0</v>
      </c>
      <c r="DV82" s="243">
        <v>0</v>
      </c>
      <c r="DW82" s="243">
        <v>0</v>
      </c>
      <c r="DX82" s="243">
        <v>0</v>
      </c>
      <c r="DY82" s="243">
        <v>0</v>
      </c>
      <c r="DZ82" s="243">
        <v>0</v>
      </c>
      <c r="EA82" s="243">
        <v>0</v>
      </c>
      <c r="EB82" s="243">
        <v>0</v>
      </c>
      <c r="EC82" s="243">
        <v>0</v>
      </c>
      <c r="ED82" s="243">
        <v>0</v>
      </c>
      <c r="EE82" s="243">
        <v>0</v>
      </c>
      <c r="EF82" s="243">
        <v>0</v>
      </c>
      <c r="EG82" s="243">
        <v>0</v>
      </c>
      <c r="EH82" s="243">
        <v>0</v>
      </c>
      <c r="EI82" s="243">
        <v>0</v>
      </c>
      <c r="EJ82" s="243">
        <v>0</v>
      </c>
      <c r="EK82" s="243">
        <v>27095.925999999999</v>
      </c>
      <c r="EL82" s="243">
        <v>0</v>
      </c>
      <c r="EM82" s="243">
        <v>0</v>
      </c>
      <c r="EN82" s="243">
        <v>0</v>
      </c>
      <c r="EO82" s="243">
        <v>0</v>
      </c>
      <c r="EP82" s="243">
        <v>0</v>
      </c>
      <c r="EQ82" s="243">
        <f>-(VLOOKUP("238",'Input BS ACCTS'!$A$5:$DD$1052,98,FALSE))/1000</f>
        <v>0</v>
      </c>
      <c r="ER82" s="243">
        <f>-(VLOOKUP("238",'Input BS ACCTS'!$A$5:$DD$1052,99,FALSE))/1000</f>
        <v>0</v>
      </c>
      <c r="ES82" s="243">
        <f>-(VLOOKUP("238",'Input BS ACCTS'!$A$5:$DD$1052,100,FALSE))/1000</f>
        <v>0</v>
      </c>
      <c r="ET82" s="467">
        <f t="shared" si="84"/>
        <v>2084.3020000000001</v>
      </c>
      <c r="EU82" s="801"/>
      <c r="EV82" s="801"/>
      <c r="HL82" s="35"/>
      <c r="HM82" s="253"/>
      <c r="HN82" s="258"/>
      <c r="HO82" s="35"/>
      <c r="HP82" s="35"/>
      <c r="HQ82" s="35"/>
      <c r="HR82" s="35"/>
      <c r="HS82" s="35"/>
      <c r="HT82" s="35"/>
      <c r="HU82" s="35"/>
      <c r="HV82" s="35"/>
      <c r="HW82" s="35"/>
      <c r="HX82" s="35"/>
      <c r="HY82" s="35"/>
      <c r="HZ82" s="35"/>
      <c r="IA82" s="35"/>
    </row>
    <row r="83" spans="1:235">
      <c r="A83" s="27" t="s">
        <v>530</v>
      </c>
      <c r="B83" s="121">
        <v>1248.18334</v>
      </c>
      <c r="C83" s="121">
        <v>1542.1443400000001</v>
      </c>
      <c r="D83" s="121">
        <v>1331.5463400000001</v>
      </c>
      <c r="E83" s="121">
        <v>1589.1713400000001</v>
      </c>
      <c r="F83" s="121">
        <v>2852.4503399999999</v>
      </c>
      <c r="G83" s="121">
        <v>2300.0643399999999</v>
      </c>
      <c r="H83" s="121">
        <v>2408.37934</v>
      </c>
      <c r="I83" s="121">
        <v>2221.4293399999997</v>
      </c>
      <c r="J83" s="121">
        <v>1707.0243400000002</v>
      </c>
      <c r="K83" s="121">
        <v>1849.2003400000001</v>
      </c>
      <c r="L83" s="121">
        <v>1313.10634</v>
      </c>
      <c r="M83" s="121">
        <v>1221.9713400000001</v>
      </c>
      <c r="N83" s="121">
        <v>1581.33034</v>
      </c>
      <c r="O83" s="121">
        <v>1287</v>
      </c>
      <c r="P83" s="121">
        <v>1373</v>
      </c>
      <c r="Q83" s="121">
        <v>1697</v>
      </c>
      <c r="R83" s="121">
        <v>2469</v>
      </c>
      <c r="S83" s="121">
        <v>2147</v>
      </c>
      <c r="T83" s="121">
        <v>2474</v>
      </c>
      <c r="U83" s="121">
        <v>1578</v>
      </c>
      <c r="V83" s="121">
        <v>1470</v>
      </c>
      <c r="W83" s="121">
        <v>1992</v>
      </c>
      <c r="X83" s="121">
        <v>1372</v>
      </c>
      <c r="Y83" s="121">
        <v>1240</v>
      </c>
      <c r="Z83" s="121">
        <v>1604</v>
      </c>
      <c r="AA83" s="121">
        <v>1312</v>
      </c>
      <c r="AB83" s="121">
        <v>1488</v>
      </c>
      <c r="AC83" s="121">
        <v>2125.415</v>
      </c>
      <c r="AD83" s="213">
        <v>1891</v>
      </c>
      <c r="AE83" s="121">
        <v>1673</v>
      </c>
      <c r="AF83" s="121">
        <v>1615</v>
      </c>
      <c r="AG83" s="121">
        <v>1543</v>
      </c>
      <c r="AH83" s="121">
        <v>1439</v>
      </c>
      <c r="AI83" s="121">
        <v>1429.8785499999999</v>
      </c>
      <c r="AJ83" s="121">
        <v>1280.0401399999998</v>
      </c>
      <c r="AK83" s="121">
        <v>1260.3614400000001</v>
      </c>
      <c r="AL83" s="121">
        <v>1456.29547</v>
      </c>
      <c r="AM83" s="213">
        <v>1312.8996999999999</v>
      </c>
      <c r="AN83" s="213">
        <v>1441.0804799999996</v>
      </c>
      <c r="AO83" s="213">
        <v>1508.8553499999998</v>
      </c>
      <c r="AP83" s="213">
        <v>1776.01892</v>
      </c>
      <c r="AQ83" s="213">
        <v>1609.4767000000002</v>
      </c>
      <c r="AR83" s="213">
        <v>1717.3432299999999</v>
      </c>
      <c r="AS83" s="251">
        <v>1769.0243499999999</v>
      </c>
      <c r="AT83" s="251">
        <v>1667.5987799999998</v>
      </c>
      <c r="AU83" s="251">
        <v>1374.88193</v>
      </c>
      <c r="AV83" s="251">
        <v>1325.9120699999999</v>
      </c>
      <c r="AW83" s="251">
        <v>1235.8001299999999</v>
      </c>
      <c r="AX83" s="251">
        <v>1285.9301500000001</v>
      </c>
      <c r="AY83" s="216">
        <v>1555.6861800000001</v>
      </c>
      <c r="AZ83" s="216">
        <v>1403.66308</v>
      </c>
      <c r="BA83" s="408">
        <v>1477.9099299999998</v>
      </c>
      <c r="BB83" s="408">
        <v>2952.7825700000003</v>
      </c>
      <c r="BC83" s="408">
        <v>1976.9271100000001</v>
      </c>
      <c r="BD83" s="408">
        <v>1675.874</v>
      </c>
      <c r="BE83" s="408">
        <v>1492.21585</v>
      </c>
      <c r="BF83" s="408">
        <v>1277.8137299999999</v>
      </c>
      <c r="BG83" s="158">
        <v>1362.1685199999999</v>
      </c>
      <c r="BH83" s="158">
        <v>1365.92202</v>
      </c>
      <c r="BI83" s="158">
        <v>1275.74002</v>
      </c>
      <c r="BJ83" s="158">
        <v>1366.2891799999998</v>
      </c>
      <c r="BK83" s="158">
        <v>1414.0907499999998</v>
      </c>
      <c r="BL83" s="158">
        <v>1475.1940300000001</v>
      </c>
      <c r="BM83" s="158">
        <v>1676.48287</v>
      </c>
      <c r="BN83" s="158">
        <v>1937.8287799999998</v>
      </c>
      <c r="BO83" s="158">
        <v>1893.7083900000002</v>
      </c>
      <c r="BP83" s="158">
        <v>1832.3559700000001</v>
      </c>
      <c r="BQ83" s="158">
        <v>1794.5549100000001</v>
      </c>
      <c r="BR83" s="158">
        <v>1598.2742699999999</v>
      </c>
      <c r="BS83" s="158">
        <v>1455.3758600000001</v>
      </c>
      <c r="BT83" s="158">
        <v>1345.3067799999999</v>
      </c>
      <c r="BU83" s="158">
        <v>1396.8233</v>
      </c>
      <c r="BV83" s="158">
        <v>1383.83698</v>
      </c>
      <c r="BW83" s="158">
        <v>1408.1851299999998</v>
      </c>
      <c r="BX83" s="158">
        <v>1498.75506</v>
      </c>
      <c r="BY83" s="158">
        <v>1591.47847</v>
      </c>
      <c r="BZ83" s="158">
        <v>1852.52541</v>
      </c>
      <c r="CA83" s="158">
        <v>2013.0649800000001</v>
      </c>
      <c r="CB83" s="158">
        <v>1845.9273500000002</v>
      </c>
      <c r="CC83" s="158">
        <v>1739.2907300000002</v>
      </c>
      <c r="CD83" s="158">
        <v>1499.1112699999999</v>
      </c>
      <c r="CE83" s="158">
        <v>1422.36724</v>
      </c>
      <c r="CF83" s="158">
        <v>1340.3123799999998</v>
      </c>
      <c r="CG83" s="158">
        <v>1321.7078300000001</v>
      </c>
      <c r="CH83" s="158">
        <v>1350.26125</v>
      </c>
      <c r="CI83" s="158">
        <v>1377.6287</v>
      </c>
      <c r="CJ83" s="158">
        <v>1475.9924900000001</v>
      </c>
      <c r="CK83" s="158">
        <v>1575.0162599999999</v>
      </c>
      <c r="CL83" s="158">
        <v>1739.53745</v>
      </c>
      <c r="CM83" s="158">
        <v>1657.9418599999999</v>
      </c>
      <c r="CN83" s="158">
        <v>1645.99074</v>
      </c>
      <c r="CO83" s="158">
        <v>1647.9765499999999</v>
      </c>
      <c r="CP83" s="158">
        <v>1521.2219299999999</v>
      </c>
      <c r="CQ83" s="158">
        <v>1461.8667499999999</v>
      </c>
      <c r="CR83" s="158">
        <v>1348.9797600000002</v>
      </c>
      <c r="CS83" s="158">
        <v>1665.6821600000001</v>
      </c>
      <c r="CT83" s="158">
        <v>1410.1788499999998</v>
      </c>
      <c r="CU83" s="158">
        <v>1476.4627399999999</v>
      </c>
      <c r="CV83" s="158">
        <v>1607.8430499999999</v>
      </c>
      <c r="CW83" s="158">
        <v>1727.9974700000002</v>
      </c>
      <c r="CX83" s="158">
        <v>2291.6139400000002</v>
      </c>
      <c r="CY83" s="158">
        <v>2052.3722200000002</v>
      </c>
      <c r="CZ83" s="158">
        <v>1863.32602</v>
      </c>
      <c r="DA83" s="158">
        <v>1843.2516900000001</v>
      </c>
      <c r="DB83" s="158">
        <v>1660.7070100000001</v>
      </c>
      <c r="DC83" s="158">
        <v>1692.3985399999999</v>
      </c>
      <c r="DD83" s="158">
        <v>1515.9500400000002</v>
      </c>
      <c r="DE83" s="158">
        <v>1488.6635100000001</v>
      </c>
      <c r="DF83" s="158">
        <v>1522.31511</v>
      </c>
      <c r="DG83" s="158">
        <v>1484.4625300000002</v>
      </c>
      <c r="DH83" s="158">
        <v>1572.6592700000001</v>
      </c>
      <c r="DI83" s="158">
        <v>1798.75433</v>
      </c>
      <c r="DJ83" s="158">
        <v>2383.3020999999999</v>
      </c>
      <c r="DK83" s="158">
        <v>2280.16617</v>
      </c>
      <c r="DL83" s="158">
        <v>1848.2118500000001</v>
      </c>
      <c r="DM83" s="158">
        <v>1876.33005</v>
      </c>
      <c r="DN83" s="158">
        <v>1603.5855900000001</v>
      </c>
      <c r="DO83" s="158">
        <v>1525.3141499999999</v>
      </c>
      <c r="DP83" s="158">
        <v>1431.4026100000001</v>
      </c>
      <c r="DQ83" s="158">
        <v>1401.8700799999999</v>
      </c>
      <c r="DR83" s="158">
        <f>-((VLOOKUP("241",'Input BS ACCTS'!$A$5:$DD$1052,73,FALSE))/1000+VLOOKUP("2360606",'Input BS ACCTS'!$A$5:$DD$1052,73,FALSE)/1000)</f>
        <v>460.07699000000002</v>
      </c>
      <c r="DS83" s="158">
        <f>-((VLOOKUP("241",'Input BS ACCTS'!$A$5:$DD$1052,74,FALSE))/1000+VLOOKUP("2360606",'Input BS ACCTS'!$A$5:$DD$1052,74,FALSE)/1000)</f>
        <v>485.94060000000002</v>
      </c>
      <c r="DT83" s="158">
        <f>-((VLOOKUP("241",'Input BS ACCTS'!$A$5:$DD$1052,75,FALSE))/1000+VLOOKUP("2360606",'Input BS ACCTS'!$A$5:$DD$1052,75,FALSE)/1000)</f>
        <v>587.18615</v>
      </c>
      <c r="DU83" s="158">
        <f>-((VLOOKUP("241",'Input BS ACCTS'!$A$5:$DD$1052,76,FALSE))/1000+VLOOKUP("2360606",'Input BS ACCTS'!$A$5:$DD$1052,76,FALSE)/1000)</f>
        <v>823.87207999999998</v>
      </c>
      <c r="DV83" s="158">
        <f>-((VLOOKUP("241",'Input BS ACCTS'!$A$5:$DD$1052,77,FALSE))/1000+VLOOKUP("2360606",'Input BS ACCTS'!$A$5:$DD$1052,77,FALSE)/1000)</f>
        <v>862.29259999999999</v>
      </c>
      <c r="DW83" s="158">
        <f>-((VLOOKUP("241",'Input BS ACCTS'!$A$5:$DD$1052,78,FALSE))/1000+VLOOKUP("2360606",'Input BS ACCTS'!$A$5:$DD$1052,78,FALSE)/1000)</f>
        <v>890.26400999999998</v>
      </c>
      <c r="DX83" s="158">
        <f>-((VLOOKUP("241",'Input BS ACCTS'!$A$5:$DD$1052,79,FALSE))/1000+VLOOKUP("2360606",'Input BS ACCTS'!$A$5:$DD$1052,79,FALSE)/1000)</f>
        <v>816.03138000000001</v>
      </c>
      <c r="DY83" s="158">
        <f>-((VLOOKUP("241",'Input BS ACCTS'!$A$5:$DD$1052,80,FALSE))/1000+VLOOKUP("2360606",'Input BS ACCTS'!$A$5:$DD$1052,80,FALSE)/1000)</f>
        <v>717.82997999999986</v>
      </c>
      <c r="DZ83" s="158">
        <f>-((VLOOKUP("241",'Input BS ACCTS'!$A$5:$DD$1052,81,FALSE))/1000+VLOOKUP("2360606",'Input BS ACCTS'!$A$5:$DD$1052,81,FALSE)/1000)</f>
        <v>669.58293000000003</v>
      </c>
      <c r="EA83" s="158">
        <f>-((VLOOKUP("241",'Input BS ACCTS'!$A$5:$DD$1052,82,FALSE))/1000+VLOOKUP("2360606",'Input BS ACCTS'!$A$5:$DD$1052,82,FALSE)/1000)</f>
        <v>546.60874999999999</v>
      </c>
      <c r="EB83" s="158">
        <v>593.42741999999998</v>
      </c>
      <c r="EC83" s="158">
        <v>576.31646000000001</v>
      </c>
      <c r="ED83" s="158">
        <v>533.22586000000001</v>
      </c>
      <c r="EE83" s="158">
        <v>573.55948999999998</v>
      </c>
      <c r="EF83" s="158">
        <v>666.99331999999993</v>
      </c>
      <c r="EG83" s="158">
        <v>1108.71639</v>
      </c>
      <c r="EH83" s="158">
        <v>1146.2326400000002</v>
      </c>
      <c r="EI83" s="158">
        <v>1164.4791299999999</v>
      </c>
      <c r="EJ83" s="158">
        <v>1004.45417</v>
      </c>
      <c r="EK83" s="158">
        <v>1010.34399</v>
      </c>
      <c r="EL83" s="158">
        <v>877.14477999999997</v>
      </c>
      <c r="EM83" s="158">
        <v>833.51041999999995</v>
      </c>
      <c r="EN83" s="158">
        <v>833.17724999999996</v>
      </c>
      <c r="EO83" s="158">
        <v>795.57998999999995</v>
      </c>
      <c r="EP83" s="158">
        <v>871.00315999999998</v>
      </c>
      <c r="EQ83" s="158">
        <f>-((VLOOKUP("241",'Input BS ACCTS'!$A$5:$DD$1052,98,FALSE))/1000+VLOOKUP("2360606",'Input BS ACCTS'!$A$5:$DD$1052,98,FALSE)/1000)</f>
        <v>782.77256999999997</v>
      </c>
      <c r="ER83" s="158">
        <f>-((VLOOKUP("241",'Input BS ACCTS'!$A$5:$DD$1052,99,FALSE))/1000+VLOOKUP("2360606",'Input BS ACCTS'!$A$5:$DD$1052,99,FALSE)/1000)</f>
        <v>885.56154000000004</v>
      </c>
      <c r="ES83" s="158">
        <f>-((VLOOKUP("241",'Input BS ACCTS'!$A$5:$DD$1052,100,FALSE))/1000+VLOOKUP("2360606",'Input BS ACCTS'!$A$5:$DD$1052,100,FALSE)/1000)</f>
        <v>1049.8805300000001</v>
      </c>
      <c r="ET83" s="467">
        <f t="shared" si="84"/>
        <v>950.98896615384615</v>
      </c>
      <c r="EU83" s="801"/>
      <c r="EV83" s="801"/>
      <c r="HL83" s="35"/>
      <c r="HM83" s="253"/>
      <c r="HN83" s="258"/>
      <c r="HO83" s="35"/>
      <c r="HP83" s="35"/>
      <c r="HQ83" s="35"/>
      <c r="HR83" s="35"/>
      <c r="HS83" s="35"/>
      <c r="HT83" s="35"/>
      <c r="HU83" s="35"/>
      <c r="HV83" s="35"/>
      <c r="HW83" s="35"/>
      <c r="HX83" s="35"/>
      <c r="HY83" s="35"/>
      <c r="HZ83" s="35"/>
      <c r="IA83" s="35"/>
    </row>
    <row r="84" spans="1:235">
      <c r="A84" s="190" t="s">
        <v>531</v>
      </c>
      <c r="B84" s="191">
        <v>221.62069</v>
      </c>
      <c r="C84" s="191">
        <v>231.83569</v>
      </c>
      <c r="D84" s="191">
        <v>250.26769000000002</v>
      </c>
      <c r="E84" s="191">
        <v>267.74869000000001</v>
      </c>
      <c r="F84" s="191">
        <v>281.79568999999998</v>
      </c>
      <c r="G84" s="191">
        <v>306.41969</v>
      </c>
      <c r="H84" s="191">
        <v>293.21569</v>
      </c>
      <c r="I84" s="191">
        <v>116.06569</v>
      </c>
      <c r="J84" s="191">
        <v>141.26069000000001</v>
      </c>
      <c r="K84" s="191">
        <v>171.03469000000001</v>
      </c>
      <c r="L84" s="191">
        <v>185.37969000000001</v>
      </c>
      <c r="M84" s="191">
        <v>198.28269</v>
      </c>
      <c r="N84" s="191">
        <v>212.46869000000001</v>
      </c>
      <c r="O84" s="191">
        <v>228.352</v>
      </c>
      <c r="P84" s="191">
        <v>248.97</v>
      </c>
      <c r="Q84" s="191">
        <v>263</v>
      </c>
      <c r="R84" s="191">
        <v>276</v>
      </c>
      <c r="S84" s="191">
        <v>264</v>
      </c>
      <c r="T84" s="191">
        <v>274</v>
      </c>
      <c r="U84" s="191">
        <v>98.352000000000004</v>
      </c>
      <c r="V84" s="191">
        <v>113.473</v>
      </c>
      <c r="W84" s="191">
        <v>135.36500000000001</v>
      </c>
      <c r="X84" s="191">
        <v>156.054</v>
      </c>
      <c r="Y84" s="191">
        <v>172.08373999999998</v>
      </c>
      <c r="Z84" s="191">
        <v>184.03407000000001</v>
      </c>
      <c r="AA84" s="191">
        <v>209.30600000000001</v>
      </c>
      <c r="AB84" s="191">
        <v>224.49299999999999</v>
      </c>
      <c r="AC84" s="191">
        <v>242.577</v>
      </c>
      <c r="AD84" s="214">
        <v>259.36799999999999</v>
      </c>
      <c r="AE84" s="191">
        <v>283.44153999999997</v>
      </c>
      <c r="AF84" s="191">
        <v>281</v>
      </c>
      <c r="AG84" s="191">
        <v>132.54642000000001</v>
      </c>
      <c r="AH84" s="191">
        <v>142.99004000000002</v>
      </c>
      <c r="AI84" s="191">
        <v>158.95803000000004</v>
      </c>
      <c r="AJ84" s="191">
        <v>174.607</v>
      </c>
      <c r="AK84" s="191">
        <v>194.05392999999998</v>
      </c>
      <c r="AL84" s="191">
        <v>207.97192999999999</v>
      </c>
      <c r="AM84" s="214">
        <v>221.35833</v>
      </c>
      <c r="AN84" s="214">
        <v>238.10583</v>
      </c>
      <c r="AO84" s="213">
        <v>255.38557</v>
      </c>
      <c r="AP84" s="213">
        <v>274.78280999999998</v>
      </c>
      <c r="AQ84" s="213">
        <v>287.52767</v>
      </c>
      <c r="AR84" s="213">
        <v>280.08616999999998</v>
      </c>
      <c r="AS84" s="251">
        <v>112.65167</v>
      </c>
      <c r="AT84" s="251">
        <v>126.08435</v>
      </c>
      <c r="AU84" s="251">
        <v>158.91569000000001</v>
      </c>
      <c r="AV84" s="251">
        <v>177.90354000000002</v>
      </c>
      <c r="AW84" s="251">
        <v>206.88028</v>
      </c>
      <c r="AX84" s="251">
        <v>232.68917999999999</v>
      </c>
      <c r="AY84" s="202">
        <v>259.52301</v>
      </c>
      <c r="AZ84" s="202">
        <v>288.63063</v>
      </c>
      <c r="BA84" s="387">
        <v>302.56991999999997</v>
      </c>
      <c r="BB84" s="387">
        <v>312.17184000000003</v>
      </c>
      <c r="BC84" s="387">
        <v>331.73890999999998</v>
      </c>
      <c r="BD84" s="387">
        <v>331.50837999999999</v>
      </c>
      <c r="BE84" s="387">
        <v>165.19448</v>
      </c>
      <c r="BF84" s="387">
        <v>192.98612</v>
      </c>
      <c r="BG84" s="243">
        <v>247.55217000000002</v>
      </c>
      <c r="BH84" s="243">
        <v>271.91035999999997</v>
      </c>
      <c r="BI84" s="243">
        <v>329.60354999999998</v>
      </c>
      <c r="BJ84" s="243">
        <v>380.32663000000002</v>
      </c>
      <c r="BK84" s="243">
        <v>415.14666999999997</v>
      </c>
      <c r="BL84" s="243">
        <v>448.40834000000001</v>
      </c>
      <c r="BM84" s="243">
        <v>466.80070000000001</v>
      </c>
      <c r="BN84" s="243">
        <v>490.50351000000001</v>
      </c>
      <c r="BO84" s="243">
        <v>511.23433</v>
      </c>
      <c r="BP84" s="243">
        <v>388.93991</v>
      </c>
      <c r="BQ84" s="243">
        <v>195.78679</v>
      </c>
      <c r="BR84" s="243">
        <v>220.42180999999999</v>
      </c>
      <c r="BS84" s="243">
        <v>236.52282</v>
      </c>
      <c r="BT84" s="243">
        <v>256.68061</v>
      </c>
      <c r="BU84" s="243">
        <v>280.26639</v>
      </c>
      <c r="BV84" s="243">
        <v>290.43669</v>
      </c>
      <c r="BW84" s="243">
        <v>308.51479</v>
      </c>
      <c r="BX84" s="243">
        <v>329.89171999999996</v>
      </c>
      <c r="BY84" s="243">
        <v>365.71926000000002</v>
      </c>
      <c r="BZ84" s="243">
        <v>390.41061999999999</v>
      </c>
      <c r="CA84" s="243">
        <v>427.48839000000004</v>
      </c>
      <c r="CB84" s="243">
        <v>466.54316</v>
      </c>
      <c r="CC84" s="243">
        <v>303.49615</v>
      </c>
      <c r="CD84" s="243">
        <v>291.44504999999998</v>
      </c>
      <c r="CE84" s="243">
        <v>315.49803000000003</v>
      </c>
      <c r="CF84" s="243">
        <v>336.28737999999998</v>
      </c>
      <c r="CG84" s="243">
        <v>349.95875000000001</v>
      </c>
      <c r="CH84" s="243">
        <v>372.54590999999999</v>
      </c>
      <c r="CI84" s="243">
        <v>396.22949</v>
      </c>
      <c r="CJ84" s="243">
        <v>416.77527000000003</v>
      </c>
      <c r="CK84" s="243">
        <v>482.36126999999999</v>
      </c>
      <c r="CL84" s="243">
        <v>506.09003000000001</v>
      </c>
      <c r="CM84" s="243">
        <v>516.85190999999998</v>
      </c>
      <c r="CN84" s="243">
        <v>551.19386999999995</v>
      </c>
      <c r="CO84" s="243">
        <v>337.57054999999997</v>
      </c>
      <c r="CP84" s="243">
        <v>364.78951000000001</v>
      </c>
      <c r="CQ84" s="243">
        <v>425.14254</v>
      </c>
      <c r="CR84" s="243">
        <v>424.70418999999998</v>
      </c>
      <c r="CS84" s="243">
        <v>472.30826999999999</v>
      </c>
      <c r="CT84" s="243">
        <v>470.34499</v>
      </c>
      <c r="CU84" s="243">
        <v>467.29038000000003</v>
      </c>
      <c r="CV84" s="243">
        <v>467.23520000000002</v>
      </c>
      <c r="CW84" s="243">
        <v>418.23414000000002</v>
      </c>
      <c r="CX84" s="243">
        <v>418.29614000000004</v>
      </c>
      <c r="CY84" s="243">
        <v>420.2747</v>
      </c>
      <c r="CZ84" s="243">
        <v>398.13698999999997</v>
      </c>
      <c r="DA84" s="243">
        <v>18.499890000000001</v>
      </c>
      <c r="DB84" s="243">
        <v>17.96782</v>
      </c>
      <c r="DC84" s="243">
        <v>11.903780000000001</v>
      </c>
      <c r="DD84" s="243">
        <v>11.903780000000001</v>
      </c>
      <c r="DE84" s="243">
        <v>11.931760000000001</v>
      </c>
      <c r="DF84" s="243">
        <v>10.16513</v>
      </c>
      <c r="DG84" s="243">
        <v>0.55321000000000009</v>
      </c>
      <c r="DH84" s="243">
        <v>0.55321000000000009</v>
      </c>
      <c r="DI84" s="867">
        <v>0.55321000000000009</v>
      </c>
      <c r="DJ84" s="867">
        <v>0.55321000000000009</v>
      </c>
      <c r="DK84" s="867">
        <v>0.52522999999999997</v>
      </c>
      <c r="DL84" s="867">
        <v>0.52522999999999997</v>
      </c>
      <c r="DM84" s="867">
        <v>-2.26512</v>
      </c>
      <c r="DN84" s="867">
        <v>1.2217199999999999</v>
      </c>
      <c r="DO84" s="867">
        <v>1.4446300000000001</v>
      </c>
      <c r="DP84" s="867">
        <v>1.4446300000000001</v>
      </c>
      <c r="DQ84" s="867">
        <v>4.1596299999999999</v>
      </c>
      <c r="DR84" s="867">
        <v>-2.3749600000000002</v>
      </c>
      <c r="DS84" s="867">
        <v>2.0500400000000001</v>
      </c>
      <c r="DT84" s="867">
        <v>5.9486000000000008</v>
      </c>
      <c r="DU84" s="867">
        <v>5.9486000000000008</v>
      </c>
      <c r="DV84" s="867">
        <v>5.9486000000000008</v>
      </c>
      <c r="DW84" s="867">
        <v>7.5486000000000004</v>
      </c>
      <c r="DX84" s="867">
        <v>37.371169999999999</v>
      </c>
      <c r="DY84" s="867">
        <v>37.371169999999999</v>
      </c>
      <c r="DZ84" s="867">
        <v>32.093110000000003</v>
      </c>
      <c r="EA84" s="867">
        <v>31.462919999999997</v>
      </c>
      <c r="EB84" s="867">
        <v>31.20412</v>
      </c>
      <c r="EC84" s="867">
        <v>34.579120000000003</v>
      </c>
      <c r="ED84" s="867">
        <v>28.95168</v>
      </c>
      <c r="EE84" s="867">
        <v>26.57002</v>
      </c>
      <c r="EF84" s="867">
        <v>26.57002</v>
      </c>
      <c r="EG84" s="867">
        <v>26.425129999999999</v>
      </c>
      <c r="EH84" s="867">
        <v>35.625129999999999</v>
      </c>
      <c r="EI84" s="867">
        <v>49.118730000000006</v>
      </c>
      <c r="EJ84" s="867">
        <v>48.930610000000001</v>
      </c>
      <c r="EK84" s="867">
        <v>48.868660000000006</v>
      </c>
      <c r="EL84" s="867">
        <v>46.580419999999997</v>
      </c>
      <c r="EM84" s="867">
        <v>47.880420000000001</v>
      </c>
      <c r="EN84" s="867">
        <v>48.230419999999995</v>
      </c>
      <c r="EO84" s="867">
        <v>48.230419999999995</v>
      </c>
      <c r="EP84" s="867">
        <v>48.230419999999995</v>
      </c>
      <c r="EQ84" s="867">
        <f>-VLOOKUP("2420320",'Input BS ACCTS'!$A$5:$DD$1052,98,FALSE)/1000</f>
        <v>51.395890000000001</v>
      </c>
      <c r="ER84" s="867">
        <f>-VLOOKUP("2420320",'Input BS ACCTS'!$A$5:$DD$1052,99,FALSE)/1000</f>
        <v>51.289389999999997</v>
      </c>
      <c r="ES84" s="867">
        <f>-VLOOKUP("2420320",'Input BS ACCTS'!$A$5:$DD$1052,100,FALSE)/1000</f>
        <v>51.289389999999997</v>
      </c>
      <c r="ET84" s="467">
        <f t="shared" si="84"/>
        <v>46.315002307692303</v>
      </c>
      <c r="EU84" s="801"/>
      <c r="EV84" s="801"/>
      <c r="HL84" s="35"/>
      <c r="HM84" s="253"/>
      <c r="HN84" s="258"/>
      <c r="HO84" s="35"/>
      <c r="HP84" s="35"/>
      <c r="HQ84" s="35"/>
      <c r="HR84" s="35"/>
      <c r="HS84" s="35"/>
      <c r="HT84" s="35"/>
      <c r="HU84" s="35"/>
      <c r="HV84" s="35"/>
      <c r="HW84" s="35"/>
      <c r="HX84" s="35"/>
      <c r="HY84" s="35"/>
      <c r="HZ84" s="35"/>
      <c r="IA84" s="35"/>
    </row>
    <row r="85" spans="1:235">
      <c r="A85" s="190" t="s">
        <v>280</v>
      </c>
      <c r="B85" s="191">
        <v>1384.7988400000002</v>
      </c>
      <c r="C85" s="191">
        <v>1167.5868400000002</v>
      </c>
      <c r="D85" s="191">
        <v>942.19783999999993</v>
      </c>
      <c r="E85" s="191">
        <v>844.72483999999997</v>
      </c>
      <c r="F85" s="191">
        <v>1298.35384</v>
      </c>
      <c r="G85" s="191">
        <v>1761.6668400000001</v>
      </c>
      <c r="H85" s="191">
        <v>2188.0078399999998</v>
      </c>
      <c r="I85" s="191">
        <v>2323.7348400000001</v>
      </c>
      <c r="J85" s="191">
        <v>2299.5688399999999</v>
      </c>
      <c r="K85" s="191">
        <v>2247.06484</v>
      </c>
      <c r="L85" s="191">
        <v>2152.91284</v>
      </c>
      <c r="M85" s="191">
        <v>1928.6958400000001</v>
      </c>
      <c r="N85" s="191">
        <v>1637.01684</v>
      </c>
      <c r="O85" s="191">
        <v>1594.1780000000001</v>
      </c>
      <c r="P85" s="191">
        <v>1386.825</v>
      </c>
      <c r="Q85" s="191">
        <v>1357</v>
      </c>
      <c r="R85" s="191">
        <v>1752</v>
      </c>
      <c r="S85" s="191">
        <v>1971</v>
      </c>
      <c r="T85" s="191">
        <v>2120</v>
      </c>
      <c r="U85" s="191">
        <v>2229.2260000000001</v>
      </c>
      <c r="V85" s="191">
        <v>2171.241</v>
      </c>
      <c r="W85" s="191">
        <v>2163.1799999999998</v>
      </c>
      <c r="X85" s="191">
        <v>1858.559</v>
      </c>
      <c r="Y85" s="191">
        <v>1601.7750000000001</v>
      </c>
      <c r="Z85" s="191">
        <v>1469.5940000000001</v>
      </c>
      <c r="AA85" s="191">
        <v>1352.3209999999999</v>
      </c>
      <c r="AB85" s="191">
        <v>935.02200000000005</v>
      </c>
      <c r="AC85" s="191">
        <v>702.45399999999995</v>
      </c>
      <c r="AD85" s="214">
        <v>719.75</v>
      </c>
      <c r="AE85" s="191">
        <v>697.36300000000006</v>
      </c>
      <c r="AF85" s="191">
        <v>672</v>
      </c>
      <c r="AG85" s="191">
        <v>610.79</v>
      </c>
      <c r="AH85" s="191">
        <v>498.74200000000002</v>
      </c>
      <c r="AI85" s="191">
        <v>221.63399999999999</v>
      </c>
      <c r="AJ85" s="191">
        <v>40.594999999999999</v>
      </c>
      <c r="AK85" s="191">
        <v>0</v>
      </c>
      <c r="AL85" s="191">
        <v>0</v>
      </c>
      <c r="AM85" s="214">
        <v>0</v>
      </c>
      <c r="AN85" s="214">
        <v>0</v>
      </c>
      <c r="AO85" s="213">
        <v>0</v>
      </c>
      <c r="AP85" s="213">
        <v>0</v>
      </c>
      <c r="AQ85" s="213">
        <v>0</v>
      </c>
      <c r="AR85" s="213">
        <v>0</v>
      </c>
      <c r="AS85" s="251">
        <v>0</v>
      </c>
      <c r="AT85" s="251">
        <v>0</v>
      </c>
      <c r="AU85" s="251">
        <v>0</v>
      </c>
      <c r="AV85" s="251">
        <v>0</v>
      </c>
      <c r="AW85" s="251">
        <v>0</v>
      </c>
      <c r="AX85" s="251">
        <v>0</v>
      </c>
      <c r="AY85" s="202">
        <v>0</v>
      </c>
      <c r="AZ85" s="202">
        <v>0</v>
      </c>
      <c r="BA85" s="412">
        <v>0</v>
      </c>
      <c r="BB85" s="412">
        <v>0</v>
      </c>
      <c r="BC85" s="412">
        <v>0</v>
      </c>
      <c r="BD85" s="412">
        <v>241.57599999999999</v>
      </c>
      <c r="BE85" s="412">
        <v>601.93200000000002</v>
      </c>
      <c r="BF85" s="412">
        <v>738.65200000000004</v>
      </c>
      <c r="BG85" s="216">
        <v>841.46100000000001</v>
      </c>
      <c r="BH85" s="216">
        <v>329.47899999999998</v>
      </c>
      <c r="BI85" s="216">
        <v>126.566</v>
      </c>
      <c r="BJ85" s="216">
        <v>0</v>
      </c>
      <c r="BK85" s="216">
        <v>0</v>
      </c>
      <c r="BL85" s="216">
        <v>0</v>
      </c>
      <c r="BM85" s="216">
        <v>309.54399999999998</v>
      </c>
      <c r="BN85" s="216">
        <v>659.48</v>
      </c>
      <c r="BO85" s="216">
        <v>1475.7940000000001</v>
      </c>
      <c r="BP85" s="216">
        <v>2041.769</v>
      </c>
      <c r="BQ85" s="216">
        <v>2465.779</v>
      </c>
      <c r="BR85" s="216">
        <v>2375.0880000000002</v>
      </c>
      <c r="BS85" s="216">
        <v>2413.828</v>
      </c>
      <c r="BT85" s="216">
        <v>2368.4270000000001</v>
      </c>
      <c r="BU85" s="216">
        <v>2133.8609999999999</v>
      </c>
      <c r="BV85" s="216">
        <v>2017.7719999999999</v>
      </c>
      <c r="BW85" s="216">
        <v>1611.7650000000001</v>
      </c>
      <c r="BX85" s="216">
        <v>1765.3820000000001</v>
      </c>
      <c r="BY85" s="216">
        <v>2136.4609999999998</v>
      </c>
      <c r="BZ85" s="216">
        <v>2294.5920000000001</v>
      </c>
      <c r="CA85" s="216">
        <v>2703.9659999999999</v>
      </c>
      <c r="CB85" s="216">
        <v>2839.127</v>
      </c>
      <c r="CC85" s="216">
        <v>2933.4780000000001</v>
      </c>
      <c r="CD85" s="216">
        <v>2612.1379999999999</v>
      </c>
      <c r="CE85" s="216">
        <v>2239.9110000000001</v>
      </c>
      <c r="CF85" s="216">
        <v>1934.3989999999999</v>
      </c>
      <c r="CG85" s="216">
        <v>1137.0909999999999</v>
      </c>
      <c r="CH85" s="216">
        <v>917.66899999999998</v>
      </c>
      <c r="CI85" s="216">
        <v>312.19400000000002</v>
      </c>
      <c r="CJ85" s="216">
        <v>290.64699999999999</v>
      </c>
      <c r="CK85" s="216">
        <v>0</v>
      </c>
      <c r="CL85" s="216">
        <v>771.85299999999995</v>
      </c>
      <c r="CM85" s="216">
        <v>1322.874</v>
      </c>
      <c r="CN85" s="216">
        <v>1614.664</v>
      </c>
      <c r="CO85" s="216">
        <v>1899.2180000000001</v>
      </c>
      <c r="CP85" s="216">
        <v>1462.1849999999999</v>
      </c>
      <c r="CQ85" s="216">
        <v>838.53899999999999</v>
      </c>
      <c r="CR85" s="216">
        <v>182.62</v>
      </c>
      <c r="CS85" s="216">
        <v>0</v>
      </c>
      <c r="CT85" s="216">
        <v>0</v>
      </c>
      <c r="CU85" s="216">
        <v>0</v>
      </c>
      <c r="CV85" s="216">
        <v>0</v>
      </c>
      <c r="CW85" s="216">
        <v>0</v>
      </c>
      <c r="CX85" s="216">
        <v>0</v>
      </c>
      <c r="CY85" s="216">
        <v>0</v>
      </c>
      <c r="CZ85" s="216">
        <v>0</v>
      </c>
      <c r="DA85" s="216">
        <v>0</v>
      </c>
      <c r="DB85" s="216">
        <v>0</v>
      </c>
      <c r="DC85" s="216">
        <v>0</v>
      </c>
      <c r="DD85" s="216">
        <v>0</v>
      </c>
      <c r="DE85" s="216">
        <v>0</v>
      </c>
      <c r="DF85" s="216">
        <v>0</v>
      </c>
      <c r="DG85" s="216">
        <v>0</v>
      </c>
      <c r="DH85" s="216">
        <v>0</v>
      </c>
      <c r="DI85" s="216">
        <v>0</v>
      </c>
      <c r="DJ85" s="216">
        <v>0</v>
      </c>
      <c r="DK85" s="216">
        <v>0</v>
      </c>
      <c r="DL85" s="216">
        <v>0</v>
      </c>
      <c r="DM85" s="216">
        <v>0</v>
      </c>
      <c r="DN85" s="216">
        <v>0</v>
      </c>
      <c r="DO85" s="216">
        <v>0</v>
      </c>
      <c r="DP85" s="216">
        <v>0</v>
      </c>
      <c r="DQ85" s="216">
        <v>0</v>
      </c>
      <c r="DR85" s="216">
        <v>0</v>
      </c>
      <c r="DS85" s="216">
        <v>0</v>
      </c>
      <c r="DT85" s="216">
        <v>0</v>
      </c>
      <c r="DU85" s="216">
        <v>0</v>
      </c>
      <c r="DV85" s="216">
        <v>0</v>
      </c>
      <c r="DW85" s="216">
        <v>0</v>
      </c>
      <c r="DX85" s="216">
        <v>0</v>
      </c>
      <c r="DY85" s="216">
        <v>0</v>
      </c>
      <c r="DZ85" s="216">
        <v>0</v>
      </c>
      <c r="EA85" s="216">
        <v>0</v>
      </c>
      <c r="EB85" s="216">
        <v>0</v>
      </c>
      <c r="EC85" s="216">
        <v>0</v>
      </c>
      <c r="ED85" s="216">
        <v>0</v>
      </c>
      <c r="EE85" s="216">
        <v>0</v>
      </c>
      <c r="EF85" s="216">
        <v>0</v>
      </c>
      <c r="EG85" s="216">
        <v>0</v>
      </c>
      <c r="EH85" s="216">
        <v>0</v>
      </c>
      <c r="EI85" s="216">
        <v>0</v>
      </c>
      <c r="EJ85" s="216">
        <v>0</v>
      </c>
      <c r="EK85" s="216">
        <v>0</v>
      </c>
      <c r="EL85" s="216">
        <v>0</v>
      </c>
      <c r="EM85" s="216">
        <v>0</v>
      </c>
      <c r="EN85" s="216">
        <v>0</v>
      </c>
      <c r="EO85" s="216">
        <v>0</v>
      </c>
      <c r="EP85" s="216">
        <v>0</v>
      </c>
      <c r="EQ85" s="216">
        <f>-VLOOKUP("2540040",'Input BS ACCTS'!$A$5:$DD$1052,98,FALSE)/1000</f>
        <v>0</v>
      </c>
      <c r="ER85" s="216">
        <f>-VLOOKUP("2540040",'Input BS ACCTS'!$A$5:$DD$1052,99,FALSE)/1000</f>
        <v>0</v>
      </c>
      <c r="ES85" s="216">
        <f>-VLOOKUP("2540040",'Input BS ACCTS'!$A$5:$DD$1052,100,FALSE)/1000</f>
        <v>0</v>
      </c>
      <c r="ET85" s="467">
        <f t="shared" si="84"/>
        <v>0</v>
      </c>
      <c r="EU85" s="801"/>
      <c r="EV85" s="801"/>
      <c r="HL85" s="35"/>
      <c r="HM85" s="253"/>
      <c r="HN85" s="258"/>
      <c r="HO85" s="35"/>
      <c r="HP85" s="35"/>
      <c r="HQ85" s="35"/>
      <c r="HR85" s="35"/>
      <c r="HS85" s="35"/>
      <c r="HT85" s="35"/>
      <c r="HU85" s="35"/>
      <c r="HV85" s="35"/>
      <c r="HW85" s="35"/>
      <c r="HX85" s="35"/>
      <c r="HY85" s="35"/>
      <c r="HZ85" s="35"/>
      <c r="IA85" s="35"/>
    </row>
    <row r="86" spans="1:235">
      <c r="A86" s="190" t="s">
        <v>1703</v>
      </c>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214"/>
      <c r="AE86" s="191"/>
      <c r="AF86" s="191"/>
      <c r="AG86" s="191"/>
      <c r="AH86" s="191"/>
      <c r="AI86" s="191"/>
      <c r="AJ86" s="191"/>
      <c r="AK86" s="191"/>
      <c r="AL86" s="191"/>
      <c r="AM86" s="214"/>
      <c r="AN86" s="214"/>
      <c r="AO86" s="213"/>
      <c r="AP86" s="213"/>
      <c r="AQ86" s="213"/>
      <c r="AR86" s="213"/>
      <c r="AS86" s="251"/>
      <c r="AT86" s="251"/>
      <c r="AU86" s="251"/>
      <c r="AV86" s="251"/>
      <c r="AW86" s="251"/>
      <c r="AX86" s="251"/>
      <c r="AY86" s="202"/>
      <c r="AZ86" s="202"/>
      <c r="BA86" s="412"/>
      <c r="BB86" s="412"/>
      <c r="BC86" s="412"/>
      <c r="BD86" s="412"/>
      <c r="BE86" s="412"/>
      <c r="BF86" s="412"/>
      <c r="BG86" s="216"/>
      <c r="BH86" s="216"/>
      <c r="BI86" s="216"/>
      <c r="BJ86" s="216"/>
      <c r="BK86" s="216"/>
      <c r="BL86" s="216"/>
      <c r="BM86" s="216"/>
      <c r="BN86" s="216">
        <f>-VLOOKUP("2540071",'Input BS ACCTS'!$A$5:$DD$1052,17,FALSE)/1000</f>
        <v>247.65199999999999</v>
      </c>
      <c r="BO86" s="216">
        <f>-VLOOKUP("2540071",'Input BS ACCTS'!$A$5:$DD$1052,18,FALSE)/1000</f>
        <v>396.51645000000002</v>
      </c>
      <c r="BP86" s="216">
        <f>-VLOOKUP("2540071",'Input BS ACCTS'!$A$5:$DD$1052,19,FALSE)/1000</f>
        <v>519.55585999999994</v>
      </c>
      <c r="BQ86" s="216">
        <f>-VLOOKUP("2540071",'Input BS ACCTS'!$A$5:$DD$1052,20,FALSE)/1000</f>
        <v>533.81353999999999</v>
      </c>
      <c r="BR86" s="216">
        <f>-VLOOKUP("2540071",'Input BS ACCTS'!$A$5:$DD$1052,21,FALSE)/1000</f>
        <v>485.26117999999997</v>
      </c>
      <c r="BS86" s="216">
        <f>-VLOOKUP("2540071",'Input BS ACCTS'!$A$5:$DD$1052,22,FALSE)/1000</f>
        <v>432.28755000000001</v>
      </c>
      <c r="BT86" s="216">
        <f>-VLOOKUP("2540071",'Input BS ACCTS'!$A$5:$DD$1052,23,FALSE)/1000</f>
        <v>347.26985999999999</v>
      </c>
      <c r="BU86" s="216">
        <f>-VLOOKUP("2540071",'Input BS ACCTS'!$A$5:$DD$1052,24,FALSE)/1000</f>
        <v>259.00133999999997</v>
      </c>
      <c r="BV86" s="216">
        <f>-VLOOKUP("2540071",'Input BS ACCTS'!$A$5:$DD$1052,25,FALSE)/1000</f>
        <v>156.84961999999999</v>
      </c>
      <c r="BW86" s="216">
        <f>-VLOOKUP("2540071",'Input BS ACCTS'!$A$5:$DD$1052,26,FALSE)/1000</f>
        <v>53.799709999999997</v>
      </c>
      <c r="BX86" s="216">
        <f>-VLOOKUP("2540071",'Input BS ACCTS'!$A$5:$DD$1052,27,FALSE)/1000</f>
        <v>0</v>
      </c>
      <c r="BY86" s="216">
        <f>-VLOOKUP("2540071",'Input BS ACCTS'!$A$5:$DD$1052,28,FALSE)/1000</f>
        <v>0</v>
      </c>
      <c r="BZ86" s="216">
        <f>-VLOOKUP("2540071",'Input BS ACCTS'!$A$5:$DD$1052,29,FALSE)/1000</f>
        <v>26.878</v>
      </c>
      <c r="CA86" s="216">
        <f>-VLOOKUP("2540071",'Input BS ACCTS'!$A$5:$DD$1052,30,FALSE)/1000</f>
        <v>203.108</v>
      </c>
      <c r="CB86" s="216">
        <f>-VLOOKUP("2540071",'Input BS ACCTS'!$A$5:$DD$1052,31,FALSE)/1000</f>
        <v>305.20400000000001</v>
      </c>
      <c r="CC86" s="216">
        <f>-VLOOKUP("2540071",'Input BS ACCTS'!$A$5:$DD$1052,32,FALSE)/1000</f>
        <v>337.18</v>
      </c>
      <c r="CD86" s="216">
        <f>-VLOOKUP("2540071",'Input BS ACCTS'!$A$5:$DD$1052,33,FALSE)/1000</f>
        <v>309.654</v>
      </c>
      <c r="CE86" s="216">
        <f>-VLOOKUP("2540071",'Input BS ACCTS'!$A$5:$DD$1052,34,FALSE)/1000</f>
        <v>2235.2579999999998</v>
      </c>
      <c r="CF86" s="216">
        <v>2133.6799999999998</v>
      </c>
      <c r="CG86" s="216">
        <v>1996.856</v>
      </c>
      <c r="CH86" s="216">
        <v>1873.2339999999999</v>
      </c>
      <c r="CI86" s="216">
        <v>1697.5039999999999</v>
      </c>
      <c r="CJ86" s="216">
        <v>1569.6489999999999</v>
      </c>
      <c r="CK86" s="216">
        <v>1709.3679999999999</v>
      </c>
      <c r="CL86" s="216">
        <v>1651.07</v>
      </c>
      <c r="CM86" s="216">
        <v>1606.7760000000001</v>
      </c>
      <c r="CN86" s="216">
        <v>1497.895</v>
      </c>
      <c r="CO86" s="216">
        <v>1361.048</v>
      </c>
      <c r="CP86" s="216">
        <v>1147.2560000000001</v>
      </c>
      <c r="CQ86" s="216">
        <v>888.87099999999998</v>
      </c>
      <c r="CR86" s="216">
        <v>593.55399999999997</v>
      </c>
      <c r="CS86" s="216">
        <v>277.24</v>
      </c>
      <c r="CT86" s="216">
        <v>0</v>
      </c>
      <c r="CU86" s="216">
        <v>0</v>
      </c>
      <c r="CV86" s="216">
        <v>0</v>
      </c>
      <c r="CW86" s="216">
        <v>0</v>
      </c>
      <c r="CX86" s="216">
        <v>0</v>
      </c>
      <c r="CY86" s="216">
        <v>48.914000000000001</v>
      </c>
      <c r="CZ86" s="216">
        <v>265.83300000000003</v>
      </c>
      <c r="DA86" s="216">
        <v>496.09399999999999</v>
      </c>
      <c r="DB86" s="216">
        <v>872.13699999999994</v>
      </c>
      <c r="DC86" s="216">
        <v>800.05899999999997</v>
      </c>
      <c r="DD86" s="216">
        <v>704.92700000000002</v>
      </c>
      <c r="DE86" s="216">
        <v>566.85299999999995</v>
      </c>
      <c r="DF86" s="216">
        <v>459.26799999999997</v>
      </c>
      <c r="DG86" s="216">
        <v>240.15</v>
      </c>
      <c r="DH86" s="216">
        <v>63.302</v>
      </c>
      <c r="DI86" s="216">
        <v>102.065</v>
      </c>
      <c r="DJ86" s="216">
        <v>349.91</v>
      </c>
      <c r="DK86" s="216">
        <v>466.3</v>
      </c>
      <c r="DL86" s="216">
        <v>451.73</v>
      </c>
      <c r="DM86" s="216">
        <v>335.09100000000001</v>
      </c>
      <c r="DN86" s="216">
        <v>98.513999999999996</v>
      </c>
      <c r="DO86" s="216">
        <v>0</v>
      </c>
      <c r="DP86" s="216">
        <v>0</v>
      </c>
      <c r="DQ86" s="216">
        <v>0</v>
      </c>
      <c r="DR86" s="216">
        <v>0</v>
      </c>
      <c r="DS86" s="216">
        <v>0</v>
      </c>
      <c r="DT86" s="216">
        <v>0</v>
      </c>
      <c r="DU86" s="216">
        <v>0</v>
      </c>
      <c r="DV86" s="216">
        <v>0</v>
      </c>
      <c r="DW86" s="216">
        <v>0</v>
      </c>
      <c r="DX86" s="216">
        <v>0</v>
      </c>
      <c r="DY86" s="216">
        <v>0</v>
      </c>
      <c r="DZ86" s="216">
        <v>0</v>
      </c>
      <c r="EA86" s="216">
        <v>0</v>
      </c>
      <c r="EB86" s="216">
        <v>0</v>
      </c>
      <c r="EC86" s="216">
        <v>0</v>
      </c>
      <c r="ED86" s="216">
        <v>0</v>
      </c>
      <c r="EE86" s="216">
        <v>0</v>
      </c>
      <c r="EF86" s="216">
        <v>0</v>
      </c>
      <c r="EG86" s="216">
        <v>0</v>
      </c>
      <c r="EH86" s="216">
        <v>0</v>
      </c>
      <c r="EI86" s="216">
        <v>0</v>
      </c>
      <c r="EJ86" s="216">
        <v>0</v>
      </c>
      <c r="EK86" s="216">
        <v>0</v>
      </c>
      <c r="EL86" s="216">
        <v>0</v>
      </c>
      <c r="EM86" s="216">
        <v>0</v>
      </c>
      <c r="EN86" s="216">
        <v>0</v>
      </c>
      <c r="EO86" s="216">
        <v>0</v>
      </c>
      <c r="EP86" s="216">
        <v>0</v>
      </c>
      <c r="EQ86" s="216">
        <f>-VLOOKUP("2540071",'Input BS ACCTS'!$A$5:$DD$1052,98,FALSE)/1000</f>
        <v>0</v>
      </c>
      <c r="ER86" s="216">
        <f>-VLOOKUP("2540071",'Input BS ACCTS'!$A$5:$DD$1052,99,FALSE)/1000</f>
        <v>0</v>
      </c>
      <c r="ES86" s="216">
        <f>-VLOOKUP("2540071",'Input BS ACCTS'!$A$5:$DD$1052,100,FALSE)/1000</f>
        <v>0</v>
      </c>
      <c r="ET86" s="467">
        <f t="shared" si="84"/>
        <v>0</v>
      </c>
      <c r="EU86" s="801"/>
      <c r="EV86" s="801"/>
      <c r="HL86" s="35"/>
      <c r="HM86" s="253"/>
      <c r="HN86" s="258"/>
      <c r="HO86" s="35"/>
      <c r="HP86" s="35"/>
      <c r="HQ86" s="35"/>
      <c r="HR86" s="35"/>
      <c r="HS86" s="35"/>
      <c r="HT86" s="35"/>
      <c r="HU86" s="35"/>
      <c r="HV86" s="35"/>
      <c r="HW86" s="35"/>
      <c r="HX86" s="35"/>
      <c r="HY86" s="35"/>
      <c r="HZ86" s="35"/>
      <c r="IA86" s="35"/>
    </row>
    <row r="87" spans="1:235">
      <c r="A87" s="27" t="s">
        <v>281</v>
      </c>
      <c r="B87" s="121">
        <v>0</v>
      </c>
      <c r="C87" s="121">
        <v>0</v>
      </c>
      <c r="D87" s="121">
        <v>0</v>
      </c>
      <c r="E87" s="121">
        <v>0</v>
      </c>
      <c r="F87" s="121">
        <v>0</v>
      </c>
      <c r="G87" s="121">
        <v>0</v>
      </c>
      <c r="H87" s="121">
        <v>0</v>
      </c>
      <c r="I87" s="121">
        <v>0</v>
      </c>
      <c r="J87" s="121">
        <v>0</v>
      </c>
      <c r="K87" s="121">
        <v>0</v>
      </c>
      <c r="L87" s="121">
        <v>0</v>
      </c>
      <c r="M87" s="121">
        <v>0</v>
      </c>
      <c r="N87" s="121">
        <v>0</v>
      </c>
      <c r="O87" s="121">
        <v>0</v>
      </c>
      <c r="P87" s="121">
        <v>0</v>
      </c>
      <c r="Q87" s="121">
        <v>0</v>
      </c>
      <c r="R87" s="121"/>
      <c r="S87" s="121"/>
      <c r="T87" s="121"/>
      <c r="U87" s="121">
        <v>0</v>
      </c>
      <c r="V87" s="121"/>
      <c r="W87" s="121"/>
      <c r="X87" s="121">
        <v>0</v>
      </c>
      <c r="Y87" s="121">
        <v>0</v>
      </c>
      <c r="Z87" s="121">
        <v>0</v>
      </c>
      <c r="AA87" s="121">
        <v>0</v>
      </c>
      <c r="AB87" s="121">
        <v>0</v>
      </c>
      <c r="AC87" s="121">
        <v>0</v>
      </c>
      <c r="AD87" s="213">
        <v>0</v>
      </c>
      <c r="AE87" s="121">
        <v>0</v>
      </c>
      <c r="AF87" s="121">
        <v>0</v>
      </c>
      <c r="AG87" s="121">
        <v>0</v>
      </c>
      <c r="AH87" s="121"/>
      <c r="AI87" s="121">
        <v>0</v>
      </c>
      <c r="AJ87" s="121"/>
      <c r="AK87" s="121"/>
      <c r="AL87" s="121"/>
      <c r="AM87" s="213">
        <v>0</v>
      </c>
      <c r="AN87" s="213">
        <v>0</v>
      </c>
      <c r="AO87" s="213">
        <v>0</v>
      </c>
      <c r="AP87" s="213">
        <v>0</v>
      </c>
      <c r="AQ87" s="213">
        <v>0</v>
      </c>
      <c r="AR87" s="213">
        <v>0</v>
      </c>
      <c r="AS87" s="251">
        <v>0</v>
      </c>
      <c r="AT87" s="251">
        <v>0</v>
      </c>
      <c r="AU87" s="251">
        <v>0</v>
      </c>
      <c r="AV87" s="251">
        <v>0</v>
      </c>
      <c r="AW87" s="251">
        <v>0</v>
      </c>
      <c r="AX87" s="251">
        <v>0</v>
      </c>
      <c r="AY87" s="251">
        <v>0</v>
      </c>
      <c r="AZ87" s="251">
        <v>0</v>
      </c>
      <c r="BA87" s="409">
        <v>0</v>
      </c>
      <c r="BB87" s="409">
        <v>0</v>
      </c>
      <c r="BC87" s="409">
        <v>0</v>
      </c>
      <c r="BD87" s="409">
        <v>0</v>
      </c>
      <c r="BE87" s="409">
        <v>0</v>
      </c>
      <c r="BF87" s="409">
        <v>0</v>
      </c>
      <c r="BG87" s="251">
        <v>0</v>
      </c>
      <c r="BH87" s="251">
        <v>0</v>
      </c>
      <c r="BI87" s="251">
        <v>0</v>
      </c>
      <c r="BJ87" s="251">
        <v>0</v>
      </c>
      <c r="BK87" s="251">
        <v>0</v>
      </c>
      <c r="BL87" s="251">
        <v>0</v>
      </c>
      <c r="BM87" s="251">
        <v>0</v>
      </c>
      <c r="BN87" s="251">
        <v>0</v>
      </c>
      <c r="BO87" s="251">
        <v>0</v>
      </c>
      <c r="BP87" s="251">
        <v>0</v>
      </c>
      <c r="BQ87" s="251">
        <v>0</v>
      </c>
      <c r="BR87" s="251">
        <v>0</v>
      </c>
      <c r="BS87" s="251">
        <v>0</v>
      </c>
      <c r="BT87" s="251">
        <v>0</v>
      </c>
      <c r="BU87" s="251">
        <v>0</v>
      </c>
      <c r="BV87" s="251">
        <v>0</v>
      </c>
      <c r="BW87" s="251">
        <v>0</v>
      </c>
      <c r="BX87" s="251">
        <v>0</v>
      </c>
      <c r="BY87" s="251">
        <v>0</v>
      </c>
      <c r="BZ87" s="251">
        <v>0</v>
      </c>
      <c r="CA87" s="251">
        <v>0</v>
      </c>
      <c r="CB87" s="251">
        <v>0</v>
      </c>
      <c r="CC87" s="251">
        <v>0</v>
      </c>
      <c r="CD87" s="251">
        <v>0</v>
      </c>
      <c r="CE87" s="251">
        <v>0</v>
      </c>
      <c r="CF87" s="251">
        <v>0</v>
      </c>
      <c r="CG87" s="251">
        <v>0</v>
      </c>
      <c r="CH87" s="251">
        <v>0</v>
      </c>
      <c r="CI87" s="251">
        <v>0</v>
      </c>
      <c r="CJ87" s="251">
        <v>0</v>
      </c>
      <c r="CK87" s="251">
        <v>0</v>
      </c>
      <c r="CL87" s="251">
        <v>0</v>
      </c>
      <c r="CM87" s="251">
        <v>0</v>
      </c>
      <c r="CN87" s="251">
        <v>0</v>
      </c>
      <c r="CO87" s="251">
        <v>0</v>
      </c>
      <c r="CP87" s="251">
        <v>0</v>
      </c>
      <c r="CQ87" s="251">
        <v>0</v>
      </c>
      <c r="CR87" s="251">
        <v>0</v>
      </c>
      <c r="CS87" s="251">
        <v>0</v>
      </c>
      <c r="CT87" s="251">
        <v>0</v>
      </c>
      <c r="CU87" s="251">
        <v>0</v>
      </c>
      <c r="CV87" s="251">
        <v>0</v>
      </c>
      <c r="CW87" s="251">
        <v>0</v>
      </c>
      <c r="CX87" s="251">
        <v>0</v>
      </c>
      <c r="CY87" s="251">
        <v>0</v>
      </c>
      <c r="CZ87" s="251">
        <v>0</v>
      </c>
      <c r="DA87" s="251">
        <v>0</v>
      </c>
      <c r="DB87" s="251">
        <v>0</v>
      </c>
      <c r="DC87" s="251">
        <v>0</v>
      </c>
      <c r="DD87" s="251">
        <v>0</v>
      </c>
      <c r="DE87" s="251">
        <v>0</v>
      </c>
      <c r="DF87" s="251">
        <v>0</v>
      </c>
      <c r="DG87" s="251">
        <v>0</v>
      </c>
      <c r="DH87" s="251">
        <v>0</v>
      </c>
      <c r="DI87" s="251">
        <v>0</v>
      </c>
      <c r="DJ87" s="251">
        <v>0</v>
      </c>
      <c r="DK87" s="251">
        <v>0</v>
      </c>
      <c r="DL87" s="251">
        <v>0</v>
      </c>
      <c r="DM87" s="251">
        <v>0</v>
      </c>
      <c r="DN87" s="251">
        <v>0</v>
      </c>
      <c r="DO87" s="251">
        <v>0</v>
      </c>
      <c r="DP87" s="251">
        <v>0</v>
      </c>
      <c r="DQ87" s="251">
        <v>0</v>
      </c>
      <c r="DR87" s="251">
        <v>0</v>
      </c>
      <c r="DS87" s="251">
        <v>0</v>
      </c>
      <c r="DT87" s="251">
        <v>0</v>
      </c>
      <c r="DU87" s="251">
        <v>0</v>
      </c>
      <c r="DV87" s="251">
        <v>0</v>
      </c>
      <c r="DW87" s="251">
        <v>0</v>
      </c>
      <c r="DX87" s="251">
        <v>0</v>
      </c>
      <c r="DY87" s="251">
        <v>0</v>
      </c>
      <c r="DZ87" s="251">
        <v>0</v>
      </c>
      <c r="EA87" s="251">
        <v>0</v>
      </c>
      <c r="EB87" s="251">
        <v>0</v>
      </c>
      <c r="EC87" s="251">
        <v>0</v>
      </c>
      <c r="ED87" s="251">
        <v>0</v>
      </c>
      <c r="EE87" s="251">
        <v>0</v>
      </c>
      <c r="EF87" s="251">
        <v>0</v>
      </c>
      <c r="EG87" s="251">
        <v>0</v>
      </c>
      <c r="EH87" s="251">
        <v>0</v>
      </c>
      <c r="EI87" s="251">
        <v>0</v>
      </c>
      <c r="EJ87" s="251">
        <v>0</v>
      </c>
      <c r="EK87" s="251">
        <v>0</v>
      </c>
      <c r="EL87" s="251">
        <v>0</v>
      </c>
      <c r="EM87" s="251">
        <v>0</v>
      </c>
      <c r="EN87" s="251">
        <v>0</v>
      </c>
      <c r="EO87" s="251">
        <v>0</v>
      </c>
      <c r="EP87" s="251">
        <v>0</v>
      </c>
      <c r="EQ87" s="251">
        <v>0</v>
      </c>
      <c r="ER87" s="251">
        <v>0</v>
      </c>
      <c r="ES87" s="251">
        <v>0</v>
      </c>
      <c r="ET87" s="467">
        <f t="shared" si="84"/>
        <v>0</v>
      </c>
      <c r="EU87" s="801"/>
      <c r="EV87" s="801"/>
      <c r="HL87" s="35"/>
      <c r="HM87" s="253"/>
      <c r="HN87" s="258"/>
      <c r="HO87" s="35"/>
      <c r="HP87" s="35"/>
      <c r="HQ87" s="35"/>
      <c r="HR87" s="35"/>
      <c r="HS87" s="35"/>
      <c r="HT87" s="35"/>
      <c r="HU87" s="35"/>
      <c r="HV87" s="35"/>
      <c r="HW87" s="35"/>
      <c r="HX87" s="35"/>
      <c r="HY87" s="35"/>
      <c r="HZ87" s="35"/>
      <c r="IA87" s="35"/>
    </row>
    <row r="88" spans="1:235">
      <c r="A88" s="27" t="s">
        <v>519</v>
      </c>
      <c r="B88" s="121">
        <v>9207.09</v>
      </c>
      <c r="C88" s="121">
        <v>11554.7</v>
      </c>
      <c r="D88" s="121">
        <v>13533.38</v>
      </c>
      <c r="E88" s="121">
        <v>7759.35</v>
      </c>
      <c r="F88" s="121">
        <v>8829.9699999999993</v>
      </c>
      <c r="G88" s="121">
        <v>8989.48</v>
      </c>
      <c r="H88" s="121">
        <v>12377.32</v>
      </c>
      <c r="I88" s="121">
        <v>10778.83</v>
      </c>
      <c r="J88" s="121">
        <v>8567.17</v>
      </c>
      <c r="K88" s="121">
        <v>7279.58</v>
      </c>
      <c r="L88" s="121">
        <v>6543</v>
      </c>
      <c r="M88" s="121">
        <v>10943.71</v>
      </c>
      <c r="N88" s="121">
        <v>12110.23</v>
      </c>
      <c r="O88" s="121">
        <v>11839</v>
      </c>
      <c r="P88" s="121">
        <v>10613</v>
      </c>
      <c r="Q88" s="121">
        <v>7908</v>
      </c>
      <c r="R88" s="121">
        <v>6126</v>
      </c>
      <c r="S88" s="121">
        <v>6409</v>
      </c>
      <c r="T88" s="121">
        <v>2900</v>
      </c>
      <c r="U88" s="121">
        <v>1511</v>
      </c>
      <c r="V88" s="121">
        <v>1358</v>
      </c>
      <c r="W88" s="121">
        <v>2862</v>
      </c>
      <c r="X88" s="121">
        <v>4461</v>
      </c>
      <c r="Y88" s="121">
        <v>4733</v>
      </c>
      <c r="Z88" s="121">
        <v>7331</v>
      </c>
      <c r="AA88" s="121">
        <v>7478</v>
      </c>
      <c r="AB88" s="121">
        <v>10935</v>
      </c>
      <c r="AC88" s="121">
        <v>14232.67</v>
      </c>
      <c r="AD88" s="213">
        <v>15206</v>
      </c>
      <c r="AE88" s="121">
        <v>12427</v>
      </c>
      <c r="AF88" s="121">
        <v>12237</v>
      </c>
      <c r="AG88" s="121">
        <v>10834</v>
      </c>
      <c r="AH88" s="121">
        <v>9121</v>
      </c>
      <c r="AI88" s="121">
        <v>6845.9549999999999</v>
      </c>
      <c r="AJ88" s="121">
        <v>4973.55</v>
      </c>
      <c r="AK88" s="121">
        <v>6521.39</v>
      </c>
      <c r="AL88" s="121">
        <v>3570.61</v>
      </c>
      <c r="AM88" s="213">
        <v>2879.8349999999996</v>
      </c>
      <c r="AN88" s="213">
        <v>3476.73</v>
      </c>
      <c r="AO88" s="213">
        <v>4281.25</v>
      </c>
      <c r="AP88" s="213">
        <v>3100.915</v>
      </c>
      <c r="AQ88" s="213">
        <v>1453.645</v>
      </c>
      <c r="AR88" s="213">
        <v>103.03</v>
      </c>
      <c r="AS88" s="251">
        <v>44.1</v>
      </c>
      <c r="AT88" s="251">
        <v>184.9</v>
      </c>
      <c r="AU88" s="251">
        <v>1573.61</v>
      </c>
      <c r="AV88" s="251">
        <v>1917.0450000000001</v>
      </c>
      <c r="AW88" s="251">
        <v>1127.355</v>
      </c>
      <c r="AX88" s="251">
        <v>1557.98</v>
      </c>
      <c r="AY88" s="202">
        <v>2211.3150000000001</v>
      </c>
      <c r="AZ88" s="202">
        <v>503.84</v>
      </c>
      <c r="BA88" s="412">
        <v>35.685000000000002</v>
      </c>
      <c r="BB88" s="412">
        <v>16.835000000000001</v>
      </c>
      <c r="BC88" s="412">
        <v>11.185</v>
      </c>
      <c r="BD88" s="412">
        <v>18.489999999999998</v>
      </c>
      <c r="BE88" s="412">
        <v>0.8</v>
      </c>
      <c r="BF88" s="412">
        <v>87.69</v>
      </c>
      <c r="BG88" s="216">
        <v>187.64</v>
      </c>
      <c r="BH88" s="216">
        <v>3248.625</v>
      </c>
      <c r="BI88" s="216">
        <v>1525.8</v>
      </c>
      <c r="BJ88" s="216">
        <v>1617.85</v>
      </c>
      <c r="BK88" s="216">
        <v>3658.9</v>
      </c>
      <c r="BL88" s="216">
        <v>2703.12</v>
      </c>
      <c r="BM88" s="216">
        <v>8985.49</v>
      </c>
      <c r="BN88" s="216">
        <v>9064.9449999999997</v>
      </c>
      <c r="BO88" s="216">
        <v>7427.67</v>
      </c>
      <c r="BP88" s="216">
        <v>7222.0349999999999</v>
      </c>
      <c r="BQ88" s="216">
        <v>6292.5050000000001</v>
      </c>
      <c r="BR88" s="216">
        <v>6307.9449999999997</v>
      </c>
      <c r="BS88" s="216">
        <v>5194.335</v>
      </c>
      <c r="BT88" s="216">
        <v>5218.4449999999997</v>
      </c>
      <c r="BU88" s="216">
        <v>5549.665</v>
      </c>
      <c r="BV88" s="216">
        <v>6332.3649999999998</v>
      </c>
      <c r="BW88" s="216">
        <v>8044.0349999999999</v>
      </c>
      <c r="BX88" s="216">
        <v>8065.5349999999999</v>
      </c>
      <c r="BY88" s="216">
        <v>6345.9549999999999</v>
      </c>
      <c r="BZ88" s="216">
        <v>4883.1350000000002</v>
      </c>
      <c r="CA88" s="216">
        <v>5431.0450000000001</v>
      </c>
      <c r="CB88" s="216">
        <v>3452.55</v>
      </c>
      <c r="CC88" s="216">
        <v>1971.79</v>
      </c>
      <c r="CD88" s="216">
        <v>1688.615</v>
      </c>
      <c r="CE88" s="216">
        <v>343.60500000000002</v>
      </c>
      <c r="CF88" s="216">
        <v>334.97500000000002</v>
      </c>
      <c r="CG88" s="216">
        <v>323.42500000000001</v>
      </c>
      <c r="CH88" s="216">
        <v>404.26499999999999</v>
      </c>
      <c r="CI88" s="216">
        <v>408.51499999999999</v>
      </c>
      <c r="CJ88" s="216">
        <v>76.784999999999997</v>
      </c>
      <c r="CK88" s="216">
        <v>0</v>
      </c>
      <c r="CL88" s="216">
        <v>56.05</v>
      </c>
      <c r="CM88" s="216">
        <v>389.5</v>
      </c>
      <c r="CN88" s="216">
        <v>4.2350000000000003</v>
      </c>
      <c r="CO88" s="216">
        <v>0</v>
      </c>
      <c r="CP88" s="216">
        <v>3.92</v>
      </c>
      <c r="CQ88" s="216">
        <v>22.28</v>
      </c>
      <c r="CR88" s="216">
        <v>140.02500000000001</v>
      </c>
      <c r="CS88" s="216">
        <v>4.68</v>
      </c>
      <c r="CT88" s="216">
        <v>9.23</v>
      </c>
      <c r="CU88" s="216">
        <v>138.22499999999999</v>
      </c>
      <c r="CV88" s="216">
        <v>60.555</v>
      </c>
      <c r="CW88" s="216">
        <v>181.065</v>
      </c>
      <c r="CX88" s="216">
        <v>1.78</v>
      </c>
      <c r="CY88" s="216">
        <v>113.125</v>
      </c>
      <c r="CZ88" s="216">
        <v>32.645000000000003</v>
      </c>
      <c r="DA88" s="216">
        <v>25.69</v>
      </c>
      <c r="DB88" s="216">
        <v>0</v>
      </c>
      <c r="DC88" s="216">
        <v>0.28000000000000003</v>
      </c>
      <c r="DD88" s="216">
        <v>11.72</v>
      </c>
      <c r="DE88" s="216">
        <v>0</v>
      </c>
      <c r="DF88" s="216">
        <v>0</v>
      </c>
      <c r="DG88" s="216">
        <v>0</v>
      </c>
      <c r="DH88" s="216">
        <v>0</v>
      </c>
      <c r="DI88" s="216">
        <v>0</v>
      </c>
      <c r="DJ88" s="216">
        <v>0</v>
      </c>
      <c r="DK88" s="216">
        <v>0</v>
      </c>
      <c r="DL88" s="216">
        <v>0</v>
      </c>
      <c r="DM88" s="216">
        <v>0</v>
      </c>
      <c r="DN88" s="216">
        <v>0</v>
      </c>
      <c r="DO88" s="216">
        <v>0</v>
      </c>
      <c r="DP88" s="216">
        <v>0</v>
      </c>
      <c r="DQ88" s="216">
        <v>0</v>
      </c>
      <c r="DR88" s="216">
        <v>0</v>
      </c>
      <c r="DS88" s="216">
        <v>0</v>
      </c>
      <c r="DT88" s="216">
        <v>0</v>
      </c>
      <c r="DU88" s="216">
        <v>0</v>
      </c>
      <c r="DV88" s="216">
        <v>0</v>
      </c>
      <c r="DW88" s="216">
        <v>0</v>
      </c>
      <c r="DX88" s="216">
        <v>0</v>
      </c>
      <c r="DY88" s="216">
        <v>0</v>
      </c>
      <c r="DZ88" s="216">
        <v>0</v>
      </c>
      <c r="EA88" s="216">
        <v>0</v>
      </c>
      <c r="EB88" s="216">
        <v>0</v>
      </c>
      <c r="EC88" s="216">
        <v>0</v>
      </c>
      <c r="ED88" s="216">
        <v>0</v>
      </c>
      <c r="EE88" s="216">
        <v>0</v>
      </c>
      <c r="EF88" s="216">
        <v>0</v>
      </c>
      <c r="EG88" s="216">
        <v>0</v>
      </c>
      <c r="EH88" s="216">
        <v>0</v>
      </c>
      <c r="EI88" s="216">
        <v>0</v>
      </c>
      <c r="EJ88" s="216">
        <v>0</v>
      </c>
      <c r="EK88" s="216">
        <v>0</v>
      </c>
      <c r="EL88" s="216">
        <v>0</v>
      </c>
      <c r="EM88" s="216">
        <v>0</v>
      </c>
      <c r="EN88" s="216">
        <v>0</v>
      </c>
      <c r="EO88" s="216">
        <v>0</v>
      </c>
      <c r="EP88" s="216">
        <v>0</v>
      </c>
      <c r="EQ88" s="216">
        <f>-(VLOOKUP("2450100",'Input BS ACCTS'!$A$5:$DD$1052,98,FALSE)+VLOOKUP("2450200",'Input BS ACCTS'!$A$5:$DD$1052,98,FALSE))/1000</f>
        <v>0</v>
      </c>
      <c r="ER88" s="216">
        <f>-(VLOOKUP("2450100",'Input BS ACCTS'!$A$5:$DD$1052,99,FALSE)+VLOOKUP("2450200",'Input BS ACCTS'!$A$5:$DD$1052,99,FALSE))/1000</f>
        <v>0</v>
      </c>
      <c r="ES88" s="216">
        <f>-(VLOOKUP("2450100",'Input BS ACCTS'!$A$5:$DD$1052,100,FALSE)+VLOOKUP("2450200",'Input BS ACCTS'!$A$5:$DD$1052,100,FALSE))/1000</f>
        <v>0</v>
      </c>
      <c r="ET88" s="467">
        <f t="shared" si="84"/>
        <v>0</v>
      </c>
      <c r="EU88" s="801"/>
      <c r="EV88" s="801"/>
      <c r="HL88" s="35"/>
      <c r="HM88" s="253"/>
      <c r="HN88" s="258"/>
      <c r="HO88" s="35"/>
      <c r="HP88" s="35"/>
      <c r="HQ88" s="35"/>
      <c r="HR88" s="35"/>
      <c r="HS88" s="35"/>
      <c r="HT88" s="35"/>
      <c r="HU88" s="35"/>
      <c r="HV88" s="35"/>
      <c r="HW88" s="35"/>
      <c r="HX88" s="35"/>
      <c r="HY88" s="35"/>
      <c r="HZ88" s="35"/>
      <c r="IA88" s="35"/>
    </row>
    <row r="89" spans="1:235">
      <c r="A89" s="190" t="s">
        <v>282</v>
      </c>
      <c r="B89" s="192">
        <v>12483.466059999999</v>
      </c>
      <c r="C89" s="192">
        <v>12726.003059999999</v>
      </c>
      <c r="D89" s="192">
        <v>13483.15706</v>
      </c>
      <c r="E89" s="192">
        <v>13100.344059999999</v>
      </c>
      <c r="F89" s="192">
        <v>13538.862059999999</v>
      </c>
      <c r="G89" s="192">
        <v>13124.065059999999</v>
      </c>
      <c r="H89" s="192">
        <v>13519.771059999999</v>
      </c>
      <c r="I89" s="192">
        <v>14098.191059999999</v>
      </c>
      <c r="J89" s="192">
        <v>14145.029059999999</v>
      </c>
      <c r="K89" s="192">
        <v>14090.447059999999</v>
      </c>
      <c r="L89" s="192">
        <v>14527.750059999998</v>
      </c>
      <c r="M89" s="192">
        <v>14811.636059999999</v>
      </c>
      <c r="N89" s="192">
        <v>12546.612059999999</v>
      </c>
      <c r="O89" s="221">
        <v>12863.416999999999</v>
      </c>
      <c r="P89" s="192">
        <v>13232.826999999999</v>
      </c>
      <c r="Q89" s="192">
        <v>8879</v>
      </c>
      <c r="R89" s="192">
        <v>9273</v>
      </c>
      <c r="S89" s="192">
        <v>8821</v>
      </c>
      <c r="T89" s="192">
        <v>10854</v>
      </c>
      <c r="U89" s="192">
        <v>11241.135999999999</v>
      </c>
      <c r="V89" s="192">
        <v>11111.777</v>
      </c>
      <c r="W89" s="192">
        <v>10500.905000000001</v>
      </c>
      <c r="X89" s="192">
        <v>10892.387000000001</v>
      </c>
      <c r="Y89" s="192">
        <v>11256.14126</v>
      </c>
      <c r="Z89" s="192">
        <v>10541.371930000001</v>
      </c>
      <c r="AA89" s="219">
        <v>10977.415999999999</v>
      </c>
      <c r="AB89" s="219">
        <v>11240.094999999999</v>
      </c>
      <c r="AC89" s="192">
        <v>10965.678000000002</v>
      </c>
      <c r="AD89" s="215">
        <v>10611.882</v>
      </c>
      <c r="AE89" s="192">
        <v>11371.195460000001</v>
      </c>
      <c r="AF89" s="192">
        <v>11036</v>
      </c>
      <c r="AG89" s="192">
        <v>10582.298209999997</v>
      </c>
      <c r="AH89" s="192">
        <v>10966.312039999999</v>
      </c>
      <c r="AI89" s="192">
        <v>10076.014290000001</v>
      </c>
      <c r="AJ89" s="192">
        <v>9694.9473899999994</v>
      </c>
      <c r="AK89" s="192">
        <v>10008.332970000001</v>
      </c>
      <c r="AL89" s="192">
        <v>38595.262479999998</v>
      </c>
      <c r="AM89" s="215">
        <v>38874.858749999992</v>
      </c>
      <c r="AN89" s="215">
        <v>38865.328369999996</v>
      </c>
      <c r="AO89" s="235">
        <v>47273.062339999997</v>
      </c>
      <c r="AP89" s="235">
        <v>46859.227509999997</v>
      </c>
      <c r="AQ89" s="235">
        <v>47359.204189999997</v>
      </c>
      <c r="AR89" s="235">
        <v>48178.860870000004</v>
      </c>
      <c r="AS89" s="283">
        <v>48893.865590000001</v>
      </c>
      <c r="AT89" s="283">
        <v>47539.619340000005</v>
      </c>
      <c r="AU89" s="283">
        <v>46893.598619999997</v>
      </c>
      <c r="AV89" s="283">
        <v>46319.660450000003</v>
      </c>
      <c r="AW89" s="283">
        <v>46585.716540000001</v>
      </c>
      <c r="AX89" s="283">
        <v>46359.525150000001</v>
      </c>
      <c r="AY89" s="245">
        <v>45691.969980000002</v>
      </c>
      <c r="AZ89" s="245">
        <v>46103.490599999997</v>
      </c>
      <c r="BA89" s="416">
        <v>49814.969729999997</v>
      </c>
      <c r="BB89" s="416">
        <v>51671.733869999996</v>
      </c>
      <c r="BC89" s="416">
        <v>51028.890820000001</v>
      </c>
      <c r="BD89" s="416">
        <v>47531.961499999998</v>
      </c>
      <c r="BE89" s="416">
        <v>48373.780620000005</v>
      </c>
      <c r="BF89" s="416">
        <v>46816.677800000005</v>
      </c>
      <c r="BG89" s="307">
        <v>43500.734349999999</v>
      </c>
      <c r="BH89" s="307">
        <v>42063.693590000003</v>
      </c>
      <c r="BI89" s="307">
        <v>42392.587879999992</v>
      </c>
      <c r="BJ89" s="307">
        <v>38603.288539999994</v>
      </c>
      <c r="BK89" s="307">
        <v>38808.54423</v>
      </c>
      <c r="BL89" s="307">
        <v>39065.393830000001</v>
      </c>
      <c r="BM89" s="307">
        <v>38718.261119999996</v>
      </c>
      <c r="BN89" s="307">
        <v>37681.719679999995</v>
      </c>
      <c r="BO89" s="307">
        <v>37907.678009999996</v>
      </c>
      <c r="BP89" s="307">
        <v>37269.541359999996</v>
      </c>
      <c r="BQ89" s="307">
        <v>36814.833000000006</v>
      </c>
      <c r="BR89" s="307">
        <v>37008.292110000002</v>
      </c>
      <c r="BS89" s="307">
        <v>36866.732249999994</v>
      </c>
      <c r="BT89" s="307">
        <v>36361.254959999998</v>
      </c>
      <c r="BU89" s="307">
        <v>36549.092729999997</v>
      </c>
      <c r="BV89" s="307">
        <v>34777.007669999992</v>
      </c>
      <c r="BW89" s="307">
        <v>34944.432970000002</v>
      </c>
      <c r="BX89" s="307">
        <v>35086.577510000003</v>
      </c>
      <c r="BY89" s="307">
        <v>37204.899669999992</v>
      </c>
      <c r="BZ89" s="307">
        <v>37389.604419999996</v>
      </c>
      <c r="CA89" s="307">
        <v>37544.561009999998</v>
      </c>
      <c r="CB89" s="307">
        <v>38815.412690000005</v>
      </c>
      <c r="CC89" s="307">
        <v>38080.122069999998</v>
      </c>
      <c r="CD89" s="307">
        <v>37224.98461</v>
      </c>
      <c r="CE89" s="307">
        <v>44712.324889999996</v>
      </c>
      <c r="CF89" s="307">
        <v>43685.941660000004</v>
      </c>
      <c r="CG89" s="307">
        <v>43450.550639999994</v>
      </c>
      <c r="CH89" s="307">
        <v>42324.771620000007</v>
      </c>
      <c r="CI89" s="307">
        <v>42242.910230000001</v>
      </c>
      <c r="CJ89" s="307">
        <v>42635.65064</v>
      </c>
      <c r="CK89" s="307">
        <v>41902.152900000008</v>
      </c>
      <c r="CL89" s="307">
        <v>39426.560010000001</v>
      </c>
      <c r="CM89" s="307">
        <v>38880.308950000006</v>
      </c>
      <c r="CN89" s="307">
        <v>37586.142670000008</v>
      </c>
      <c r="CO89" s="307">
        <v>36635.921760000005</v>
      </c>
      <c r="CP89" s="307">
        <v>36286.03716</v>
      </c>
      <c r="CQ89" s="307">
        <v>36059.985379999998</v>
      </c>
      <c r="CR89" s="307">
        <v>34835.182310000004</v>
      </c>
      <c r="CS89" s="307">
        <v>34884.897959999995</v>
      </c>
      <c r="CT89" s="307">
        <v>34147.930989999993</v>
      </c>
      <c r="CU89" s="307">
        <v>34101.991150000002</v>
      </c>
      <c r="CV89" s="307">
        <v>34070.469189999996</v>
      </c>
      <c r="CW89" s="307">
        <v>33272.802769999995</v>
      </c>
      <c r="CX89" s="307">
        <v>32329.136569999995</v>
      </c>
      <c r="CY89" s="307">
        <v>33481.257119999995</v>
      </c>
      <c r="CZ89" s="307">
        <v>32500.986129999994</v>
      </c>
      <c r="DA89" s="307">
        <v>33609.884560000006</v>
      </c>
      <c r="DB89" s="307">
        <v>33927.863709999991</v>
      </c>
      <c r="DC89" s="307">
        <v>34636.611899999996</v>
      </c>
      <c r="DD89" s="307">
        <v>35343.040039999993</v>
      </c>
      <c r="DE89" s="307">
        <v>36050.902769999993</v>
      </c>
      <c r="DF89" s="307">
        <v>30016.000540000001</v>
      </c>
      <c r="DG89" s="307">
        <v>29740.857769999999</v>
      </c>
      <c r="DH89" s="307">
        <v>29592.681310000004</v>
      </c>
      <c r="DI89" s="307">
        <v>27648.452719999997</v>
      </c>
      <c r="DJ89" s="307">
        <v>26481.006179999997</v>
      </c>
      <c r="DK89" s="307">
        <v>26282.26036</v>
      </c>
      <c r="DL89" s="307">
        <v>28110.980919999998</v>
      </c>
      <c r="DM89" s="307">
        <v>27234.955750000005</v>
      </c>
      <c r="DN89" s="307">
        <v>27305.00605</v>
      </c>
      <c r="DO89" s="307">
        <v>27650.081579999998</v>
      </c>
      <c r="DP89" s="307">
        <v>27329.458210000001</v>
      </c>
      <c r="DQ89" s="307">
        <v>27831.848740000001</v>
      </c>
      <c r="DR89" s="307">
        <v>28119.124950000001</v>
      </c>
      <c r="DS89" s="307">
        <v>28692.094550000002</v>
      </c>
      <c r="DT89" s="307">
        <v>29499.248889999995</v>
      </c>
      <c r="DU89" s="307">
        <v>22855.165509999999</v>
      </c>
      <c r="DV89" s="307">
        <v>22231.93938</v>
      </c>
      <c r="DW89" s="307">
        <v>20766.230119999997</v>
      </c>
      <c r="DX89" s="307">
        <v>21479.56163</v>
      </c>
      <c r="DY89" s="307">
        <v>20864.17871</v>
      </c>
      <c r="DZ89" s="307">
        <v>20936.874509999998</v>
      </c>
      <c r="EA89" s="307">
        <v>21459.629910000003</v>
      </c>
      <c r="EB89" s="307">
        <v>20985.367040000005</v>
      </c>
      <c r="EC89" s="307">
        <v>21197.958710000003</v>
      </c>
      <c r="ED89" s="307">
        <v>20809.59245</v>
      </c>
      <c r="EE89" s="307">
        <v>20544.495009999999</v>
      </c>
      <c r="EF89" s="307">
        <v>20648.051359999998</v>
      </c>
      <c r="EG89" s="307">
        <v>18421.58322</v>
      </c>
      <c r="EH89" s="307">
        <v>17804.688069999997</v>
      </c>
      <c r="EI89" s="307">
        <v>18030.91015</v>
      </c>
      <c r="EJ89" s="307">
        <v>17801.295000000006</v>
      </c>
      <c r="EK89" s="307">
        <v>17296.814030000001</v>
      </c>
      <c r="EL89" s="307">
        <v>17404.479720000003</v>
      </c>
      <c r="EM89" s="307">
        <v>17785.248380000001</v>
      </c>
      <c r="EN89" s="307">
        <v>17396.379920000003</v>
      </c>
      <c r="EO89" s="307">
        <v>17400.827559999998</v>
      </c>
      <c r="EP89" s="307">
        <v>17693.261959999996</v>
      </c>
      <c r="EQ89" s="307">
        <f>-(VLOOKUP("2320008",'Input BS ACCTS'!$A$5:$DD$1052,98,FALSE)+VLOOKUP("2320015",'Input BS ACCTS'!$A$5:$DD$1052,98,FALSE)+VLOOKUP("2320020",'Input BS ACCTS'!$A$5:$DD$1052,98,FALSE)+VLOOKUP("2420199",'Input BS ACCTS'!$A$5:$DD$1052,98,FALSE)+VLOOKUP("2420310",'Input BS ACCTS'!$A$5:$DD$1052,98,FALSE)+VLOOKUP("2420800",'Input BS ACCTS'!$A$5:$DD$1052,98,FALSE)+VLOOKUP("2420321",'Input BS ACCTS'!$A$5:$DD$1052,98,FALSE)+VLOOKUP("2540105",'Input BS ACCTS'!$A$5:$DD$1052,98,FALSE)+VLOOKUP("2540205",'Input BS ACCTS'!$A$5:$DD$1052,98,FALSE)+VLOOKUP("2540280",'Input BS ACCTS'!$A$5:$DD$1052,98,FALSE)+VLOOKUP("2540612",'Input BS ACCTS'!$A$5:$DD$1052,98,FALSE)+VLOOKUP("2281100",'Input BS ACCTS'!$A$5:$DD$1052,98,FALSE)+VLOOKUP("2283200",'Input BS ACCTS'!$A$5:$DD$1052,98,FALSE)+VLOOKUP("2283230",'Input BS ACCTS'!$A$5:$DD$1052,98,FALSE)+VLOOKUP("2283232",'Input BS ACCTS'!$A$5:$DD$1052,98,FALSE)+VLOOKUP("2284020",'Input BS ACCTS'!$A$5:$DD$1052,98,FALSE)+VLOOKUP("2284030",'Input BS ACCTS'!$A$5:$DD$1052,98,FALSE)+VLOOKUP("2282001",'Input BS ACCTS'!$A$5:$DD$1052,98,FALSE)+VLOOKUP("2282010",'Input BS ACCTS'!$A$5:$DD$1052,98,FALSE)+VLOOKUP("2282020",'Input BS ACCTS'!$A$5:$DD$1052,98,FALSE)+VLOOKUP("2282110",'Input BS ACCTS'!$A$5:$DD$1052,98,FALSE)+VLOOKUP("2420191",'Input BS ACCTS'!$A$5:$DD$1052,98,FALSE)+VLOOKUP("2420192",'Input BS ACCTS'!$A$5:$DD$1052,98,FALSE))/1000</f>
        <v>13517.858760000001</v>
      </c>
      <c r="ER89" s="307">
        <f>-(VLOOKUP("2320008",'Input BS ACCTS'!$A$5:$DD$1052,99,FALSE)+VLOOKUP("2320015",'Input BS ACCTS'!$A$5:$DD$1052,99,FALSE)+VLOOKUP("2320020",'Input BS ACCTS'!$A$5:$DD$1052,99,FALSE)+VLOOKUP("2420199",'Input BS ACCTS'!$A$5:$DD$1052,99,FALSE)+VLOOKUP("2420310",'Input BS ACCTS'!$A$5:$DD$1052,99,FALSE)+VLOOKUP("2420800",'Input BS ACCTS'!$A$5:$DD$1052,99,FALSE)+VLOOKUP("2420321",'Input BS ACCTS'!$A$5:$DD$1052,99,FALSE)+VLOOKUP("2540105",'Input BS ACCTS'!$A$5:$DD$1052,99,FALSE)+VLOOKUP("2540205",'Input BS ACCTS'!$A$5:$DD$1052,99,FALSE)+VLOOKUP("2540280",'Input BS ACCTS'!$A$5:$DD$1052,99,FALSE)+VLOOKUP("2540612",'Input BS ACCTS'!$A$5:$DD$1052,99,FALSE)+VLOOKUP("2281100",'Input BS ACCTS'!$A$5:$DD$1052,99,FALSE)+VLOOKUP("2283200",'Input BS ACCTS'!$A$5:$DD$1052,99,FALSE)+VLOOKUP("2283230",'Input BS ACCTS'!$A$5:$DD$1052,99,FALSE)+VLOOKUP("2283232",'Input BS ACCTS'!$A$5:$DD$1052,99,FALSE)+VLOOKUP("2284020",'Input BS ACCTS'!$A$5:$DD$1052,99,FALSE)+VLOOKUP("2284030",'Input BS ACCTS'!$A$5:$DD$1052,99,FALSE)+VLOOKUP("2282001",'Input BS ACCTS'!$A$5:$DD$1052,99,FALSE)+VLOOKUP("2282010",'Input BS ACCTS'!$A$5:$DD$1052,99,FALSE)+VLOOKUP("2282020",'Input BS ACCTS'!$A$5:$DD$1052,99,FALSE)+VLOOKUP("2282110",'Input BS ACCTS'!$A$5:$DD$1052,99,FALSE)+VLOOKUP("2420191",'Input BS ACCTS'!$A$5:$DD$1052,99,FALSE)+VLOOKUP("2420192",'Input BS ACCTS'!$A$5:$DD$1052,99,FALSE))/1000</f>
        <v>16280.137589999997</v>
      </c>
      <c r="ES89" s="307">
        <f>-(VLOOKUP("2320008",'Input BS ACCTS'!$A$5:$DD$1052,100,FALSE)+VLOOKUP("2320015",'Input BS ACCTS'!$A$5:$DD$1052,100,FALSE)+VLOOKUP("2320020",'Input BS ACCTS'!$A$5:$DD$1052,100,FALSE)+VLOOKUP("2420199",'Input BS ACCTS'!$A$5:$DD$1052,100,FALSE)+VLOOKUP("2420310",'Input BS ACCTS'!$A$5:$DD$1052,100,FALSE)+VLOOKUP("2420800",'Input BS ACCTS'!$A$5:$DD$1052,100,FALSE)+VLOOKUP("2420321",'Input BS ACCTS'!$A$5:$DD$1052,100,FALSE)+VLOOKUP("2540105",'Input BS ACCTS'!$A$5:$DD$1052,100,FALSE)+VLOOKUP("2540205",'Input BS ACCTS'!$A$5:$DD$1052,100,FALSE)+VLOOKUP("2540280",'Input BS ACCTS'!$A$5:$DD$1052,100,FALSE)+VLOOKUP("2540612",'Input BS ACCTS'!$A$5:$DD$1052,100,FALSE)+VLOOKUP("2281100",'Input BS ACCTS'!$A$5:$DD$1052,100,FALSE)+VLOOKUP("2283200",'Input BS ACCTS'!$A$5:$DD$1052,100,FALSE)+VLOOKUP("2283230",'Input BS ACCTS'!$A$5:$DD$1052,100,FALSE)+VLOOKUP("2283232",'Input BS ACCTS'!$A$5:$DD$1052,100,FALSE)+VLOOKUP("2284020",'Input BS ACCTS'!$A$5:$DD$1052,100,FALSE)+VLOOKUP("2284030",'Input BS ACCTS'!$A$5:$DD$1052,100,FALSE)+VLOOKUP("2282001",'Input BS ACCTS'!$A$5:$DD$1052,100,FALSE)+VLOOKUP("2282010",'Input BS ACCTS'!$A$5:$DD$1052,100,FALSE)+VLOOKUP("2282020",'Input BS ACCTS'!$A$5:$DD$1052,100,FALSE)+VLOOKUP("2282110",'Input BS ACCTS'!$A$5:$DD$1052,100,FALSE)+VLOOKUP("2282210",'Input BS ACCTS'!$A$5:$DD$1052,100,FALSE)+VLOOKUP("2420191",'Input BS ACCTS'!$A$5:$DD$1052,100,FALSE)+VLOOKUP("2420192",'Input BS ACCTS'!$A$5:$DD$1052,100,FALSE))/1000</f>
        <v>16245.723090000003</v>
      </c>
      <c r="ET89" s="467">
        <f t="shared" si="84"/>
        <v>17159.939034615389</v>
      </c>
      <c r="EU89" s="801"/>
      <c r="EV89" s="801"/>
      <c r="HL89" s="35"/>
      <c r="HM89" s="253"/>
      <c r="HN89" s="258"/>
      <c r="HO89" s="35"/>
      <c r="HP89" s="35"/>
      <c r="HQ89" s="35"/>
      <c r="HR89" s="35"/>
      <c r="HS89" s="35"/>
      <c r="HT89" s="35"/>
      <c r="HU89" s="35"/>
      <c r="HV89" s="35"/>
      <c r="HW89" s="35"/>
      <c r="HX89" s="35"/>
      <c r="HY89" s="35"/>
      <c r="HZ89" s="35"/>
      <c r="IA89" s="35"/>
    </row>
    <row r="90" spans="1:235" s="17" customFormat="1">
      <c r="A90" s="225" t="s">
        <v>283</v>
      </c>
      <c r="B90" s="130">
        <v>70798.899720000016</v>
      </c>
      <c r="C90" s="130">
        <v>79002.204719999994</v>
      </c>
      <c r="D90" s="130">
        <v>61264.249719999993</v>
      </c>
      <c r="E90" s="130">
        <v>67635.199720000004</v>
      </c>
      <c r="F90" s="130">
        <v>87125.66072</v>
      </c>
      <c r="G90" s="130">
        <v>87414.71871999999</v>
      </c>
      <c r="H90" s="130">
        <v>93735.862720000005</v>
      </c>
      <c r="I90" s="130">
        <v>69994.938720000006</v>
      </c>
      <c r="J90" s="130">
        <v>67509.893720000007</v>
      </c>
      <c r="K90" s="130">
        <v>61279.246720000003</v>
      </c>
      <c r="L90" s="130">
        <v>67054.669719999991</v>
      </c>
      <c r="M90" s="130">
        <v>75892.070720000003</v>
      </c>
      <c r="N90" s="130">
        <v>81753.671719999998</v>
      </c>
      <c r="O90" s="130">
        <v>72160.073999999993</v>
      </c>
      <c r="P90" s="130">
        <v>64983.973999999995</v>
      </c>
      <c r="Q90" s="130">
        <v>88006</v>
      </c>
      <c r="R90" s="130">
        <v>82136</v>
      </c>
      <c r="S90" s="130">
        <v>71882</v>
      </c>
      <c r="T90" s="130">
        <v>73694</v>
      </c>
      <c r="U90" s="130">
        <v>64919.500999999997</v>
      </c>
      <c r="V90" s="130">
        <v>64780.223000000005</v>
      </c>
      <c r="W90" s="130">
        <v>55723.346999999994</v>
      </c>
      <c r="X90" s="130">
        <v>52713.699399999998</v>
      </c>
      <c r="Y90" s="130">
        <v>51988.384000000005</v>
      </c>
      <c r="Z90" s="130">
        <v>58605.067999999999</v>
      </c>
      <c r="AA90" s="130">
        <v>57968.156829999993</v>
      </c>
      <c r="AB90" s="130">
        <v>36947.904000000002</v>
      </c>
      <c r="AC90" s="130">
        <v>65446.974999999999</v>
      </c>
      <c r="AD90" s="130">
        <v>67008</v>
      </c>
      <c r="AE90" s="130">
        <v>62436.457999999999</v>
      </c>
      <c r="AF90" s="130">
        <v>68708.377000000008</v>
      </c>
      <c r="AG90" s="130">
        <v>62482.557759999996</v>
      </c>
      <c r="AH90" s="130">
        <v>63695.688589999998</v>
      </c>
      <c r="AI90" s="130">
        <v>48301.186550000006</v>
      </c>
      <c r="AJ90" s="130">
        <v>54846.826990000016</v>
      </c>
      <c r="AK90" s="130">
        <v>68761.822749999992</v>
      </c>
      <c r="AL90" s="130">
        <v>81049.73603</v>
      </c>
      <c r="AM90" s="130">
        <v>93308.306819999998</v>
      </c>
      <c r="AN90" s="130">
        <v>85678.610190000007</v>
      </c>
      <c r="AO90" s="130">
        <v>102579.67745999999</v>
      </c>
      <c r="AP90" s="130">
        <v>94379.620649999997</v>
      </c>
      <c r="AQ90" s="130">
        <v>92494.848069999993</v>
      </c>
      <c r="AR90" s="130">
        <v>95585.497540000011</v>
      </c>
      <c r="AS90" s="130">
        <v>92280.012160000013</v>
      </c>
      <c r="AT90" s="130">
        <v>90340.818510000012</v>
      </c>
      <c r="AU90" s="130">
        <v>82906.204220000014</v>
      </c>
      <c r="AV90" s="130">
        <v>88994.16975999999</v>
      </c>
      <c r="AW90" s="130">
        <v>79179.258419999998</v>
      </c>
      <c r="AX90" s="130">
        <v>84341.956560000006</v>
      </c>
      <c r="AY90" s="130">
        <v>90280.937429999991</v>
      </c>
      <c r="AZ90" s="130">
        <v>89378.06186999999</v>
      </c>
      <c r="BA90" s="420">
        <v>105907.86854999998</v>
      </c>
      <c r="BB90" s="420">
        <v>120103.72012</v>
      </c>
      <c r="BC90" s="420">
        <v>107155.99377</v>
      </c>
      <c r="BD90" s="420">
        <v>98462.099090000003</v>
      </c>
      <c r="BE90" s="420">
        <v>105200.97153000001</v>
      </c>
      <c r="BF90" s="420">
        <v>98586.857180000021</v>
      </c>
      <c r="BG90" s="130">
        <v>82202.418570000009</v>
      </c>
      <c r="BH90" s="130">
        <v>88443.535219999991</v>
      </c>
      <c r="BI90" s="130">
        <v>83326.929879999981</v>
      </c>
      <c r="BJ90" s="130">
        <v>78500.398959999991</v>
      </c>
      <c r="BK90" s="130">
        <v>88269.048830000014</v>
      </c>
      <c r="BL90" s="130">
        <v>84848.845820000017</v>
      </c>
      <c r="BM90" s="130">
        <v>103555.27197</v>
      </c>
      <c r="BN90" s="130">
        <v>92393.254889999982</v>
      </c>
      <c r="BO90" s="130">
        <v>94802.680670000002</v>
      </c>
      <c r="BP90" s="130">
        <v>96127.291409999991</v>
      </c>
      <c r="BQ90" s="130">
        <v>105591.94196</v>
      </c>
      <c r="BR90" s="130">
        <v>87235.659069999994</v>
      </c>
      <c r="BS90" s="130">
        <v>78009.208649999986</v>
      </c>
      <c r="BT90" s="130">
        <v>89609.582569999999</v>
      </c>
      <c r="BU90" s="130">
        <v>84586.815759999998</v>
      </c>
      <c r="BV90" s="130">
        <v>80776.198749999981</v>
      </c>
      <c r="BW90" s="130">
        <v>86428.076979999998</v>
      </c>
      <c r="BX90" s="130">
        <v>87000.821100000001</v>
      </c>
      <c r="BY90" s="130">
        <v>85866.959159999999</v>
      </c>
      <c r="BZ90" s="130">
        <v>75366.993989999988</v>
      </c>
      <c r="CA90" s="130">
        <v>80866.804189999995</v>
      </c>
      <c r="CB90" s="130">
        <v>90112.967880000011</v>
      </c>
      <c r="CC90" s="130">
        <v>88874.953569999998</v>
      </c>
      <c r="CD90" s="130">
        <v>83521.892300000007</v>
      </c>
      <c r="CE90" s="130">
        <v>89243.425399999993</v>
      </c>
      <c r="CF90" s="130">
        <v>92714.871010000003</v>
      </c>
      <c r="CG90" s="130">
        <v>90549.381399999984</v>
      </c>
      <c r="CH90" s="130">
        <v>93284.493030000012</v>
      </c>
      <c r="CI90" s="130">
        <v>99200.418750000012</v>
      </c>
      <c r="CJ90" s="130">
        <v>104215.79107000001</v>
      </c>
      <c r="CK90" s="130">
        <v>121512.15069000001</v>
      </c>
      <c r="CL90" s="130">
        <f t="shared" ref="CL90:CW90" si="85">SUM(CL74:CL89)</f>
        <v>123967.31966000001</v>
      </c>
      <c r="CM90" s="130">
        <f t="shared" si="85"/>
        <v>128604.48178000002</v>
      </c>
      <c r="CN90" s="130">
        <f t="shared" si="85"/>
        <v>122318.07208000001</v>
      </c>
      <c r="CO90" s="130">
        <f t="shared" si="85"/>
        <v>126762.87057000003</v>
      </c>
      <c r="CP90" s="130">
        <f t="shared" si="85"/>
        <v>120418.54441999999</v>
      </c>
      <c r="CQ90" s="130">
        <f t="shared" si="85"/>
        <v>111007.03489</v>
      </c>
      <c r="CR90" s="130">
        <f t="shared" si="85"/>
        <v>115758.87654</v>
      </c>
      <c r="CS90" s="130">
        <f t="shared" si="85"/>
        <v>132431.79814</v>
      </c>
      <c r="CT90" s="130">
        <f t="shared" si="85"/>
        <v>129332.34272</v>
      </c>
      <c r="CU90" s="130">
        <f t="shared" si="85"/>
        <v>127093.71226000001</v>
      </c>
      <c r="CV90" s="130">
        <f t="shared" si="85"/>
        <v>131501.82195999997</v>
      </c>
      <c r="CW90" s="130">
        <f t="shared" si="85"/>
        <v>149793.92608</v>
      </c>
      <c r="CX90" s="130">
        <f t="shared" ref="CX90:DC90" si="86">SUM(CX74:CX89)</f>
        <v>155515.57311</v>
      </c>
      <c r="CY90" s="130">
        <f t="shared" si="86"/>
        <v>147656.74565</v>
      </c>
      <c r="CZ90" s="130">
        <f t="shared" si="86"/>
        <v>142869.26879</v>
      </c>
      <c r="DA90" s="130">
        <f t="shared" si="86"/>
        <v>140423.03781000001</v>
      </c>
      <c r="DB90" s="130">
        <f t="shared" si="86"/>
        <v>194362.04648999998</v>
      </c>
      <c r="DC90" s="130">
        <f t="shared" si="86"/>
        <v>123113.99776999996</v>
      </c>
      <c r="DD90" s="130">
        <f t="shared" ref="DD90:DI90" si="87">SUM(DD74:DD89)</f>
        <v>126753.87921999997</v>
      </c>
      <c r="DE90" s="130">
        <f t="shared" si="87"/>
        <v>130048.03537</v>
      </c>
      <c r="DF90" s="130">
        <f t="shared" si="87"/>
        <v>137393.84849999999</v>
      </c>
      <c r="DG90" s="130">
        <f t="shared" si="87"/>
        <v>128043.6704</v>
      </c>
      <c r="DH90" s="130">
        <f t="shared" si="87"/>
        <v>138739.55907000002</v>
      </c>
      <c r="DI90" s="130">
        <f t="shared" si="87"/>
        <v>150159.86202999999</v>
      </c>
      <c r="DJ90" s="130">
        <f t="shared" ref="DJ90:DP90" si="88">SUM(DJ74:DJ89)</f>
        <v>164086.73255000002</v>
      </c>
      <c r="DK90" s="130">
        <f t="shared" si="88"/>
        <v>133897.17997999996</v>
      </c>
      <c r="DL90" s="130">
        <f t="shared" si="88"/>
        <v>139181.74457000001</v>
      </c>
      <c r="DM90" s="130">
        <f t="shared" si="88"/>
        <v>136265.46386000002</v>
      </c>
      <c r="DN90" s="130">
        <f t="shared" si="88"/>
        <v>126058.67963999999</v>
      </c>
      <c r="DO90" s="130">
        <f t="shared" si="88"/>
        <v>131771.70117000001</v>
      </c>
      <c r="DP90" s="130">
        <f t="shared" si="88"/>
        <v>115404.89243999998</v>
      </c>
      <c r="DQ90" s="130">
        <f t="shared" ref="DQ90:DX90" si="89">SUM(DQ74:DQ89)</f>
        <v>141366.10889999999</v>
      </c>
      <c r="DR90" s="130">
        <f t="shared" si="89"/>
        <v>135964.69022000002</v>
      </c>
      <c r="DS90" s="130">
        <f t="shared" si="89"/>
        <v>147191.88928</v>
      </c>
      <c r="DT90" s="130">
        <f t="shared" si="89"/>
        <v>176996.41529999999</v>
      </c>
      <c r="DU90" s="130">
        <f t="shared" si="89"/>
        <v>194352.45652000001</v>
      </c>
      <c r="DV90" s="130">
        <f t="shared" si="89"/>
        <v>208056.47766999999</v>
      </c>
      <c r="DW90" s="130">
        <f t="shared" si="89"/>
        <v>183009.28641000006</v>
      </c>
      <c r="DX90" s="130">
        <f t="shared" si="89"/>
        <v>188553.74327000001</v>
      </c>
      <c r="DY90" s="130">
        <f t="shared" ref="DY90:ED90" si="90">SUM(DY74:DY89)</f>
        <v>200692.44816999999</v>
      </c>
      <c r="DZ90" s="130">
        <f t="shared" si="90"/>
        <v>206188.01345999999</v>
      </c>
      <c r="EA90" s="130">
        <f t="shared" si="90"/>
        <v>222933.16915000003</v>
      </c>
      <c r="EB90" s="130">
        <f t="shared" si="90"/>
        <v>238674.16862000004</v>
      </c>
      <c r="EC90" s="130">
        <f t="shared" si="90"/>
        <v>236477.94807999997</v>
      </c>
      <c r="ED90" s="130">
        <f t="shared" si="90"/>
        <v>256971.40732</v>
      </c>
      <c r="EE90" s="130">
        <f t="shared" ref="EE90:EJ90" si="91">SUM(EE74:EE89)</f>
        <v>283382.53022000002</v>
      </c>
      <c r="EF90" s="130">
        <f t="shared" si="91"/>
        <v>306369.52165999991</v>
      </c>
      <c r="EG90" s="130">
        <f t="shared" si="91"/>
        <v>340876.82304000005</v>
      </c>
      <c r="EH90" s="130">
        <f t="shared" si="91"/>
        <v>355659.60382999998</v>
      </c>
      <c r="EI90" s="130">
        <f t="shared" si="91"/>
        <v>342927.67520999996</v>
      </c>
      <c r="EJ90" s="130">
        <f t="shared" si="91"/>
        <v>125882.91601000002</v>
      </c>
      <c r="EK90" s="130">
        <f t="shared" ref="EK90:EP90" si="92">SUM(EK74:EK89)</f>
        <v>159450.40697000001</v>
      </c>
      <c r="EL90" s="130">
        <f t="shared" si="92"/>
        <v>186935.12643000003</v>
      </c>
      <c r="EM90" s="130">
        <f t="shared" si="92"/>
        <v>201450.12104000003</v>
      </c>
      <c r="EN90" s="130">
        <f t="shared" si="92"/>
        <v>220585.66316000003</v>
      </c>
      <c r="EO90" s="130">
        <f t="shared" si="92"/>
        <v>216210.30886000002</v>
      </c>
      <c r="EP90" s="130">
        <f t="shared" si="92"/>
        <v>232365.81930000003</v>
      </c>
      <c r="EQ90" s="130">
        <f>SUM(EQ74:EQ89)</f>
        <v>258674.50292000003</v>
      </c>
      <c r="ER90" s="130">
        <f>SUM(ER74:ER89)</f>
        <v>269099.06038999994</v>
      </c>
      <c r="ES90" s="130">
        <f>SUM(ES74:ES89)</f>
        <v>305241.0482800001</v>
      </c>
      <c r="ET90" s="420">
        <f>SUM(ET74:ET89)</f>
        <v>247335.31349538462</v>
      </c>
      <c r="EU90" s="130"/>
      <c r="EV90" s="130"/>
      <c r="EW90" s="178"/>
      <c r="EX90" s="178"/>
      <c r="EY90" s="178"/>
      <c r="EZ90" s="178"/>
      <c r="FA90" s="178"/>
      <c r="FB90" s="178"/>
      <c r="FC90" s="178"/>
      <c r="FD90" s="178"/>
      <c r="FE90" s="178"/>
      <c r="FF90" s="178"/>
      <c r="FG90" s="178"/>
      <c r="FH90" s="178"/>
      <c r="FI90" s="178"/>
      <c r="FJ90" s="178"/>
      <c r="FK90" s="178"/>
      <c r="FL90" s="178"/>
      <c r="FM90" s="178"/>
      <c r="FN90" s="178"/>
      <c r="FO90" s="178"/>
      <c r="FP90" s="178"/>
      <c r="FQ90" s="178"/>
      <c r="FR90" s="178"/>
      <c r="FS90" s="178"/>
      <c r="FT90" s="178"/>
      <c r="FU90" s="178"/>
      <c r="FV90" s="178"/>
      <c r="FW90" s="178"/>
      <c r="FX90" s="178"/>
      <c r="FY90" s="178"/>
      <c r="FZ90" s="178"/>
      <c r="GA90" s="178"/>
      <c r="GB90" s="178"/>
      <c r="GC90" s="178"/>
      <c r="GD90" s="178"/>
      <c r="GE90" s="178"/>
      <c r="GF90" s="178"/>
      <c r="GG90" s="178"/>
      <c r="GH90" s="178"/>
      <c r="GI90" s="178"/>
      <c r="GJ90" s="178"/>
      <c r="GK90" s="178"/>
      <c r="GL90" s="178"/>
      <c r="GM90" s="178"/>
      <c r="GN90" s="178"/>
      <c r="GO90" s="178"/>
      <c r="GP90" s="178"/>
      <c r="GQ90" s="178"/>
      <c r="GR90" s="178"/>
      <c r="GS90" s="178"/>
      <c r="GT90" s="178"/>
      <c r="GU90" s="178"/>
      <c r="GV90" s="178"/>
      <c r="GW90" s="178"/>
      <c r="GX90" s="178"/>
      <c r="GY90" s="178"/>
      <c r="GZ90" s="178"/>
      <c r="HA90" s="178"/>
      <c r="HB90" s="178"/>
      <c r="HC90" s="178"/>
      <c r="HD90" s="178"/>
      <c r="HE90" s="178"/>
      <c r="HF90" s="178"/>
      <c r="HG90" s="178"/>
      <c r="HH90" s="178"/>
      <c r="HI90" s="178"/>
      <c r="HJ90" s="178"/>
      <c r="HK90" s="178"/>
      <c r="HL90" s="35"/>
      <c r="HM90" s="257"/>
      <c r="HN90" s="258"/>
      <c r="HO90" s="178"/>
      <c r="HP90" s="178"/>
      <c r="HQ90" s="178"/>
      <c r="HR90" s="178"/>
      <c r="HS90" s="178"/>
      <c r="HT90" s="178"/>
      <c r="HU90" s="178"/>
      <c r="HV90" s="178"/>
      <c r="HW90" s="178"/>
      <c r="HX90" s="178"/>
      <c r="HY90" s="178"/>
      <c r="HZ90" s="178"/>
      <c r="IA90" s="178"/>
    </row>
    <row r="91" spans="1:235">
      <c r="A91" s="29"/>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417"/>
      <c r="BB91" s="417"/>
      <c r="BC91" s="417"/>
      <c r="BD91" s="417"/>
      <c r="BE91" s="417"/>
      <c r="BF91" s="417"/>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HL91" s="35"/>
      <c r="HM91" s="252"/>
      <c r="HN91" s="258"/>
      <c r="HO91" s="35"/>
      <c r="HP91" s="35"/>
      <c r="HQ91" s="35"/>
      <c r="HR91" s="35"/>
      <c r="HS91" s="35"/>
      <c r="HT91" s="35"/>
      <c r="HU91" s="35"/>
      <c r="HV91" s="35"/>
      <c r="HW91" s="35"/>
      <c r="HX91" s="35"/>
      <c r="HY91" s="35"/>
      <c r="HZ91" s="35"/>
      <c r="IA91" s="35"/>
    </row>
    <row r="92" spans="1:235">
      <c r="A92" s="34" t="s">
        <v>268</v>
      </c>
      <c r="B92" s="125">
        <v>0</v>
      </c>
      <c r="C92" s="125">
        <v>0</v>
      </c>
      <c r="D92" s="125">
        <v>0</v>
      </c>
      <c r="E92" s="125">
        <v>0</v>
      </c>
      <c r="F92" s="125">
        <v>0</v>
      </c>
      <c r="G92" s="125">
        <v>0</v>
      </c>
      <c r="H92" s="125">
        <v>0</v>
      </c>
      <c r="I92" s="125">
        <v>0</v>
      </c>
      <c r="J92" s="125">
        <v>0</v>
      </c>
      <c r="K92" s="125">
        <v>0</v>
      </c>
      <c r="L92" s="125">
        <v>0</v>
      </c>
      <c r="M92" s="125">
        <v>0</v>
      </c>
      <c r="N92" s="125">
        <v>0</v>
      </c>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417"/>
      <c r="BB92" s="417"/>
      <c r="BC92" s="417"/>
      <c r="BD92" s="417"/>
      <c r="BE92" s="417"/>
      <c r="BF92" s="417"/>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HL92" s="35"/>
      <c r="HM92" s="252"/>
      <c r="HN92" s="258"/>
      <c r="HO92" s="35"/>
      <c r="HP92" s="35"/>
      <c r="HQ92" s="35"/>
      <c r="HR92" s="35"/>
      <c r="HS92" s="35"/>
      <c r="HT92" s="35"/>
      <c r="HU92" s="35"/>
      <c r="HV92" s="35"/>
      <c r="HW92" s="35"/>
      <c r="HX92" s="35"/>
      <c r="HY92" s="35"/>
      <c r="HZ92" s="35"/>
      <c r="IA92" s="35"/>
    </row>
    <row r="93" spans="1:235">
      <c r="A93" s="27" t="s">
        <v>528</v>
      </c>
      <c r="B93" s="121">
        <v>32026.285250000001</v>
      </c>
      <c r="C93" s="121">
        <v>31865.01325</v>
      </c>
      <c r="D93" s="121">
        <v>31977.951249999998</v>
      </c>
      <c r="E93" s="121">
        <v>32100.046249999999</v>
      </c>
      <c r="F93" s="121">
        <v>32036.914250000002</v>
      </c>
      <c r="G93" s="121">
        <v>32161.296249999999</v>
      </c>
      <c r="H93" s="121">
        <v>32457.485250000002</v>
      </c>
      <c r="I93" s="121">
        <v>32527.129250000002</v>
      </c>
      <c r="J93" s="121">
        <v>32451.490249999999</v>
      </c>
      <c r="K93" s="121">
        <v>32699.749250000001</v>
      </c>
      <c r="L93" s="121">
        <v>32585.58325</v>
      </c>
      <c r="M93" s="121">
        <v>32617.395250000001</v>
      </c>
      <c r="N93" s="121">
        <v>32808.945249999997</v>
      </c>
      <c r="O93" s="121">
        <v>32839</v>
      </c>
      <c r="P93" s="121">
        <v>33324</v>
      </c>
      <c r="Q93" s="121">
        <v>33459</v>
      </c>
      <c r="R93" s="121">
        <v>33205</v>
      </c>
      <c r="S93" s="121">
        <v>33469</v>
      </c>
      <c r="T93" s="121">
        <v>33690</v>
      </c>
      <c r="U93" s="121">
        <v>33642</v>
      </c>
      <c r="V93" s="121">
        <v>33718</v>
      </c>
      <c r="W93" s="121">
        <v>33754</v>
      </c>
      <c r="X93" s="121">
        <v>33628</v>
      </c>
      <c r="Y93" s="121">
        <v>33677</v>
      </c>
      <c r="Z93" s="121">
        <v>33743</v>
      </c>
      <c r="AA93" s="121">
        <v>33674</v>
      </c>
      <c r="AB93" s="121">
        <v>33793</v>
      </c>
      <c r="AC93" s="121">
        <v>33652</v>
      </c>
      <c r="AD93" s="121">
        <v>33816</v>
      </c>
      <c r="AE93" s="121">
        <v>33843</v>
      </c>
      <c r="AF93" s="121">
        <v>33944</v>
      </c>
      <c r="AG93" s="121">
        <v>33859</v>
      </c>
      <c r="AH93" s="121">
        <v>33905</v>
      </c>
      <c r="AI93" s="121">
        <v>34074.819940000001</v>
      </c>
      <c r="AJ93" s="121">
        <v>38910.145979999994</v>
      </c>
      <c r="AK93" s="121">
        <v>38977.850610000001</v>
      </c>
      <c r="AL93" s="121">
        <v>38226.479909999995</v>
      </c>
      <c r="AM93" s="213">
        <v>38422.877059999999</v>
      </c>
      <c r="AN93" s="213">
        <v>38295.896789999999</v>
      </c>
      <c r="AO93" s="213">
        <v>38160.403049999994</v>
      </c>
      <c r="AP93" s="213">
        <v>37999.817969999996</v>
      </c>
      <c r="AQ93" s="213">
        <v>38042.87257</v>
      </c>
      <c r="AR93" s="213">
        <v>38073.693009999995</v>
      </c>
      <c r="AS93" s="251">
        <v>38050.617170000005</v>
      </c>
      <c r="AT93" s="251">
        <v>38128.942630000005</v>
      </c>
      <c r="AU93" s="251">
        <v>38124.828860000001</v>
      </c>
      <c r="AV93" s="251">
        <v>38118.192820000004</v>
      </c>
      <c r="AW93" s="251">
        <v>38013.852049999994</v>
      </c>
      <c r="AX93" s="251">
        <v>38154.330999999998</v>
      </c>
      <c r="AY93" s="251">
        <v>38207.777340000001</v>
      </c>
      <c r="AZ93" s="251">
        <v>38295.60355</v>
      </c>
      <c r="BA93" s="387">
        <v>38252.497020000003</v>
      </c>
      <c r="BB93" s="387">
        <v>38402.663639999999</v>
      </c>
      <c r="BC93" s="387">
        <v>38619.213899999995</v>
      </c>
      <c r="BD93" s="387">
        <v>38751.511399999996</v>
      </c>
      <c r="BE93" s="387">
        <v>38848.172740000002</v>
      </c>
      <c r="BF93" s="387">
        <v>39086.891649999998</v>
      </c>
      <c r="BG93" s="243">
        <v>39301.948060000002</v>
      </c>
      <c r="BH93" s="243">
        <v>39528.82415</v>
      </c>
      <c r="BI93" s="243">
        <v>39623.433270000001</v>
      </c>
      <c r="BJ93" s="243">
        <v>39834.100380000003</v>
      </c>
      <c r="BK93" s="243">
        <v>40259.363749999997</v>
      </c>
      <c r="BL93" s="243">
        <v>40002.890090000001</v>
      </c>
      <c r="BM93" s="243">
        <v>39967.880380000002</v>
      </c>
      <c r="BN93" s="243">
        <v>40117.931629999999</v>
      </c>
      <c r="BO93" s="243">
        <v>40137.18677</v>
      </c>
      <c r="BP93" s="243">
        <v>40205.466489999999</v>
      </c>
      <c r="BQ93" s="243">
        <v>40406.562909999993</v>
      </c>
      <c r="BR93" s="243">
        <v>40629.411249999997</v>
      </c>
      <c r="BS93" s="243">
        <v>40700.71542</v>
      </c>
      <c r="BT93" s="243">
        <v>40727.665799999995</v>
      </c>
      <c r="BU93" s="243">
        <v>40710.578390000002</v>
      </c>
      <c r="BV93" s="243">
        <v>40767.228880000002</v>
      </c>
      <c r="BW93" s="243">
        <v>40905.057280000001</v>
      </c>
      <c r="BX93" s="243">
        <v>41160.520020000004</v>
      </c>
      <c r="BY93" s="243">
        <v>41282.380640000003</v>
      </c>
      <c r="BZ93" s="243">
        <v>39982.275799999996</v>
      </c>
      <c r="CA93" s="243">
        <v>38927.734600000003</v>
      </c>
      <c r="CB93" s="243">
        <v>38021.392659999998</v>
      </c>
      <c r="CC93" s="243">
        <v>37019.487399999998</v>
      </c>
      <c r="CD93" s="243">
        <v>35950.756500000003</v>
      </c>
      <c r="CE93" s="243">
        <v>35134.62313</v>
      </c>
      <c r="CF93" s="243">
        <v>34025.42553</v>
      </c>
      <c r="CG93" s="243">
        <v>32991.141539999997</v>
      </c>
      <c r="CH93" s="243">
        <v>32106.805509999998</v>
      </c>
      <c r="CI93" s="243">
        <v>30795.202239999999</v>
      </c>
      <c r="CJ93" s="243">
        <v>29695.670870000002</v>
      </c>
      <c r="CK93" s="243">
        <v>28077.717679999998</v>
      </c>
      <c r="CL93" s="243">
        <v>27370.166109999998</v>
      </c>
      <c r="CM93" s="243">
        <v>26799.247010000003</v>
      </c>
      <c r="CN93" s="243">
        <v>26553.22307</v>
      </c>
      <c r="CO93" s="243">
        <v>26544.196929999998</v>
      </c>
      <c r="CP93" s="243">
        <v>26380.476620000001</v>
      </c>
      <c r="CQ93" s="243">
        <v>26257.939870000002</v>
      </c>
      <c r="CR93" s="243">
        <v>26069.005499999999</v>
      </c>
      <c r="CS93" s="243">
        <v>26037.874789999998</v>
      </c>
      <c r="CT93" s="243">
        <v>25950.19557</v>
      </c>
      <c r="CU93" s="243">
        <v>25955.165579999997</v>
      </c>
      <c r="CV93" s="243">
        <v>25789.167710000002</v>
      </c>
      <c r="CW93" s="243">
        <v>25688.398550000002</v>
      </c>
      <c r="CX93" s="243">
        <v>25537.703129999998</v>
      </c>
      <c r="CY93" s="243">
        <v>25569.38091</v>
      </c>
      <c r="CZ93" s="243">
        <v>25629.339929999998</v>
      </c>
      <c r="DA93" s="243">
        <v>25705.333899999998</v>
      </c>
      <c r="DB93" s="243">
        <v>25790.760979999999</v>
      </c>
      <c r="DC93" s="828">
        <v>25830.275280000002</v>
      </c>
      <c r="DD93" s="828">
        <v>25852.232690000001</v>
      </c>
      <c r="DE93" s="828">
        <v>25925.983190000003</v>
      </c>
      <c r="DF93" s="828">
        <v>25893.012340000001</v>
      </c>
      <c r="DG93" s="828">
        <v>25992.2575</v>
      </c>
      <c r="DH93" s="828">
        <v>25966.855820000001</v>
      </c>
      <c r="DI93" s="828">
        <v>25903.685430000001</v>
      </c>
      <c r="DJ93" s="828">
        <v>25867.705320000001</v>
      </c>
      <c r="DK93" s="828">
        <v>25898.455109999999</v>
      </c>
      <c r="DL93" s="828">
        <v>25925.131819999999</v>
      </c>
      <c r="DM93" s="828">
        <v>25847.349969999999</v>
      </c>
      <c r="DN93" s="828">
        <v>25870.81739</v>
      </c>
      <c r="DO93" s="828">
        <v>25868.020230000002</v>
      </c>
      <c r="DP93" s="828">
        <v>25768.615089999999</v>
      </c>
      <c r="DQ93" s="828">
        <v>25686.969590000001</v>
      </c>
      <c r="DR93" s="828">
        <v>25634.262850000003</v>
      </c>
      <c r="DS93" s="828">
        <v>25695.380539999998</v>
      </c>
      <c r="DT93" s="828">
        <v>25691.903879999998</v>
      </c>
      <c r="DU93" s="828">
        <v>25704.516</v>
      </c>
      <c r="DV93" s="828">
        <v>25665.571920000002</v>
      </c>
      <c r="DW93" s="828">
        <v>25728.44166</v>
      </c>
      <c r="DX93" s="828">
        <v>25721.300809999997</v>
      </c>
      <c r="DY93" s="828">
        <v>25668.756000000001</v>
      </c>
      <c r="DZ93" s="828">
        <v>25569.201969999998</v>
      </c>
      <c r="EA93" s="828">
        <v>25464.047059999997</v>
      </c>
      <c r="EB93" s="828">
        <v>25456.79927</v>
      </c>
      <c r="EC93" s="828">
        <v>25416.773229999999</v>
      </c>
      <c r="ED93" s="828">
        <v>25432.97277</v>
      </c>
      <c r="EE93" s="828">
        <v>25393.55068</v>
      </c>
      <c r="EF93" s="828">
        <v>25333.30543</v>
      </c>
      <c r="EG93" s="828">
        <v>25075.278079999996</v>
      </c>
      <c r="EH93" s="828">
        <v>25241.811829999999</v>
      </c>
      <c r="EI93" s="828">
        <v>25273.973249999999</v>
      </c>
      <c r="EJ93" s="828">
        <v>25387.42038</v>
      </c>
      <c r="EK93" s="828">
        <v>25318.474699999999</v>
      </c>
      <c r="EL93" s="828">
        <v>25407.263769999998</v>
      </c>
      <c r="EM93" s="828">
        <v>25529.439879999998</v>
      </c>
      <c r="EN93" s="828">
        <v>25706.203600000001</v>
      </c>
      <c r="EO93" s="828">
        <v>25782.52836</v>
      </c>
      <c r="EP93" s="828">
        <v>25962.796670000003</v>
      </c>
      <c r="EQ93" s="828">
        <f>-(VLOOKUP("235",'Input BS ACCTS'!$A$5:$DD$1052,98,FALSE))/1000-EQ78</f>
        <v>26074.226340000001</v>
      </c>
      <c r="ER93" s="828">
        <f>-(VLOOKUP("235",'Input BS ACCTS'!$A$5:$DD$1052,99,FALSE))/1000-ER78</f>
        <v>26300.461460000002</v>
      </c>
      <c r="ES93" s="828">
        <f>-(VLOOKUP("235",'Input BS ACCTS'!$A$5:$DD$1052,100,FALSE))/1000-ES78</f>
        <v>26450.409190000002</v>
      </c>
      <c r="ET93" s="467">
        <f t="shared" ref="ET93:ET98" si="93">SUM(EG93:ES93)/13</f>
        <v>25654.63750076923</v>
      </c>
      <c r="EU93" s="801"/>
      <c r="EV93" s="801"/>
      <c r="HL93" s="35"/>
      <c r="HM93" s="253"/>
      <c r="HN93" s="258"/>
      <c r="HO93" s="35"/>
      <c r="HP93" s="35"/>
      <c r="HQ93" s="35"/>
      <c r="HR93" s="35"/>
      <c r="HS93" s="35"/>
      <c r="HT93" s="35"/>
      <c r="HU93" s="35"/>
      <c r="HV93" s="35"/>
      <c r="HW93" s="35"/>
      <c r="HX93" s="35"/>
      <c r="HY93" s="35"/>
      <c r="HZ93" s="35"/>
      <c r="IA93" s="35"/>
    </row>
    <row r="94" spans="1:235">
      <c r="A94" s="190" t="s">
        <v>287</v>
      </c>
      <c r="B94" s="191">
        <v>8937.8987800000014</v>
      </c>
      <c r="C94" s="191">
        <v>8946.946780000002</v>
      </c>
      <c r="D94" s="191">
        <v>8952.834780000001</v>
      </c>
      <c r="E94" s="191">
        <v>8981.9207800000004</v>
      </c>
      <c r="F94" s="191">
        <v>8983.6677800000016</v>
      </c>
      <c r="G94" s="191">
        <v>8992.3817800000015</v>
      </c>
      <c r="H94" s="191">
        <v>9045.9097800000018</v>
      </c>
      <c r="I94" s="191">
        <v>9074.2577800000017</v>
      </c>
      <c r="J94" s="191">
        <v>9080.8477800000019</v>
      </c>
      <c r="K94" s="191">
        <v>9119.2197800000013</v>
      </c>
      <c r="L94" s="191">
        <v>9238.3897800000013</v>
      </c>
      <c r="M94" s="191">
        <v>9288.9267800000016</v>
      </c>
      <c r="N94" s="191">
        <v>9298.4877800000013</v>
      </c>
      <c r="O94" s="191">
        <v>9404</v>
      </c>
      <c r="P94" s="191">
        <v>9414</v>
      </c>
      <c r="Q94" s="191">
        <v>9445</v>
      </c>
      <c r="R94" s="191">
        <v>9485</v>
      </c>
      <c r="S94" s="191">
        <v>9543</v>
      </c>
      <c r="T94" s="191">
        <v>9537</v>
      </c>
      <c r="U94" s="191">
        <v>9551.8459999999995</v>
      </c>
      <c r="V94" s="191">
        <v>9607.6990000000005</v>
      </c>
      <c r="W94" s="191">
        <v>9624.8649999999998</v>
      </c>
      <c r="X94" s="191">
        <v>9645.884</v>
      </c>
      <c r="Y94" s="191">
        <v>9708.1920100000007</v>
      </c>
      <c r="Z94" s="191">
        <v>9754.4992600000005</v>
      </c>
      <c r="AA94" s="191">
        <v>9766.9580000000005</v>
      </c>
      <c r="AB94" s="191">
        <v>9793.4369999999999</v>
      </c>
      <c r="AC94" s="191">
        <v>9846.6239999999998</v>
      </c>
      <c r="AD94" s="191">
        <v>9854</v>
      </c>
      <c r="AE94" s="191">
        <v>9867.5730000000003</v>
      </c>
      <c r="AF94" s="191">
        <v>9916</v>
      </c>
      <c r="AG94" s="191">
        <v>9995.0282599999991</v>
      </c>
      <c r="AH94" s="191">
        <v>10036.234259999999</v>
      </c>
      <c r="AI94" s="191">
        <v>10061.18678</v>
      </c>
      <c r="AJ94" s="191">
        <v>10077.43778</v>
      </c>
      <c r="AK94" s="191">
        <v>10081.368779999999</v>
      </c>
      <c r="AL94" s="191">
        <v>10152.134779999998</v>
      </c>
      <c r="AM94" s="214">
        <v>10166.790580000001</v>
      </c>
      <c r="AN94" s="214">
        <v>10181.30458</v>
      </c>
      <c r="AO94" s="213">
        <v>6821.0453099999995</v>
      </c>
      <c r="AP94" s="213">
        <v>6861.8860300000006</v>
      </c>
      <c r="AQ94" s="213">
        <v>6902.8350300000002</v>
      </c>
      <c r="AR94" s="213">
        <v>6979.1346800000001</v>
      </c>
      <c r="AS94" s="251">
        <v>7029.2576799999997</v>
      </c>
      <c r="AT94" s="251">
        <v>7049.2886799999997</v>
      </c>
      <c r="AU94" s="251">
        <v>7071.6831199999997</v>
      </c>
      <c r="AV94" s="251">
        <v>7138.7731199999998</v>
      </c>
      <c r="AW94" s="251">
        <v>7371.7761200000004</v>
      </c>
      <c r="AX94" s="251">
        <v>7423.0311200000006</v>
      </c>
      <c r="AY94" s="202">
        <v>7471.6872999999996</v>
      </c>
      <c r="AZ94" s="202">
        <v>7530.0942999999997</v>
      </c>
      <c r="BA94" s="387">
        <v>7564.1442999999999</v>
      </c>
      <c r="BB94" s="387">
        <v>7714.3482999999997</v>
      </c>
      <c r="BC94" s="387">
        <v>7764.9793</v>
      </c>
      <c r="BD94" s="387">
        <v>7827.8942999999999</v>
      </c>
      <c r="BE94" s="387">
        <v>7873.6223</v>
      </c>
      <c r="BF94" s="387">
        <v>7945.5923000000003</v>
      </c>
      <c r="BG94" s="243">
        <v>8035.6365800000003</v>
      </c>
      <c r="BH94" s="243">
        <v>8825.5865799999992</v>
      </c>
      <c r="BI94" s="243">
        <v>8912.5665800000006</v>
      </c>
      <c r="BJ94" s="243">
        <v>8955.97408</v>
      </c>
      <c r="BK94" s="243">
        <v>9024.982</v>
      </c>
      <c r="BL94" s="243">
        <v>9822.9779999999992</v>
      </c>
      <c r="BM94" s="243">
        <v>9842.3649999999998</v>
      </c>
      <c r="BN94" s="243">
        <v>9944.9602400000003</v>
      </c>
      <c r="BO94" s="243">
        <v>10017.49624</v>
      </c>
      <c r="BP94" s="243">
        <v>10092.194589999999</v>
      </c>
      <c r="BQ94" s="243">
        <v>10903.34959</v>
      </c>
      <c r="BR94" s="243">
        <v>11184.51359</v>
      </c>
      <c r="BS94" s="243">
        <v>11269.305109999999</v>
      </c>
      <c r="BT94" s="243">
        <v>11293.09311</v>
      </c>
      <c r="BU94" s="243">
        <v>11468.225109999999</v>
      </c>
      <c r="BV94" s="243">
        <v>11498.118130000001</v>
      </c>
      <c r="BW94" s="243">
        <v>11549.763130000001</v>
      </c>
      <c r="BX94" s="243">
        <v>11593.557449999998</v>
      </c>
      <c r="BY94" s="243">
        <v>11625.38545</v>
      </c>
      <c r="BZ94" s="243">
        <v>11656.524449999999</v>
      </c>
      <c r="CA94" s="243">
        <v>11952.660460000001</v>
      </c>
      <c r="CB94" s="243">
        <v>11992.23846</v>
      </c>
      <c r="CC94" s="243">
        <v>12090.722460000001</v>
      </c>
      <c r="CD94" s="243">
        <v>12161.249460000001</v>
      </c>
      <c r="CE94" s="243">
        <v>12372.744460000002</v>
      </c>
      <c r="CF94" s="243">
        <v>12480.52346</v>
      </c>
      <c r="CG94" s="243">
        <v>12590.723460000001</v>
      </c>
      <c r="CH94" s="243">
        <v>12662.93304</v>
      </c>
      <c r="CI94" s="243">
        <v>12745.836039999998</v>
      </c>
      <c r="CJ94" s="243">
        <v>12438.23164</v>
      </c>
      <c r="CK94" s="243">
        <v>12639.67764</v>
      </c>
      <c r="CL94" s="243">
        <v>12165.105750000001</v>
      </c>
      <c r="CM94" s="243">
        <v>12044.118570000001</v>
      </c>
      <c r="CN94" s="243">
        <v>12174.977210000001</v>
      </c>
      <c r="CO94" s="243">
        <v>12309.216210000001</v>
      </c>
      <c r="CP94" s="243">
        <v>12446.195210000002</v>
      </c>
      <c r="CQ94" s="243">
        <v>11296.197340000001</v>
      </c>
      <c r="CR94" s="243">
        <v>9914.451869999999</v>
      </c>
      <c r="CS94" s="243">
        <v>9831.0645199999999</v>
      </c>
      <c r="CT94" s="243">
        <v>9936.8975200000004</v>
      </c>
      <c r="CU94" s="243">
        <v>10007.435519999999</v>
      </c>
      <c r="CV94" s="243">
        <v>10047.282519999999</v>
      </c>
      <c r="CW94" s="243">
        <v>9607.0660800000005</v>
      </c>
      <c r="CX94" s="243">
        <v>9573.8482899999999</v>
      </c>
      <c r="CY94" s="243">
        <v>9728.9652899999983</v>
      </c>
      <c r="CZ94" s="243">
        <v>9807.0702899999997</v>
      </c>
      <c r="DA94" s="243">
        <v>9950.7211800000005</v>
      </c>
      <c r="DB94" s="243">
        <v>10073.24718</v>
      </c>
      <c r="DC94" s="243">
        <v>10218.86918</v>
      </c>
      <c r="DD94" s="243">
        <v>9921.75216</v>
      </c>
      <c r="DE94" s="243">
        <v>10073.764160000001</v>
      </c>
      <c r="DF94" s="243">
        <v>10228.44751</v>
      </c>
      <c r="DG94" s="243">
        <v>10362.89827</v>
      </c>
      <c r="DH94" s="243">
        <v>10539.340269999999</v>
      </c>
      <c r="DI94" s="243">
        <v>10634.95527</v>
      </c>
      <c r="DJ94" s="243">
        <v>10826.69427</v>
      </c>
      <c r="DK94" s="243">
        <v>11003.76627</v>
      </c>
      <c r="DL94" s="243">
        <v>11120.20327</v>
      </c>
      <c r="DM94" s="243">
        <v>11325.46227</v>
      </c>
      <c r="DN94" s="243">
        <v>11511.79227</v>
      </c>
      <c r="DO94" s="243">
        <v>11785.48027</v>
      </c>
      <c r="DP94" s="243">
        <v>11862.644269999999</v>
      </c>
      <c r="DQ94" s="243">
        <v>12925.400089999999</v>
      </c>
      <c r="DR94" s="243">
        <v>12405.990039999999</v>
      </c>
      <c r="DS94" s="243">
        <v>12710.800039999998</v>
      </c>
      <c r="DT94" s="243">
        <v>12794.821320000001</v>
      </c>
      <c r="DU94" s="243">
        <v>12952.70132</v>
      </c>
      <c r="DV94" s="243">
        <v>13089.07898</v>
      </c>
      <c r="DW94" s="243">
        <v>13337.56698</v>
      </c>
      <c r="DX94" s="243">
        <v>13479.083980000001</v>
      </c>
      <c r="DY94" s="243">
        <v>13776.57998</v>
      </c>
      <c r="DZ94" s="243">
        <v>13915.894980000001</v>
      </c>
      <c r="EA94" s="243">
        <v>14332.008980000001</v>
      </c>
      <c r="EB94" s="243">
        <v>14545.07098</v>
      </c>
      <c r="EC94" s="243">
        <v>14664.98198</v>
      </c>
      <c r="ED94" s="243">
        <v>14788.22798</v>
      </c>
      <c r="EE94" s="243">
        <v>14958.396980000001</v>
      </c>
      <c r="EF94" s="243">
        <v>15370.48098</v>
      </c>
      <c r="EG94" s="243">
        <v>15681.26548</v>
      </c>
      <c r="EH94" s="243">
        <v>15814.28148</v>
      </c>
      <c r="EI94" s="243">
        <v>15923.750480000001</v>
      </c>
      <c r="EJ94" s="243">
        <v>16390.07948</v>
      </c>
      <c r="EK94" s="243">
        <v>16722.185960000003</v>
      </c>
      <c r="EL94" s="243">
        <v>16873.568960000001</v>
      </c>
      <c r="EM94" s="243">
        <v>17005.221239999999</v>
      </c>
      <c r="EN94" s="243">
        <v>17164.304239999998</v>
      </c>
      <c r="EO94" s="243">
        <v>17243.754239999998</v>
      </c>
      <c r="EP94" s="243">
        <v>17573.63164</v>
      </c>
      <c r="EQ94" s="243">
        <f>-(VLOOKUP("252",'Input BS ACCTS'!$A$5:$DD$1052,98,FALSE))/1000</f>
        <v>17895.821640000002</v>
      </c>
      <c r="ER94" s="243">
        <f>-(VLOOKUP("252",'Input BS ACCTS'!$A$5:$DD$1052,99,FALSE))/1000</f>
        <v>18117.211640000001</v>
      </c>
      <c r="ES94" s="243">
        <f>-(VLOOKUP("252",'Input BS ACCTS'!$A$5:$DD$1052,100,FALSE))/1000</f>
        <v>18210.107640000002</v>
      </c>
      <c r="ET94" s="467">
        <f t="shared" si="93"/>
        <v>16970.398778461538</v>
      </c>
      <c r="EU94" s="801"/>
      <c r="EV94" s="801"/>
      <c r="HL94" s="35"/>
      <c r="HM94" s="253"/>
      <c r="HN94" s="258"/>
      <c r="HO94" s="35"/>
      <c r="HP94" s="35"/>
      <c r="HQ94" s="35"/>
      <c r="HR94" s="35"/>
      <c r="HS94" s="35"/>
      <c r="HT94" s="35"/>
      <c r="HU94" s="35"/>
      <c r="HV94" s="35"/>
      <c r="HW94" s="35"/>
      <c r="HX94" s="35"/>
      <c r="HY94" s="35"/>
      <c r="HZ94" s="35"/>
      <c r="IA94" s="35"/>
    </row>
    <row r="95" spans="1:235">
      <c r="A95" s="190" t="s">
        <v>289</v>
      </c>
      <c r="B95" s="191">
        <v>18561.980749999999</v>
      </c>
      <c r="C95" s="191">
        <v>27329.653750000001</v>
      </c>
      <c r="D95" s="191">
        <v>26424.365750000001</v>
      </c>
      <c r="E95" s="191">
        <v>35207.895750000003</v>
      </c>
      <c r="F95" s="191">
        <v>26276.187750000001</v>
      </c>
      <c r="G95" s="191">
        <v>25265.483749999999</v>
      </c>
      <c r="H95" s="191">
        <v>23097.48775</v>
      </c>
      <c r="I95" s="191">
        <v>23113.956750000001</v>
      </c>
      <c r="J95" s="191">
        <v>23104.907749999998</v>
      </c>
      <c r="K95" s="191">
        <v>27121.376749999999</v>
      </c>
      <c r="L95" s="191">
        <v>27137.84575</v>
      </c>
      <c r="M95" s="191">
        <v>27154.314750000001</v>
      </c>
      <c r="N95" s="191">
        <v>32170.783749999999</v>
      </c>
      <c r="O95" s="191">
        <v>32170</v>
      </c>
      <c r="P95" s="191">
        <v>31764</v>
      </c>
      <c r="Q95" s="191">
        <v>33256</v>
      </c>
      <c r="R95" s="191">
        <v>33273</v>
      </c>
      <c r="S95" s="191">
        <v>33289</v>
      </c>
      <c r="T95" s="191">
        <v>33306</v>
      </c>
      <c r="U95" s="191">
        <v>30196.440999999999</v>
      </c>
      <c r="V95" s="191">
        <v>30165.866000000002</v>
      </c>
      <c r="W95" s="191">
        <v>24032.333999999999</v>
      </c>
      <c r="X95" s="191">
        <v>24048.803</v>
      </c>
      <c r="Y95" s="191">
        <v>23994.582710000002</v>
      </c>
      <c r="Z95" s="191">
        <v>24011.051219999998</v>
      </c>
      <c r="AA95" s="191">
        <v>24027.52</v>
      </c>
      <c r="AB95" s="191">
        <v>24043.988000000001</v>
      </c>
      <c r="AC95" s="191">
        <v>31129.775000000001</v>
      </c>
      <c r="AD95" s="191">
        <v>34305</v>
      </c>
      <c r="AE95" s="191">
        <v>34281</v>
      </c>
      <c r="AF95" s="191">
        <v>32570</v>
      </c>
      <c r="AG95" s="191">
        <v>32581.538680000001</v>
      </c>
      <c r="AH95" s="191">
        <v>32598.007189999997</v>
      </c>
      <c r="AI95" s="191">
        <v>32834.440730000002</v>
      </c>
      <c r="AJ95" s="191">
        <v>32115.739109999999</v>
      </c>
      <c r="AK95" s="191">
        <v>31976.82287</v>
      </c>
      <c r="AL95" s="191">
        <v>3557.4005399999996</v>
      </c>
      <c r="AM95" s="214">
        <v>2712.7683099999999</v>
      </c>
      <c r="AN95" s="214">
        <v>2754.43498</v>
      </c>
      <c r="AO95" s="213">
        <v>2948.4328700000005</v>
      </c>
      <c r="AP95" s="213">
        <v>2988.0345399999997</v>
      </c>
      <c r="AQ95" s="213">
        <v>3059.5924599999998</v>
      </c>
      <c r="AR95" s="213">
        <v>2961.5395800000001</v>
      </c>
      <c r="AS95" s="251">
        <v>3037.1883200000002</v>
      </c>
      <c r="AT95" s="251">
        <v>3144.0742799999998</v>
      </c>
      <c r="AU95" s="251">
        <v>3237.66219</v>
      </c>
      <c r="AV95" s="251">
        <v>3304.7749100000001</v>
      </c>
      <c r="AW95" s="251">
        <v>3334.8692600000004</v>
      </c>
      <c r="AX95" s="251">
        <v>3358.7960600000001</v>
      </c>
      <c r="AY95" s="216">
        <v>3445.39203</v>
      </c>
      <c r="AZ95" s="216">
        <v>3618.5565600000004</v>
      </c>
      <c r="BA95" s="387">
        <v>3214.1805400000003</v>
      </c>
      <c r="BB95" s="387">
        <v>3209.4516899999999</v>
      </c>
      <c r="BC95" s="387">
        <v>3322.0738200000001</v>
      </c>
      <c r="BD95" s="387">
        <v>3296.7580800000001</v>
      </c>
      <c r="BE95" s="387">
        <v>3248.3142100000005</v>
      </c>
      <c r="BF95" s="387">
        <v>4162.0674799999997</v>
      </c>
      <c r="BG95" s="243">
        <v>4044.5939100000005</v>
      </c>
      <c r="BH95" s="243">
        <v>4236.3765299999995</v>
      </c>
      <c r="BI95" s="243">
        <v>4095.1042500000003</v>
      </c>
      <c r="BJ95" s="243">
        <v>4014.95894</v>
      </c>
      <c r="BK95" s="243">
        <v>4108.7925099999993</v>
      </c>
      <c r="BL95" s="243">
        <v>4067.6334100000004</v>
      </c>
      <c r="BM95" s="243">
        <v>4358.5321599999997</v>
      </c>
      <c r="BN95" s="243">
        <v>4220.4072500000002</v>
      </c>
      <c r="BO95" s="243">
        <v>3916.5560100000002</v>
      </c>
      <c r="BP95" s="243">
        <v>3664.1916400000005</v>
      </c>
      <c r="BQ95" s="243">
        <v>1718.0862200000001</v>
      </c>
      <c r="BR95" s="243">
        <v>1587.53394</v>
      </c>
      <c r="BS95" s="243">
        <v>1494.5050000000001</v>
      </c>
      <c r="BT95" s="243">
        <v>1299.1302500000002</v>
      </c>
      <c r="BU95" s="243">
        <v>1177.9429599999999</v>
      </c>
      <c r="BV95" s="243">
        <v>1122.27565</v>
      </c>
      <c r="BW95" s="243">
        <v>1065.7770499999999</v>
      </c>
      <c r="BX95" s="243">
        <v>1481.06367</v>
      </c>
      <c r="BY95" s="243">
        <v>1736.4358200000001</v>
      </c>
      <c r="BZ95" s="243">
        <v>1967.46875</v>
      </c>
      <c r="CA95" s="243">
        <v>2142.9512400000003</v>
      </c>
      <c r="CB95" s="243">
        <v>1909.70272</v>
      </c>
      <c r="CC95" s="243">
        <v>1726.32105</v>
      </c>
      <c r="CD95" s="243">
        <v>1460.3338200000003</v>
      </c>
      <c r="CE95" s="243">
        <v>1091.53782</v>
      </c>
      <c r="CF95" s="243">
        <v>1334.5079799999999</v>
      </c>
      <c r="CG95" s="243">
        <v>1402.3156300000001</v>
      </c>
      <c r="CH95" s="243">
        <v>1547.9349299999999</v>
      </c>
      <c r="CI95" s="243">
        <v>1654.3358399999997</v>
      </c>
      <c r="CJ95" s="243">
        <v>1875.90227</v>
      </c>
      <c r="CK95" s="243">
        <v>2012.05728</v>
      </c>
      <c r="CL95" s="243">
        <v>1760.89995</v>
      </c>
      <c r="CM95" s="243">
        <v>1898.9090199999998</v>
      </c>
      <c r="CN95" s="243">
        <v>1825.59401</v>
      </c>
      <c r="CO95" s="243">
        <v>1794.3017499999999</v>
      </c>
      <c r="CP95" s="243">
        <v>1845.4336699999999</v>
      </c>
      <c r="CQ95" s="243">
        <v>2018.3746100000001</v>
      </c>
      <c r="CR95" s="243">
        <v>2076.7182900000003</v>
      </c>
      <c r="CS95" s="243">
        <v>1876.4167499999999</v>
      </c>
      <c r="CT95" s="243">
        <v>2111.3068400000002</v>
      </c>
      <c r="CU95" s="243">
        <v>2357.0290999999997</v>
      </c>
      <c r="CV95" s="243">
        <v>2432.58212</v>
      </c>
      <c r="CW95" s="243">
        <v>2441.2042700000002</v>
      </c>
      <c r="CX95" s="243">
        <v>2342.9549400000001</v>
      </c>
      <c r="CY95" s="243">
        <v>2545.2114900000001</v>
      </c>
      <c r="CZ95" s="243">
        <v>2880.5538200000001</v>
      </c>
      <c r="DA95" s="243">
        <v>2962.1527800000003</v>
      </c>
      <c r="DB95" s="243">
        <v>3141.1918599999999</v>
      </c>
      <c r="DC95" s="243">
        <v>3322.6831099999999</v>
      </c>
      <c r="DD95" s="243">
        <v>3482.2316900000001</v>
      </c>
      <c r="DE95" s="243">
        <v>3738.1993900000002</v>
      </c>
      <c r="DF95" s="243">
        <v>3968.3134700000001</v>
      </c>
      <c r="DG95" s="243">
        <v>4220.12914</v>
      </c>
      <c r="DH95" s="243">
        <v>4581.2205799999992</v>
      </c>
      <c r="DI95" s="243">
        <v>3841.2331999999997</v>
      </c>
      <c r="DJ95" s="243">
        <v>3833.1259700000001</v>
      </c>
      <c r="DK95" s="243">
        <v>3729.6466100000002</v>
      </c>
      <c r="DL95" s="243">
        <v>3351.1451200000001</v>
      </c>
      <c r="DM95" s="243">
        <v>3464.05852</v>
      </c>
      <c r="DN95" s="243">
        <v>3055.1441399999999</v>
      </c>
      <c r="DO95" s="243">
        <v>3820.5402199999999</v>
      </c>
      <c r="DP95" s="243">
        <v>4609.1460100000004</v>
      </c>
      <c r="DQ95" s="243">
        <v>5023.2906700000003</v>
      </c>
      <c r="DR95" s="243">
        <v>5211.5989099999997</v>
      </c>
      <c r="DS95" s="243">
        <v>5463.9063000000006</v>
      </c>
      <c r="DT95" s="243">
        <v>5442.1300699999993</v>
      </c>
      <c r="DU95" s="243">
        <v>6124.9929400000001</v>
      </c>
      <c r="DV95" s="243">
        <v>6501.64077</v>
      </c>
      <c r="DW95" s="243">
        <v>6232.6880000000001</v>
      </c>
      <c r="DX95" s="243">
        <v>5858.2771300000004</v>
      </c>
      <c r="DY95" s="243">
        <v>6950.5145599999996</v>
      </c>
      <c r="DZ95" s="243">
        <v>7816.0817300000008</v>
      </c>
      <c r="EA95" s="243">
        <v>8699.0706499999997</v>
      </c>
      <c r="EB95" s="243">
        <v>8752.3394099999987</v>
      </c>
      <c r="EC95" s="243">
        <v>8485.8856100000012</v>
      </c>
      <c r="ED95" s="243">
        <v>8613.1363500000007</v>
      </c>
      <c r="EE95" s="243">
        <v>8475.9923500000004</v>
      </c>
      <c r="EF95" s="243">
        <v>8408.2087200000005</v>
      </c>
      <c r="EG95" s="243">
        <v>8634.7723600000008</v>
      </c>
      <c r="EH95" s="243">
        <v>8653.8845200000014</v>
      </c>
      <c r="EI95" s="243">
        <v>6915.6133899999995</v>
      </c>
      <c r="EJ95" s="243">
        <v>2771.3622099999998</v>
      </c>
      <c r="EK95" s="243">
        <v>2725.0357399999998</v>
      </c>
      <c r="EL95" s="243">
        <v>2590.9693200000002</v>
      </c>
      <c r="EM95" s="243">
        <v>2233.0205799999999</v>
      </c>
      <c r="EN95" s="243">
        <v>2429.1965699999996</v>
      </c>
      <c r="EO95" s="243">
        <v>2408.3903799999998</v>
      </c>
      <c r="EP95" s="243">
        <v>3732.0723800000001</v>
      </c>
      <c r="EQ95" s="243">
        <f>-((VLOOKUP("253",'Input BS ACCTS'!$A$5:$DD$1052,98,FALSE))/1000+VLOOKUP("2540281",'Input BS ACCTS'!$A$5:$DD$1052,98,FALSE)/1000+VLOOKUP("2540330",'Input BS ACCTS'!$A$5:$DD$1052,98,FALSE)/1000+VLOOKUP("2540340",'Input BS ACCTS'!$A$5:$DD$1052,98,FALSE)/1000)</f>
        <v>3789.2440999999999</v>
      </c>
      <c r="ER95" s="243">
        <f>-((VLOOKUP("253",'Input BS ACCTS'!$A$5:$DD$1052,99,FALSE))/1000+VLOOKUP("2540281",'Input BS ACCTS'!$A$5:$DD$1052,99,FALSE)/1000+VLOOKUP("2540330",'Input BS ACCTS'!$A$5:$DD$1052,99,FALSE)/1000+VLOOKUP("2540340",'Input BS ACCTS'!$A$5:$DD$1052,99,FALSE)/1000)</f>
        <v>3590.9646400000001</v>
      </c>
      <c r="ES95" s="243">
        <f>-((VLOOKUP("253",'Input BS ACCTS'!$A$5:$DD$1052,100,FALSE))/1000+VLOOKUP("2540281",'Input BS ACCTS'!$A$5:$DD$1052,100,FALSE)/1000+VLOOKUP("2540330",'Input BS ACCTS'!$A$5:$DD$1052,100,FALSE)/1000+VLOOKUP("2540340",'Input BS ACCTS'!$A$5:$DD$1052,100,FALSE)/1000)</f>
        <v>4140.0796700000001</v>
      </c>
      <c r="ET95" s="467">
        <f t="shared" si="93"/>
        <v>4201.1235276923071</v>
      </c>
      <c r="EU95" s="801"/>
      <c r="EV95" s="801"/>
      <c r="EW95" s="509">
        <v>-199.68299999999999</v>
      </c>
      <c r="EX95" s="509">
        <v>-266.80500000000001</v>
      </c>
      <c r="EY95" s="509">
        <v>-334.21100000000001</v>
      </c>
      <c r="EZ95" s="509">
        <v>-401.904</v>
      </c>
      <c r="FA95" s="509">
        <v>-469.88600000000002</v>
      </c>
      <c r="FB95" s="509">
        <v>-584.61599999999999</v>
      </c>
      <c r="FC95" s="509">
        <v>-676.55799999999999</v>
      </c>
      <c r="FD95" s="509">
        <f>+'Input BS ACCTS'!AO299/1000</f>
        <v>-768.48299999999995</v>
      </c>
      <c r="FE95" s="509">
        <f>+'Input BS ACCTS'!AP299/1000</f>
        <v>-860.80399999999997</v>
      </c>
      <c r="FF95" s="509">
        <f>+'Input BS ACCTS'!AQ299/1000</f>
        <v>-953.52300000000002</v>
      </c>
      <c r="FG95" s="509">
        <f>+'Input BS ACCTS'!AR299/1000</f>
        <v>-989.83500000000004</v>
      </c>
      <c r="FH95" s="509">
        <f>+'Input BS ACCTS'!AS299/1000</f>
        <v>-1026.0830000000001</v>
      </c>
      <c r="FI95" s="509">
        <f>+'Input BS ACCTS'!AT299/1000</f>
        <v>-1062.2660000000001</v>
      </c>
      <c r="FJ95" s="509">
        <f>+'Input BS ACCTS'!AU299/1000</f>
        <v>-1098.383</v>
      </c>
      <c r="FK95" s="509">
        <f>+'Input BS ACCTS'!AV299/1000</f>
        <v>-1134.433</v>
      </c>
      <c r="FL95" s="509">
        <f>+'Input BS ACCTS'!AW299/1000</f>
        <v>-1170.4159999999999</v>
      </c>
      <c r="FM95" s="509">
        <f>+'Input BS ACCTS'!AX299/1000</f>
        <v>-1186.4649999999999</v>
      </c>
      <c r="FN95" s="509">
        <f>+'Input BS ACCTS'!AY299/1000</f>
        <v>-1202.2809999999999</v>
      </c>
      <c r="FO95" s="509">
        <f>+'Input BS ACCTS'!AZ299/1000</f>
        <v>-1217.864</v>
      </c>
      <c r="FP95" s="509">
        <f>+'Input BS ACCTS'!BA299/1000</f>
        <v>-1232.548</v>
      </c>
      <c r="FQ95" s="509">
        <f>+'Input BS ACCTS'!BB299/1000</f>
        <v>-1246.9880000000001</v>
      </c>
      <c r="FR95" s="509">
        <f>+'Input BS ACCTS'!BC299/1000</f>
        <v>-1261.182</v>
      </c>
      <c r="FS95" s="509">
        <f>+'Input BS ACCTS'!BD299/1000</f>
        <v>-1275.1289999999999</v>
      </c>
      <c r="FT95" s="509">
        <f>+'Input BS ACCTS'!BE299/1000</f>
        <v>-1288.826</v>
      </c>
      <c r="FU95" s="509">
        <f>+'Input BS ACCTS'!BF299/1000</f>
        <v>-1302.2719999999999</v>
      </c>
      <c r="FV95" s="509">
        <f>+'Input BS ACCTS'!BG299/1000</f>
        <v>-1315.4639999999999</v>
      </c>
      <c r="FW95" s="509">
        <f>+'Input BS ACCTS'!BH299/1000</f>
        <v>-1328.4010000000001</v>
      </c>
      <c r="FX95" s="509">
        <f>+'Input BS ACCTS'!BI299/1000</f>
        <v>-1341.08</v>
      </c>
      <c r="FY95" s="509">
        <f>+'Input BS ACCTS'!BJ299/1000</f>
        <v>-1353.499</v>
      </c>
      <c r="FZ95" s="509">
        <f>+'Input BS ACCTS'!BK299/1000</f>
        <v>-1365.6559999999999</v>
      </c>
      <c r="GA95" s="509">
        <f>+'Input BS ACCTS'!BL299/1000</f>
        <v>-1377.549</v>
      </c>
      <c r="GB95" s="509">
        <f>+'Input BS ACCTS'!BM299/1000</f>
        <v>-1388.511</v>
      </c>
      <c r="GC95" s="509">
        <f>+'Input BS ACCTS'!BN299/1000</f>
        <v>-1399.1990000000001</v>
      </c>
      <c r="GD95" s="509">
        <f>+'Input BS ACCTS'!BO299/1000</f>
        <v>-1409.6110000000001</v>
      </c>
      <c r="GE95" s="509">
        <f>+'Input BS ACCTS'!BP299/1000</f>
        <v>-1419.7439999999999</v>
      </c>
      <c r="GF95" s="509">
        <f>+'Input BS ACCTS'!BQ299/1000</f>
        <v>-1429.596</v>
      </c>
      <c r="GG95" s="509">
        <f>+'Input BS ACCTS'!BR299/1000</f>
        <v>-1439.164</v>
      </c>
      <c r="GH95" s="509">
        <f>+'Input BS ACCTS'!BS299/1000</f>
        <v>-1448.4469999999999</v>
      </c>
      <c r="GI95" s="509">
        <f>+'Input BS ACCTS'!BT299/1000</f>
        <v>-1457.442</v>
      </c>
      <c r="GJ95" s="509">
        <f>+'Input BS ACCTS'!BU299/1000</f>
        <v>-1466.146</v>
      </c>
      <c r="GK95" s="509">
        <f>+'Input BS ACCTS'!BV299/1000</f>
        <v>-1474.556</v>
      </c>
      <c r="GL95" s="509">
        <f>+'Input BS ACCTS'!BW299/1000</f>
        <v>-1482.671</v>
      </c>
      <c r="GM95" s="509">
        <f>+'Input BS ACCTS'!BX299/1000</f>
        <v>-1490.489</v>
      </c>
      <c r="GN95" s="509">
        <f>+'Input BS ACCTS'!BY299/1000</f>
        <v>-1497.3430000000001</v>
      </c>
      <c r="GO95" s="509">
        <f>+'Input BS ACCTS'!BZ299/1000</f>
        <v>-1503.89</v>
      </c>
      <c r="GP95" s="509">
        <f>+'Input BS ACCTS'!CA299/1000</f>
        <v>-1510.126</v>
      </c>
      <c r="GQ95" s="509">
        <f>+'Input BS ACCTS'!CB299/1000</f>
        <v>-1531.7260000000001</v>
      </c>
      <c r="GR95" s="509">
        <f>+'Input BS ACCTS'!CC299/1000</f>
        <v>-1553.14</v>
      </c>
      <c r="GS95" s="509">
        <f>+'Input BS ACCTS'!CD299/1000</f>
        <v>-1574.365</v>
      </c>
      <c r="GT95" s="509">
        <f>+'Input BS ACCTS'!CE299/1000</f>
        <v>-1595.402</v>
      </c>
      <c r="GU95" s="509">
        <f>+'Input BS ACCTS'!CF299/1000</f>
        <v>-1616.2470000000001</v>
      </c>
      <c r="GV95" s="509">
        <f>+'Input BS ACCTS'!CG299/1000</f>
        <v>-1636.8989999999999</v>
      </c>
      <c r="GW95" s="509">
        <f>+'Input BS ACCTS'!CH299/1000</f>
        <v>-1662.84</v>
      </c>
      <c r="GX95" s="509">
        <f>+'Input BS ACCTS'!CI299/1000</f>
        <v>-1688.6310000000001</v>
      </c>
      <c r="GY95" s="509">
        <f>+'Input BS ACCTS'!CJ299/1000</f>
        <v>-1714.384</v>
      </c>
      <c r="GZ95" s="509">
        <f>+'Input BS ACCTS'!CK299/1000</f>
        <v>-1739.0940000000001</v>
      </c>
      <c r="HA95" s="509">
        <f>+'Input BS ACCTS'!CL299/1000</f>
        <v>-1763.758</v>
      </c>
      <c r="HB95" s="509">
        <f>+'Input BS ACCTS'!CM299/1000</f>
        <v>-1788.261</v>
      </c>
      <c r="HC95" s="509">
        <f>+'Input BS ACCTS'!CN299/1000</f>
        <v>-1812.6020000000001</v>
      </c>
      <c r="HD95" s="509">
        <f>+'Input BS ACCTS'!CO299/1000</f>
        <v>-1836.779</v>
      </c>
      <c r="HE95" s="509">
        <f>+'Input BS ACCTS'!CP299/1000</f>
        <v>-1860.7909999999999</v>
      </c>
      <c r="HF95" s="509">
        <f>+'Input BS ACCTS'!CQ299/1000</f>
        <v>-1884.6369999999999</v>
      </c>
      <c r="HG95" s="509">
        <f>+'Input BS ACCTS'!CR299/1000</f>
        <v>-1908.3150000000001</v>
      </c>
      <c r="HH95" s="509">
        <f>+'Input BS ACCTS'!CS299/1000</f>
        <v>-1931.8240000000001</v>
      </c>
      <c r="HI95" s="509">
        <f>+'Input BS ACCTS'!CT299/1000</f>
        <v>-1955.162</v>
      </c>
      <c r="HJ95" s="509">
        <f>+'Input BS ACCTS'!CU299/1000</f>
        <v>-1978.329</v>
      </c>
      <c r="HK95" s="509">
        <f>+'Input BS ACCTS'!CV299/1000</f>
        <v>-2001.3209999999999</v>
      </c>
      <c r="HL95" s="515" t="s">
        <v>1706</v>
      </c>
      <c r="HM95" s="513">
        <v>2530360</v>
      </c>
      <c r="HN95" s="258"/>
      <c r="HO95" s="35"/>
      <c r="HP95" s="35"/>
      <c r="HQ95" s="35"/>
      <c r="HR95" s="35"/>
      <c r="HS95" s="35"/>
      <c r="HT95" s="35"/>
      <c r="HU95" s="35"/>
      <c r="HV95" s="35"/>
      <c r="HW95" s="35"/>
      <c r="HX95" s="35"/>
      <c r="HY95" s="35"/>
      <c r="HZ95" s="35"/>
      <c r="IA95" s="35"/>
    </row>
    <row r="96" spans="1:235" ht="14.45" customHeight="1">
      <c r="A96" s="27" t="s">
        <v>285</v>
      </c>
      <c r="B96" s="121">
        <v>75428.403210000004</v>
      </c>
      <c r="C96" s="121">
        <v>80850.330210000015</v>
      </c>
      <c r="D96" s="121">
        <v>77815.928210000013</v>
      </c>
      <c r="E96" s="121">
        <v>78248.37821000001</v>
      </c>
      <c r="F96" s="121">
        <v>76658.45021000001</v>
      </c>
      <c r="G96" s="121">
        <v>76283.396210000006</v>
      </c>
      <c r="H96" s="121">
        <v>78428.430210000006</v>
      </c>
      <c r="I96" s="121">
        <v>78277.425210000001</v>
      </c>
      <c r="J96" s="121">
        <v>78003.714210000006</v>
      </c>
      <c r="K96" s="121">
        <v>77945.927210000009</v>
      </c>
      <c r="L96" s="121">
        <v>78172.351210000008</v>
      </c>
      <c r="M96" s="121">
        <v>80359.357210000002</v>
      </c>
      <c r="N96" s="121">
        <v>80849.326210000014</v>
      </c>
      <c r="O96" s="121">
        <v>80494</v>
      </c>
      <c r="P96" s="121">
        <v>87373</v>
      </c>
      <c r="Q96" s="121">
        <v>92250</v>
      </c>
      <c r="R96" s="121">
        <v>88861</v>
      </c>
      <c r="S96" s="121">
        <v>89586</v>
      </c>
      <c r="T96" s="121">
        <v>89015</v>
      </c>
      <c r="U96" s="121">
        <v>89204</v>
      </c>
      <c r="V96" s="121">
        <v>90332</v>
      </c>
      <c r="W96" s="121">
        <v>89790</v>
      </c>
      <c r="X96" s="121">
        <v>92180.828999999998</v>
      </c>
      <c r="Y96" s="121">
        <v>94179</v>
      </c>
      <c r="Z96" s="121">
        <v>96688</v>
      </c>
      <c r="AA96" s="121">
        <v>98540</v>
      </c>
      <c r="AB96" s="121">
        <v>124110</v>
      </c>
      <c r="AC96" s="121">
        <v>126972</v>
      </c>
      <c r="AD96" s="121">
        <v>131781</v>
      </c>
      <c r="AE96" s="121">
        <v>132949</v>
      </c>
      <c r="AF96" s="121">
        <v>134845</v>
      </c>
      <c r="AG96" s="121">
        <v>136619.76246</v>
      </c>
      <c r="AH96" s="121">
        <v>138225.99155999999</v>
      </c>
      <c r="AI96" s="121">
        <v>139413.31462000002</v>
      </c>
      <c r="AJ96" s="121">
        <v>140738.00428999998</v>
      </c>
      <c r="AK96" s="121">
        <v>143502.26073000001</v>
      </c>
      <c r="AL96" s="121">
        <v>144171.63615999999</v>
      </c>
      <c r="AM96" s="213">
        <v>146899.68327000001</v>
      </c>
      <c r="AN96" s="213">
        <v>149553.39519000001</v>
      </c>
      <c r="AO96" s="213">
        <v>151756.99493000002</v>
      </c>
      <c r="AP96" s="213">
        <v>151640.56745999999</v>
      </c>
      <c r="AQ96" s="213">
        <v>152118.94229000004</v>
      </c>
      <c r="AR96" s="213">
        <v>152798.49539</v>
      </c>
      <c r="AS96" s="251">
        <v>153898.36851</v>
      </c>
      <c r="AT96" s="251">
        <v>154117.30215</v>
      </c>
      <c r="AU96" s="251">
        <v>155202.85937000002</v>
      </c>
      <c r="AV96" s="251">
        <v>156279.47748</v>
      </c>
      <c r="AW96" s="251">
        <v>156868.92576000001</v>
      </c>
      <c r="AX96" s="251">
        <v>157757.39265999998</v>
      </c>
      <c r="AY96" s="202">
        <v>158760.99332000001</v>
      </c>
      <c r="AZ96" s="202">
        <v>154625.47456000003</v>
      </c>
      <c r="BA96" s="387">
        <v>152034.67648999998</v>
      </c>
      <c r="BB96" s="387">
        <v>153329.85774000001</v>
      </c>
      <c r="BC96" s="387">
        <v>152404.18103000001</v>
      </c>
      <c r="BD96" s="387">
        <v>152266.18667000002</v>
      </c>
      <c r="BE96" s="387">
        <v>153271.86556000001</v>
      </c>
      <c r="BF96" s="387">
        <v>152343.98796999999</v>
      </c>
      <c r="BG96" s="243">
        <v>152318.06987000001</v>
      </c>
      <c r="BH96" s="243">
        <v>153523.36007999998</v>
      </c>
      <c r="BI96" s="243">
        <v>153184.97704</v>
      </c>
      <c r="BJ96" s="243">
        <v>156115.04922999998</v>
      </c>
      <c r="BK96" s="243">
        <v>156944.83950999999</v>
      </c>
      <c r="BL96" s="243">
        <v>157255.63082000002</v>
      </c>
      <c r="BM96" s="243">
        <v>169457.67861</v>
      </c>
      <c r="BN96" s="243">
        <v>169683.02832999997</v>
      </c>
      <c r="BO96" s="243">
        <v>169773.53014000002</v>
      </c>
      <c r="BP96" s="243">
        <v>170146.28786000001</v>
      </c>
      <c r="BQ96" s="243">
        <v>170420.86499</v>
      </c>
      <c r="BR96" s="243">
        <v>170709.49824000002</v>
      </c>
      <c r="BS96" s="243">
        <v>169956.47529</v>
      </c>
      <c r="BT96" s="243">
        <v>169968.73970000001</v>
      </c>
      <c r="BU96" s="243">
        <v>170655.35631</v>
      </c>
      <c r="BV96" s="243">
        <v>172208.55228000003</v>
      </c>
      <c r="BW96" s="243">
        <v>174535.19439999998</v>
      </c>
      <c r="BX96" s="243">
        <v>176004.08474000002</v>
      </c>
      <c r="BY96" s="243">
        <v>189290.54456000001</v>
      </c>
      <c r="BZ96" s="243">
        <v>189953.56733999998</v>
      </c>
      <c r="CA96" s="243">
        <v>190028.57493999999</v>
      </c>
      <c r="CB96" s="243">
        <v>190490.05226999999</v>
      </c>
      <c r="CC96" s="243">
        <v>191332.05318000002</v>
      </c>
      <c r="CD96" s="243">
        <v>192707.47218000001</v>
      </c>
      <c r="CE96" s="243">
        <v>192490.37255999999</v>
      </c>
      <c r="CF96" s="243">
        <v>193783.99451000002</v>
      </c>
      <c r="CG96" s="243">
        <v>195543.01063</v>
      </c>
      <c r="CH96" s="243">
        <v>198836.67331000001</v>
      </c>
      <c r="CI96" s="243">
        <v>200595.91824999999</v>
      </c>
      <c r="CJ96" s="243">
        <v>202442.57405</v>
      </c>
      <c r="CK96" s="243">
        <v>211820.33515999999</v>
      </c>
      <c r="CL96" s="243">
        <v>213196.57134999998</v>
      </c>
      <c r="CM96" s="243">
        <v>214951.19583000001</v>
      </c>
      <c r="CN96" s="243">
        <v>217911.91699</v>
      </c>
      <c r="CO96" s="243">
        <v>219988.53857999999</v>
      </c>
      <c r="CP96" s="243">
        <v>222932.74677</v>
      </c>
      <c r="CQ96" s="243">
        <v>226038.26397</v>
      </c>
      <c r="CR96" s="243">
        <v>228749.07180000001</v>
      </c>
      <c r="CS96" s="243">
        <v>231164.54391000004</v>
      </c>
      <c r="CT96" s="243">
        <v>233259.77981000001</v>
      </c>
      <c r="CU96" s="243">
        <v>236650.98024999999</v>
      </c>
      <c r="CV96" s="243">
        <v>239693.60222999999</v>
      </c>
      <c r="CW96" s="243">
        <v>146162.85715999999</v>
      </c>
      <c r="CX96" s="243">
        <v>146549.68096999999</v>
      </c>
      <c r="CY96" s="243">
        <v>147270.87813000003</v>
      </c>
      <c r="CZ96" s="243">
        <v>147948.91418000002</v>
      </c>
      <c r="DA96" s="243">
        <v>148616.57829</v>
      </c>
      <c r="DB96" s="243">
        <v>149465.65848000001</v>
      </c>
      <c r="DC96" s="243">
        <v>150085.83319</v>
      </c>
      <c r="DD96" s="243">
        <v>150912.73785</v>
      </c>
      <c r="DE96" s="243">
        <v>152593.36723</v>
      </c>
      <c r="DF96" s="243">
        <v>155101.55662000002</v>
      </c>
      <c r="DG96" s="243">
        <v>156374.47521</v>
      </c>
      <c r="DH96" s="243">
        <v>159494.89270000003</v>
      </c>
      <c r="DI96" s="243">
        <v>160780.30160999999</v>
      </c>
      <c r="DJ96" s="243">
        <v>161239.63977000001</v>
      </c>
      <c r="DK96" s="243">
        <v>162405.45822999999</v>
      </c>
      <c r="DL96" s="243">
        <v>163533.05152999997</v>
      </c>
      <c r="DM96" s="243">
        <v>164691.82187000001</v>
      </c>
      <c r="DN96" s="243">
        <v>165863.18413000004</v>
      </c>
      <c r="DO96" s="243">
        <v>166982.47552000001</v>
      </c>
      <c r="DP96" s="243">
        <v>168175.77171</v>
      </c>
      <c r="DQ96" s="243">
        <v>169405.57754000003</v>
      </c>
      <c r="DR96" s="243">
        <v>171079.32626</v>
      </c>
      <c r="DS96" s="243">
        <v>172087.15589000002</v>
      </c>
      <c r="DT96" s="243">
        <v>173209.55762000001</v>
      </c>
      <c r="DU96" s="243">
        <v>174788.33739999999</v>
      </c>
      <c r="DV96" s="243">
        <v>174683.97661999997</v>
      </c>
      <c r="DW96" s="243">
        <v>177571.02698</v>
      </c>
      <c r="DX96" s="243">
        <v>178948.9902</v>
      </c>
      <c r="DY96" s="243">
        <v>180087.60946000001</v>
      </c>
      <c r="DZ96" s="243">
        <v>181582.17074999999</v>
      </c>
      <c r="EA96" s="243">
        <v>182765.09826</v>
      </c>
      <c r="EB96" s="243">
        <v>184230.11306999999</v>
      </c>
      <c r="EC96" s="243">
        <v>185335.08661</v>
      </c>
      <c r="ED96" s="243">
        <v>186815.07088999997</v>
      </c>
      <c r="EE96" s="243">
        <v>186763.38746</v>
      </c>
      <c r="EF96" s="243">
        <v>187925.36473000003</v>
      </c>
      <c r="EG96" s="243">
        <v>191923.67808000001</v>
      </c>
      <c r="EH96" s="243">
        <v>193336.56522999998</v>
      </c>
      <c r="EI96" s="243">
        <v>195015.62393</v>
      </c>
      <c r="EJ96" s="243">
        <v>196272.03208999996</v>
      </c>
      <c r="EK96" s="243">
        <v>198072.55213</v>
      </c>
      <c r="EL96" s="243">
        <v>199969.53151999999</v>
      </c>
      <c r="EM96" s="243">
        <v>200077.32297000001</v>
      </c>
      <c r="EN96" s="243">
        <v>201871.48693000001</v>
      </c>
      <c r="EO96" s="243">
        <v>202952.64758000002</v>
      </c>
      <c r="EP96" s="243">
        <v>203112.40321000002</v>
      </c>
      <c r="EQ96" s="243">
        <f>-(VLOOKUP("282",'Input BS ACCTS'!$A$5:$DD$1052,98,FALSE)+VLOOKUP("283",'Input BS ACCTS'!$A$5:$DD$1052,98,FALSE))/1000</f>
        <v>205646.81814000002</v>
      </c>
      <c r="ER96" s="243">
        <f>-(VLOOKUP("282",'Input BS ACCTS'!$A$5:$DD$1052,99,FALSE)+VLOOKUP("283",'Input BS ACCTS'!$A$5:$DD$1052,99,FALSE))/1000</f>
        <v>209719.24768999999</v>
      </c>
      <c r="ES96" s="243">
        <f>-(VLOOKUP("282",'Input BS ACCTS'!$A$5:$DD$1052,100,FALSE)+VLOOKUP("283",'Input BS ACCTS'!$A$5:$DD$1052,100,FALSE))/1000</f>
        <v>211197.86616000003</v>
      </c>
      <c r="ET96" s="467">
        <f t="shared" si="93"/>
        <v>200705.21351230776</v>
      </c>
      <c r="EU96" s="801"/>
      <c r="EV96" s="801"/>
      <c r="HL96" s="35"/>
      <c r="HM96" s="253"/>
      <c r="HN96" s="258"/>
      <c r="HO96" s="35"/>
      <c r="HP96" s="35"/>
      <c r="HQ96" s="35"/>
      <c r="HR96" s="35"/>
      <c r="HS96" s="35"/>
      <c r="HT96" s="35"/>
      <c r="HU96" s="35"/>
      <c r="HV96" s="35"/>
      <c r="HW96" s="35"/>
      <c r="HX96" s="35"/>
      <c r="HY96" s="35"/>
      <c r="HZ96" s="35"/>
      <c r="IA96" s="35"/>
    </row>
    <row r="97" spans="1:235" s="218" customFormat="1" ht="12.6" customHeight="1">
      <c r="A97" s="786" t="s">
        <v>1851</v>
      </c>
      <c r="B97" s="211"/>
      <c r="C97" s="211"/>
      <c r="D97" s="211"/>
      <c r="E97" s="211"/>
      <c r="F97" s="211"/>
      <c r="G97" s="211"/>
      <c r="H97" s="211"/>
      <c r="I97" s="211"/>
      <c r="J97" s="211"/>
      <c r="K97" s="211"/>
      <c r="L97" s="211"/>
      <c r="M97" s="211"/>
      <c r="N97" s="211"/>
      <c r="O97" s="211"/>
      <c r="P97" s="211"/>
      <c r="Q97" s="211"/>
      <c r="R97" s="211"/>
      <c r="S97" s="211"/>
      <c r="T97" s="211"/>
      <c r="U97" s="211">
        <v>0</v>
      </c>
      <c r="V97" s="211">
        <v>0</v>
      </c>
      <c r="W97" s="211">
        <v>0</v>
      </c>
      <c r="X97" s="211">
        <v>0</v>
      </c>
      <c r="Y97" s="211">
        <v>0</v>
      </c>
      <c r="Z97" s="211">
        <v>0</v>
      </c>
      <c r="AA97" s="211">
        <v>0</v>
      </c>
      <c r="AB97" s="211">
        <v>0</v>
      </c>
      <c r="AC97" s="211">
        <v>0</v>
      </c>
      <c r="AD97" s="211">
        <v>0</v>
      </c>
      <c r="AE97" s="211">
        <v>0</v>
      </c>
      <c r="AF97" s="211">
        <v>0</v>
      </c>
      <c r="AG97" s="211">
        <v>0</v>
      </c>
      <c r="AH97" s="211">
        <v>0</v>
      </c>
      <c r="AI97" s="211">
        <v>0</v>
      </c>
      <c r="AJ97" s="211">
        <v>0</v>
      </c>
      <c r="AK97" s="211">
        <v>0</v>
      </c>
      <c r="AL97" s="211">
        <v>0</v>
      </c>
      <c r="AM97" s="234">
        <v>0</v>
      </c>
      <c r="AN97" s="234">
        <v>0</v>
      </c>
      <c r="AO97" s="234">
        <v>0</v>
      </c>
      <c r="AP97" s="234">
        <v>0</v>
      </c>
      <c r="AQ97" s="234">
        <v>0</v>
      </c>
      <c r="AR97" s="234">
        <v>0</v>
      </c>
      <c r="AS97" s="285">
        <v>0</v>
      </c>
      <c r="AT97" s="285">
        <v>0</v>
      </c>
      <c r="AU97" s="285">
        <v>0</v>
      </c>
      <c r="AV97" s="285">
        <v>0</v>
      </c>
      <c r="AW97" s="285">
        <v>0</v>
      </c>
      <c r="AX97" s="285">
        <v>0</v>
      </c>
      <c r="AY97" s="285">
        <v>0</v>
      </c>
      <c r="AZ97" s="285">
        <v>0</v>
      </c>
      <c r="BA97" s="787">
        <v>0</v>
      </c>
      <c r="BB97" s="787">
        <v>0</v>
      </c>
      <c r="BC97" s="787">
        <v>0</v>
      </c>
      <c r="BD97" s="787">
        <v>0</v>
      </c>
      <c r="BE97" s="787">
        <v>0</v>
      </c>
      <c r="BF97" s="787">
        <v>0</v>
      </c>
      <c r="BG97" s="285">
        <v>0</v>
      </c>
      <c r="BH97" s="285">
        <v>0</v>
      </c>
      <c r="BI97" s="285">
        <v>0</v>
      </c>
      <c r="BJ97" s="285">
        <v>0</v>
      </c>
      <c r="BK97" s="285">
        <v>0</v>
      </c>
      <c r="BL97" s="285">
        <v>0</v>
      </c>
      <c r="BM97" s="285">
        <v>0</v>
      </c>
      <c r="BN97" s="285">
        <v>0</v>
      </c>
      <c r="BO97" s="285">
        <v>0</v>
      </c>
      <c r="BP97" s="285">
        <v>0</v>
      </c>
      <c r="BQ97" s="285">
        <v>0</v>
      </c>
      <c r="BR97" s="285">
        <v>0</v>
      </c>
      <c r="BS97" s="285">
        <v>0</v>
      </c>
      <c r="BT97" s="285">
        <v>0</v>
      </c>
      <c r="BU97" s="285">
        <v>0</v>
      </c>
      <c r="BV97" s="285">
        <v>0</v>
      </c>
      <c r="BW97" s="285">
        <v>0</v>
      </c>
      <c r="BX97" s="285">
        <v>0</v>
      </c>
      <c r="BY97" s="285">
        <v>0</v>
      </c>
      <c r="BZ97" s="285">
        <v>0</v>
      </c>
      <c r="CA97" s="285">
        <v>0</v>
      </c>
      <c r="CB97" s="285">
        <v>0</v>
      </c>
      <c r="CC97" s="285">
        <v>0</v>
      </c>
      <c r="CD97" s="285">
        <v>0</v>
      </c>
      <c r="CE97" s="285">
        <v>0</v>
      </c>
      <c r="CF97" s="285">
        <v>0</v>
      </c>
      <c r="CG97" s="285">
        <v>0</v>
      </c>
      <c r="CH97" s="285">
        <v>0</v>
      </c>
      <c r="CI97" s="285">
        <v>0</v>
      </c>
      <c r="CJ97" s="285">
        <v>0</v>
      </c>
      <c r="CK97" s="285">
        <v>0</v>
      </c>
      <c r="CL97" s="285">
        <v>0</v>
      </c>
      <c r="CM97" s="285">
        <v>0</v>
      </c>
      <c r="CN97" s="285">
        <v>0</v>
      </c>
      <c r="CO97" s="285">
        <v>0</v>
      </c>
      <c r="CP97" s="285">
        <v>0</v>
      </c>
      <c r="CQ97" s="285">
        <v>0</v>
      </c>
      <c r="CR97" s="285">
        <v>0</v>
      </c>
      <c r="CS97" s="285">
        <v>0</v>
      </c>
      <c r="CT97" s="285">
        <v>0</v>
      </c>
      <c r="CU97" s="243">
        <v>0</v>
      </c>
      <c r="CV97" s="243">
        <v>0</v>
      </c>
      <c r="CW97" s="243">
        <v>89215.247839999996</v>
      </c>
      <c r="CX97" s="243">
        <v>88993.618829999992</v>
      </c>
      <c r="CY97" s="243">
        <v>88772.694959999993</v>
      </c>
      <c r="CZ97" s="243">
        <v>88827.824640000006</v>
      </c>
      <c r="DA97" s="243">
        <v>88698.688569999998</v>
      </c>
      <c r="DB97" s="243">
        <v>89028.647750000004</v>
      </c>
      <c r="DC97" s="243">
        <v>88991.326840000009</v>
      </c>
      <c r="DD97" s="243">
        <v>88954.00579000001</v>
      </c>
      <c r="DE97" s="243">
        <v>88929.436260000002</v>
      </c>
      <c r="DF97" s="243">
        <v>88893.709109999996</v>
      </c>
      <c r="DG97" s="243">
        <v>88857.982060000009</v>
      </c>
      <c r="DH97" s="243">
        <v>90723.707120000006</v>
      </c>
      <c r="DI97" s="243">
        <v>90687.980009999999</v>
      </c>
      <c r="DJ97" s="243">
        <v>90707.229579999999</v>
      </c>
      <c r="DK97" s="243">
        <v>90773.562260000006</v>
      </c>
      <c r="DL97" s="243">
        <v>90817.020250000001</v>
      </c>
      <c r="DM97" s="243">
        <v>90859.144520000002</v>
      </c>
      <c r="DN97" s="243">
        <v>90901.935639999996</v>
      </c>
      <c r="DO97" s="243">
        <v>90944.726750000002</v>
      </c>
      <c r="DP97" s="243">
        <v>90987.517769999991</v>
      </c>
      <c r="DQ97" s="243">
        <v>91073.66936</v>
      </c>
      <c r="DR97" s="243">
        <v>89875.621409999992</v>
      </c>
      <c r="DS97" s="243">
        <v>89923.023269999991</v>
      </c>
      <c r="DT97" s="243">
        <v>89970.425319999995</v>
      </c>
      <c r="DU97" s="243">
        <v>90472.776099999988</v>
      </c>
      <c r="DV97" s="243">
        <v>90499.955489999993</v>
      </c>
      <c r="DW97" s="243">
        <v>90518.828609999997</v>
      </c>
      <c r="DX97" s="243">
        <v>90372.737219999995</v>
      </c>
      <c r="DY97" s="243">
        <v>90395.169049999997</v>
      </c>
      <c r="DZ97" s="243">
        <v>90417.623330000002</v>
      </c>
      <c r="EA97" s="243">
        <v>90530.783329999991</v>
      </c>
      <c r="EB97" s="243">
        <v>90553.345189999993</v>
      </c>
      <c r="EC97" s="243">
        <v>90531.840559999997</v>
      </c>
      <c r="ED97" s="243">
        <v>90637.383310000005</v>
      </c>
      <c r="EE97" s="243">
        <v>93142.210879999999</v>
      </c>
      <c r="EF97" s="243">
        <v>93187.157529999997</v>
      </c>
      <c r="EG97" s="243">
        <v>93201.281370000012</v>
      </c>
      <c r="EH97" s="243">
        <v>93223.383650000003</v>
      </c>
      <c r="EI97" s="243">
        <v>93198.140409999993</v>
      </c>
      <c r="EJ97" s="243">
        <v>93042.872780000005</v>
      </c>
      <c r="EK97" s="243">
        <v>93138.408629999991</v>
      </c>
      <c r="EL97" s="243">
        <v>93162.182029999996</v>
      </c>
      <c r="EM97" s="243">
        <v>92987.853989999989</v>
      </c>
      <c r="EN97" s="243">
        <v>93010.829169999997</v>
      </c>
      <c r="EO97" s="243">
        <v>93034.141940000001</v>
      </c>
      <c r="EP97" s="243">
        <v>92792.742819999999</v>
      </c>
      <c r="EQ97" s="243">
        <f>-VLOOKUP("2540610",'Input BS ACCTS'!$A$5:$DD$1052,98,FALSE)/1000</f>
        <v>92761.579930000007</v>
      </c>
      <c r="ER97" s="243">
        <f>-VLOOKUP("2540610",'Input BS ACCTS'!$A$5:$DD$1052,99,FALSE)/1000</f>
        <v>93212.284239999994</v>
      </c>
      <c r="ES97" s="243">
        <f>-VLOOKUP("2540610",'Input BS ACCTS'!$A$5:$DD$1052,100,FALSE)/1000</f>
        <v>88446.090120000008</v>
      </c>
      <c r="ET97" s="467">
        <f t="shared" si="93"/>
        <v>92708.599313846164</v>
      </c>
      <c r="EU97" s="801"/>
      <c r="EV97" s="801"/>
      <c r="EW97" s="217"/>
      <c r="EX97" s="217"/>
      <c r="EY97" s="217"/>
      <c r="EZ97" s="217"/>
      <c r="FA97" s="217"/>
      <c r="FB97" s="217"/>
      <c r="FC97" s="217"/>
      <c r="FD97" s="217"/>
      <c r="FE97" s="217"/>
      <c r="FF97" s="217"/>
      <c r="FG97" s="217"/>
      <c r="FH97" s="217"/>
      <c r="FI97" s="217"/>
      <c r="FJ97" s="217"/>
      <c r="FK97" s="217"/>
      <c r="FL97" s="217"/>
      <c r="FM97" s="217"/>
      <c r="FN97" s="217"/>
      <c r="FO97" s="217"/>
      <c r="FP97" s="217"/>
      <c r="FQ97" s="217"/>
      <c r="FR97" s="217"/>
      <c r="FS97" s="217"/>
      <c r="FT97" s="217"/>
      <c r="FU97" s="217"/>
      <c r="FV97" s="217"/>
      <c r="FW97" s="217"/>
      <c r="FX97" s="217"/>
      <c r="FY97" s="217"/>
      <c r="FZ97" s="217"/>
      <c r="GA97" s="217"/>
      <c r="GB97" s="217"/>
      <c r="GC97" s="217"/>
      <c r="GD97" s="217"/>
      <c r="GE97" s="217"/>
      <c r="GF97" s="217"/>
      <c r="GG97" s="217"/>
      <c r="GH97" s="217"/>
      <c r="GI97" s="217"/>
      <c r="GJ97" s="217"/>
      <c r="GK97" s="217"/>
      <c r="GL97" s="217"/>
      <c r="GM97" s="217"/>
      <c r="GN97" s="217"/>
      <c r="GO97" s="217"/>
      <c r="GP97" s="217"/>
      <c r="GQ97" s="217"/>
      <c r="GR97" s="217"/>
      <c r="GS97" s="217"/>
      <c r="GT97" s="217"/>
      <c r="GU97" s="217"/>
      <c r="GV97" s="217"/>
      <c r="GW97" s="217"/>
      <c r="GX97" s="217"/>
      <c r="GY97" s="217"/>
      <c r="GZ97" s="217"/>
      <c r="HA97" s="217"/>
      <c r="HB97" s="217"/>
      <c r="HC97" s="217"/>
      <c r="HD97" s="217"/>
      <c r="HE97" s="217"/>
      <c r="HF97" s="217"/>
      <c r="HG97" s="217"/>
      <c r="HH97" s="217"/>
      <c r="HI97" s="217"/>
      <c r="HJ97" s="217"/>
      <c r="HK97" s="217"/>
      <c r="HL97" s="217"/>
      <c r="HM97" s="253"/>
      <c r="HN97" s="258"/>
      <c r="HO97" s="217"/>
      <c r="HP97" s="217"/>
      <c r="HQ97" s="217"/>
      <c r="HR97" s="217"/>
      <c r="HS97" s="217"/>
      <c r="HT97" s="217"/>
      <c r="HU97" s="217"/>
      <c r="HV97" s="217"/>
      <c r="HW97" s="217"/>
      <c r="HX97" s="217"/>
      <c r="HY97" s="217"/>
      <c r="HZ97" s="217"/>
      <c r="IA97" s="217"/>
    </row>
    <row r="98" spans="1:235">
      <c r="A98" s="27" t="s">
        <v>286</v>
      </c>
      <c r="B98" s="124">
        <v>0</v>
      </c>
      <c r="C98" s="124">
        <v>0</v>
      </c>
      <c r="D98" s="124">
        <v>0</v>
      </c>
      <c r="E98" s="124">
        <v>0</v>
      </c>
      <c r="F98" s="124">
        <v>0</v>
      </c>
      <c r="G98" s="124">
        <v>0</v>
      </c>
      <c r="H98" s="124">
        <v>0</v>
      </c>
      <c r="I98" s="124">
        <v>0</v>
      </c>
      <c r="J98" s="124">
        <v>0</v>
      </c>
      <c r="K98" s="124">
        <v>0</v>
      </c>
      <c r="L98" s="124">
        <v>0</v>
      </c>
      <c r="M98" s="124">
        <v>0</v>
      </c>
      <c r="N98" s="124">
        <v>0</v>
      </c>
      <c r="O98" s="124">
        <v>0</v>
      </c>
      <c r="P98" s="124">
        <v>0</v>
      </c>
      <c r="Q98" s="124">
        <v>0</v>
      </c>
      <c r="R98" s="124">
        <v>1</v>
      </c>
      <c r="S98" s="124">
        <v>0</v>
      </c>
      <c r="T98" s="124">
        <v>0</v>
      </c>
      <c r="U98" s="124">
        <v>0</v>
      </c>
      <c r="V98" s="124"/>
      <c r="W98" s="124">
        <v>0</v>
      </c>
      <c r="X98" s="124">
        <v>0</v>
      </c>
      <c r="Y98" s="124">
        <v>0</v>
      </c>
      <c r="Z98" s="124">
        <v>0</v>
      </c>
      <c r="AA98" s="124">
        <v>0</v>
      </c>
      <c r="AB98" s="124">
        <v>0</v>
      </c>
      <c r="AC98" s="124">
        <v>0</v>
      </c>
      <c r="AD98" s="124">
        <v>0</v>
      </c>
      <c r="AE98" s="124">
        <v>0</v>
      </c>
      <c r="AF98" s="124">
        <v>0</v>
      </c>
      <c r="AG98" s="124">
        <v>0</v>
      </c>
      <c r="AH98" s="124">
        <v>0</v>
      </c>
      <c r="AI98" s="124">
        <v>0</v>
      </c>
      <c r="AJ98" s="124">
        <v>0</v>
      </c>
      <c r="AK98" s="124">
        <v>0</v>
      </c>
      <c r="AL98" s="124">
        <v>0</v>
      </c>
      <c r="AM98" s="235">
        <v>0</v>
      </c>
      <c r="AN98" s="235">
        <v>0</v>
      </c>
      <c r="AO98" s="235">
        <v>0</v>
      </c>
      <c r="AP98" s="235">
        <v>0</v>
      </c>
      <c r="AQ98" s="235">
        <v>0</v>
      </c>
      <c r="AR98" s="235">
        <v>0</v>
      </c>
      <c r="AS98" s="283">
        <v>0</v>
      </c>
      <c r="AT98" s="283">
        <v>0</v>
      </c>
      <c r="AU98" s="283">
        <v>0</v>
      </c>
      <c r="AV98" s="283">
        <v>0</v>
      </c>
      <c r="AW98" s="283">
        <v>0</v>
      </c>
      <c r="AX98" s="283">
        <v>0</v>
      </c>
      <c r="AY98" s="283">
        <v>0</v>
      </c>
      <c r="AZ98" s="283">
        <v>0</v>
      </c>
      <c r="BA98" s="413">
        <v>0</v>
      </c>
      <c r="BB98" s="413">
        <v>0</v>
      </c>
      <c r="BC98" s="413">
        <v>0</v>
      </c>
      <c r="BD98" s="413">
        <v>0</v>
      </c>
      <c r="BE98" s="413">
        <v>0</v>
      </c>
      <c r="BF98" s="413">
        <v>0</v>
      </c>
      <c r="BG98" s="283">
        <v>0</v>
      </c>
      <c r="BH98" s="283">
        <v>0</v>
      </c>
      <c r="BI98" s="283">
        <v>0</v>
      </c>
      <c r="BJ98" s="283">
        <v>0</v>
      </c>
      <c r="BK98" s="283">
        <v>0</v>
      </c>
      <c r="BL98" s="283">
        <v>0</v>
      </c>
      <c r="BM98" s="283">
        <v>0</v>
      </c>
      <c r="BN98" s="283">
        <v>0</v>
      </c>
      <c r="BO98" s="283">
        <v>0</v>
      </c>
      <c r="BP98" s="283">
        <v>0</v>
      </c>
      <c r="BQ98" s="283">
        <v>0</v>
      </c>
      <c r="BR98" s="283">
        <v>0</v>
      </c>
      <c r="BS98" s="283">
        <v>0</v>
      </c>
      <c r="BT98" s="283">
        <v>0</v>
      </c>
      <c r="BU98" s="283">
        <v>0</v>
      </c>
      <c r="BV98" s="283">
        <v>0</v>
      </c>
      <c r="BW98" s="283">
        <v>0</v>
      </c>
      <c r="BX98" s="283">
        <v>0</v>
      </c>
      <c r="BY98" s="283">
        <v>0</v>
      </c>
      <c r="BZ98" s="283">
        <v>0</v>
      </c>
      <c r="CA98" s="283">
        <v>0</v>
      </c>
      <c r="CB98" s="283">
        <v>0</v>
      </c>
      <c r="CC98" s="283">
        <v>0</v>
      </c>
      <c r="CD98" s="283">
        <v>0</v>
      </c>
      <c r="CE98" s="283">
        <v>0</v>
      </c>
      <c r="CF98" s="283">
        <v>0</v>
      </c>
      <c r="CG98" s="283">
        <v>0</v>
      </c>
      <c r="CH98" s="283">
        <v>0</v>
      </c>
      <c r="CI98" s="283">
        <v>0</v>
      </c>
      <c r="CJ98" s="283">
        <v>0</v>
      </c>
      <c r="CK98" s="283">
        <v>0</v>
      </c>
      <c r="CL98" s="283">
        <v>0</v>
      </c>
      <c r="CM98" s="283">
        <v>0</v>
      </c>
      <c r="CN98" s="283">
        <v>0</v>
      </c>
      <c r="CO98" s="283">
        <v>0</v>
      </c>
      <c r="CP98" s="283">
        <v>0</v>
      </c>
      <c r="CQ98" s="283">
        <v>0</v>
      </c>
      <c r="CR98" s="283">
        <v>0</v>
      </c>
      <c r="CS98" s="283">
        <v>0</v>
      </c>
      <c r="CT98" s="283">
        <v>0</v>
      </c>
      <c r="CU98" s="283">
        <v>0</v>
      </c>
      <c r="CV98" s="283">
        <v>0</v>
      </c>
      <c r="CW98" s="283">
        <v>0</v>
      </c>
      <c r="CX98" s="283">
        <v>0</v>
      </c>
      <c r="CY98" s="283">
        <v>0</v>
      </c>
      <c r="CZ98" s="283">
        <v>0</v>
      </c>
      <c r="DA98" s="283">
        <v>0</v>
      </c>
      <c r="DB98" s="283">
        <v>0</v>
      </c>
      <c r="DC98" s="283">
        <v>0</v>
      </c>
      <c r="DD98" s="283">
        <v>0</v>
      </c>
      <c r="DE98" s="283">
        <v>0</v>
      </c>
      <c r="DF98" s="283">
        <v>0</v>
      </c>
      <c r="DG98" s="283">
        <v>0</v>
      </c>
      <c r="DH98" s="283">
        <v>0</v>
      </c>
      <c r="DI98" s="283">
        <v>0</v>
      </c>
      <c r="DJ98" s="283">
        <v>0</v>
      </c>
      <c r="DK98" s="283">
        <v>0</v>
      </c>
      <c r="DL98" s="283">
        <v>0</v>
      </c>
      <c r="DM98" s="283">
        <v>0</v>
      </c>
      <c r="DN98" s="283">
        <v>0</v>
      </c>
      <c r="DO98" s="283">
        <v>0</v>
      </c>
      <c r="DP98" s="283">
        <v>0</v>
      </c>
      <c r="DQ98" s="283">
        <v>0</v>
      </c>
      <c r="DR98" s="283">
        <v>0</v>
      </c>
      <c r="DS98" s="283">
        <v>0</v>
      </c>
      <c r="DT98" s="283">
        <v>0</v>
      </c>
      <c r="DU98" s="283">
        <v>0</v>
      </c>
      <c r="DV98" s="283">
        <v>0</v>
      </c>
      <c r="DW98" s="283">
        <v>0</v>
      </c>
      <c r="DX98" s="283">
        <v>0</v>
      </c>
      <c r="DY98" s="283">
        <v>0</v>
      </c>
      <c r="DZ98" s="283">
        <v>0</v>
      </c>
      <c r="EA98" s="283">
        <v>0</v>
      </c>
      <c r="EB98" s="283">
        <v>0</v>
      </c>
      <c r="EC98" s="283">
        <v>0</v>
      </c>
      <c r="ED98" s="283">
        <v>0</v>
      </c>
      <c r="EE98" s="283">
        <v>0</v>
      </c>
      <c r="EF98" s="283">
        <v>0</v>
      </c>
      <c r="EG98" s="283">
        <v>0</v>
      </c>
      <c r="EH98" s="283">
        <v>0</v>
      </c>
      <c r="EI98" s="283">
        <v>0</v>
      </c>
      <c r="EJ98" s="283">
        <v>0</v>
      </c>
      <c r="EK98" s="283">
        <v>0</v>
      </c>
      <c r="EL98" s="283">
        <v>0</v>
      </c>
      <c r="EM98" s="283">
        <v>0</v>
      </c>
      <c r="EN98" s="283">
        <v>0</v>
      </c>
      <c r="EO98" s="283">
        <v>0</v>
      </c>
      <c r="EP98" s="283">
        <v>0</v>
      </c>
      <c r="EQ98" s="283">
        <v>0</v>
      </c>
      <c r="ER98" s="283">
        <v>0</v>
      </c>
      <c r="ES98" s="283">
        <v>0</v>
      </c>
      <c r="ET98" s="467">
        <f t="shared" si="93"/>
        <v>0</v>
      </c>
      <c r="EU98" s="801"/>
      <c r="EV98" s="801"/>
      <c r="HL98" s="35"/>
      <c r="HM98" s="253"/>
      <c r="HN98" s="258"/>
      <c r="HO98" s="35"/>
      <c r="HP98" s="35"/>
      <c r="HQ98" s="35"/>
      <c r="HR98" s="35"/>
      <c r="HS98" s="35"/>
      <c r="HT98" s="35"/>
      <c r="HU98" s="35"/>
      <c r="HV98" s="35"/>
      <c r="HW98" s="35"/>
      <c r="HX98" s="35"/>
      <c r="HY98" s="35"/>
      <c r="HZ98" s="35"/>
      <c r="IA98" s="35"/>
    </row>
    <row r="99" spans="1:235" s="17" customFormat="1">
      <c r="A99" s="225" t="s">
        <v>290</v>
      </c>
      <c r="B99" s="154">
        <v>134954.56799000001</v>
      </c>
      <c r="C99" s="154">
        <v>148991.94399</v>
      </c>
      <c r="D99" s="154">
        <v>145171.07999</v>
      </c>
      <c r="E99" s="154">
        <v>154538.24099000002</v>
      </c>
      <c r="F99" s="154">
        <v>143955.21999000001</v>
      </c>
      <c r="G99" s="154">
        <v>142702.55799</v>
      </c>
      <c r="H99" s="154">
        <v>143029.31299000001</v>
      </c>
      <c r="I99" s="154">
        <v>142992.76899000001</v>
      </c>
      <c r="J99" s="154">
        <v>142640.95999</v>
      </c>
      <c r="K99" s="154">
        <v>146886.27299000003</v>
      </c>
      <c r="L99" s="154">
        <v>147134.16999000002</v>
      </c>
      <c r="M99" s="154">
        <v>149419.99398999999</v>
      </c>
      <c r="N99" s="154">
        <v>155127.54299000002</v>
      </c>
      <c r="O99" s="154">
        <v>154907</v>
      </c>
      <c r="P99" s="154">
        <v>161875</v>
      </c>
      <c r="Q99" s="154">
        <v>168410</v>
      </c>
      <c r="R99" s="154">
        <v>164825</v>
      </c>
      <c r="S99" s="154">
        <v>165887</v>
      </c>
      <c r="T99" s="154">
        <v>165548</v>
      </c>
      <c r="U99" s="154">
        <v>162594.28700000001</v>
      </c>
      <c r="V99" s="154">
        <v>163823.565</v>
      </c>
      <c r="W99" s="154">
        <v>157201.19899999999</v>
      </c>
      <c r="X99" s="154">
        <v>159503.516</v>
      </c>
      <c r="Y99" s="154">
        <v>161558.77471999999</v>
      </c>
      <c r="Z99" s="154">
        <v>164196.55047999998</v>
      </c>
      <c r="AA99" s="154">
        <v>166008.478</v>
      </c>
      <c r="AB99" s="154">
        <v>191740.42499999999</v>
      </c>
      <c r="AC99" s="154">
        <v>201600.399</v>
      </c>
      <c r="AD99" s="154">
        <v>209756</v>
      </c>
      <c r="AE99" s="154">
        <v>210940.573</v>
      </c>
      <c r="AF99" s="154">
        <v>211275</v>
      </c>
      <c r="AG99" s="154">
        <v>213055.32939999999</v>
      </c>
      <c r="AH99" s="154">
        <v>214765.23301</v>
      </c>
      <c r="AI99" s="154">
        <v>216383.76207000003</v>
      </c>
      <c r="AJ99" s="154">
        <v>221841.32715999999</v>
      </c>
      <c r="AK99" s="154">
        <v>224538.30299</v>
      </c>
      <c r="AL99" s="154">
        <v>196107.65138999998</v>
      </c>
      <c r="AM99" s="154">
        <v>198202.11921999999</v>
      </c>
      <c r="AN99" s="154">
        <v>200785.03154</v>
      </c>
      <c r="AO99" s="154">
        <v>199686.87616000001</v>
      </c>
      <c r="AP99" s="154">
        <v>199490.30599999998</v>
      </c>
      <c r="AQ99" s="154">
        <v>200124.24235000004</v>
      </c>
      <c r="AR99" s="154">
        <v>200812.86265999998</v>
      </c>
      <c r="AS99" s="154">
        <v>202015.43168000001</v>
      </c>
      <c r="AT99" s="154">
        <v>202439.60774000001</v>
      </c>
      <c r="AU99" s="154">
        <v>203637.03354000003</v>
      </c>
      <c r="AV99" s="154">
        <v>204841.21833</v>
      </c>
      <c r="AW99" s="154">
        <v>205589.42319</v>
      </c>
      <c r="AX99" s="154">
        <v>206693.55083999998</v>
      </c>
      <c r="AY99" s="154">
        <v>207885.84999000002</v>
      </c>
      <c r="AZ99" s="154">
        <v>204069.72897000003</v>
      </c>
      <c r="BA99" s="422">
        <v>201065.49834999998</v>
      </c>
      <c r="BB99" s="422">
        <v>202656.32137000002</v>
      </c>
      <c r="BC99" s="422">
        <v>202110.44805000001</v>
      </c>
      <c r="BD99" s="422">
        <v>202142.35045000003</v>
      </c>
      <c r="BE99" s="422">
        <v>203241.97481000001</v>
      </c>
      <c r="BF99" s="422">
        <v>203538.53939999998</v>
      </c>
      <c r="BG99" s="154">
        <v>203700.24842000002</v>
      </c>
      <c r="BH99" s="154">
        <v>206114.14734</v>
      </c>
      <c r="BI99" s="154">
        <v>205816.08113999999</v>
      </c>
      <c r="BJ99" s="154">
        <v>208920.08262999996</v>
      </c>
      <c r="BK99" s="154">
        <v>210337.97777</v>
      </c>
      <c r="BL99" s="154">
        <v>211149.13232000003</v>
      </c>
      <c r="BM99" s="154">
        <v>223626.45615000001</v>
      </c>
      <c r="BN99" s="154">
        <v>223966.32744999998</v>
      </c>
      <c r="BO99" s="154">
        <v>223844.76916000003</v>
      </c>
      <c r="BP99" s="154">
        <v>224108.14058000001</v>
      </c>
      <c r="BQ99" s="154">
        <v>223448.86371000001</v>
      </c>
      <c r="BR99" s="154">
        <v>224110.95702000003</v>
      </c>
      <c r="BS99" s="154">
        <v>223421.00082000002</v>
      </c>
      <c r="BT99" s="154">
        <v>223288.62886</v>
      </c>
      <c r="BU99" s="154">
        <v>224012.10277</v>
      </c>
      <c r="BV99" s="154">
        <v>225596.17494000006</v>
      </c>
      <c r="BW99" s="154">
        <v>228055.79185999997</v>
      </c>
      <c r="BX99" s="154">
        <v>230239.22588000004</v>
      </c>
      <c r="BY99" s="154">
        <v>243934.74647000001</v>
      </c>
      <c r="BZ99" s="154">
        <v>243559.83633999998</v>
      </c>
      <c r="CA99" s="154">
        <v>243051.92124</v>
      </c>
      <c r="CB99" s="154">
        <v>242413.38610999999</v>
      </c>
      <c r="CC99" s="154">
        <v>242168.58409000002</v>
      </c>
      <c r="CD99" s="154">
        <v>242279.81196000002</v>
      </c>
      <c r="CE99" s="154">
        <v>241089.27797</v>
      </c>
      <c r="CF99" s="154">
        <v>241624.45148000002</v>
      </c>
      <c r="CG99" s="154">
        <v>242527.19125999999</v>
      </c>
      <c r="CH99" s="154">
        <v>245154.34679000001</v>
      </c>
      <c r="CI99" s="154">
        <v>245791.29236999998</v>
      </c>
      <c r="CJ99" s="154">
        <v>246452.37883</v>
      </c>
      <c r="CK99" s="154">
        <v>254549.78775999998</v>
      </c>
      <c r="CL99" s="154">
        <f t="shared" ref="CL99:CW99" si="94">SUM(CL93:CL98)</f>
        <v>254492.74315999998</v>
      </c>
      <c r="CM99" s="154">
        <f t="shared" si="94"/>
        <v>255693.47043000002</v>
      </c>
      <c r="CN99" s="154">
        <f t="shared" si="94"/>
        <v>258465.71127999999</v>
      </c>
      <c r="CO99" s="154">
        <f t="shared" si="94"/>
        <v>260636.25347</v>
      </c>
      <c r="CP99" s="154">
        <f t="shared" si="94"/>
        <v>263604.85227000003</v>
      </c>
      <c r="CQ99" s="154">
        <f t="shared" si="94"/>
        <v>265610.77578999999</v>
      </c>
      <c r="CR99" s="154">
        <f t="shared" si="94"/>
        <v>266809.24745999998</v>
      </c>
      <c r="CS99" s="154">
        <f t="shared" si="94"/>
        <v>268909.89997000003</v>
      </c>
      <c r="CT99" s="154">
        <f t="shared" si="94"/>
        <v>271258.17973999999</v>
      </c>
      <c r="CU99" s="154">
        <f t="shared" si="94"/>
        <v>274970.61044999998</v>
      </c>
      <c r="CV99" s="154">
        <f t="shared" si="94"/>
        <v>277962.63458000001</v>
      </c>
      <c r="CW99" s="154">
        <f t="shared" si="94"/>
        <v>273114.77390000003</v>
      </c>
      <c r="CX99" s="154">
        <f t="shared" ref="CX99:DC99" si="95">SUM(CX93:CX98)</f>
        <v>272997.80615999998</v>
      </c>
      <c r="CY99" s="154">
        <f t="shared" si="95"/>
        <v>273887.13078000001</v>
      </c>
      <c r="CZ99" s="154">
        <f t="shared" si="95"/>
        <v>275093.70286000002</v>
      </c>
      <c r="DA99" s="154">
        <f t="shared" si="95"/>
        <v>275933.47472</v>
      </c>
      <c r="DB99" s="154">
        <f t="shared" si="95"/>
        <v>277499.50624999998</v>
      </c>
      <c r="DC99" s="154">
        <f t="shared" si="95"/>
        <v>278448.98759999999</v>
      </c>
      <c r="DD99" s="154">
        <f t="shared" ref="DD99:DI99" si="96">SUM(DD93:DD98)</f>
        <v>279122.96017999999</v>
      </c>
      <c r="DE99" s="154">
        <f t="shared" si="96"/>
        <v>281260.75023000001</v>
      </c>
      <c r="DF99" s="154">
        <f t="shared" si="96"/>
        <v>284085.03905000002</v>
      </c>
      <c r="DG99" s="154">
        <f t="shared" si="96"/>
        <v>285807.74218</v>
      </c>
      <c r="DH99" s="154">
        <f t="shared" si="96"/>
        <v>291306.01649000007</v>
      </c>
      <c r="DI99" s="154">
        <f t="shared" si="96"/>
        <v>291848.15552000003</v>
      </c>
      <c r="DJ99" s="154">
        <f t="shared" ref="DJ99:DP99" si="97">SUM(DJ93:DJ98)</f>
        <v>292474.39491000003</v>
      </c>
      <c r="DK99" s="154">
        <f t="shared" si="97"/>
        <v>293810.88847999997</v>
      </c>
      <c r="DL99" s="154">
        <f t="shared" si="97"/>
        <v>294746.55198999995</v>
      </c>
      <c r="DM99" s="154">
        <f t="shared" si="97"/>
        <v>296187.83715000004</v>
      </c>
      <c r="DN99" s="154">
        <f t="shared" si="97"/>
        <v>297202.87357000005</v>
      </c>
      <c r="DO99" s="154">
        <f t="shared" si="97"/>
        <v>299401.24299000006</v>
      </c>
      <c r="DP99" s="154">
        <f t="shared" si="97"/>
        <v>301403.69484999997</v>
      </c>
      <c r="DQ99" s="154">
        <f t="shared" ref="DQ99:DX99" si="98">SUM(DQ93:DQ98)</f>
        <v>304114.90725000005</v>
      </c>
      <c r="DR99" s="154">
        <f t="shared" si="98"/>
        <v>304206.79946999997</v>
      </c>
      <c r="DS99" s="154">
        <f t="shared" si="98"/>
        <v>305880.26604000002</v>
      </c>
      <c r="DT99" s="154">
        <f t="shared" si="98"/>
        <v>307108.83821000002</v>
      </c>
      <c r="DU99" s="154">
        <f t="shared" si="98"/>
        <v>310043.32375999994</v>
      </c>
      <c r="DV99" s="154">
        <f t="shared" si="98"/>
        <v>310440.22378</v>
      </c>
      <c r="DW99" s="154">
        <f t="shared" si="98"/>
        <v>313388.55223000003</v>
      </c>
      <c r="DX99" s="154">
        <f t="shared" si="98"/>
        <v>314380.38933999999</v>
      </c>
      <c r="DY99" s="154">
        <f t="shared" ref="DY99:ED99" si="99">SUM(DY93:DY98)</f>
        <v>316878.62904999999</v>
      </c>
      <c r="DZ99" s="154">
        <f t="shared" si="99"/>
        <v>319300.97276000003</v>
      </c>
      <c r="EA99" s="154">
        <f t="shared" si="99"/>
        <v>321791.00828000001</v>
      </c>
      <c r="EB99" s="154">
        <f t="shared" si="99"/>
        <v>323537.66791999998</v>
      </c>
      <c r="EC99" s="154">
        <f t="shared" si="99"/>
        <v>324434.56799000001</v>
      </c>
      <c r="ED99" s="154">
        <f t="shared" si="99"/>
        <v>326286.79129999998</v>
      </c>
      <c r="EE99" s="154">
        <f t="shared" ref="EE99:EJ99" si="100">SUM(EE93:EE98)</f>
        <v>328733.53835000005</v>
      </c>
      <c r="EF99" s="154">
        <f t="shared" si="100"/>
        <v>330224.51739000005</v>
      </c>
      <c r="EG99" s="154">
        <f t="shared" si="100"/>
        <v>334516.27537000005</v>
      </c>
      <c r="EH99" s="154">
        <f t="shared" si="100"/>
        <v>336269.92670999997</v>
      </c>
      <c r="EI99" s="154">
        <f t="shared" si="100"/>
        <v>336327.10145999998</v>
      </c>
      <c r="EJ99" s="154">
        <f t="shared" si="100"/>
        <v>333863.76694</v>
      </c>
      <c r="EK99" s="154">
        <f t="shared" ref="EK99:EP99" si="101">SUM(EK93:EK98)</f>
        <v>335976.65715999994</v>
      </c>
      <c r="EL99" s="154">
        <f t="shared" si="101"/>
        <v>338003.51559999998</v>
      </c>
      <c r="EM99" s="154">
        <f t="shared" si="101"/>
        <v>337832.85865999997</v>
      </c>
      <c r="EN99" s="154">
        <f t="shared" si="101"/>
        <v>340182.02051</v>
      </c>
      <c r="EO99" s="154">
        <f t="shared" si="101"/>
        <v>341421.46250000002</v>
      </c>
      <c r="EP99" s="154">
        <f t="shared" si="101"/>
        <v>343173.64672000002</v>
      </c>
      <c r="EQ99" s="154">
        <f>SUM(EQ93:EQ98)</f>
        <v>346167.69015000004</v>
      </c>
      <c r="ER99" s="154">
        <f>SUM(ER93:ER98)</f>
        <v>350940.16966999997</v>
      </c>
      <c r="ES99" s="154">
        <f>SUM(ES93:ES98)</f>
        <v>348444.55278000003</v>
      </c>
      <c r="ET99" s="422">
        <f>SUM(ET93:ET98)</f>
        <v>340239.97263307701</v>
      </c>
      <c r="EU99" s="154"/>
      <c r="EV99" s="154"/>
      <c r="EW99" s="523" t="s">
        <v>1707</v>
      </c>
      <c r="EX99" s="524"/>
      <c r="EY99" s="178"/>
      <c r="EZ99" s="178"/>
      <c r="FA99" s="178"/>
      <c r="FB99" s="178"/>
      <c r="FC99" s="178"/>
      <c r="FD99" s="178"/>
      <c r="FE99" s="178"/>
      <c r="FF99" s="178"/>
      <c r="FG99" s="178"/>
      <c r="FH99" s="178"/>
      <c r="FI99" s="178"/>
      <c r="FJ99" s="178"/>
      <c r="FK99" s="178"/>
      <c r="FL99" s="178"/>
      <c r="FM99" s="178"/>
      <c r="FN99" s="178"/>
      <c r="FO99" s="178"/>
      <c r="FP99" s="178"/>
      <c r="FQ99" s="178"/>
      <c r="FR99" s="178"/>
      <c r="FS99" s="178"/>
      <c r="FT99" s="178"/>
      <c r="FU99" s="178"/>
      <c r="FV99" s="178"/>
      <c r="FW99" s="178"/>
      <c r="FX99" s="178"/>
      <c r="FY99" s="178"/>
      <c r="FZ99" s="178"/>
      <c r="GA99" s="178"/>
      <c r="GB99" s="178"/>
      <c r="GC99" s="178"/>
      <c r="GD99" s="178"/>
      <c r="GE99" s="178"/>
      <c r="GF99" s="178"/>
      <c r="GG99" s="178"/>
      <c r="GH99" s="178"/>
      <c r="GI99" s="178"/>
      <c r="GJ99" s="178"/>
      <c r="GK99" s="178"/>
      <c r="GL99" s="178"/>
      <c r="GM99" s="178"/>
      <c r="GN99" s="178"/>
      <c r="GO99" s="178"/>
      <c r="GP99" s="178"/>
      <c r="GQ99" s="178"/>
      <c r="GR99" s="178"/>
      <c r="GS99" s="178"/>
      <c r="GT99" s="178"/>
      <c r="GU99" s="178"/>
      <c r="GV99" s="178"/>
      <c r="GW99" s="178"/>
      <c r="GX99" s="178"/>
      <c r="GY99" s="178"/>
      <c r="GZ99" s="178"/>
      <c r="HA99" s="178"/>
      <c r="HB99" s="178"/>
      <c r="HC99" s="178"/>
      <c r="HD99" s="178"/>
      <c r="HE99" s="178"/>
      <c r="HF99" s="178"/>
      <c r="HG99" s="178"/>
      <c r="HH99" s="178"/>
      <c r="HI99" s="178"/>
      <c r="HJ99" s="178"/>
      <c r="HK99" s="178"/>
      <c r="HL99" s="35"/>
      <c r="HM99" s="257"/>
      <c r="HN99" s="258"/>
      <c r="HO99" s="178"/>
      <c r="HP99" s="178"/>
      <c r="HQ99" s="178"/>
      <c r="HR99" s="178"/>
      <c r="HS99" s="178"/>
      <c r="HT99" s="178"/>
      <c r="HU99" s="178"/>
      <c r="HV99" s="178"/>
      <c r="HW99" s="178"/>
      <c r="HX99" s="178"/>
      <c r="HY99" s="178"/>
      <c r="HZ99" s="178"/>
      <c r="IA99" s="178"/>
    </row>
    <row r="100" spans="1:235">
      <c r="A100" s="29"/>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417"/>
      <c r="BB100" s="417"/>
      <c r="BC100" s="417"/>
      <c r="BD100" s="417"/>
      <c r="BE100" s="417"/>
      <c r="BF100" s="417"/>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HL100" s="35"/>
      <c r="HM100" s="252"/>
      <c r="HN100" s="258"/>
      <c r="HO100" s="35"/>
      <c r="HP100" s="35"/>
      <c r="HQ100" s="35"/>
      <c r="HR100" s="35"/>
      <c r="HS100" s="35"/>
      <c r="HT100" s="35"/>
      <c r="HU100" s="35"/>
      <c r="HV100" s="35"/>
      <c r="HW100" s="35"/>
      <c r="HX100" s="35"/>
      <c r="HY100" s="35"/>
      <c r="HZ100" s="35"/>
      <c r="IA100" s="35"/>
    </row>
    <row r="101" spans="1:235" s="218" customFormat="1">
      <c r="A101" s="220" t="s">
        <v>292</v>
      </c>
      <c r="B101" s="211">
        <v>33638.394549999997</v>
      </c>
      <c r="C101" s="211">
        <v>33736.822549999997</v>
      </c>
      <c r="D101" s="211">
        <v>33610.294549999999</v>
      </c>
      <c r="E101" s="211">
        <v>33639.60355</v>
      </c>
      <c r="F101" s="211">
        <v>33475.76655</v>
      </c>
      <c r="G101" s="211">
        <v>33501.430549999997</v>
      </c>
      <c r="H101" s="211">
        <v>30569.292549999998</v>
      </c>
      <c r="I101" s="211">
        <v>30601.705549999999</v>
      </c>
      <c r="J101" s="211">
        <v>30631.118549999996</v>
      </c>
      <c r="K101" s="211">
        <v>30280.371549999996</v>
      </c>
      <c r="L101" s="211">
        <v>30321.960549999996</v>
      </c>
      <c r="M101" s="211">
        <v>30358.206549999995</v>
      </c>
      <c r="N101" s="211">
        <v>29894.415549999998</v>
      </c>
      <c r="O101" s="211">
        <v>29931</v>
      </c>
      <c r="P101" s="211">
        <v>29654</v>
      </c>
      <c r="Q101" s="211">
        <v>27669</v>
      </c>
      <c r="R101" s="211">
        <v>27440</v>
      </c>
      <c r="S101" s="211">
        <v>27472</v>
      </c>
      <c r="T101" s="211">
        <v>27073</v>
      </c>
      <c r="U101" s="211">
        <v>27119</v>
      </c>
      <c r="V101" s="211">
        <v>27215</v>
      </c>
      <c r="W101" s="211">
        <v>26499</v>
      </c>
      <c r="X101" s="211">
        <v>26528</v>
      </c>
      <c r="Y101" s="211">
        <v>26611</v>
      </c>
      <c r="Z101" s="211">
        <v>26218</v>
      </c>
      <c r="AA101" s="211">
        <v>26300</v>
      </c>
      <c r="AB101" s="211">
        <v>25961</v>
      </c>
      <c r="AC101" s="211">
        <v>25800</v>
      </c>
      <c r="AD101" s="211">
        <v>31527</v>
      </c>
      <c r="AE101" s="211">
        <v>31555</v>
      </c>
      <c r="AF101" s="211">
        <v>30797</v>
      </c>
      <c r="AG101" s="211">
        <v>31140.002939999998</v>
      </c>
      <c r="AH101" s="211">
        <v>31161.953120000002</v>
      </c>
      <c r="AI101" s="211">
        <v>30405.372520000001</v>
      </c>
      <c r="AJ101" s="211">
        <v>29999.343140000001</v>
      </c>
      <c r="AK101" s="211">
        <v>30010.758109999999</v>
      </c>
      <c r="AL101" s="211">
        <v>29781.098579999998</v>
      </c>
      <c r="AM101" s="234">
        <v>29803.447699999997</v>
      </c>
      <c r="AN101" s="234">
        <v>29843.149989999998</v>
      </c>
      <c r="AO101" s="234">
        <v>32061.005209999999</v>
      </c>
      <c r="AP101" s="234">
        <v>31697.194440000003</v>
      </c>
      <c r="AQ101" s="234">
        <v>31743.189159999998</v>
      </c>
      <c r="AR101" s="234">
        <v>31204.591139999997</v>
      </c>
      <c r="AS101" s="285">
        <v>31262.258819999995</v>
      </c>
      <c r="AT101" s="285">
        <v>31311.512089999997</v>
      </c>
      <c r="AU101" s="285">
        <v>30732.680179999999</v>
      </c>
      <c r="AV101" s="285">
        <v>30773.624810000005</v>
      </c>
      <c r="AW101" s="285">
        <v>30812.708799999997</v>
      </c>
      <c r="AX101" s="285">
        <v>29992.015070000001</v>
      </c>
      <c r="AY101" s="253">
        <v>29674.924859999996</v>
      </c>
      <c r="AZ101" s="253">
        <v>29722.28197</v>
      </c>
      <c r="BA101" s="412">
        <v>20591.124830000001</v>
      </c>
      <c r="BB101" s="412">
        <v>20607.092149999997</v>
      </c>
      <c r="BC101" s="412">
        <v>20058.910679999997</v>
      </c>
      <c r="BD101" s="412">
        <v>19471.365719999998</v>
      </c>
      <c r="BE101" s="412">
        <v>19479.098240000003</v>
      </c>
      <c r="BF101" s="412">
        <v>19521.804809999998</v>
      </c>
      <c r="BG101" s="216">
        <v>19161.513279999999</v>
      </c>
      <c r="BH101" s="216">
        <v>19192.960769999998</v>
      </c>
      <c r="BI101" s="216">
        <v>19100.739740000001</v>
      </c>
      <c r="BJ101" s="216">
        <v>18917.585010000003</v>
      </c>
      <c r="BK101" s="216">
        <v>18951.330930000004</v>
      </c>
      <c r="BL101" s="216">
        <v>18980.528899999998</v>
      </c>
      <c r="BM101" s="216">
        <v>22584.444039999998</v>
      </c>
      <c r="BN101" s="216">
        <v>22520.292459999997</v>
      </c>
      <c r="BO101" s="216">
        <v>22374.916109999998</v>
      </c>
      <c r="BP101" s="216">
        <v>22727.668209999996</v>
      </c>
      <c r="BQ101" s="216">
        <v>22776.301919999998</v>
      </c>
      <c r="BR101" s="216">
        <v>22803.424510000001</v>
      </c>
      <c r="BS101" s="216">
        <v>21660.397710000005</v>
      </c>
      <c r="BT101" s="216">
        <v>21779.480500000001</v>
      </c>
      <c r="BU101" s="216">
        <v>21513.615160000005</v>
      </c>
      <c r="BV101" s="216">
        <v>21461.795910000004</v>
      </c>
      <c r="BW101" s="216">
        <v>21503.532179999998</v>
      </c>
      <c r="BX101" s="216">
        <v>21529.79911</v>
      </c>
      <c r="BY101" s="216">
        <v>28752.137349999997</v>
      </c>
      <c r="BZ101" s="216">
        <v>28779.16978</v>
      </c>
      <c r="CA101" s="216">
        <v>28807.229030000002</v>
      </c>
      <c r="CB101" s="216">
        <v>28487.95592</v>
      </c>
      <c r="CC101" s="216">
        <v>28532.524519999999</v>
      </c>
      <c r="CD101" s="216">
        <v>28557.374469999999</v>
      </c>
      <c r="CE101" s="216">
        <v>28103.52132</v>
      </c>
      <c r="CF101" s="216">
        <v>28122.042060000003</v>
      </c>
      <c r="CG101" s="216">
        <v>28112.709770000001</v>
      </c>
      <c r="CH101" s="216">
        <v>37008.510319999899</v>
      </c>
      <c r="CI101" s="216">
        <v>37082.960279999992</v>
      </c>
      <c r="CJ101" s="216">
        <v>37162.061430000009</v>
      </c>
      <c r="CK101" s="216">
        <v>32667.708139999999</v>
      </c>
      <c r="CL101" s="216">
        <v>33232.551169999999</v>
      </c>
      <c r="CM101" s="216">
        <v>32814.977719999995</v>
      </c>
      <c r="CN101" s="216">
        <v>32356.243689999999</v>
      </c>
      <c r="CO101" s="216">
        <v>32537.237589999997</v>
      </c>
      <c r="CP101" s="216">
        <v>32611.938400000003</v>
      </c>
      <c r="CQ101" s="216">
        <v>33329.017630000002</v>
      </c>
      <c r="CR101" s="216">
        <v>33406.819600000003</v>
      </c>
      <c r="CS101" s="216">
        <v>33463.907770000005</v>
      </c>
      <c r="CT101" s="216">
        <v>33316.9444</v>
      </c>
      <c r="CU101" s="216">
        <v>33390.140930000001</v>
      </c>
      <c r="CV101" s="216">
        <v>33438.184299999994</v>
      </c>
      <c r="CW101" s="216">
        <v>31177.312839999995</v>
      </c>
      <c r="CX101" s="216">
        <v>31376.518619999999</v>
      </c>
      <c r="CY101" s="216">
        <v>31163.232049999999</v>
      </c>
      <c r="CZ101" s="216">
        <v>30755.33726</v>
      </c>
      <c r="DA101" s="216">
        <v>30807.307420000001</v>
      </c>
      <c r="DB101" s="216">
        <v>30775.087789999998</v>
      </c>
      <c r="DC101" s="216">
        <v>30308.419610000001</v>
      </c>
      <c r="DD101" s="216">
        <v>30393.484840000001</v>
      </c>
      <c r="DE101" s="216">
        <v>30443.54896</v>
      </c>
      <c r="DF101" s="216">
        <v>29638.7284</v>
      </c>
      <c r="DG101" s="216">
        <v>29686.634049999997</v>
      </c>
      <c r="DH101" s="216">
        <v>29725.090929999998</v>
      </c>
      <c r="DI101" s="216">
        <v>35590.311590000005</v>
      </c>
      <c r="DJ101" s="216">
        <v>35580.073530000001</v>
      </c>
      <c r="DK101" s="216">
        <v>35936.726539999996</v>
      </c>
      <c r="DL101" s="216">
        <v>35399.9663</v>
      </c>
      <c r="DM101" s="216">
        <v>35501.154719999999</v>
      </c>
      <c r="DN101" s="216">
        <v>35557.995280000003</v>
      </c>
      <c r="DO101" s="216">
        <v>35202.79681</v>
      </c>
      <c r="DP101" s="216">
        <v>35457.040970000002</v>
      </c>
      <c r="DQ101" s="216">
        <v>35395.493570000006</v>
      </c>
      <c r="DR101" s="216">
        <v>34997.089570000004</v>
      </c>
      <c r="DS101" s="216">
        <v>35090.72984</v>
      </c>
      <c r="DT101" s="216">
        <v>35184.564019999998</v>
      </c>
      <c r="DU101" s="216">
        <v>35443.422120000003</v>
      </c>
      <c r="DV101" s="216">
        <v>35507.218290000004</v>
      </c>
      <c r="DW101" s="216">
        <v>35601.645599999996</v>
      </c>
      <c r="DX101" s="216">
        <v>35272.63496000001</v>
      </c>
      <c r="DY101" s="216">
        <v>35224.527670000003</v>
      </c>
      <c r="DZ101" s="216">
        <v>35345.569620000002</v>
      </c>
      <c r="EA101" s="216">
        <v>34853.14884999999</v>
      </c>
      <c r="EB101" s="216">
        <v>34963.662409999997</v>
      </c>
      <c r="EC101" s="216">
        <v>34979.036870000004</v>
      </c>
      <c r="ED101" s="216">
        <v>34527.22481</v>
      </c>
      <c r="EE101" s="216">
        <v>34622.990109999999</v>
      </c>
      <c r="EF101" s="216">
        <v>34771.98979</v>
      </c>
      <c r="EG101" s="216">
        <v>41453.739150000009</v>
      </c>
      <c r="EH101" s="216">
        <v>41521.220939999999</v>
      </c>
      <c r="EI101" s="216">
        <v>41646.103440000006</v>
      </c>
      <c r="EJ101" s="216">
        <v>40033.396829999998</v>
      </c>
      <c r="EK101" s="216">
        <v>40142.611369999999</v>
      </c>
      <c r="EL101" s="216">
        <v>40250.912710000004</v>
      </c>
      <c r="EM101" s="216">
        <v>39881.427500000005</v>
      </c>
      <c r="EN101" s="216">
        <v>40010.225060000004</v>
      </c>
      <c r="EO101" s="216">
        <v>40090.886680000003</v>
      </c>
      <c r="EP101" s="216">
        <v>39764.307420000005</v>
      </c>
      <c r="EQ101" s="216">
        <f>-(VLOOKUP("2281081",'Input BS ACCTS'!$A$5:$DD$1052,98,FALSE)+VLOOKUP("2283201",'Input BS ACCTS'!$A$5:$DD$1052,98,FALSE)+VLOOKUP("2283211",'Input BS ACCTS'!$A$5:$DD$1052,98,FALSE)+VLOOKUP("2283231",'Input BS ACCTS'!$A$5:$DD$1052,98,FALSE)+VLOOKUP("2283240",'Input BS ACCTS'!$A$5:$DD$1052,98,FALSE)+VLOOKUP("2320022",'Input BS ACCTS'!$A$5:$DD$1052,98,FALSE)+VLOOKUP("2283210",'Input BS ACCTS'!$A$5:$DD$1052,98,FALSE)+VLOOKUP("2283220",'Input BS ACCTS'!$A$5:$DD$1052,98,FALSE)+VLOOKUP("2283221",'Input BS ACCTS'!$A$5:$DD$1052,98,FALSE)+VLOOKUP("2420111",'Input BS ACCTS'!$A$5:$DD$1052,98,FALSE)+VLOOKUP("2420121",'Input BS ACCTS'!$A$5:$DD$1052,98,FALSE)+VLOOKUP("2420131",'Input BS ACCTS'!$A$5:$DD$1052,98,FALSE))/1000</f>
        <v>40002.90638</v>
      </c>
      <c r="ER101" s="216">
        <f>-(VLOOKUP("2281081",'Input BS ACCTS'!$A$5:$DD$1052,99,FALSE)+VLOOKUP("2283201",'Input BS ACCTS'!$A$5:$DD$1052,99,FALSE)+VLOOKUP("2283211",'Input BS ACCTS'!$A$5:$DD$1052,99,FALSE)+VLOOKUP("2283231",'Input BS ACCTS'!$A$5:$DD$1052,99,FALSE)+VLOOKUP("2283240",'Input BS ACCTS'!$A$5:$DD$1052,99,FALSE)+VLOOKUP("2320022",'Input BS ACCTS'!$A$5:$DD$1052,99,FALSE)+VLOOKUP("2283210",'Input BS ACCTS'!$A$5:$DD$1052,99,FALSE)+VLOOKUP("2283220",'Input BS ACCTS'!$A$5:$DD$1052,99,FALSE)+VLOOKUP("2283221",'Input BS ACCTS'!$A$5:$DD$1052,99,FALSE)+VLOOKUP("2420111",'Input BS ACCTS'!$A$5:$DD$1052,99,FALSE)+VLOOKUP("2420121",'Input BS ACCTS'!$A$5:$DD$1052,99,FALSE)+VLOOKUP("2420131",'Input BS ACCTS'!$A$5:$DD$1052,99,FALSE))/1000</f>
        <v>40158.910090000005</v>
      </c>
      <c r="ES101" s="216">
        <f>-(VLOOKUP("2281081",'Input BS ACCTS'!$A$5:$DD$1052,100,FALSE)+VLOOKUP("2283201",'Input BS ACCTS'!$A$5:$DD$1052,100,FALSE)+VLOOKUP("2283211",'Input BS ACCTS'!$A$5:$DD$1052,100,FALSE)+VLOOKUP("2283231",'Input BS ACCTS'!$A$5:$DD$1052,100,FALSE)+VLOOKUP("2283240",'Input BS ACCTS'!$A$5:$DD$1052,100,FALSE)+VLOOKUP("2320022",'Input BS ACCTS'!$A$5:$DD$1052,100,FALSE)+VLOOKUP("2283210",'Input BS ACCTS'!$A$5:$DD$1052,100,FALSE)+VLOOKUP("2283220",'Input BS ACCTS'!$A$5:$DD$1052,100,FALSE)+VLOOKUP("2283221",'Input BS ACCTS'!$A$5:$DD$1052,100,FALSE)+VLOOKUP("2420111",'Input BS ACCTS'!$A$5:$DD$1052,100,FALSE)+VLOOKUP("2420121",'Input BS ACCTS'!$A$5:$DD$1052,100,FALSE)+VLOOKUP("2420131",'Input BS ACCTS'!$A$5:$DD$1052,100,FALSE))/1000</f>
        <v>31953.972819999999</v>
      </c>
      <c r="ET101" s="467">
        <f>SUM(EG101:ES101)/13</f>
        <v>39762.355414615391</v>
      </c>
      <c r="EU101" s="801"/>
      <c r="EV101" s="801"/>
      <c r="EW101" s="217"/>
      <c r="EX101" s="217"/>
      <c r="EY101" s="217"/>
      <c r="EZ101" s="217"/>
      <c r="FA101" s="217"/>
      <c r="FB101" s="217"/>
      <c r="FC101" s="217"/>
      <c r="FD101" s="217"/>
      <c r="FE101" s="217"/>
      <c r="FF101" s="217"/>
      <c r="FG101" s="217"/>
      <c r="FH101" s="217"/>
      <c r="FI101" s="217"/>
      <c r="FJ101" s="217"/>
      <c r="FK101" s="217"/>
      <c r="FL101" s="217"/>
      <c r="FM101" s="217"/>
      <c r="FN101" s="217"/>
      <c r="FO101" s="217"/>
      <c r="FP101" s="217"/>
      <c r="FQ101" s="217"/>
      <c r="FR101" s="217"/>
      <c r="FS101" s="217"/>
      <c r="FT101" s="217"/>
      <c r="FU101" s="217"/>
      <c r="FV101" s="217"/>
      <c r="FW101" s="217"/>
      <c r="FX101" s="217"/>
      <c r="FY101" s="217"/>
      <c r="FZ101" s="217"/>
      <c r="GA101" s="217"/>
      <c r="GB101" s="217"/>
      <c r="GC101" s="217"/>
      <c r="GD101" s="217"/>
      <c r="GE101" s="217"/>
      <c r="GF101" s="217"/>
      <c r="GG101" s="217"/>
      <c r="GH101" s="217"/>
      <c r="GI101" s="217"/>
      <c r="GJ101" s="217"/>
      <c r="GK101" s="217"/>
      <c r="GL101" s="217"/>
      <c r="GM101" s="217"/>
      <c r="GN101" s="217"/>
      <c r="GO101" s="217"/>
      <c r="GP101" s="217"/>
      <c r="GQ101" s="217"/>
      <c r="GR101" s="217"/>
      <c r="GS101" s="217"/>
      <c r="GT101" s="217"/>
      <c r="GU101" s="217"/>
      <c r="GV101" s="217"/>
      <c r="GW101" s="217"/>
      <c r="GX101" s="217"/>
      <c r="GY101" s="217"/>
      <c r="GZ101" s="217"/>
      <c r="HA101" s="217"/>
      <c r="HB101" s="217"/>
      <c r="HC101" s="217"/>
      <c r="HD101" s="217"/>
      <c r="HE101" s="217"/>
      <c r="HF101" s="217"/>
      <c r="HG101" s="217"/>
      <c r="HH101" s="217"/>
      <c r="HI101" s="217"/>
      <c r="HJ101" s="217"/>
      <c r="HK101" s="217"/>
      <c r="HL101" s="35"/>
      <c r="HM101" s="253"/>
      <c r="HN101" s="258"/>
      <c r="HO101" s="217"/>
      <c r="HP101" s="217"/>
      <c r="HQ101" s="217"/>
      <c r="HR101" s="217"/>
      <c r="HS101" s="217"/>
      <c r="HT101" s="217"/>
      <c r="HU101" s="217"/>
      <c r="HV101" s="217"/>
      <c r="HW101" s="217"/>
      <c r="HX101" s="217"/>
      <c r="HY101" s="217"/>
      <c r="HZ101" s="217"/>
      <c r="IA101" s="217"/>
    </row>
    <row r="102" spans="1:235">
      <c r="A102" s="27" t="s">
        <v>293</v>
      </c>
      <c r="B102" s="124"/>
      <c r="C102" s="124"/>
      <c r="D102" s="124"/>
      <c r="E102" s="124"/>
      <c r="F102" s="124"/>
      <c r="G102" s="124"/>
      <c r="H102" s="124"/>
      <c r="I102" s="124"/>
      <c r="J102" s="124"/>
      <c r="K102" s="124"/>
      <c r="L102" s="124"/>
      <c r="M102" s="124"/>
      <c r="N102" s="124"/>
      <c r="O102" s="124"/>
      <c r="P102" s="124"/>
      <c r="Q102" s="124"/>
      <c r="R102" s="124"/>
      <c r="S102" s="124"/>
      <c r="T102" s="124"/>
      <c r="U102" s="124">
        <v>0</v>
      </c>
      <c r="V102" s="124">
        <v>0</v>
      </c>
      <c r="W102" s="124">
        <v>0</v>
      </c>
      <c r="X102" s="124">
        <v>0</v>
      </c>
      <c r="Y102" s="124">
        <v>0</v>
      </c>
      <c r="Z102" s="124">
        <v>0</v>
      </c>
      <c r="AA102" s="124">
        <v>0</v>
      </c>
      <c r="AB102" s="124">
        <v>0</v>
      </c>
      <c r="AC102" s="124">
        <v>0</v>
      </c>
      <c r="AD102" s="124">
        <v>0</v>
      </c>
      <c r="AE102" s="124">
        <v>0</v>
      </c>
      <c r="AF102" s="124">
        <v>0</v>
      </c>
      <c r="AG102" s="124">
        <v>0</v>
      </c>
      <c r="AH102" s="124">
        <v>0</v>
      </c>
      <c r="AI102" s="124">
        <v>0</v>
      </c>
      <c r="AJ102" s="124">
        <v>0</v>
      </c>
      <c r="AK102" s="124">
        <v>0</v>
      </c>
      <c r="AL102" s="124">
        <v>0</v>
      </c>
      <c r="AM102" s="235">
        <v>0</v>
      </c>
      <c r="AN102" s="235">
        <v>0</v>
      </c>
      <c r="AO102" s="235">
        <v>0</v>
      </c>
      <c r="AP102" s="235">
        <v>0</v>
      </c>
      <c r="AQ102" s="235">
        <v>0</v>
      </c>
      <c r="AR102" s="235">
        <v>0</v>
      </c>
      <c r="AS102" s="283">
        <v>0</v>
      </c>
      <c r="AT102" s="283">
        <v>0</v>
      </c>
      <c r="AU102" s="283">
        <v>0</v>
      </c>
      <c r="AV102" s="283">
        <v>0</v>
      </c>
      <c r="AW102" s="283">
        <v>0</v>
      </c>
      <c r="AX102" s="283">
        <v>0</v>
      </c>
      <c r="AY102" s="283">
        <v>0</v>
      </c>
      <c r="AZ102" s="283">
        <v>0</v>
      </c>
      <c r="BA102" s="413">
        <v>0</v>
      </c>
      <c r="BB102" s="413">
        <v>0</v>
      </c>
      <c r="BC102" s="413">
        <v>0</v>
      </c>
      <c r="BD102" s="413">
        <v>0</v>
      </c>
      <c r="BE102" s="413">
        <v>0</v>
      </c>
      <c r="BF102" s="413">
        <v>0</v>
      </c>
      <c r="BG102" s="283">
        <v>0</v>
      </c>
      <c r="BH102" s="283">
        <v>0</v>
      </c>
      <c r="BI102" s="283">
        <v>0</v>
      </c>
      <c r="BJ102" s="283">
        <v>0</v>
      </c>
      <c r="BK102" s="283">
        <v>0</v>
      </c>
      <c r="BL102" s="283">
        <v>0</v>
      </c>
      <c r="BM102" s="283">
        <v>0</v>
      </c>
      <c r="BN102" s="283">
        <v>0</v>
      </c>
      <c r="BO102" s="283">
        <v>0</v>
      </c>
      <c r="BP102" s="283">
        <v>0</v>
      </c>
      <c r="BQ102" s="283">
        <v>0</v>
      </c>
      <c r="BR102" s="283">
        <v>0</v>
      </c>
      <c r="BS102" s="283">
        <v>0</v>
      </c>
      <c r="BT102" s="283">
        <v>0</v>
      </c>
      <c r="BU102" s="283">
        <v>0</v>
      </c>
      <c r="BV102" s="283">
        <v>0</v>
      </c>
      <c r="BW102" s="283">
        <v>0</v>
      </c>
      <c r="BX102" s="283">
        <v>0</v>
      </c>
      <c r="BY102" s="283">
        <v>0</v>
      </c>
      <c r="BZ102" s="283">
        <v>0</v>
      </c>
      <c r="CA102" s="283">
        <v>0</v>
      </c>
      <c r="CB102" s="283">
        <v>0</v>
      </c>
      <c r="CC102" s="283">
        <v>0</v>
      </c>
      <c r="CD102" s="283">
        <v>0</v>
      </c>
      <c r="CE102" s="283">
        <v>0</v>
      </c>
      <c r="CF102" s="283">
        <v>0</v>
      </c>
      <c r="CG102" s="283">
        <v>0</v>
      </c>
      <c r="CH102" s="283">
        <v>0</v>
      </c>
      <c r="CI102" s="283">
        <v>0</v>
      </c>
      <c r="CJ102" s="283">
        <v>0</v>
      </c>
      <c r="CK102" s="283">
        <v>0</v>
      </c>
      <c r="CL102" s="283">
        <v>0</v>
      </c>
      <c r="CM102" s="283">
        <v>0</v>
      </c>
      <c r="CN102" s="283">
        <v>0</v>
      </c>
      <c r="CO102" s="283">
        <v>0</v>
      </c>
      <c r="CP102" s="283">
        <v>0</v>
      </c>
      <c r="CQ102" s="283">
        <v>0</v>
      </c>
      <c r="CR102" s="283">
        <v>0</v>
      </c>
      <c r="CS102" s="283">
        <v>0</v>
      </c>
      <c r="CT102" s="283">
        <v>0</v>
      </c>
      <c r="CU102" s="283">
        <v>0</v>
      </c>
      <c r="CV102" s="283">
        <v>0</v>
      </c>
      <c r="CW102" s="283">
        <v>0</v>
      </c>
      <c r="CX102" s="283">
        <v>0</v>
      </c>
      <c r="CY102" s="283">
        <v>0</v>
      </c>
      <c r="CZ102" s="283">
        <v>0</v>
      </c>
      <c r="DA102" s="283">
        <v>0</v>
      </c>
      <c r="DB102" s="283">
        <v>0</v>
      </c>
      <c r="DC102" s="283">
        <v>0</v>
      </c>
      <c r="DD102" s="283">
        <v>0</v>
      </c>
      <c r="DE102" s="283">
        <v>0</v>
      </c>
      <c r="DF102" s="283">
        <v>0</v>
      </c>
      <c r="DG102" s="283">
        <v>0</v>
      </c>
      <c r="DH102" s="283">
        <v>0</v>
      </c>
      <c r="DI102" s="283">
        <v>0</v>
      </c>
      <c r="DJ102" s="283">
        <v>0</v>
      </c>
      <c r="DK102" s="283">
        <v>0</v>
      </c>
      <c r="DL102" s="283">
        <v>0</v>
      </c>
      <c r="DM102" s="283">
        <v>0</v>
      </c>
      <c r="DN102" s="283">
        <v>0</v>
      </c>
      <c r="DO102" s="283">
        <v>0</v>
      </c>
      <c r="DP102" s="283">
        <v>0</v>
      </c>
      <c r="DQ102" s="283">
        <v>0</v>
      </c>
      <c r="DR102" s="283">
        <v>0</v>
      </c>
      <c r="DS102" s="283">
        <v>0</v>
      </c>
      <c r="DT102" s="283">
        <v>0</v>
      </c>
      <c r="DU102" s="283">
        <v>0</v>
      </c>
      <c r="DV102" s="283">
        <v>0</v>
      </c>
      <c r="DW102" s="283">
        <v>0</v>
      </c>
      <c r="DX102" s="283">
        <v>0</v>
      </c>
      <c r="DY102" s="283">
        <v>0</v>
      </c>
      <c r="DZ102" s="283">
        <v>0</v>
      </c>
      <c r="EA102" s="283">
        <v>0</v>
      </c>
      <c r="EB102" s="283">
        <v>0</v>
      </c>
      <c r="EC102" s="283">
        <v>0</v>
      </c>
      <c r="ED102" s="283">
        <v>0</v>
      </c>
      <c r="EE102" s="283">
        <v>0</v>
      </c>
      <c r="EF102" s="283">
        <v>0</v>
      </c>
      <c r="EG102" s="283">
        <v>0</v>
      </c>
      <c r="EH102" s="283">
        <v>0</v>
      </c>
      <c r="EI102" s="283">
        <v>0</v>
      </c>
      <c r="EJ102" s="283">
        <v>0</v>
      </c>
      <c r="EK102" s="283">
        <v>0</v>
      </c>
      <c r="EL102" s="283">
        <v>0</v>
      </c>
      <c r="EM102" s="283">
        <v>0</v>
      </c>
      <c r="EN102" s="283">
        <v>0</v>
      </c>
      <c r="EO102" s="283">
        <v>0</v>
      </c>
      <c r="EP102" s="283">
        <v>0</v>
      </c>
      <c r="EQ102" s="283">
        <v>0</v>
      </c>
      <c r="ER102" s="283">
        <v>0</v>
      </c>
      <c r="ES102" s="283">
        <v>0</v>
      </c>
      <c r="ET102" s="467">
        <f>SUM(EG102:ES102)/13</f>
        <v>0</v>
      </c>
      <c r="EU102" s="801"/>
      <c r="EV102" s="801"/>
      <c r="HL102" s="35"/>
      <c r="HM102" s="253"/>
      <c r="HN102" s="258"/>
      <c r="HO102" s="35"/>
      <c r="HP102" s="35"/>
      <c r="HQ102" s="35"/>
      <c r="HR102" s="35"/>
      <c r="HS102" s="35"/>
      <c r="HT102" s="35"/>
      <c r="HU102" s="35"/>
      <c r="HV102" s="35"/>
      <c r="HW102" s="35"/>
      <c r="HX102" s="35"/>
      <c r="HY102" s="35"/>
      <c r="HZ102" s="35"/>
      <c r="IA102" s="35"/>
    </row>
    <row r="103" spans="1:235" s="17" customFormat="1">
      <c r="A103" s="225" t="s">
        <v>294</v>
      </c>
      <c r="B103" s="154">
        <v>33638.394549999997</v>
      </c>
      <c r="C103" s="154">
        <v>33736.822549999997</v>
      </c>
      <c r="D103" s="154">
        <v>33610.294549999999</v>
      </c>
      <c r="E103" s="154">
        <v>33639.60355</v>
      </c>
      <c r="F103" s="154">
        <v>33475.76655</v>
      </c>
      <c r="G103" s="154">
        <v>33501.430549999997</v>
      </c>
      <c r="H103" s="154">
        <v>30569.292549999998</v>
      </c>
      <c r="I103" s="154">
        <v>30601.705549999999</v>
      </c>
      <c r="J103" s="154">
        <v>30631.118549999996</v>
      </c>
      <c r="K103" s="154">
        <v>30280.371549999996</v>
      </c>
      <c r="L103" s="154">
        <v>30321.960549999996</v>
      </c>
      <c r="M103" s="154">
        <v>30358.206549999995</v>
      </c>
      <c r="N103" s="154">
        <v>29894.415549999998</v>
      </c>
      <c r="O103" s="154">
        <v>29931</v>
      </c>
      <c r="P103" s="154">
        <v>29654</v>
      </c>
      <c r="Q103" s="154">
        <v>27669</v>
      </c>
      <c r="R103" s="154">
        <v>27440</v>
      </c>
      <c r="S103" s="154">
        <v>27472</v>
      </c>
      <c r="T103" s="154">
        <v>27073</v>
      </c>
      <c r="U103" s="154">
        <v>27119</v>
      </c>
      <c r="V103" s="154">
        <v>27215</v>
      </c>
      <c r="W103" s="154">
        <v>26499</v>
      </c>
      <c r="X103" s="154">
        <v>26528</v>
      </c>
      <c r="Y103" s="154">
        <v>26611</v>
      </c>
      <c r="Z103" s="154">
        <v>26218</v>
      </c>
      <c r="AA103" s="154">
        <v>26300</v>
      </c>
      <c r="AB103" s="154">
        <v>25961</v>
      </c>
      <c r="AC103" s="154">
        <v>25800</v>
      </c>
      <c r="AD103" s="154">
        <v>31527</v>
      </c>
      <c r="AE103" s="154">
        <v>31555</v>
      </c>
      <c r="AF103" s="154">
        <v>30797</v>
      </c>
      <c r="AG103" s="154">
        <v>31140.002939999998</v>
      </c>
      <c r="AH103" s="154">
        <v>31161.953120000002</v>
      </c>
      <c r="AI103" s="154">
        <v>30405.372520000001</v>
      </c>
      <c r="AJ103" s="154">
        <v>29999.343140000001</v>
      </c>
      <c r="AK103" s="154">
        <v>30010.758109999999</v>
      </c>
      <c r="AL103" s="154">
        <v>29781.098579999998</v>
      </c>
      <c r="AM103" s="154">
        <v>29803.447699999997</v>
      </c>
      <c r="AN103" s="154">
        <v>29843.149989999998</v>
      </c>
      <c r="AO103" s="154">
        <v>32061.005209999999</v>
      </c>
      <c r="AP103" s="154">
        <v>31697.194440000003</v>
      </c>
      <c r="AQ103" s="154">
        <v>31743.189159999998</v>
      </c>
      <c r="AR103" s="154">
        <v>31204.591139999997</v>
      </c>
      <c r="AS103" s="154">
        <v>31262.258819999995</v>
      </c>
      <c r="AT103" s="154">
        <v>31311.512089999997</v>
      </c>
      <c r="AU103" s="154">
        <v>30732.680179999999</v>
      </c>
      <c r="AV103" s="154">
        <v>30773.624810000005</v>
      </c>
      <c r="AW103" s="154">
        <v>30812.708799999997</v>
      </c>
      <c r="AX103" s="154">
        <v>29992.015070000001</v>
      </c>
      <c r="AY103" s="154">
        <v>29674.924859999996</v>
      </c>
      <c r="AZ103" s="154">
        <v>29722.28197</v>
      </c>
      <c r="BA103" s="422">
        <v>20591.124830000001</v>
      </c>
      <c r="BB103" s="422">
        <v>20607.092149999997</v>
      </c>
      <c r="BC103" s="422">
        <v>20058.910679999997</v>
      </c>
      <c r="BD103" s="422">
        <v>19471.365719999998</v>
      </c>
      <c r="BE103" s="422">
        <v>19479.098240000003</v>
      </c>
      <c r="BF103" s="422">
        <v>19521.804809999998</v>
      </c>
      <c r="BG103" s="154">
        <v>19161.513279999999</v>
      </c>
      <c r="BH103" s="154">
        <v>19192.960769999998</v>
      </c>
      <c r="BI103" s="154">
        <v>19100.739740000001</v>
      </c>
      <c r="BJ103" s="154">
        <v>18917.585010000003</v>
      </c>
      <c r="BK103" s="154">
        <v>18951.330930000004</v>
      </c>
      <c r="BL103" s="154">
        <v>18980.528899999998</v>
      </c>
      <c r="BM103" s="154">
        <v>22584.444039999998</v>
      </c>
      <c r="BN103" s="154">
        <v>22520.292459999997</v>
      </c>
      <c r="BO103" s="154">
        <v>22374.916109999998</v>
      </c>
      <c r="BP103" s="154">
        <v>22727.668209999996</v>
      </c>
      <c r="BQ103" s="154">
        <v>22776.301919999998</v>
      </c>
      <c r="BR103" s="154">
        <v>22803.424510000001</v>
      </c>
      <c r="BS103" s="154">
        <v>21660.397710000005</v>
      </c>
      <c r="BT103" s="154">
        <v>21779.480500000001</v>
      </c>
      <c r="BU103" s="154">
        <v>21513.615160000005</v>
      </c>
      <c r="BV103" s="154">
        <v>21461.795910000004</v>
      </c>
      <c r="BW103" s="154">
        <v>21503.532179999998</v>
      </c>
      <c r="BX103" s="154">
        <v>21529.79911</v>
      </c>
      <c r="BY103" s="154">
        <v>28752.137349999997</v>
      </c>
      <c r="BZ103" s="154">
        <v>28779.16978</v>
      </c>
      <c r="CA103" s="154">
        <v>28807.229030000002</v>
      </c>
      <c r="CB103" s="154">
        <v>28487.95592</v>
      </c>
      <c r="CC103" s="154">
        <v>28532.524519999999</v>
      </c>
      <c r="CD103" s="154">
        <v>28557.374469999999</v>
      </c>
      <c r="CE103" s="154">
        <v>28103.52132</v>
      </c>
      <c r="CF103" s="154">
        <v>28122.042060000003</v>
      </c>
      <c r="CG103" s="154">
        <v>28112.709770000001</v>
      </c>
      <c r="CH103" s="154">
        <v>37009.130320000011</v>
      </c>
      <c r="CI103" s="154">
        <v>37082.960279999992</v>
      </c>
      <c r="CJ103" s="154">
        <v>37162.061430000009</v>
      </c>
      <c r="CK103" s="154">
        <v>32667.708139999999</v>
      </c>
      <c r="CL103" s="154">
        <f t="shared" ref="CL103:CW103" si="102">SUM(CL101:CL102)</f>
        <v>33232.551169999999</v>
      </c>
      <c r="CM103" s="154">
        <f t="shared" si="102"/>
        <v>32814.977719999995</v>
      </c>
      <c r="CN103" s="154">
        <f t="shared" si="102"/>
        <v>32356.243689999999</v>
      </c>
      <c r="CO103" s="154">
        <f t="shared" si="102"/>
        <v>32537.237589999997</v>
      </c>
      <c r="CP103" s="154">
        <f t="shared" si="102"/>
        <v>32611.938400000003</v>
      </c>
      <c r="CQ103" s="154">
        <f t="shared" si="102"/>
        <v>33329.017630000002</v>
      </c>
      <c r="CR103" s="154">
        <f t="shared" si="102"/>
        <v>33406.819600000003</v>
      </c>
      <c r="CS103" s="154">
        <f t="shared" si="102"/>
        <v>33463.907770000005</v>
      </c>
      <c r="CT103" s="154">
        <f t="shared" si="102"/>
        <v>33316.9444</v>
      </c>
      <c r="CU103" s="154">
        <f t="shared" si="102"/>
        <v>33390.140930000001</v>
      </c>
      <c r="CV103" s="154">
        <f t="shared" si="102"/>
        <v>33438.184299999994</v>
      </c>
      <c r="CW103" s="154">
        <f t="shared" si="102"/>
        <v>31177.312839999995</v>
      </c>
      <c r="CX103" s="154">
        <f t="shared" ref="CX103:DC103" si="103">SUM(CX101:CX102)</f>
        <v>31376.518619999999</v>
      </c>
      <c r="CY103" s="154">
        <f t="shared" si="103"/>
        <v>31163.232049999999</v>
      </c>
      <c r="CZ103" s="154">
        <f t="shared" si="103"/>
        <v>30755.33726</v>
      </c>
      <c r="DA103" s="154">
        <f t="shared" si="103"/>
        <v>30807.307420000001</v>
      </c>
      <c r="DB103" s="154">
        <f t="shared" si="103"/>
        <v>30775.087789999998</v>
      </c>
      <c r="DC103" s="154">
        <f t="shared" si="103"/>
        <v>30308.419610000001</v>
      </c>
      <c r="DD103" s="154">
        <f t="shared" ref="DD103:DI103" si="104">SUM(DD101:DD102)</f>
        <v>30393.484840000001</v>
      </c>
      <c r="DE103" s="154">
        <f t="shared" si="104"/>
        <v>30443.54896</v>
      </c>
      <c r="DF103" s="154">
        <f t="shared" si="104"/>
        <v>29638.7284</v>
      </c>
      <c r="DG103" s="154">
        <f t="shared" si="104"/>
        <v>29686.634049999997</v>
      </c>
      <c r="DH103" s="154">
        <f t="shared" si="104"/>
        <v>29725.090929999998</v>
      </c>
      <c r="DI103" s="154">
        <f t="shared" si="104"/>
        <v>35590.311590000005</v>
      </c>
      <c r="DJ103" s="154">
        <f t="shared" ref="DJ103:DP103" si="105">SUM(DJ101:DJ102)</f>
        <v>35580.073530000001</v>
      </c>
      <c r="DK103" s="154">
        <f t="shared" si="105"/>
        <v>35936.726539999996</v>
      </c>
      <c r="DL103" s="154">
        <f t="shared" si="105"/>
        <v>35399.9663</v>
      </c>
      <c r="DM103" s="154">
        <f t="shared" si="105"/>
        <v>35501.154719999999</v>
      </c>
      <c r="DN103" s="154">
        <f t="shared" si="105"/>
        <v>35557.995280000003</v>
      </c>
      <c r="DO103" s="154">
        <f t="shared" si="105"/>
        <v>35202.79681</v>
      </c>
      <c r="DP103" s="154">
        <f t="shared" si="105"/>
        <v>35457.040970000002</v>
      </c>
      <c r="DQ103" s="154">
        <f t="shared" ref="DQ103:DX103" si="106">SUM(DQ101:DQ102)</f>
        <v>35395.493570000006</v>
      </c>
      <c r="DR103" s="154">
        <f t="shared" si="106"/>
        <v>34997.089570000004</v>
      </c>
      <c r="DS103" s="154">
        <f t="shared" si="106"/>
        <v>35090.72984</v>
      </c>
      <c r="DT103" s="154">
        <f t="shared" si="106"/>
        <v>35184.564019999998</v>
      </c>
      <c r="DU103" s="154">
        <f t="shared" si="106"/>
        <v>35443.422120000003</v>
      </c>
      <c r="DV103" s="154">
        <f t="shared" si="106"/>
        <v>35507.218290000004</v>
      </c>
      <c r="DW103" s="154">
        <f t="shared" si="106"/>
        <v>35601.645599999996</v>
      </c>
      <c r="DX103" s="154">
        <f t="shared" si="106"/>
        <v>35272.63496000001</v>
      </c>
      <c r="DY103" s="154">
        <f t="shared" ref="DY103:ED103" si="107">SUM(DY101:DY102)</f>
        <v>35224.527670000003</v>
      </c>
      <c r="DZ103" s="154">
        <f t="shared" si="107"/>
        <v>35345.569620000002</v>
      </c>
      <c r="EA103" s="154">
        <f t="shared" si="107"/>
        <v>34853.14884999999</v>
      </c>
      <c r="EB103" s="154">
        <f t="shared" si="107"/>
        <v>34963.662409999997</v>
      </c>
      <c r="EC103" s="154">
        <f t="shared" si="107"/>
        <v>34979.036870000004</v>
      </c>
      <c r="ED103" s="154">
        <f t="shared" si="107"/>
        <v>34527.22481</v>
      </c>
      <c r="EE103" s="154">
        <f t="shared" ref="EE103:EJ103" si="108">SUM(EE101:EE102)</f>
        <v>34622.990109999999</v>
      </c>
      <c r="EF103" s="154">
        <f t="shared" si="108"/>
        <v>34771.98979</v>
      </c>
      <c r="EG103" s="154">
        <f t="shared" si="108"/>
        <v>41453.739150000009</v>
      </c>
      <c r="EH103" s="154">
        <f t="shared" si="108"/>
        <v>41521.220939999999</v>
      </c>
      <c r="EI103" s="154">
        <f t="shared" si="108"/>
        <v>41646.103440000006</v>
      </c>
      <c r="EJ103" s="154">
        <f t="shared" si="108"/>
        <v>40033.396829999998</v>
      </c>
      <c r="EK103" s="154">
        <f t="shared" ref="EK103:EP103" si="109">SUM(EK101:EK102)</f>
        <v>40142.611369999999</v>
      </c>
      <c r="EL103" s="154">
        <f t="shared" si="109"/>
        <v>40250.912710000004</v>
      </c>
      <c r="EM103" s="154">
        <f t="shared" si="109"/>
        <v>39881.427500000005</v>
      </c>
      <c r="EN103" s="154">
        <f t="shared" si="109"/>
        <v>40010.225060000004</v>
      </c>
      <c r="EO103" s="154">
        <f t="shared" si="109"/>
        <v>40090.886680000003</v>
      </c>
      <c r="EP103" s="154">
        <f t="shared" si="109"/>
        <v>39764.307420000005</v>
      </c>
      <c r="EQ103" s="154">
        <f>SUM(EQ101:EQ102)</f>
        <v>40002.90638</v>
      </c>
      <c r="ER103" s="154">
        <f>SUM(ER101:ER102)</f>
        <v>40158.910090000005</v>
      </c>
      <c r="ES103" s="154">
        <f>SUM(ES101:ES102)</f>
        <v>31953.972819999999</v>
      </c>
      <c r="ET103" s="422">
        <f>SUM(ET101:ET102)</f>
        <v>39762.355414615391</v>
      </c>
      <c r="EU103" s="154"/>
      <c r="EV103" s="154"/>
      <c r="EW103" s="178"/>
      <c r="EX103" s="178"/>
      <c r="EY103" s="178"/>
      <c r="EZ103" s="178"/>
      <c r="FA103" s="178"/>
      <c r="FB103" s="178"/>
      <c r="FC103" s="178"/>
      <c r="FD103" s="178"/>
      <c r="FE103" s="178"/>
      <c r="FF103" s="178"/>
      <c r="FG103" s="178"/>
      <c r="FH103" s="178"/>
      <c r="FI103" s="178"/>
      <c r="FJ103" s="178"/>
      <c r="FK103" s="178"/>
      <c r="FL103" s="178"/>
      <c r="FM103" s="178"/>
      <c r="FN103" s="178"/>
      <c r="FO103" s="178"/>
      <c r="FP103" s="178"/>
      <c r="FQ103" s="178"/>
      <c r="FR103" s="178"/>
      <c r="FS103" s="178"/>
      <c r="FT103" s="178"/>
      <c r="FU103" s="178"/>
      <c r="FV103" s="178"/>
      <c r="FW103" s="178"/>
      <c r="FX103" s="178"/>
      <c r="FY103" s="178"/>
      <c r="FZ103" s="178"/>
      <c r="GA103" s="178"/>
      <c r="GB103" s="178"/>
      <c r="GC103" s="178"/>
      <c r="GD103" s="178"/>
      <c r="GE103" s="178"/>
      <c r="GF103" s="178"/>
      <c r="GG103" s="178"/>
      <c r="GH103" s="178"/>
      <c r="GI103" s="178"/>
      <c r="GJ103" s="178"/>
      <c r="GK103" s="178"/>
      <c r="GL103" s="178"/>
      <c r="GM103" s="178"/>
      <c r="GN103" s="178"/>
      <c r="GO103" s="178"/>
      <c r="GP103" s="178"/>
      <c r="GQ103" s="178"/>
      <c r="GR103" s="178"/>
      <c r="GS103" s="178"/>
      <c r="GT103" s="178"/>
      <c r="GU103" s="178"/>
      <c r="GV103" s="178"/>
      <c r="GW103" s="178"/>
      <c r="GX103" s="178"/>
      <c r="GY103" s="178"/>
      <c r="GZ103" s="178"/>
      <c r="HA103" s="178"/>
      <c r="HB103" s="178"/>
      <c r="HC103" s="178"/>
      <c r="HD103" s="178"/>
      <c r="HE103" s="178"/>
      <c r="HF103" s="178"/>
      <c r="HG103" s="178"/>
      <c r="HH103" s="178"/>
      <c r="HI103" s="178"/>
      <c r="HJ103" s="178"/>
      <c r="HK103" s="178"/>
      <c r="HL103" s="35"/>
      <c r="HM103" s="257"/>
      <c r="HN103" s="258"/>
      <c r="HO103" s="178"/>
      <c r="HP103" s="178"/>
      <c r="HQ103" s="178"/>
      <c r="HR103" s="178"/>
      <c r="HS103" s="178"/>
      <c r="HT103" s="178"/>
      <c r="HU103" s="178"/>
      <c r="HV103" s="178"/>
      <c r="HW103" s="178"/>
      <c r="HX103" s="178"/>
      <c r="HY103" s="178"/>
      <c r="HZ103" s="178"/>
      <c r="IA103" s="178"/>
    </row>
    <row r="104" spans="1:235">
      <c r="A104" s="29"/>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417"/>
      <c r="BB104" s="417"/>
      <c r="BC104" s="417"/>
      <c r="BD104" s="417"/>
      <c r="BE104" s="417"/>
      <c r="BF104" s="417"/>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HL104" s="35"/>
      <c r="HM104" s="252"/>
      <c r="HN104" s="258"/>
      <c r="HO104" s="35"/>
      <c r="HP104" s="35"/>
      <c r="HQ104" s="35"/>
      <c r="HR104" s="35"/>
      <c r="HS104" s="35"/>
      <c r="HT104" s="35"/>
      <c r="HU104" s="35"/>
      <c r="HV104" s="35"/>
      <c r="HW104" s="35"/>
      <c r="HX104" s="35"/>
      <c r="HY104" s="35"/>
      <c r="HZ104" s="35"/>
      <c r="IA104" s="35"/>
    </row>
    <row r="105" spans="1:235" s="17" customFormat="1" ht="13.5" thickBot="1">
      <c r="A105" s="225" t="s">
        <v>295</v>
      </c>
      <c r="B105" s="226">
        <v>732136.66058999998</v>
      </c>
      <c r="C105" s="226">
        <v>753438.01459000015</v>
      </c>
      <c r="D105" s="226">
        <v>738108.02159000002</v>
      </c>
      <c r="E105" s="226">
        <v>757947.89059000008</v>
      </c>
      <c r="F105" s="226">
        <v>774206.05459000007</v>
      </c>
      <c r="G105" s="226">
        <v>767850.63459000003</v>
      </c>
      <c r="H105" s="226">
        <v>787097.83658999996</v>
      </c>
      <c r="I105" s="226">
        <v>767194.14958999993</v>
      </c>
      <c r="J105" s="226">
        <v>750048.98059000005</v>
      </c>
      <c r="K105" s="226">
        <v>746946.21459000022</v>
      </c>
      <c r="L105" s="226">
        <v>751584.89758999995</v>
      </c>
      <c r="M105" s="226">
        <v>753516.61158999999</v>
      </c>
      <c r="N105" s="226">
        <v>764001.44559000002</v>
      </c>
      <c r="O105" s="226">
        <v>756017.07400000002</v>
      </c>
      <c r="P105" s="226">
        <v>754020.97400000005</v>
      </c>
      <c r="Q105" s="226">
        <v>785192</v>
      </c>
      <c r="R105" s="226">
        <v>782917</v>
      </c>
      <c r="S105" s="226">
        <v>774415</v>
      </c>
      <c r="T105" s="226">
        <v>779055</v>
      </c>
      <c r="U105" s="226">
        <v>770396.78800000006</v>
      </c>
      <c r="V105" s="226">
        <v>759212.83199999994</v>
      </c>
      <c r="W105" s="226">
        <v>743396.103</v>
      </c>
      <c r="X105" s="226">
        <v>741221.66039999994</v>
      </c>
      <c r="Y105" s="226">
        <v>734561.51171999995</v>
      </c>
      <c r="Z105" s="226">
        <v>745554.77145</v>
      </c>
      <c r="AA105" s="226">
        <v>748297.30275000003</v>
      </c>
      <c r="AB105" s="226">
        <v>751863.35327000008</v>
      </c>
      <c r="AC105" s="226">
        <v>793456.35199999996</v>
      </c>
      <c r="AD105" s="226">
        <v>814022</v>
      </c>
      <c r="AE105" s="226">
        <v>807522.14299999992</v>
      </c>
      <c r="AF105" s="226">
        <v>816558.37699999998</v>
      </c>
      <c r="AG105" s="226">
        <v>815865.10694999993</v>
      </c>
      <c r="AH105" s="226">
        <v>810039.75348999992</v>
      </c>
      <c r="AI105" s="226">
        <v>828739.49917000008</v>
      </c>
      <c r="AJ105" s="226">
        <v>839266.10136999993</v>
      </c>
      <c r="AK105" s="226">
        <v>812479.88456000015</v>
      </c>
      <c r="AL105" s="226">
        <v>823160.77059000009</v>
      </c>
      <c r="AM105" s="226">
        <v>831979.11904999998</v>
      </c>
      <c r="AN105" s="226">
        <v>831387.30524999998</v>
      </c>
      <c r="AO105" s="226">
        <v>852463.17559999996</v>
      </c>
      <c r="AP105" s="226">
        <v>848912.69046999991</v>
      </c>
      <c r="AQ105" s="226">
        <v>845222.77668999997</v>
      </c>
      <c r="AR105" s="226">
        <v>853483.66148999997</v>
      </c>
      <c r="AS105" s="226">
        <v>855460.99614000006</v>
      </c>
      <c r="AT105" s="226">
        <v>854246.51578999998</v>
      </c>
      <c r="AU105" s="226">
        <v>849347.2300000001</v>
      </c>
      <c r="AV105" s="226">
        <v>847699.63972999994</v>
      </c>
      <c r="AW105" s="226">
        <v>840027.76656999998</v>
      </c>
      <c r="AX105" s="226">
        <v>847523.03990999982</v>
      </c>
      <c r="AY105" s="226">
        <v>850838.01254999998</v>
      </c>
      <c r="AZ105" s="226">
        <v>849780.70192999998</v>
      </c>
      <c r="BA105" s="423">
        <v>856468.89258999994</v>
      </c>
      <c r="BB105" s="423">
        <v>870114.43599999999</v>
      </c>
      <c r="BC105" s="423">
        <v>867599.27324000001</v>
      </c>
      <c r="BD105" s="423">
        <v>863255.61109000002</v>
      </c>
      <c r="BE105" s="423">
        <v>862453.56843999994</v>
      </c>
      <c r="BF105" s="423">
        <v>878003.33445000008</v>
      </c>
      <c r="BG105" s="226">
        <v>863922.89252999995</v>
      </c>
      <c r="BH105" s="226">
        <v>864346.02323000005</v>
      </c>
      <c r="BI105" s="226">
        <v>863074.21958000003</v>
      </c>
      <c r="BJ105" s="226">
        <v>862527.22998000006</v>
      </c>
      <c r="BK105" s="226">
        <v>870316.99989000009</v>
      </c>
      <c r="BL105" s="226">
        <v>876086.2848100001</v>
      </c>
      <c r="BM105" s="226">
        <v>914627.86422999995</v>
      </c>
      <c r="BN105" s="226">
        <v>909311.27174999996</v>
      </c>
      <c r="BO105" s="226">
        <v>909859.05848000001</v>
      </c>
      <c r="BP105" s="226">
        <v>915951.59245</v>
      </c>
      <c r="BQ105" s="226">
        <v>913073.54203999997</v>
      </c>
      <c r="BR105" s="226">
        <v>927907.38038000022</v>
      </c>
      <c r="BS105" s="226">
        <v>919594.86876999994</v>
      </c>
      <c r="BT105" s="226">
        <v>924202.72960999992</v>
      </c>
      <c r="BU105" s="226">
        <v>930172.78703000012</v>
      </c>
      <c r="BV105" s="226">
        <v>929778.40936000005</v>
      </c>
      <c r="BW105" s="226">
        <v>940120.18966999999</v>
      </c>
      <c r="BX105" s="226">
        <v>944592.13181000017</v>
      </c>
      <c r="BY105" s="226">
        <v>967348.701</v>
      </c>
      <c r="BZ105" s="226">
        <v>961821.77743999998</v>
      </c>
      <c r="CA105" s="226">
        <v>966484.87622000021</v>
      </c>
      <c r="CB105" s="226">
        <v>977169.93615999992</v>
      </c>
      <c r="CC105" s="226">
        <v>978701.24190999998</v>
      </c>
      <c r="CD105" s="226">
        <v>962582.35757000011</v>
      </c>
      <c r="CE105" s="226">
        <v>959913.11364999996</v>
      </c>
      <c r="CF105" s="226">
        <v>966577.89016000007</v>
      </c>
      <c r="CG105" s="226">
        <v>967349.22283999994</v>
      </c>
      <c r="CH105" s="226">
        <v>983590.42564000003</v>
      </c>
      <c r="CI105" s="226">
        <v>993184.64678000007</v>
      </c>
      <c r="CJ105" s="226">
        <v>996109.79934000014</v>
      </c>
      <c r="CK105" s="226">
        <v>1019086.00265</v>
      </c>
      <c r="CL105" s="226">
        <f t="shared" ref="CL105:CW105" si="110">CL71+CL90+CL99+CL103</f>
        <v>1027437.33795</v>
      </c>
      <c r="CM105" s="226">
        <f t="shared" si="110"/>
        <v>1035745.09141</v>
      </c>
      <c r="CN105" s="226">
        <f t="shared" si="110"/>
        <v>1036332.5189800001</v>
      </c>
      <c r="CO105" s="226">
        <f t="shared" si="110"/>
        <v>1046983.3606000001</v>
      </c>
      <c r="CP105" s="226">
        <f t="shared" si="110"/>
        <v>1052134.9567799999</v>
      </c>
      <c r="CQ105" s="226">
        <f t="shared" si="110"/>
        <v>1047551.60808</v>
      </c>
      <c r="CR105" s="226">
        <f t="shared" si="110"/>
        <v>1056362.1461499999</v>
      </c>
      <c r="CS105" s="226">
        <f t="shared" si="110"/>
        <v>1075627.1228799999</v>
      </c>
      <c r="CT105" s="226">
        <f t="shared" si="110"/>
        <v>1077460.4412999998</v>
      </c>
      <c r="CU105" s="226">
        <f t="shared" si="110"/>
        <v>1081661.1270000001</v>
      </c>
      <c r="CV105" s="226">
        <f t="shared" si="110"/>
        <v>1092238.76303</v>
      </c>
      <c r="CW105" s="226">
        <f t="shared" si="110"/>
        <v>1109086.22707</v>
      </c>
      <c r="CX105" s="226">
        <f t="shared" ref="CX105:DC105" si="111">CX71+CX90+CX99+CX103</f>
        <v>1124220.4602699999</v>
      </c>
      <c r="CY105" s="226">
        <f t="shared" si="111"/>
        <v>1117203.8633999999</v>
      </c>
      <c r="CZ105" s="226">
        <f t="shared" si="111"/>
        <v>1114893.87439</v>
      </c>
      <c r="DA105" s="226">
        <f t="shared" si="111"/>
        <v>1118672.52892</v>
      </c>
      <c r="DB105" s="226">
        <f t="shared" si="111"/>
        <v>1126393.3693500001</v>
      </c>
      <c r="DC105" s="226">
        <f t="shared" si="111"/>
        <v>1133533.4225199998</v>
      </c>
      <c r="DD105" s="226">
        <f t="shared" ref="DD105:DI105" si="112">DD71+DD90+DD99+DD103</f>
        <v>1140836.44371</v>
      </c>
      <c r="DE105" s="226">
        <f t="shared" si="112"/>
        <v>1147765.9900200001</v>
      </c>
      <c r="DF105" s="226">
        <f t="shared" si="112"/>
        <v>1160834.0952499998</v>
      </c>
      <c r="DG105" s="226">
        <f t="shared" si="112"/>
        <v>1180935.26844</v>
      </c>
      <c r="DH105" s="226">
        <f t="shared" si="112"/>
        <v>1201359.64811</v>
      </c>
      <c r="DI105" s="226">
        <f t="shared" si="112"/>
        <v>1224685.8870099999</v>
      </c>
      <c r="DJ105" s="226">
        <f t="shared" ref="DJ105:DP105" si="113">DJ71+DJ90+DJ99+DJ103</f>
        <v>1245851.9252299999</v>
      </c>
      <c r="DK105" s="226">
        <f t="shared" si="113"/>
        <v>1246408.9092299999</v>
      </c>
      <c r="DL105" s="226">
        <f t="shared" si="113"/>
        <v>1257593.64787</v>
      </c>
      <c r="DM105" s="226">
        <f t="shared" si="113"/>
        <v>1261451.99141</v>
      </c>
      <c r="DN105" s="226">
        <f t="shared" si="113"/>
        <v>1273924.8077199999</v>
      </c>
      <c r="DO105" s="226">
        <f t="shared" si="113"/>
        <v>1285251.3940600001</v>
      </c>
      <c r="DP105" s="226">
        <f t="shared" si="113"/>
        <v>1298898.81721</v>
      </c>
      <c r="DQ105" s="226">
        <f t="shared" ref="DQ105:DX105" si="114">DQ71+DQ90+DQ99+DQ103</f>
        <v>1317782.3628099998</v>
      </c>
      <c r="DR105" s="226">
        <f t="shared" si="114"/>
        <v>1340764.3386000001</v>
      </c>
      <c r="DS105" s="226">
        <f t="shared" si="114"/>
        <v>1357190.3002299999</v>
      </c>
      <c r="DT105" s="226">
        <f t="shared" si="114"/>
        <v>1382140.3599399999</v>
      </c>
      <c r="DU105" s="226">
        <f t="shared" si="114"/>
        <v>1406757.1951300001</v>
      </c>
      <c r="DV105" s="226">
        <f t="shared" si="114"/>
        <v>1428603.57672</v>
      </c>
      <c r="DW105" s="226">
        <f t="shared" si="114"/>
        <v>1440657.0037799999</v>
      </c>
      <c r="DX105" s="226">
        <f t="shared" si="114"/>
        <v>1451715.1169099999</v>
      </c>
      <c r="DY105" s="226">
        <f t="shared" ref="DY105:ED105" si="115">DY71+DY90+DY99+DY103</f>
        <v>1470020.7291400002</v>
      </c>
      <c r="DZ105" s="226">
        <f t="shared" si="115"/>
        <v>1493213.2055599999</v>
      </c>
      <c r="EA105" s="226">
        <f t="shared" si="115"/>
        <v>1515171.8157800001</v>
      </c>
      <c r="EB105" s="226">
        <f t="shared" si="115"/>
        <v>1535872.1685000001</v>
      </c>
      <c r="EC105" s="226">
        <f t="shared" si="115"/>
        <v>1572823.2239700002</v>
      </c>
      <c r="ED105" s="226">
        <f t="shared" si="115"/>
        <v>1598138.4987300001</v>
      </c>
      <c r="EE105" s="226">
        <f t="shared" ref="EE105:EJ105" si="116">EE71+EE90+EE99+EE103</f>
        <v>1630045.0579200001</v>
      </c>
      <c r="EF105" s="226">
        <f t="shared" si="116"/>
        <v>1664498.6577900001</v>
      </c>
      <c r="EG105" s="226">
        <f t="shared" si="116"/>
        <v>1714605.07812</v>
      </c>
      <c r="EH105" s="226">
        <f t="shared" si="116"/>
        <v>1742610.5260000001</v>
      </c>
      <c r="EI105" s="226">
        <f t="shared" si="116"/>
        <v>1765420.00037</v>
      </c>
      <c r="EJ105" s="226">
        <f t="shared" si="116"/>
        <v>1781368.53366</v>
      </c>
      <c r="EK105" s="226">
        <f t="shared" ref="EK105:ET105" si="117">EK71+EK90+EK99+EK103</f>
        <v>1797765.6539400001</v>
      </c>
      <c r="EL105" s="226">
        <f t="shared" si="117"/>
        <v>1806154.1584800002</v>
      </c>
      <c r="EM105" s="226">
        <f t="shared" si="117"/>
        <v>1825581.51229</v>
      </c>
      <c r="EN105" s="226">
        <f t="shared" si="117"/>
        <v>1851639.4994400002</v>
      </c>
      <c r="EO105" s="226">
        <f t="shared" si="117"/>
        <v>1869701.88534</v>
      </c>
      <c r="EP105" s="226">
        <f t="shared" si="117"/>
        <v>1892848.8117600002</v>
      </c>
      <c r="EQ105" s="226">
        <f>EQ71+EQ90+EQ99+EQ103</f>
        <v>1927505.7080900003</v>
      </c>
      <c r="ER105" s="226">
        <f>ER71+ER90+ER99+ER103</f>
        <v>1958911.4607199999</v>
      </c>
      <c r="ES105" s="226">
        <f>ES71+ES90+ES99+ES103</f>
        <v>1990225.3774000003</v>
      </c>
      <c r="ET105" s="423">
        <f t="shared" si="117"/>
        <v>1840333.7081238462</v>
      </c>
      <c r="EU105" s="257"/>
      <c r="EV105" s="257"/>
      <c r="EW105" s="178"/>
      <c r="EX105" s="178"/>
      <c r="EY105" s="178"/>
      <c r="EZ105" s="178"/>
      <c r="FA105" s="178"/>
      <c r="FB105" s="178"/>
      <c r="FC105" s="178"/>
      <c r="FD105" s="178"/>
      <c r="FE105" s="178"/>
      <c r="FF105" s="178"/>
      <c r="FG105" s="178"/>
      <c r="FH105" s="178"/>
      <c r="FI105" s="178"/>
      <c r="FJ105" s="178"/>
      <c r="FK105" s="178"/>
      <c r="FL105" s="178"/>
      <c r="FM105" s="178"/>
      <c r="FN105" s="178"/>
      <c r="FO105" s="178"/>
      <c r="FP105" s="178"/>
      <c r="FQ105" s="178"/>
      <c r="FR105" s="178"/>
      <c r="FS105" s="178"/>
      <c r="FT105" s="178"/>
      <c r="FU105" s="178"/>
      <c r="FV105" s="178"/>
      <c r="FW105" s="178"/>
      <c r="FX105" s="178"/>
      <c r="FY105" s="178"/>
      <c r="FZ105" s="178"/>
      <c r="GA105" s="178"/>
      <c r="GB105" s="178"/>
      <c r="GC105" s="178"/>
      <c r="GD105" s="178"/>
      <c r="GE105" s="178"/>
      <c r="GF105" s="178"/>
      <c r="GG105" s="178"/>
      <c r="GH105" s="178"/>
      <c r="GI105" s="178"/>
      <c r="GJ105" s="178"/>
      <c r="GK105" s="178"/>
      <c r="GL105" s="178"/>
      <c r="GM105" s="178"/>
      <c r="GN105" s="178"/>
      <c r="GO105" s="178"/>
      <c r="GP105" s="178"/>
      <c r="GQ105" s="178"/>
      <c r="GR105" s="178"/>
      <c r="GS105" s="178"/>
      <c r="GT105" s="178"/>
      <c r="GU105" s="178"/>
      <c r="GV105" s="178"/>
      <c r="GW105" s="178"/>
      <c r="GX105" s="178"/>
      <c r="GY105" s="178"/>
      <c r="GZ105" s="178"/>
      <c r="HA105" s="178"/>
      <c r="HB105" s="178"/>
      <c r="HC105" s="178"/>
      <c r="HD105" s="178"/>
      <c r="HE105" s="178"/>
      <c r="HF105" s="178"/>
      <c r="HG105" s="178"/>
      <c r="HH105" s="178"/>
      <c r="HI105" s="178"/>
      <c r="HJ105" s="178"/>
      <c r="HK105" s="178"/>
      <c r="HL105" s="35"/>
      <c r="HM105" s="257"/>
      <c r="HN105" s="258"/>
      <c r="HO105" s="178"/>
      <c r="HP105" s="178"/>
      <c r="HQ105" s="178"/>
      <c r="HR105" s="178"/>
      <c r="HS105" s="178"/>
      <c r="HT105" s="178"/>
      <c r="HU105" s="178"/>
      <c r="HV105" s="178"/>
      <c r="HW105" s="178"/>
      <c r="HX105" s="178"/>
      <c r="HY105" s="178"/>
      <c r="HZ105" s="178"/>
      <c r="IA105" s="178"/>
    </row>
    <row r="106" spans="1:235" ht="13.5" thickTop="1">
      <c r="A106" s="30"/>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35"/>
      <c r="EU106" s="57"/>
      <c r="EV106" s="57"/>
      <c r="HL106" s="35"/>
      <c r="HM106" s="258"/>
      <c r="HN106" s="258"/>
      <c r="HO106" s="35"/>
      <c r="HP106" s="35"/>
      <c r="HQ106" s="35"/>
      <c r="HR106" s="35"/>
      <c r="HS106" s="35"/>
      <c r="HT106" s="35"/>
      <c r="HU106" s="35"/>
      <c r="HV106" s="35"/>
      <c r="HW106" s="35"/>
      <c r="HX106" s="35"/>
      <c r="HY106" s="35"/>
      <c r="HZ106" s="35"/>
      <c r="IA106" s="35"/>
    </row>
    <row r="107" spans="1:235">
      <c r="A107" t="s">
        <v>420</v>
      </c>
      <c r="B107" s="216">
        <v>-2.6900000055320561E-2</v>
      </c>
      <c r="C107" s="216">
        <v>-1.9900000188499689E-2</v>
      </c>
      <c r="D107" s="216">
        <v>-8.8999998988583684E-3</v>
      </c>
      <c r="E107" s="216">
        <v>-1.5899999998509884E-2</v>
      </c>
      <c r="F107" s="216">
        <v>-1.8900000141002238E-2</v>
      </c>
      <c r="G107" s="216">
        <v>-1.7900000093504786E-2</v>
      </c>
      <c r="H107" s="216">
        <v>-2.2899999981746078E-2</v>
      </c>
      <c r="I107" s="216">
        <v>-1.6899999929592013E-2</v>
      </c>
      <c r="J107" s="216">
        <v>-1.890000025741756E-2</v>
      </c>
      <c r="K107" s="216">
        <v>-1.4900000300258398E-2</v>
      </c>
      <c r="L107" s="216">
        <v>-1.4899999951012433E-2</v>
      </c>
      <c r="M107" s="216">
        <v>-1.2900000088848174E-2</v>
      </c>
      <c r="N107" s="216">
        <v>-1.8900000024586916E-2</v>
      </c>
      <c r="O107" s="216">
        <v>-6.7000000039115548E-2</v>
      </c>
      <c r="P107" s="216">
        <v>6.9000000017695129E-2</v>
      </c>
      <c r="Q107" s="216">
        <v>-9.3159999931231141E-2</v>
      </c>
      <c r="R107" s="216">
        <v>0</v>
      </c>
      <c r="S107" s="216">
        <v>0</v>
      </c>
      <c r="T107" s="216">
        <v>0</v>
      </c>
      <c r="U107" s="216">
        <v>-0.1909999999916181</v>
      </c>
      <c r="V107" s="216">
        <v>-0.29099999996833503</v>
      </c>
      <c r="W107" s="216">
        <v>-0.34100000001490116</v>
      </c>
      <c r="X107" s="216">
        <v>0.39560000004712492</v>
      </c>
      <c r="Y107" s="216">
        <v>0.13329000002704561</v>
      </c>
      <c r="Z107" s="216">
        <v>-0.23644999996758997</v>
      </c>
      <c r="AA107" s="216">
        <v>-0.2904100000159815</v>
      </c>
      <c r="AB107" s="216">
        <v>-0.29045000008773059</v>
      </c>
      <c r="AC107" s="216">
        <v>8.7880000122822821E-2</v>
      </c>
      <c r="AD107" s="216">
        <v>-0.10299999988637865</v>
      </c>
      <c r="AE107" s="216">
        <v>-0.14299999992363155</v>
      </c>
      <c r="AF107" s="216">
        <v>4.4409999973140657E-2</v>
      </c>
      <c r="AG107" s="216">
        <v>0.23968000011518598</v>
      </c>
      <c r="AH107" s="216">
        <v>0.71453000011388212</v>
      </c>
      <c r="AI107" s="216">
        <v>4.6899998560547829E-3</v>
      </c>
      <c r="AJ107" s="216">
        <v>4.1500000515952706E-3</v>
      </c>
      <c r="AK107" s="216">
        <v>-0.31331000011414289</v>
      </c>
      <c r="AL107" s="216">
        <v>-0.16678999993018806</v>
      </c>
      <c r="AM107" s="216">
        <v>-0.30506000004243106</v>
      </c>
      <c r="AN107" s="216">
        <v>-0.16679000062867999</v>
      </c>
      <c r="AO107" s="251">
        <v>-0.91386999993119389</v>
      </c>
      <c r="AP107" s="251">
        <v>0</v>
      </c>
      <c r="AQ107" s="251">
        <v>0</v>
      </c>
      <c r="AR107" s="251">
        <v>0</v>
      </c>
      <c r="AS107" s="202">
        <v>0</v>
      </c>
      <c r="AT107" s="202">
        <v>6.7939999862574041E-2</v>
      </c>
      <c r="AU107" s="202">
        <v>6.7939999862574041E-2</v>
      </c>
      <c r="AV107" s="202">
        <v>6.4150000223889947E-2</v>
      </c>
      <c r="AW107" s="202">
        <v>6.4149999874643981E-2</v>
      </c>
      <c r="AX107" s="202">
        <v>-3.789999638684094E-3</v>
      </c>
      <c r="AY107" s="202">
        <v>0</v>
      </c>
      <c r="AZ107" s="202">
        <v>0</v>
      </c>
      <c r="BA107" s="202">
        <v>0</v>
      </c>
      <c r="BB107" s="202">
        <v>0</v>
      </c>
      <c r="BC107" s="202">
        <v>0</v>
      </c>
      <c r="BD107" s="202">
        <v>0</v>
      </c>
      <c r="BE107" s="202">
        <v>0</v>
      </c>
      <c r="BF107" s="202">
        <v>0</v>
      </c>
      <c r="BG107" s="415">
        <v>0</v>
      </c>
      <c r="BH107" s="202">
        <v>0</v>
      </c>
      <c r="BI107" s="202">
        <v>0</v>
      </c>
      <c r="BJ107" s="202">
        <v>0</v>
      </c>
      <c r="BK107" s="202">
        <v>0</v>
      </c>
      <c r="BL107" s="202">
        <v>0</v>
      </c>
      <c r="BM107" s="202">
        <v>0</v>
      </c>
      <c r="BN107" s="202">
        <v>0</v>
      </c>
      <c r="BO107" s="202">
        <v>0</v>
      </c>
      <c r="BP107" s="202">
        <v>0</v>
      </c>
      <c r="BQ107" s="202">
        <v>0</v>
      </c>
      <c r="BR107" s="202">
        <v>0</v>
      </c>
      <c r="BS107" s="202">
        <v>0</v>
      </c>
      <c r="BT107" s="202">
        <v>1.000000280328095E-3</v>
      </c>
      <c r="BU107" s="202">
        <v>1.9999997457489371E-3</v>
      </c>
      <c r="BV107" s="202">
        <v>3.0000000260770321E-3</v>
      </c>
      <c r="BW107" s="202">
        <v>3.0000002589076757E-3</v>
      </c>
      <c r="BX107" s="202">
        <v>-3.2000000239349902E-2</v>
      </c>
      <c r="BY107" s="202">
        <v>-3.1999999890103936E-2</v>
      </c>
      <c r="BZ107" s="202">
        <v>0</v>
      </c>
      <c r="CA107" s="202">
        <v>0</v>
      </c>
      <c r="CB107" s="202">
        <v>0</v>
      </c>
      <c r="CC107" s="202">
        <v>0</v>
      </c>
      <c r="CD107" s="202">
        <v>0</v>
      </c>
      <c r="CE107" s="202">
        <v>0</v>
      </c>
      <c r="CF107" s="202">
        <v>0</v>
      </c>
      <c r="CG107" s="202">
        <v>0</v>
      </c>
      <c r="CH107" s="202">
        <v>0</v>
      </c>
      <c r="CI107" s="202">
        <v>0</v>
      </c>
      <c r="CJ107" s="202">
        <v>0</v>
      </c>
      <c r="CK107" s="202">
        <v>0</v>
      </c>
      <c r="CL107" s="202">
        <f>CL56-CL105</f>
        <v>0</v>
      </c>
      <c r="CM107" s="202">
        <f>CM56-CM105</f>
        <v>0</v>
      </c>
      <c r="CN107" s="202">
        <f>CN56-CN105</f>
        <v>0</v>
      </c>
      <c r="CO107" s="202">
        <v>0</v>
      </c>
      <c r="CP107" s="202">
        <v>0</v>
      </c>
      <c r="CQ107" s="202">
        <v>0</v>
      </c>
      <c r="CR107" s="202">
        <f t="shared" ref="CR107:CW107" si="118">CR56-CR105</f>
        <v>0</v>
      </c>
      <c r="CS107" s="202">
        <f t="shared" si="118"/>
        <v>0</v>
      </c>
      <c r="CT107" s="202">
        <f t="shared" si="118"/>
        <v>0</v>
      </c>
      <c r="CU107" s="202">
        <f t="shared" si="118"/>
        <v>0</v>
      </c>
      <c r="CV107" s="202">
        <f t="shared" si="118"/>
        <v>0</v>
      </c>
      <c r="CW107" s="202">
        <f t="shared" si="118"/>
        <v>0</v>
      </c>
      <c r="CX107" s="202">
        <f t="shared" ref="CX107:DC107" si="119">CX56-CX105</f>
        <v>0</v>
      </c>
      <c r="CY107" s="202">
        <f t="shared" si="119"/>
        <v>-9.9999993108212948E-4</v>
      </c>
      <c r="CZ107" s="202">
        <f t="shared" si="119"/>
        <v>0</v>
      </c>
      <c r="DA107" s="202">
        <f t="shared" si="119"/>
        <v>0</v>
      </c>
      <c r="DB107" s="202">
        <f t="shared" si="119"/>
        <v>0</v>
      </c>
      <c r="DC107" s="202">
        <f t="shared" si="119"/>
        <v>9.9999993108212948E-4</v>
      </c>
      <c r="DD107" s="202">
        <f t="shared" ref="DD107:DI107" si="120">DD56-DD105</f>
        <v>0</v>
      </c>
      <c r="DE107" s="202">
        <f t="shared" si="120"/>
        <v>0</v>
      </c>
      <c r="DF107" s="202">
        <f t="shared" si="120"/>
        <v>0</v>
      </c>
      <c r="DG107" s="202">
        <f t="shared" si="120"/>
        <v>0</v>
      </c>
      <c r="DH107" s="202">
        <f t="shared" si="120"/>
        <v>0</v>
      </c>
      <c r="DI107" s="202">
        <f t="shared" si="120"/>
        <v>0</v>
      </c>
      <c r="DJ107" s="202">
        <f t="shared" ref="DJ107:DP107" si="121">DJ56-DJ105</f>
        <v>0</v>
      </c>
      <c r="DK107" s="202">
        <f t="shared" si="121"/>
        <v>0</v>
      </c>
      <c r="DL107" s="202">
        <f t="shared" si="121"/>
        <v>0</v>
      </c>
      <c r="DM107" s="202">
        <f t="shared" si="121"/>
        <v>0</v>
      </c>
      <c r="DN107" s="202">
        <f t="shared" si="121"/>
        <v>0</v>
      </c>
      <c r="DO107" s="202">
        <f t="shared" si="121"/>
        <v>0</v>
      </c>
      <c r="DP107" s="202">
        <f t="shared" si="121"/>
        <v>0</v>
      </c>
      <c r="DQ107" s="202">
        <f t="shared" ref="DQ107:DX107" si="122">DQ56-DQ105</f>
        <v>0</v>
      </c>
      <c r="DR107" s="202">
        <f t="shared" si="122"/>
        <v>0</v>
      </c>
      <c r="DS107" s="202">
        <f t="shared" si="122"/>
        <v>-9.9999969825148582E-4</v>
      </c>
      <c r="DT107" s="202">
        <f t="shared" si="122"/>
        <v>-9.9999993108212948E-4</v>
      </c>
      <c r="DU107" s="202">
        <f t="shared" si="122"/>
        <v>0</v>
      </c>
      <c r="DV107" s="202">
        <f t="shared" si="122"/>
        <v>0</v>
      </c>
      <c r="DW107" s="202">
        <f t="shared" si="122"/>
        <v>0</v>
      </c>
      <c r="DX107" s="202">
        <f t="shared" si="122"/>
        <v>0</v>
      </c>
      <c r="DY107" s="202">
        <f t="shared" ref="DY107:ED107" si="123">DY56-DY105</f>
        <v>0</v>
      </c>
      <c r="DZ107" s="202">
        <f t="shared" si="123"/>
        <v>0</v>
      </c>
      <c r="EA107" s="202">
        <f t="shared" si="123"/>
        <v>0</v>
      </c>
      <c r="EB107" s="202">
        <f t="shared" si="123"/>
        <v>0</v>
      </c>
      <c r="EC107" s="202">
        <f t="shared" si="123"/>
        <v>0</v>
      </c>
      <c r="ED107" s="202">
        <f t="shared" si="123"/>
        <v>0</v>
      </c>
      <c r="EE107" s="202">
        <f t="shared" ref="EE107:EJ107" si="124">EE56-EE105</f>
        <v>0</v>
      </c>
      <c r="EF107" s="202">
        <f t="shared" si="124"/>
        <v>0</v>
      </c>
      <c r="EG107" s="202">
        <f t="shared" si="124"/>
        <v>0</v>
      </c>
      <c r="EH107" s="202">
        <f t="shared" si="124"/>
        <v>0</v>
      </c>
      <c r="EI107" s="202">
        <f t="shared" si="124"/>
        <v>0</v>
      </c>
      <c r="EJ107" s="202">
        <f t="shared" si="124"/>
        <v>0</v>
      </c>
      <c r="EK107" s="202">
        <f t="shared" ref="EK107:EP107" si="125">EK56-EK105</f>
        <v>0</v>
      </c>
      <c r="EL107" s="202">
        <f t="shared" si="125"/>
        <v>0</v>
      </c>
      <c r="EM107" s="202">
        <f t="shared" si="125"/>
        <v>0</v>
      </c>
      <c r="EN107" s="202">
        <f t="shared" si="125"/>
        <v>0</v>
      </c>
      <c r="EO107" s="202">
        <f t="shared" si="125"/>
        <v>0</v>
      </c>
      <c r="EP107" s="202">
        <f t="shared" si="125"/>
        <v>0</v>
      </c>
      <c r="EQ107" s="202">
        <f>EQ56-EQ105</f>
        <v>0</v>
      </c>
      <c r="ER107" s="202">
        <f>ER56-ER105</f>
        <v>0</v>
      </c>
      <c r="ES107" s="202">
        <f>ES56-ES105</f>
        <v>0</v>
      </c>
      <c r="ET107" s="467">
        <f>SUM(EG107:ES107)/13</f>
        <v>0</v>
      </c>
      <c r="EU107" s="801"/>
      <c r="EV107" s="801"/>
      <c r="EW107" s="35">
        <v>0</v>
      </c>
      <c r="EX107" s="35">
        <v>0</v>
      </c>
      <c r="EY107" s="35">
        <v>-6.8212102632969618E-13</v>
      </c>
      <c r="EZ107" s="35">
        <v>-9.9999999974897946E-4</v>
      </c>
      <c r="FA107" s="35">
        <v>-9.9999999980582288E-4</v>
      </c>
      <c r="FB107" s="35">
        <v>-1.0000000002037268E-3</v>
      </c>
      <c r="FC107" s="35">
        <v>-1.0000000029322109E-3</v>
      </c>
      <c r="FD107" s="35">
        <f t="shared" ref="FD107:FO107" si="126">SUM(FD10:FD105)</f>
        <v>-9.9999999997635314E-4</v>
      </c>
      <c r="FE107" s="35">
        <f t="shared" si="126"/>
        <v>-1.0000000019090294E-3</v>
      </c>
      <c r="FF107" s="35">
        <f t="shared" si="126"/>
        <v>-1.0000000009995347E-3</v>
      </c>
      <c r="FG107" s="35">
        <f t="shared" si="126"/>
        <v>-9.0949470177292824E-13</v>
      </c>
      <c r="FH107" s="35">
        <f t="shared" si="126"/>
        <v>0</v>
      </c>
      <c r="FI107" s="35">
        <f>SUM(FI10:FI105)</f>
        <v>0</v>
      </c>
      <c r="FJ107" s="35">
        <f t="shared" si="126"/>
        <v>0</v>
      </c>
      <c r="FK107" s="35">
        <f t="shared" si="126"/>
        <v>0</v>
      </c>
      <c r="FL107" s="35">
        <f t="shared" si="126"/>
        <v>0</v>
      </c>
      <c r="FM107" s="35">
        <f t="shared" si="126"/>
        <v>0</v>
      </c>
      <c r="FN107" s="35">
        <f t="shared" si="126"/>
        <v>9.9999999747524271E-4</v>
      </c>
      <c r="FO107" s="35">
        <f t="shared" si="126"/>
        <v>9.9999999974897946E-4</v>
      </c>
      <c r="FP107" s="35">
        <f t="shared" ref="FP107:FU107" si="127">SUM(FP10:FP105)</f>
        <v>1.0000000008858478E-3</v>
      </c>
      <c r="FQ107" s="35">
        <f t="shared" si="127"/>
        <v>1.9999999997253326E-3</v>
      </c>
      <c r="FR107" s="35">
        <f t="shared" si="127"/>
        <v>2.9999999985648174E-3</v>
      </c>
      <c r="FS107" s="35">
        <f t="shared" si="127"/>
        <v>4.0000000008149073E-3</v>
      </c>
      <c r="FT107" s="35">
        <f t="shared" si="127"/>
        <v>3.9999999980864231E-3</v>
      </c>
      <c r="FU107" s="35">
        <f t="shared" si="127"/>
        <v>-9.9999999929423211E-4</v>
      </c>
      <c r="FV107" s="35">
        <f t="shared" ref="FV107:GA107" si="128">SUM(FV10:FV105)</f>
        <v>-1.0000000020227162E-3</v>
      </c>
      <c r="FW107" s="35">
        <f t="shared" si="128"/>
        <v>-1.0000000004311005E-3</v>
      </c>
      <c r="FX107" s="35">
        <f t="shared" si="128"/>
        <v>-9.9999999929423211E-4</v>
      </c>
      <c r="FY107" s="35">
        <f t="shared" si="128"/>
        <v>-1.0000000022500899E-3</v>
      </c>
      <c r="FZ107" s="35">
        <f t="shared" si="128"/>
        <v>-1.0000000011132215E-3</v>
      </c>
      <c r="GA107" s="35">
        <f t="shared" si="128"/>
        <v>-9.9999999929423211E-4</v>
      </c>
      <c r="GB107" s="35">
        <f t="shared" ref="GB107:GG107" si="129">SUM(GB10:GB105)</f>
        <v>-9.9999999974897946E-4</v>
      </c>
      <c r="GC107" s="35">
        <f t="shared" si="129"/>
        <v>-1.0000000006584742E-3</v>
      </c>
      <c r="GD107" s="35">
        <f t="shared" si="129"/>
        <v>-1.0000000022500899E-3</v>
      </c>
      <c r="GE107" s="35">
        <f t="shared" si="129"/>
        <v>-1.0000000013405952E-3</v>
      </c>
      <c r="GF107" s="35">
        <f t="shared" si="129"/>
        <v>-1.0000000006584742E-3</v>
      </c>
      <c r="GG107" s="35">
        <f t="shared" si="129"/>
        <v>-1.0000000022500899E-3</v>
      </c>
      <c r="GH107" s="35">
        <f t="shared" ref="GH107:GM107" si="130">SUM(GH10:GH105)</f>
        <v>-1.0000000008858478E-3</v>
      </c>
      <c r="GI107" s="35">
        <f t="shared" si="130"/>
        <v>-1.0000000011132215E-3</v>
      </c>
      <c r="GJ107" s="35">
        <f t="shared" si="130"/>
        <v>-1.0000000013405952E-3</v>
      </c>
      <c r="GK107" s="35">
        <f t="shared" si="130"/>
        <v>0</v>
      </c>
      <c r="GL107" s="35">
        <f t="shared" si="130"/>
        <v>0</v>
      </c>
      <c r="GM107" s="35">
        <f t="shared" si="130"/>
        <v>0</v>
      </c>
      <c r="GN107" s="35">
        <f t="shared" ref="GN107:GV107" si="131">SUM(GN10:GN105)</f>
        <v>0</v>
      </c>
      <c r="GO107" s="35">
        <f t="shared" si="131"/>
        <v>0</v>
      </c>
      <c r="GP107" s="35">
        <f t="shared" si="131"/>
        <v>0</v>
      </c>
      <c r="GQ107" s="35">
        <f t="shared" si="131"/>
        <v>0</v>
      </c>
      <c r="GR107" s="35">
        <f t="shared" si="131"/>
        <v>0</v>
      </c>
      <c r="GS107" s="35">
        <f t="shared" si="131"/>
        <v>0</v>
      </c>
      <c r="GT107" s="35">
        <f t="shared" si="131"/>
        <v>-1.0000000011132215E-3</v>
      </c>
      <c r="GU107" s="35">
        <f t="shared" si="131"/>
        <v>-1.0000000017953425E-3</v>
      </c>
      <c r="GV107" s="35">
        <f t="shared" si="131"/>
        <v>-9.9999999974897946E-4</v>
      </c>
      <c r="GW107" s="35">
        <f t="shared" ref="GW107:HB107" si="132">SUM(GW10:GW105)</f>
        <v>-9.9999999997635314E-4</v>
      </c>
      <c r="GX107" s="35">
        <f t="shared" si="132"/>
        <v>-1.0000000008858478E-3</v>
      </c>
      <c r="GY107" s="35">
        <f t="shared" si="132"/>
        <v>-1.0000000002037268E-3</v>
      </c>
      <c r="GZ107" s="35">
        <f t="shared" si="132"/>
        <v>-1.0000000011132215E-3</v>
      </c>
      <c r="HA107" s="35">
        <f t="shared" si="132"/>
        <v>-1.0000000013405952E-3</v>
      </c>
      <c r="HB107" s="35">
        <f t="shared" si="132"/>
        <v>-1.0000000006584742E-3</v>
      </c>
      <c r="HC107" s="35">
        <f t="shared" ref="HC107:HH107" si="133">SUM(HC10:HC105)</f>
        <v>-9.9999999952160579E-4</v>
      </c>
      <c r="HD107" s="35">
        <f t="shared" si="133"/>
        <v>0</v>
      </c>
      <c r="HE107" s="35">
        <f t="shared" si="133"/>
        <v>0</v>
      </c>
      <c r="HF107" s="35">
        <f t="shared" si="133"/>
        <v>0</v>
      </c>
      <c r="HG107" s="35">
        <f t="shared" si="133"/>
        <v>0</v>
      </c>
      <c r="HH107" s="35">
        <f t="shared" si="133"/>
        <v>0</v>
      </c>
      <c r="HI107" s="35">
        <f>SUM(HI10:HI105)</f>
        <v>0</v>
      </c>
      <c r="HJ107" s="35">
        <f>SUM(HJ10:HJ105)</f>
        <v>0</v>
      </c>
      <c r="HK107" s="35">
        <f>SUM(HK10:HK105)</f>
        <v>0</v>
      </c>
      <c r="HL107" s="35"/>
      <c r="HM107" s="258"/>
      <c r="HN107" s="258"/>
      <c r="HO107" s="35"/>
      <c r="HP107" s="35"/>
      <c r="HQ107" s="35"/>
      <c r="HR107" s="35"/>
      <c r="HS107" s="35"/>
      <c r="HT107" s="35"/>
      <c r="HU107" s="35"/>
      <c r="HV107" s="35"/>
      <c r="HW107" s="35"/>
      <c r="HX107" s="35"/>
      <c r="HY107" s="35"/>
      <c r="HZ107" s="35"/>
      <c r="IA107" s="35"/>
    </row>
    <row r="108" spans="1:235" s="218" customFormat="1">
      <c r="A108" s="520" t="s">
        <v>1696</v>
      </c>
      <c r="B108" s="126">
        <v>0</v>
      </c>
      <c r="C108" s="126">
        <v>0</v>
      </c>
      <c r="D108" s="126">
        <v>0</v>
      </c>
      <c r="E108" s="126">
        <v>0</v>
      </c>
      <c r="F108" s="126">
        <v>0</v>
      </c>
      <c r="G108" s="126">
        <v>0</v>
      </c>
      <c r="H108" s="126">
        <v>0</v>
      </c>
      <c r="I108" s="126">
        <v>0</v>
      </c>
      <c r="J108" s="126">
        <v>0</v>
      </c>
      <c r="K108" s="126">
        <v>0</v>
      </c>
      <c r="L108" s="126">
        <v>0</v>
      </c>
      <c r="M108" s="126">
        <v>0</v>
      </c>
      <c r="N108" s="126">
        <v>0</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544"/>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U108" s="259"/>
      <c r="EV108" s="259"/>
      <c r="EW108" s="519">
        <v>199.68299999964236</v>
      </c>
      <c r="EX108" s="519">
        <v>266.80500000000001</v>
      </c>
      <c r="EY108" s="519">
        <v>334.2110000001199</v>
      </c>
      <c r="EZ108" s="519">
        <v>401.90499999988054</v>
      </c>
      <c r="FA108" s="519">
        <v>469.88699999999983</v>
      </c>
      <c r="FB108" s="519">
        <v>584.61699999952339</v>
      </c>
      <c r="FC108" s="519">
        <v>676.55900000036058</v>
      </c>
      <c r="FD108" s="519">
        <f>+'Input BS ACCTS'!AO391/1000-FD107</f>
        <v>768.48399999940398</v>
      </c>
      <c r="FE108" s="519">
        <f>+'Input BS ACCTS'!AP391/1000-FE107</f>
        <v>860.80499999976348</v>
      </c>
      <c r="FF108" s="519">
        <f>+'Input BS ACCTS'!AQ391/1000-FF107</f>
        <v>953.52399999976262</v>
      </c>
      <c r="FG108" s="519">
        <f>+'Input BS ACCTS'!AR391/1000-FG107</f>
        <v>989.83500000000095</v>
      </c>
      <c r="FH108" s="519">
        <f>+'Input BS ACCTS'!AS391/1000-FH107</f>
        <v>1026.0830000001192</v>
      </c>
      <c r="FI108" s="519">
        <f>+'Input BS ACCTS'!AT391/1000-FI107</f>
        <v>1062.2660000000001</v>
      </c>
      <c r="FJ108" s="519">
        <f>+'Input BS ACCTS'!AU391/1000-FJ107</f>
        <v>1098.3830000004768</v>
      </c>
      <c r="FK108" s="519">
        <f>+'Input BS ACCTS'!AV391/1000-FK107</f>
        <v>1134.4330000002385</v>
      </c>
      <c r="FL108" s="519">
        <f>+'Input BS ACCTS'!AW391/1000-FL107</f>
        <v>1170.4159999997617</v>
      </c>
      <c r="FM108" s="519">
        <f>+'Input BS ACCTS'!AX391/1000-FM107</f>
        <v>1186.4649999997616</v>
      </c>
      <c r="FN108" s="519">
        <f>+'Input BS ACCTS'!AY391/1000-FN107</f>
        <v>1202.2799999995257</v>
      </c>
      <c r="FO108" s="519">
        <f>+'Input BS ACCTS'!AZ391/1000-FO107</f>
        <v>1217.8629999997618</v>
      </c>
      <c r="FP108" s="519">
        <f>+'Input BS ACCTS'!BA391/1000-FP107</f>
        <v>1232.5469999995223</v>
      </c>
      <c r="FQ108" s="519">
        <f>+'Input BS ACCTS'!BB391/1000-FQ107</f>
        <v>1246.9860000004771</v>
      </c>
      <c r="FR108" s="519">
        <f>+'Input BS ACCTS'!BC391/1000-FR107</f>
        <v>1261.1790000000015</v>
      </c>
      <c r="FS108" s="519">
        <f>+'Input BS ACCTS'!BD391/1000-FS107</f>
        <v>1275.1249999997608</v>
      </c>
      <c r="FT108" s="519">
        <f>+'Input BS ACCTS'!BE391/1000-FT107</f>
        <v>1288.8220000002402</v>
      </c>
      <c r="FU108" s="519">
        <f>+'Input BS ACCTS'!BF391/1000-FU107</f>
        <v>1302.2729999997609</v>
      </c>
      <c r="FV108" s="519">
        <f>+'Input BS ACCTS'!BG391/1000-FV107</f>
        <v>1315.4649999997637</v>
      </c>
      <c r="FW108" s="519">
        <f>+'Input BS ACCTS'!BH391/1000-FW107</f>
        <v>1328.4019999995237</v>
      </c>
      <c r="FX108" s="519">
        <f>+'Input BS ACCTS'!BI391/1000-FX107</f>
        <v>1341.0809999992841</v>
      </c>
      <c r="FY108" s="519">
        <f>+'Input BS ACCTS'!BJ391/1000-FY107</f>
        <v>1353.4999999995255</v>
      </c>
      <c r="FZ108" s="519">
        <f>+'Input BS ACCTS'!BK391/1000-FZ107</f>
        <v>1365.6569999995243</v>
      </c>
      <c r="GA108" s="519">
        <f>+'Input BS ACCTS'!BL391/1000-GA107</f>
        <v>1377.549999999761</v>
      </c>
      <c r="GB108" s="519">
        <f>+'Input BS ACCTS'!BM391/1000-GB107</f>
        <v>1388.5119999999997</v>
      </c>
      <c r="GC108" s="519">
        <f>+'Input BS ACCTS'!BN391/1000-GC107</f>
        <v>1399.1999999997622</v>
      </c>
      <c r="GD108" s="519">
        <f>+'Input BS ACCTS'!BO391/1000-GD107</f>
        <v>1409.6120000000024</v>
      </c>
      <c r="GE108" s="519">
        <f>+'Input BS ACCTS'!BP391/1000-GE107</f>
        <v>1419.744999999763</v>
      </c>
      <c r="GF108" s="519">
        <f>+'Input BS ACCTS'!BQ391/1000-GF107</f>
        <v>1429.5969999995239</v>
      </c>
      <c r="GG108" s="519">
        <f>+'Input BS ACCTS'!BR391/1000-GG107</f>
        <v>1439.1650000000022</v>
      </c>
      <c r="GH108" s="519">
        <f>+'Input BS ACCTS'!BS391/1000-GH107</f>
        <v>1448.4479999997625</v>
      </c>
      <c r="GI108" s="519">
        <f>+'Input BS ACCTS'!BT391/1000-GI107</f>
        <v>1457.4429999997626</v>
      </c>
      <c r="GJ108" s="519">
        <f>+'Input BS ACCTS'!BU391/1000-GJ107</f>
        <v>1466.146999999286</v>
      </c>
      <c r="GK108" s="519">
        <f>+'Input BS ACCTS'!BV391/1000-GK107</f>
        <v>1474.556</v>
      </c>
      <c r="GL108" s="519">
        <f>+'Input BS ACCTS'!BW391/1000-GL107</f>
        <v>1482.6709999992847</v>
      </c>
      <c r="GM108" s="519">
        <f>+'Input BS ACCTS'!BX391/1000-GM107</f>
        <v>1490.4889999997615</v>
      </c>
      <c r="GN108" s="519">
        <f>+'Input BS ACCTS'!BY391/1000-GN107</f>
        <v>1497.3429999997616</v>
      </c>
      <c r="GO108" s="519">
        <f>+'Input BS ACCTS'!BZ391/1000-GO107</f>
        <v>1503.89</v>
      </c>
      <c r="GP108" s="519">
        <f>+'Input BS ACCTS'!CA391/1000-GP107</f>
        <v>1510.1260000011921</v>
      </c>
      <c r="GQ108" s="519">
        <f>+'Input BS ACCTS'!CB391/1000-GQ107</f>
        <v>1531.7259999997616</v>
      </c>
      <c r="GR108" s="519">
        <f>+'Input BS ACCTS'!CC391/1000-GR107</f>
        <v>1553.1400000002384</v>
      </c>
      <c r="GS108" s="519">
        <f>+'Input BS ACCTS'!CD391/1000-GS107</f>
        <v>1574.3650000011921</v>
      </c>
      <c r="GT108" s="519">
        <f>+'Input BS ACCTS'!CE391/1000-GT107</f>
        <v>1595.4030000009548</v>
      </c>
      <c r="GU108" s="519">
        <f>+'Input BS ACCTS'!CF391/1000-GU107</f>
        <v>1616.248000000717</v>
      </c>
      <c r="GV108" s="519">
        <f>+'Input BS ACCTS'!CG391/1000-GV107</f>
        <v>1636.8999999997613</v>
      </c>
      <c r="GW108" s="519">
        <f>+'Input BS ACCTS'!CH391/1000-GW107</f>
        <v>1662.8409999999999</v>
      </c>
      <c r="GX108" s="519">
        <f>+'Input BS ACCTS'!CI391/1000-GX107</f>
        <v>1688.6319999997625</v>
      </c>
      <c r="GY108" s="519">
        <f>+'Input BS ACCTS'!CJ391/1000-GY107</f>
        <v>-802.79550999975186</v>
      </c>
      <c r="GZ108" s="519">
        <f>+'Input BS ACCTS'!CK391/1000-GZ107</f>
        <v>1739.0950000000012</v>
      </c>
      <c r="HA108" s="519">
        <f>+'Input BS ACCTS'!CL391/1000-HA107</f>
        <v>1763.7590000007167</v>
      </c>
      <c r="HB108" s="519">
        <f>+'Input BS ACCTS'!CM391/1000-HB107</f>
        <v>1788.2620000004774</v>
      </c>
      <c r="HC108" s="519">
        <f>+'Input BS ACCTS'!CN391/1000-HC107</f>
        <v>1812.6029999997611</v>
      </c>
      <c r="HD108" s="519">
        <f>+'Input BS ACCTS'!CO391/1000-HD107</f>
        <v>1836.7789999995232</v>
      </c>
      <c r="HE108" s="519">
        <f>+'Input BS ACCTS'!CP391/1000-HE107</f>
        <v>1860.7909999999999</v>
      </c>
      <c r="HF108" s="519">
        <f>+'Input BS ACCTS'!CQ391/1000-HF107</f>
        <v>1884.6369999999999</v>
      </c>
      <c r="HG108" s="519">
        <f>+'Input BS ACCTS'!CR391/1000-HG107</f>
        <v>1908.3149999992847</v>
      </c>
      <c r="HH108" s="519">
        <f>+'Input BS ACCTS'!CS391/1000-HH107</f>
        <v>1931.8239999992848</v>
      </c>
      <c r="HI108" s="519">
        <f>+'Input BS ACCTS'!CT391/1000-HI107</f>
        <v>1955.1619999997615</v>
      </c>
      <c r="HJ108" s="519">
        <f>+'Input BS ACCTS'!CU391/1000-HJ107</f>
        <v>1978.3290000004768</v>
      </c>
      <c r="HK108" s="519">
        <f>+'Input BS ACCTS'!CV391/1000-HK107</f>
        <v>2001.3209999995231</v>
      </c>
      <c r="HL108" s="217"/>
      <c r="HM108" s="258"/>
      <c r="HN108" s="258"/>
      <c r="HO108" s="217"/>
      <c r="HP108" s="217"/>
      <c r="HQ108" s="217"/>
      <c r="HR108" s="217"/>
      <c r="HS108" s="217"/>
      <c r="HT108" s="217"/>
      <c r="HU108" s="217"/>
      <c r="HV108" s="217"/>
      <c r="HW108" s="217"/>
      <c r="HX108" s="217"/>
      <c r="HY108" s="217"/>
      <c r="HZ108" s="217"/>
      <c r="IA108" s="217"/>
    </row>
    <row r="109" spans="1:235">
      <c r="A109" s="30"/>
      <c r="B109" s="125">
        <v>0</v>
      </c>
      <c r="C109" s="125">
        <v>0</v>
      </c>
      <c r="D109" s="125">
        <v>0</v>
      </c>
      <c r="E109" s="125">
        <v>0</v>
      </c>
      <c r="F109" s="125">
        <v>0</v>
      </c>
      <c r="G109" s="125">
        <v>0</v>
      </c>
      <c r="H109" s="125">
        <v>0</v>
      </c>
      <c r="I109" s="125">
        <v>0</v>
      </c>
      <c r="J109" s="125">
        <v>0</v>
      </c>
      <c r="K109" s="125">
        <v>0</v>
      </c>
      <c r="L109" s="125">
        <v>0</v>
      </c>
      <c r="M109" s="125">
        <v>0</v>
      </c>
      <c r="N109" s="125">
        <v>0</v>
      </c>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284">
        <v>0</v>
      </c>
      <c r="AR109" s="284">
        <v>0</v>
      </c>
      <c r="AS109" s="125"/>
      <c r="AT109" s="125"/>
      <c r="AU109" s="125"/>
      <c r="AV109" s="125"/>
      <c r="AW109" s="125"/>
      <c r="AX109" s="125"/>
      <c r="AY109" s="125"/>
      <c r="AZ109" s="125"/>
      <c r="BA109" s="125"/>
      <c r="BB109" s="125"/>
      <c r="BC109" s="125"/>
      <c r="BD109" s="284"/>
      <c r="BE109" s="284"/>
      <c r="BF109" s="284"/>
      <c r="BG109" s="284"/>
      <c r="BH109" s="284"/>
      <c r="BI109" s="284"/>
      <c r="BJ109" s="284"/>
      <c r="BK109" s="284"/>
      <c r="BL109" s="284"/>
      <c r="BM109" s="284"/>
      <c r="BN109" s="284"/>
      <c r="BO109" s="284"/>
      <c r="BP109" s="284"/>
      <c r="BQ109" s="284"/>
      <c r="BR109" s="284"/>
      <c r="BS109" s="284"/>
      <c r="BT109" s="284"/>
      <c r="BU109" s="284"/>
      <c r="BV109" s="284"/>
      <c r="BW109" s="284"/>
      <c r="BX109" s="284"/>
      <c r="BY109" s="284"/>
      <c r="BZ109" s="284"/>
      <c r="CA109" s="284"/>
      <c r="CB109" s="284"/>
      <c r="CC109" s="284"/>
      <c r="CD109" s="284"/>
      <c r="CE109" s="284"/>
      <c r="CF109" s="284"/>
      <c r="CG109" s="284"/>
      <c r="CH109" s="284"/>
      <c r="CI109" s="284"/>
      <c r="CJ109" s="284"/>
      <c r="CK109" s="284"/>
      <c r="CL109" s="284"/>
      <c r="CM109" s="284"/>
      <c r="CN109" s="284"/>
      <c r="CO109" s="284"/>
      <c r="CP109" s="284"/>
      <c r="CQ109" s="284"/>
      <c r="CR109" s="284"/>
      <c r="CS109" s="284"/>
      <c r="CT109" s="284"/>
      <c r="CU109" s="284"/>
      <c r="CV109" s="284"/>
      <c r="CW109" s="284"/>
      <c r="CX109" s="284"/>
      <c r="CY109" s="284"/>
      <c r="CZ109" s="284"/>
      <c r="DA109" s="284"/>
      <c r="DB109" s="284"/>
      <c r="DC109" s="284"/>
      <c r="DD109" s="284"/>
      <c r="DE109" s="284"/>
      <c r="DF109" s="284"/>
      <c r="DG109" s="284"/>
      <c r="DH109" s="284"/>
      <c r="DI109" s="284"/>
      <c r="DJ109" s="284"/>
      <c r="DK109" s="284"/>
      <c r="DL109" s="284"/>
      <c r="DM109" s="284"/>
      <c r="DN109" s="284"/>
      <c r="DO109" s="284"/>
      <c r="DP109" s="284"/>
      <c r="DQ109" s="284"/>
      <c r="DR109" s="284"/>
      <c r="DS109" s="284"/>
      <c r="DT109" s="284"/>
      <c r="DU109" s="284"/>
      <c r="DV109" s="284"/>
      <c r="DW109" s="284"/>
      <c r="DX109" s="284"/>
      <c r="DY109" s="284"/>
      <c r="DZ109" s="284"/>
      <c r="EA109" s="284"/>
      <c r="EB109" s="284"/>
      <c r="EC109" s="284"/>
      <c r="ED109" s="284"/>
      <c r="EE109" s="284"/>
      <c r="EF109" s="284"/>
      <c r="EG109" s="284"/>
      <c r="EH109" s="284"/>
      <c r="EI109" s="284"/>
      <c r="EJ109" s="284"/>
      <c r="EK109" s="284"/>
      <c r="EL109" s="284"/>
      <c r="EM109" s="284"/>
      <c r="EN109" s="284"/>
      <c r="EO109" s="284"/>
      <c r="EP109" s="284"/>
      <c r="EQ109" s="284"/>
      <c r="ER109" s="284"/>
      <c r="ES109" s="284"/>
      <c r="ET109" s="130"/>
      <c r="EU109" s="130"/>
      <c r="EV109" s="130"/>
      <c r="EW109" s="175">
        <v>-3.5763036976277363E-10</v>
      </c>
      <c r="EX109" s="175">
        <v>0</v>
      </c>
      <c r="EY109" s="175">
        <v>1.198827703774441E-10</v>
      </c>
      <c r="EZ109" s="175">
        <v>9.9999988054833011E-4</v>
      </c>
      <c r="FA109" s="175">
        <v>9.9999999980582288E-4</v>
      </c>
      <c r="FB109" s="175">
        <v>9.9999952340112941E-4</v>
      </c>
      <c r="FC109" s="175">
        <v>1.0000003605910024E-3</v>
      </c>
      <c r="FD109" s="175">
        <f t="shared" ref="FD109:FO109" si="134">+FD108+FD95</f>
        <v>9.999994040299498E-4</v>
      </c>
      <c r="FE109" s="175">
        <f t="shared" si="134"/>
        <v>9.9999976350773068E-4</v>
      </c>
      <c r="FF109" s="175">
        <f t="shared" si="134"/>
        <v>9.9999976259823598E-4</v>
      </c>
      <c r="FG109" s="175">
        <f t="shared" si="134"/>
        <v>9.0949470177292824E-13</v>
      </c>
      <c r="FH109" s="175">
        <f t="shared" si="134"/>
        <v>1.191438059322536E-10</v>
      </c>
      <c r="FI109" s="175">
        <f>+FI108+FI95</f>
        <v>0</v>
      </c>
      <c r="FJ109" s="175">
        <f t="shared" si="134"/>
        <v>4.7680259740445763E-10</v>
      </c>
      <c r="FK109" s="175">
        <f t="shared" si="134"/>
        <v>2.3851498553995043E-10</v>
      </c>
      <c r="FL109" s="175">
        <f t="shared" si="134"/>
        <v>-2.382876118645072E-10</v>
      </c>
      <c r="FM109" s="175">
        <f t="shared" si="134"/>
        <v>-2.382876118645072E-10</v>
      </c>
      <c r="FN109" s="175">
        <f t="shared" si="134"/>
        <v>-1.0000004742778401E-3</v>
      </c>
      <c r="FO109" s="175">
        <f t="shared" si="134"/>
        <v>-1.000000238263965E-3</v>
      </c>
      <c r="FP109" s="175">
        <f t="shared" ref="FP109:FU109" si="135">+FP108+FP95</f>
        <v>-1.0000004776884452E-3</v>
      </c>
      <c r="FQ109" s="175">
        <f t="shared" si="135"/>
        <v>-1.9999995229227352E-3</v>
      </c>
      <c r="FR109" s="175">
        <f t="shared" si="135"/>
        <v>-2.9999999985648174E-3</v>
      </c>
      <c r="FS109" s="175">
        <f t="shared" si="135"/>
        <v>-4.0000002391025191E-3</v>
      </c>
      <c r="FT109" s="175">
        <f t="shared" si="135"/>
        <v>-3.9999997597988113E-3</v>
      </c>
      <c r="FU109" s="175">
        <f t="shared" si="135"/>
        <v>9.9999976100662025E-4</v>
      </c>
      <c r="FV109" s="175">
        <f t="shared" ref="FV109:GA109" si="136">+FV108+FV95</f>
        <v>9.9999976373510435E-4</v>
      </c>
      <c r="FW109" s="175">
        <f t="shared" si="136"/>
        <v>9.9999952362850308E-4</v>
      </c>
      <c r="FX109" s="175">
        <f t="shared" si="136"/>
        <v>9.9999928420402284E-4</v>
      </c>
      <c r="FY109" s="175">
        <f t="shared" si="136"/>
        <v>9.9999952544749249E-4</v>
      </c>
      <c r="FZ109" s="175">
        <f t="shared" si="136"/>
        <v>9.9999952431062411E-4</v>
      </c>
      <c r="GA109" s="175">
        <f t="shared" si="136"/>
        <v>9.9999976100662025E-4</v>
      </c>
      <c r="GB109" s="175">
        <f t="shared" ref="GB109:GG109" si="137">+GB108+GB95</f>
        <v>9.9999999974897946E-4</v>
      </c>
      <c r="GC109" s="175">
        <f t="shared" si="137"/>
        <v>9.9999976214348862E-4</v>
      </c>
      <c r="GD109" s="175">
        <f t="shared" si="137"/>
        <v>1.0000000022500899E-3</v>
      </c>
      <c r="GE109" s="175">
        <f t="shared" si="137"/>
        <v>9.9999976305298333E-4</v>
      </c>
      <c r="GF109" s="175">
        <f t="shared" si="137"/>
        <v>9.9999952385587676E-4</v>
      </c>
      <c r="GG109" s="175">
        <f t="shared" si="137"/>
        <v>1.0000000022500899E-3</v>
      </c>
      <c r="GH109" s="175">
        <f t="shared" ref="GH109:GM109" si="138">+GH108+GH95</f>
        <v>9.9999976259823598E-4</v>
      </c>
      <c r="GI109" s="175">
        <f t="shared" si="138"/>
        <v>9.9999976259823598E-4</v>
      </c>
      <c r="GJ109" s="175">
        <f t="shared" si="138"/>
        <v>9.9999928602301225E-4</v>
      </c>
      <c r="GK109" s="175">
        <f t="shared" si="138"/>
        <v>0</v>
      </c>
      <c r="GL109" s="175">
        <f t="shared" si="138"/>
        <v>-7.1531758294440806E-10</v>
      </c>
      <c r="GM109" s="175">
        <f t="shared" si="138"/>
        <v>-2.3851498553995043E-10</v>
      </c>
      <c r="GN109" s="175">
        <f t="shared" ref="GN109:GV109" si="139">+GN108+GN95</f>
        <v>-2.3851498553995043E-10</v>
      </c>
      <c r="GO109" s="175">
        <f t="shared" si="139"/>
        <v>0</v>
      </c>
      <c r="GP109" s="175">
        <f t="shared" si="139"/>
        <v>1.1921201803488657E-9</v>
      </c>
      <c r="GQ109" s="175">
        <f t="shared" si="139"/>
        <v>-2.3851498553995043E-10</v>
      </c>
      <c r="GR109" s="175">
        <f t="shared" si="139"/>
        <v>2.382876118645072E-10</v>
      </c>
      <c r="GS109" s="175">
        <f t="shared" si="139"/>
        <v>1.1921201803488657E-9</v>
      </c>
      <c r="GT109" s="175">
        <f t="shared" si="139"/>
        <v>1.0000009547184163E-3</v>
      </c>
      <c r="GU109" s="175">
        <f t="shared" si="139"/>
        <v>1.0000007168855518E-3</v>
      </c>
      <c r="GV109" s="175">
        <f t="shared" si="139"/>
        <v>9.999997614613676E-4</v>
      </c>
      <c r="GW109" s="175">
        <f t="shared" ref="GW109:HB109" si="140">+GW108+GW95</f>
        <v>9.9999999997635314E-4</v>
      </c>
      <c r="GX109" s="175">
        <f t="shared" si="140"/>
        <v>9.999997623708623E-4</v>
      </c>
      <c r="GY109" s="175">
        <f>+GY108+GY95</f>
        <v>-2517.1795099997516</v>
      </c>
      <c r="GZ109" s="175">
        <f t="shared" si="140"/>
        <v>1.0000000011132215E-3</v>
      </c>
      <c r="HA109" s="175">
        <f t="shared" si="140"/>
        <v>1.0000007166581781E-3</v>
      </c>
      <c r="HB109" s="175">
        <f t="shared" si="140"/>
        <v>1.0000004774610716E-3</v>
      </c>
      <c r="HC109" s="175">
        <f t="shared" ref="HC109:HH109" si="141">+HC108+HC95</f>
        <v>9.9999976100662025E-4</v>
      </c>
      <c r="HD109" s="175">
        <f t="shared" si="141"/>
        <v>-4.7680259740445763E-10</v>
      </c>
      <c r="HE109" s="175">
        <f t="shared" si="141"/>
        <v>0</v>
      </c>
      <c r="HF109" s="175">
        <f t="shared" si="141"/>
        <v>0</v>
      </c>
      <c r="HG109" s="175">
        <f t="shared" si="141"/>
        <v>-7.1531758294440806E-10</v>
      </c>
      <c r="HH109" s="175">
        <f t="shared" si="141"/>
        <v>-7.1531758294440806E-10</v>
      </c>
      <c r="HI109" s="175">
        <f>+HI108+HI95</f>
        <v>-2.3851498553995043E-10</v>
      </c>
      <c r="HJ109" s="175">
        <f>+HJ108+HJ95</f>
        <v>4.7680259740445763E-10</v>
      </c>
      <c r="HK109" s="175">
        <f>+HK108+HK95</f>
        <v>-4.7680259740445763E-10</v>
      </c>
      <c r="HL109" s="35"/>
      <c r="HM109" s="258"/>
      <c r="HN109" s="258"/>
      <c r="HO109" s="35"/>
      <c r="HP109" s="35"/>
      <c r="HQ109" s="35"/>
      <c r="HR109" s="35"/>
      <c r="HS109" s="35"/>
      <c r="HT109" s="35"/>
      <c r="HU109" s="35"/>
      <c r="HV109" s="35"/>
      <c r="HW109" s="35"/>
      <c r="HX109" s="35"/>
      <c r="HY109" s="35"/>
      <c r="HZ109" s="35"/>
      <c r="IA109" s="35"/>
    </row>
    <row r="110" spans="1:235">
      <c r="A110" s="30"/>
      <c r="B110" s="125">
        <v>0</v>
      </c>
      <c r="C110" s="125">
        <v>0</v>
      </c>
      <c r="D110" s="125">
        <v>0</v>
      </c>
      <c r="E110" s="125">
        <v>0</v>
      </c>
      <c r="F110" s="125">
        <v>0</v>
      </c>
      <c r="G110" s="125">
        <v>0</v>
      </c>
      <c r="H110" s="125">
        <v>0</v>
      </c>
      <c r="I110" s="125">
        <v>0</v>
      </c>
      <c r="J110" s="125">
        <v>0</v>
      </c>
      <c r="K110" s="125">
        <v>0</v>
      </c>
      <c r="L110" s="125">
        <v>0</v>
      </c>
      <c r="M110" s="125">
        <v>0</v>
      </c>
      <c r="N110" s="125">
        <v>0</v>
      </c>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HL110" s="35"/>
      <c r="HM110" s="258"/>
      <c r="HN110" s="258"/>
      <c r="HO110" s="35"/>
      <c r="HP110" s="35"/>
      <c r="HQ110" s="35"/>
      <c r="HR110" s="35"/>
      <c r="HS110" s="35"/>
      <c r="HT110" s="35"/>
      <c r="HU110" s="35"/>
      <c r="HV110" s="35"/>
      <c r="HW110" s="35"/>
      <c r="HX110" s="35"/>
      <c r="HY110" s="35"/>
      <c r="HZ110" s="35"/>
      <c r="IA110" s="35"/>
    </row>
    <row r="111" spans="1:235">
      <c r="A111" s="454" t="s">
        <v>2335</v>
      </c>
      <c r="B111"/>
      <c r="C111" s="44"/>
      <c r="D111" s="22"/>
      <c r="E111" s="286"/>
      <c r="F111" s="44"/>
      <c r="G111" s="44"/>
      <c r="H111" s="44"/>
      <c r="I111" s="44"/>
      <c r="J111" s="44"/>
      <c r="K111" s="44"/>
      <c r="L111" s="44"/>
      <c r="M111" s="44"/>
      <c r="N111" s="44"/>
      <c r="O111" s="44"/>
      <c r="P111" s="44"/>
      <c r="Q111" s="44"/>
      <c r="R111" s="44"/>
      <c r="S111" s="44"/>
      <c r="T111" s="44"/>
      <c r="U111" s="44"/>
      <c r="V111" s="44"/>
      <c r="W111" s="44"/>
      <c r="X111" s="44"/>
      <c r="Y111" s="44"/>
      <c r="Z111" s="242"/>
      <c r="AA111" s="242"/>
      <c r="AB111" s="242"/>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452"/>
      <c r="DH111" s="178"/>
      <c r="DI111" s="64"/>
      <c r="DJ111" s="17"/>
      <c r="DK111" s="17"/>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row>
    <row r="112" spans="1:235">
      <c r="A112" s="846" t="s">
        <v>2332</v>
      </c>
      <c r="B112"/>
      <c r="C112" s="44"/>
      <c r="D112" s="22"/>
      <c r="E112" s="286"/>
      <c r="F112" s="44"/>
      <c r="G112" s="44"/>
      <c r="H112" s="44"/>
      <c r="I112" s="44"/>
      <c r="J112" s="44"/>
      <c r="K112" s="44"/>
      <c r="L112" s="44"/>
      <c r="M112" s="44"/>
      <c r="N112" s="44"/>
      <c r="O112" s="44"/>
      <c r="P112" s="44"/>
      <c r="Q112" s="44"/>
      <c r="R112" s="44"/>
      <c r="S112" s="44"/>
      <c r="T112" s="44"/>
      <c r="U112" s="44"/>
      <c r="V112" s="44"/>
      <c r="W112" s="44"/>
      <c r="X112" s="44"/>
      <c r="Y112" s="44"/>
      <c r="Z112" s="242"/>
      <c r="AA112" s="242"/>
      <c r="AB112" s="242"/>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v>4760963.3600000003</v>
      </c>
      <c r="DF112" s="188">
        <v>1160834095.25</v>
      </c>
      <c r="DG112" s="188">
        <v>1180935268.4400001</v>
      </c>
      <c r="DH112" s="188">
        <v>1201359648.1099999</v>
      </c>
      <c r="DI112" s="188">
        <v>1224685887.01</v>
      </c>
      <c r="DJ112" s="188">
        <v>1245851925.23</v>
      </c>
      <c r="DK112" s="188">
        <v>1246408909.23</v>
      </c>
      <c r="DL112" s="188">
        <v>1257593647.8699999</v>
      </c>
      <c r="DM112" s="188">
        <v>1261451991.4100001</v>
      </c>
      <c r="DN112" s="188">
        <v>1273924807.72</v>
      </c>
      <c r="DO112" s="188">
        <v>1285251394.0599999</v>
      </c>
      <c r="DP112" s="188">
        <v>1298898817.21</v>
      </c>
      <c r="DQ112" s="188">
        <v>1317782362.8099999</v>
      </c>
      <c r="DR112" s="188">
        <v>1340764338.5999999</v>
      </c>
      <c r="DS112" s="188">
        <v>1357190299.23</v>
      </c>
      <c r="DT112" s="188">
        <v>1382140358.9400001</v>
      </c>
      <c r="DU112" s="188">
        <v>1406757195.1300001</v>
      </c>
      <c r="DV112" s="188">
        <v>1428603576.72</v>
      </c>
      <c r="DW112" s="188">
        <v>1440657003.78</v>
      </c>
      <c r="DX112" s="188">
        <v>1451715116.9100001</v>
      </c>
      <c r="DY112" s="188">
        <v>1470020729.1400001</v>
      </c>
      <c r="DZ112" s="188">
        <v>1493213205.5599999</v>
      </c>
      <c r="EA112" s="188">
        <v>1515171815.78</v>
      </c>
      <c r="EB112" s="188">
        <v>1535872168.5</v>
      </c>
      <c r="EC112" s="188">
        <v>1572823223.97</v>
      </c>
      <c r="ED112" s="188">
        <v>1598138498.73</v>
      </c>
      <c r="EE112" s="188">
        <v>1630045057.9200001</v>
      </c>
      <c r="EF112" s="188">
        <v>1664498657.79</v>
      </c>
      <c r="EG112" s="188">
        <v>1714605078.1199999</v>
      </c>
      <c r="EH112" s="188">
        <v>1742610526</v>
      </c>
      <c r="EI112" s="188">
        <v>1765420000.3699999</v>
      </c>
      <c r="EJ112" s="188">
        <v>1781368533.6600001</v>
      </c>
      <c r="EK112" s="188">
        <v>1797765653.9400001</v>
      </c>
      <c r="EL112" s="188">
        <v>1806154158.48</v>
      </c>
      <c r="EM112" s="188">
        <v>1825581512.29</v>
      </c>
      <c r="EN112" s="188">
        <v>1851639499.4400001</v>
      </c>
      <c r="EO112" s="188">
        <v>1869701885.3399999</v>
      </c>
      <c r="EP112" s="188">
        <v>1892848811.76</v>
      </c>
      <c r="EQ112" s="188">
        <v>1927505708.0899999</v>
      </c>
      <c r="ER112" s="188">
        <v>1958911460.72</v>
      </c>
      <c r="ES112" s="188">
        <v>1990225377.4000001</v>
      </c>
      <c r="ET112" s="467">
        <f>SUM(EG112:ES112)/13</f>
        <v>1840333708.1238465</v>
      </c>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row>
    <row r="113" spans="16:222">
      <c r="Z113" s="175"/>
      <c r="AA113" s="175"/>
      <c r="AB113" s="175"/>
      <c r="AC113" s="175"/>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849">
        <f t="shared" ref="DF113:DQ113" si="142">+DF105*1000-DF112</f>
        <v>0</v>
      </c>
      <c r="DG113" s="849">
        <f t="shared" si="142"/>
        <v>0</v>
      </c>
      <c r="DH113" s="849">
        <f t="shared" si="142"/>
        <v>0</v>
      </c>
      <c r="DI113" s="849">
        <f t="shared" si="142"/>
        <v>0</v>
      </c>
      <c r="DJ113" s="849">
        <f t="shared" si="142"/>
        <v>0</v>
      </c>
      <c r="DK113" s="849">
        <f t="shared" si="142"/>
        <v>0</v>
      </c>
      <c r="DL113" s="849">
        <f t="shared" si="142"/>
        <v>0</v>
      </c>
      <c r="DM113" s="849">
        <f t="shared" si="142"/>
        <v>0</v>
      </c>
      <c r="DN113" s="849">
        <f t="shared" si="142"/>
        <v>0</v>
      </c>
      <c r="DO113" s="849">
        <f t="shared" si="142"/>
        <v>0</v>
      </c>
      <c r="DP113" s="849">
        <f t="shared" si="142"/>
        <v>0</v>
      </c>
      <c r="DQ113" s="849">
        <f t="shared" si="142"/>
        <v>0</v>
      </c>
      <c r="DR113" s="849">
        <f t="shared" ref="DR113:DX113" si="143">+DR105*1000-DR112</f>
        <v>0</v>
      </c>
      <c r="DS113" s="849">
        <f t="shared" si="143"/>
        <v>1</v>
      </c>
      <c r="DT113" s="849">
        <f t="shared" si="143"/>
        <v>0.9999997615814209</v>
      </c>
      <c r="DU113" s="849">
        <f t="shared" si="143"/>
        <v>0</v>
      </c>
      <c r="DV113" s="849">
        <f t="shared" si="143"/>
        <v>0</v>
      </c>
      <c r="DW113" s="849">
        <f t="shared" si="143"/>
        <v>0</v>
      </c>
      <c r="DX113" s="849">
        <f t="shared" si="143"/>
        <v>0</v>
      </c>
      <c r="DY113" s="849">
        <f t="shared" ref="DY113:ED113" si="144">+DY105*1000-DY112</f>
        <v>0</v>
      </c>
      <c r="DZ113" s="849">
        <f t="shared" si="144"/>
        <v>0</v>
      </c>
      <c r="EA113" s="849">
        <f t="shared" si="144"/>
        <v>0</v>
      </c>
      <c r="EB113" s="849">
        <f t="shared" si="144"/>
        <v>0</v>
      </c>
      <c r="EC113" s="849">
        <f t="shared" si="144"/>
        <v>0</v>
      </c>
      <c r="ED113" s="849">
        <f t="shared" si="144"/>
        <v>0</v>
      </c>
      <c r="EE113" s="849">
        <f t="shared" ref="EE113:EJ113" si="145">+EE105*1000-EE112</f>
        <v>0</v>
      </c>
      <c r="EF113" s="849">
        <f t="shared" si="145"/>
        <v>0</v>
      </c>
      <c r="EG113" s="849">
        <f t="shared" si="145"/>
        <v>0</v>
      </c>
      <c r="EH113" s="849">
        <f t="shared" si="145"/>
        <v>0</v>
      </c>
      <c r="EI113" s="849">
        <f t="shared" si="145"/>
        <v>0</v>
      </c>
      <c r="EJ113" s="849">
        <f t="shared" si="145"/>
        <v>0</v>
      </c>
      <c r="EK113" s="849">
        <f t="shared" ref="EK113:ET113" si="146">+EK105*1000-EK112</f>
        <v>0</v>
      </c>
      <c r="EL113" s="849">
        <f t="shared" si="146"/>
        <v>0</v>
      </c>
      <c r="EM113" s="849">
        <f t="shared" si="146"/>
        <v>0</v>
      </c>
      <c r="EN113" s="849">
        <f t="shared" si="146"/>
        <v>0</v>
      </c>
      <c r="EO113" s="849">
        <f t="shared" si="146"/>
        <v>0</v>
      </c>
      <c r="EP113" s="849">
        <f t="shared" si="146"/>
        <v>0</v>
      </c>
      <c r="EQ113" s="849">
        <f>+EQ105*1000-EQ112</f>
        <v>0</v>
      </c>
      <c r="ER113" s="849">
        <f>+ER105*1000-ER112</f>
        <v>0</v>
      </c>
      <c r="ES113" s="849">
        <f>+ES105*1000-ES112</f>
        <v>0</v>
      </c>
      <c r="ET113" s="924">
        <f t="shared" si="146"/>
        <v>0</v>
      </c>
      <c r="EU113" s="306"/>
      <c r="EV113" s="306"/>
      <c r="EW113" s="52"/>
      <c r="EX113" s="52"/>
      <c r="EY113" s="52"/>
      <c r="EZ113" s="52"/>
      <c r="FA113" s="52"/>
      <c r="FB113" s="52"/>
      <c r="FC113" s="52"/>
      <c r="FD113" s="52"/>
      <c r="FE113" s="52"/>
      <c r="FF113" s="52"/>
      <c r="FG113" s="52"/>
      <c r="FH113" s="52"/>
      <c r="FI113" s="52"/>
      <c r="FJ113" s="52"/>
      <c r="FK113" s="52"/>
      <c r="FL113" s="52"/>
      <c r="FM113" s="52"/>
      <c r="FN113" s="52"/>
      <c r="FO113" s="52"/>
      <c r="FP113" s="52"/>
      <c r="FQ113" s="52"/>
      <c r="FR113" s="52"/>
      <c r="FS113" s="52"/>
      <c r="FT113" s="52"/>
      <c r="FU113" s="52"/>
      <c r="FV113" s="52"/>
      <c r="FW113" s="52"/>
      <c r="FX113" s="52"/>
      <c r="FY113" s="52"/>
      <c r="FZ113" s="52"/>
      <c r="GA113" s="52"/>
      <c r="GB113" s="52"/>
      <c r="GC113" s="52"/>
      <c r="GD113" s="52"/>
      <c r="GE113" s="52"/>
      <c r="GF113" s="52"/>
      <c r="GG113" s="52"/>
      <c r="GH113" s="52"/>
      <c r="GI113" s="52"/>
      <c r="GJ113" s="52"/>
      <c r="GK113" s="52"/>
      <c r="GL113" s="52"/>
      <c r="GM113" s="52"/>
      <c r="GN113" s="52"/>
      <c r="GO113" s="52"/>
      <c r="GP113" s="52"/>
      <c r="GQ113" s="52"/>
      <c r="GR113" s="52"/>
      <c r="GS113" s="52"/>
      <c r="GT113" s="52"/>
      <c r="GU113" s="52"/>
      <c r="GV113" s="52"/>
      <c r="GW113" s="52"/>
      <c r="GX113" s="52"/>
      <c r="GY113" s="52"/>
      <c r="GZ113" s="52"/>
      <c r="HA113" s="52"/>
      <c r="HB113" s="52"/>
      <c r="HC113" s="52"/>
      <c r="HD113" s="52"/>
      <c r="HE113" s="52"/>
      <c r="HF113" s="52"/>
      <c r="HG113" s="52"/>
      <c r="HH113" s="52"/>
      <c r="HI113" s="52"/>
      <c r="HJ113" s="52"/>
      <c r="HK113" s="52"/>
      <c r="HM113" s="259"/>
      <c r="HN113" s="259"/>
    </row>
    <row r="114" spans="16:222">
      <c r="ET114" s="130"/>
      <c r="EU114" s="130"/>
      <c r="EV114" s="130"/>
      <c r="HM114" s="259"/>
      <c r="HN114" s="259"/>
    </row>
    <row r="115" spans="16:222">
      <c r="P115" s="145" t="s">
        <v>513</v>
      </c>
      <c r="Q115" s="146">
        <v>796799</v>
      </c>
      <c r="R115" s="146">
        <v>782917</v>
      </c>
      <c r="ET115" s="130"/>
      <c r="EU115" s="130"/>
      <c r="EV115" s="130"/>
      <c r="EW115" s="175"/>
      <c r="EX115" s="175"/>
      <c r="EY115" s="175"/>
      <c r="EZ115" s="175"/>
      <c r="FA115" s="175"/>
      <c r="FB115" s="175"/>
      <c r="FC115" s="175"/>
      <c r="FD115" s="175"/>
      <c r="FE115" s="175"/>
      <c r="FF115" s="175"/>
      <c r="FG115" s="175"/>
      <c r="FH115" s="175"/>
      <c r="FI115" s="175"/>
      <c r="FJ115" s="175"/>
      <c r="FK115" s="175"/>
      <c r="FL115" s="175"/>
      <c r="FM115" s="175"/>
      <c r="FN115" s="175"/>
      <c r="FO115" s="175"/>
      <c r="FP115" s="175"/>
      <c r="FQ115" s="175"/>
      <c r="FR115" s="175"/>
      <c r="FS115" s="175"/>
      <c r="FT115" s="175"/>
      <c r="FU115" s="175"/>
      <c r="FV115" s="175"/>
      <c r="FW115" s="175"/>
      <c r="FX115" s="175"/>
      <c r="FY115" s="175"/>
      <c r="FZ115" s="175"/>
      <c r="GA115" s="175"/>
      <c r="GB115" s="175"/>
      <c r="GC115" s="175"/>
      <c r="GD115" s="175"/>
      <c r="GE115" s="175"/>
      <c r="GF115" s="175"/>
      <c r="GG115" s="175"/>
      <c r="GH115" s="175"/>
      <c r="GI115" s="175"/>
      <c r="GJ115" s="175"/>
      <c r="GK115" s="175"/>
      <c r="GL115" s="175"/>
      <c r="GM115" s="175"/>
      <c r="GN115" s="175"/>
      <c r="GO115" s="175"/>
      <c r="GP115" s="175"/>
      <c r="GQ115" s="175"/>
      <c r="GR115" s="175"/>
      <c r="GS115" s="175"/>
      <c r="GT115" s="175"/>
      <c r="GU115" s="175"/>
      <c r="GV115" s="175"/>
      <c r="GW115" s="175"/>
      <c r="GX115" s="175"/>
      <c r="GY115" s="175"/>
      <c r="GZ115" s="175"/>
      <c r="HA115" s="175"/>
      <c r="HB115" s="175"/>
      <c r="HC115" s="175"/>
      <c r="HD115" s="175"/>
      <c r="HE115" s="175"/>
      <c r="HF115" s="175"/>
      <c r="HG115" s="175"/>
      <c r="HH115" s="175"/>
      <c r="HI115" s="175"/>
      <c r="HJ115" s="175"/>
      <c r="HK115" s="175"/>
      <c r="HM115" s="259"/>
      <c r="HN115" s="259"/>
    </row>
    <row r="116" spans="16:222">
      <c r="P116" s="145" t="s">
        <v>514</v>
      </c>
      <c r="Q116" s="146">
        <v>0</v>
      </c>
      <c r="R116" s="146">
        <v>0</v>
      </c>
      <c r="ET116" s="130"/>
      <c r="EU116" s="130"/>
      <c r="EV116" s="130"/>
      <c r="HM116" s="259"/>
      <c r="HN116" s="259"/>
    </row>
    <row r="117" spans="16:222">
      <c r="P117" s="146"/>
      <c r="Q117" s="146">
        <v>796799</v>
      </c>
      <c r="R117" s="146">
        <v>782917</v>
      </c>
      <c r="ET117" s="130"/>
      <c r="EU117" s="130"/>
      <c r="EV117" s="130"/>
      <c r="EW117" s="175"/>
      <c r="EX117" s="175"/>
      <c r="EY117" s="175"/>
      <c r="EZ117" s="175"/>
      <c r="FA117" s="175"/>
      <c r="FB117" s="175"/>
      <c r="FC117" s="175"/>
      <c r="FD117" s="175"/>
      <c r="FE117" s="175"/>
      <c r="FF117" s="175"/>
      <c r="FG117" s="175"/>
      <c r="FH117" s="175"/>
      <c r="FI117" s="175"/>
      <c r="FJ117" s="175"/>
      <c r="FK117" s="175"/>
      <c r="FL117" s="175"/>
      <c r="FM117" s="175"/>
      <c r="FN117" s="175"/>
      <c r="FO117" s="175"/>
      <c r="FP117" s="175"/>
      <c r="FQ117" s="175"/>
      <c r="FR117" s="175"/>
      <c r="FS117" s="175"/>
      <c r="FT117" s="175"/>
      <c r="FU117" s="175"/>
      <c r="FV117" s="175"/>
      <c r="FW117" s="175"/>
      <c r="FX117" s="175"/>
      <c r="FY117" s="175"/>
      <c r="FZ117" s="175"/>
      <c r="GA117" s="175"/>
      <c r="GB117" s="175"/>
      <c r="GC117" s="175"/>
      <c r="GD117" s="175"/>
      <c r="GE117" s="175"/>
      <c r="GF117" s="175"/>
      <c r="GG117" s="175"/>
      <c r="GH117" s="175"/>
      <c r="GI117" s="175"/>
      <c r="GJ117" s="175"/>
      <c r="GK117" s="175"/>
      <c r="GL117" s="175"/>
      <c r="GM117" s="175"/>
      <c r="GN117" s="175"/>
      <c r="GO117" s="175"/>
      <c r="GP117" s="175"/>
      <c r="GQ117" s="175"/>
      <c r="GR117" s="175"/>
      <c r="GS117" s="175"/>
      <c r="GT117" s="175"/>
      <c r="GU117" s="175"/>
      <c r="GV117" s="175"/>
      <c r="GW117" s="175"/>
      <c r="GX117" s="175"/>
      <c r="GY117" s="175"/>
      <c r="GZ117" s="175"/>
      <c r="HA117" s="175"/>
      <c r="HB117" s="175"/>
      <c r="HC117" s="175"/>
      <c r="HD117" s="175"/>
      <c r="HE117" s="175"/>
      <c r="HF117" s="175"/>
      <c r="HG117" s="175"/>
      <c r="HH117" s="175"/>
      <c r="HI117" s="175"/>
      <c r="HJ117" s="175"/>
      <c r="HK117" s="175"/>
    </row>
    <row r="118" spans="16:222">
      <c r="ET118" s="130"/>
      <c r="EU118" s="130"/>
      <c r="EV118" s="130"/>
    </row>
    <row r="119" spans="16:222">
      <c r="ET119" s="130"/>
      <c r="EU119" s="130"/>
      <c r="EV119" s="130"/>
    </row>
    <row r="120" spans="16:222">
      <c r="ET120" s="130"/>
      <c r="EU120" s="130"/>
      <c r="EV120" s="130"/>
    </row>
    <row r="121" spans="16:222">
      <c r="ET121" s="130"/>
      <c r="EU121" s="130"/>
      <c r="EV121" s="130"/>
    </row>
    <row r="122" spans="16:222">
      <c r="U122" s="52"/>
      <c r="ET122" s="130"/>
      <c r="EU122" s="130"/>
      <c r="EV122" s="130"/>
    </row>
    <row r="123" spans="16:222">
      <c r="ET123" s="130"/>
      <c r="EU123" s="130"/>
      <c r="EV123" s="130"/>
    </row>
    <row r="124" spans="16:222">
      <c r="ET124" s="130"/>
      <c r="EU124" s="130"/>
      <c r="EV124" s="130"/>
    </row>
    <row r="125" spans="16:222">
      <c r="ET125" s="130"/>
      <c r="EU125" s="130"/>
      <c r="EV125" s="130"/>
    </row>
    <row r="126" spans="16:222">
      <c r="ET126" s="130"/>
      <c r="EU126" s="130"/>
      <c r="EV126" s="130"/>
    </row>
    <row r="127" spans="16:222">
      <c r="ET127" s="130"/>
      <c r="EU127" s="130"/>
      <c r="EV127" s="130"/>
    </row>
    <row r="128" spans="16:222">
      <c r="ET128" s="130"/>
      <c r="EU128" s="130"/>
      <c r="EV128" s="130"/>
    </row>
    <row r="129" spans="150:152">
      <c r="ET129" s="130"/>
      <c r="EU129" s="130"/>
      <c r="EV129" s="130"/>
    </row>
    <row r="130" spans="150:152">
      <c r="ET130" s="130"/>
      <c r="EU130" s="130"/>
      <c r="EV130" s="130"/>
    </row>
    <row r="131" spans="150:152">
      <c r="ET131" s="130"/>
      <c r="EU131" s="130"/>
      <c r="EV131" s="130"/>
    </row>
    <row r="132" spans="150:152">
      <c r="ET132" s="130"/>
      <c r="EU132" s="130"/>
      <c r="EV132" s="130"/>
    </row>
    <row r="133" spans="150:152">
      <c r="ET133" s="130"/>
      <c r="EU133" s="130"/>
      <c r="EV133" s="130"/>
    </row>
    <row r="134" spans="150:152">
      <c r="ET134" s="130"/>
      <c r="EU134" s="130"/>
      <c r="EV134" s="130"/>
    </row>
  </sheetData>
  <phoneticPr fontId="0" type="noConversion"/>
  <printOptions horizontalCentered="1"/>
  <pageMargins left="0.25" right="0.25" top="0.75" bottom="0.75" header="0.3" footer="0.3"/>
  <pageSetup scale="48" fitToHeight="0" orientation="landscape" blackAndWhite="1" r:id="rId1"/>
  <headerFooter alignWithMargins="0">
    <oddFooter>&amp;L&amp;Z&amp;F
&amp;D</oddFooter>
  </headerFooter>
  <rowBreaks count="1" manualBreakCount="1">
    <brk id="57" max="122" man="1"/>
  </rowBreaks>
  <customProperties>
    <customPr name="_pios_id" r:id="rId2"/>
  </customProperties>
  <ignoredErrors>
    <ignoredError sqref="ET91:ET92 ET100" formulaRange="1"/>
  </ignoredErrors>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FI111"/>
  <sheetViews>
    <sheetView workbookViewId="0"/>
  </sheetViews>
  <sheetFormatPr defaultColWidth="8.42578125" defaultRowHeight="12.75"/>
  <cols>
    <col min="1" max="1" width="37.5703125" customWidth="1"/>
    <col min="2" max="2" width="13.140625" customWidth="1"/>
    <col min="3" max="3" width="2.85546875" style="56" customWidth="1"/>
    <col min="4" max="4" width="11.7109375" customWidth="1"/>
    <col min="5" max="5" width="3.7109375" style="259" customWidth="1"/>
    <col min="6" max="28" width="12.85546875" style="56" hidden="1" customWidth="1"/>
    <col min="29" max="31" width="14" style="186" hidden="1" customWidth="1"/>
    <col min="32" max="32" width="15.140625" style="186" hidden="1" customWidth="1"/>
    <col min="33" max="33" width="14" style="186" hidden="1" customWidth="1"/>
    <col min="34" max="52" width="12.85546875" style="186" hidden="1" customWidth="1"/>
    <col min="53" max="53" width="14" style="186" hidden="1" customWidth="1"/>
    <col min="54" max="55" width="12.85546875" style="186" hidden="1" customWidth="1"/>
    <col min="56" max="90" width="14" style="186" hidden="1" customWidth="1"/>
    <col min="91" max="91" width="14.7109375" style="186" hidden="1" customWidth="1"/>
    <col min="92" max="96" width="14" style="186" hidden="1" customWidth="1"/>
    <col min="97" max="106" width="14" style="186" customWidth="1"/>
    <col min="107" max="107" width="13.140625" style="186" bestFit="1" customWidth="1"/>
    <col min="108" max="122" width="14" style="186" customWidth="1"/>
    <col min="123" max="123" width="14.5703125" style="186" bestFit="1" customWidth="1"/>
    <col min="124" max="124" width="16.140625" style="186" bestFit="1" customWidth="1"/>
    <col min="125" max="125" width="14.5703125" style="186" bestFit="1" customWidth="1"/>
    <col min="126" max="126" width="15.7109375" style="186" bestFit="1" customWidth="1"/>
    <col min="127" max="137" width="14.5703125" style="186" bestFit="1" customWidth="1"/>
    <col min="138" max="138" width="16.140625" style="56" bestFit="1" customWidth="1"/>
    <col min="139" max="139" width="11.28515625" style="35" bestFit="1" customWidth="1"/>
    <col min="140" max="140" width="58.140625" style="56" customWidth="1"/>
    <col min="141" max="141" width="20" bestFit="1" customWidth="1"/>
    <col min="142" max="142" width="11.85546875" bestFit="1" customWidth="1"/>
  </cols>
  <sheetData>
    <row r="1" spans="1:165" ht="15.75">
      <c r="A1" s="24" t="s">
        <v>376</v>
      </c>
      <c r="B1" s="24"/>
      <c r="C1" s="140"/>
      <c r="D1" s="26"/>
      <c r="E1" s="322"/>
      <c r="F1" s="140"/>
      <c r="G1" s="140"/>
      <c r="H1" s="140"/>
      <c r="I1" s="140"/>
      <c r="J1" s="140"/>
      <c r="K1" s="140"/>
      <c r="L1" s="140"/>
      <c r="M1" s="140"/>
      <c r="N1" s="140"/>
      <c r="O1" s="140"/>
      <c r="P1" s="140"/>
      <c r="Q1" s="140"/>
      <c r="R1" s="140"/>
      <c r="S1" s="140"/>
      <c r="T1" s="140"/>
      <c r="U1" s="140"/>
      <c r="V1" s="140"/>
      <c r="W1" s="140"/>
      <c r="X1" s="140"/>
      <c r="Y1" s="140"/>
      <c r="Z1" s="140"/>
      <c r="AA1" s="140"/>
      <c r="AB1" s="140"/>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830"/>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40"/>
    </row>
    <row r="2" spans="1:165" ht="15.75">
      <c r="A2" s="24" t="s">
        <v>569</v>
      </c>
      <c r="B2" s="24"/>
      <c r="C2" s="140"/>
      <c r="D2" s="21"/>
      <c r="E2" s="322"/>
      <c r="F2" s="262"/>
      <c r="G2" s="262"/>
      <c r="H2" s="262"/>
      <c r="I2" s="262"/>
      <c r="J2" s="262"/>
      <c r="K2" s="262"/>
      <c r="L2" s="262"/>
      <c r="M2" s="262"/>
      <c r="N2" s="262"/>
      <c r="O2" s="140"/>
      <c r="P2" s="140"/>
      <c r="Q2" s="140"/>
      <c r="R2" s="140"/>
      <c r="S2" s="140"/>
      <c r="T2" s="140"/>
      <c r="U2" s="140"/>
      <c r="V2" s="140"/>
      <c r="W2" s="140"/>
      <c r="X2" s="140"/>
      <c r="Y2" s="140"/>
      <c r="Z2" s="140"/>
      <c r="AA2" s="140"/>
      <c r="AB2" s="140"/>
      <c r="AC2" s="185"/>
      <c r="AD2" s="185"/>
      <c r="AE2" s="185"/>
      <c r="AF2" s="185"/>
      <c r="AG2" s="185"/>
      <c r="AH2" s="185"/>
      <c r="AI2" s="185"/>
      <c r="AJ2" s="185"/>
      <c r="AK2" s="185"/>
      <c r="AL2" s="185"/>
      <c r="AM2" s="185"/>
      <c r="AN2" s="185"/>
      <c r="AO2" s="185"/>
      <c r="AP2" s="185"/>
      <c r="AR2" s="185"/>
      <c r="AS2" s="185"/>
      <c r="AT2" s="185"/>
      <c r="AU2" s="185"/>
      <c r="AV2" s="185"/>
      <c r="AW2" s="185"/>
      <c r="AX2" s="185"/>
      <c r="AY2" s="185"/>
      <c r="BA2" s="185"/>
      <c r="BB2" s="185"/>
      <c r="BC2" s="185"/>
      <c r="BD2" s="185"/>
      <c r="BE2" s="185"/>
      <c r="BF2" s="185"/>
      <c r="BG2" s="185"/>
      <c r="BH2" s="185"/>
      <c r="BI2" s="185"/>
      <c r="BJ2" s="185"/>
      <c r="BK2" s="185"/>
      <c r="BL2" s="457" t="s">
        <v>1276</v>
      </c>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40"/>
    </row>
    <row r="3" spans="1:165" ht="15.75" customHeight="1">
      <c r="A3" s="210" t="str">
        <f>+Report!A3</f>
        <v>December 2021</v>
      </c>
      <c r="B3" s="24"/>
      <c r="C3" s="140"/>
      <c r="D3" s="21"/>
      <c r="E3" s="322"/>
      <c r="F3" s="263"/>
      <c r="G3" s="263"/>
      <c r="H3" s="263"/>
      <c r="I3" s="263"/>
      <c r="J3" s="263"/>
      <c r="K3" s="263"/>
      <c r="L3" s="263"/>
      <c r="M3" s="263"/>
      <c r="N3" s="263"/>
      <c r="O3" s="140"/>
      <c r="P3" s="140"/>
      <c r="Q3" s="140"/>
      <c r="R3" s="140"/>
      <c r="S3" s="140"/>
      <c r="T3" s="140"/>
      <c r="U3" s="140"/>
      <c r="V3" s="140"/>
      <c r="W3" s="140"/>
      <c r="X3" s="140"/>
      <c r="Y3" s="140"/>
      <c r="Z3" s="140"/>
      <c r="AA3" s="140"/>
      <c r="AB3" s="140"/>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40"/>
    </row>
    <row r="4" spans="1:165">
      <c r="A4" s="20"/>
      <c r="B4" s="21"/>
      <c r="C4" s="140"/>
      <c r="D4" s="21"/>
      <c r="E4" s="322"/>
      <c r="F4" s="140"/>
      <c r="G4" s="140"/>
      <c r="H4" s="140"/>
      <c r="I4" s="140"/>
      <c r="J4" s="140"/>
      <c r="K4" s="140"/>
      <c r="L4" s="140"/>
      <c r="M4" s="140"/>
      <c r="N4" s="140"/>
      <c r="O4" s="140"/>
      <c r="P4" s="140"/>
      <c r="Q4" s="140"/>
      <c r="R4" s="140"/>
      <c r="S4" s="140"/>
      <c r="T4" s="140"/>
      <c r="U4" s="140"/>
      <c r="V4" s="140"/>
      <c r="W4" s="140"/>
      <c r="X4" s="140"/>
      <c r="Y4" s="140"/>
      <c r="Z4" s="140"/>
      <c r="AA4" s="140"/>
      <c r="AB4" s="140"/>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40"/>
    </row>
    <row r="5" spans="1:165">
      <c r="A5" s="23"/>
      <c r="D5" s="36"/>
      <c r="AP5" s="130"/>
      <c r="AQ5" s="440"/>
      <c r="AR5" s="57"/>
      <c r="EH5" s="57"/>
    </row>
    <row r="6" spans="1:165" ht="15">
      <c r="A6" s="25"/>
      <c r="B6" s="361" t="s">
        <v>415</v>
      </c>
      <c r="C6" s="44"/>
      <c r="D6" s="380" t="s">
        <v>355</v>
      </c>
      <c r="E6" s="286"/>
      <c r="F6" s="259"/>
      <c r="P6" s="44"/>
      <c r="Q6" s="44"/>
      <c r="R6" s="44"/>
      <c r="S6" s="44"/>
      <c r="T6" s="44"/>
      <c r="U6" s="44"/>
      <c r="V6" s="44"/>
      <c r="W6" s="44"/>
      <c r="X6" s="44"/>
      <c r="Y6" s="44"/>
      <c r="Z6" s="44"/>
      <c r="AA6" s="44"/>
      <c r="AB6" s="44"/>
      <c r="AC6" s="187"/>
      <c r="AD6" s="187"/>
      <c r="AE6" s="187"/>
      <c r="AF6" s="187"/>
      <c r="AG6" s="187"/>
      <c r="AH6" s="187"/>
      <c r="AI6" s="187"/>
      <c r="AJ6" s="187"/>
      <c r="AK6" s="187"/>
      <c r="AL6" s="187"/>
      <c r="AM6" s="187"/>
      <c r="AN6" s="187"/>
      <c r="AO6" s="187"/>
      <c r="AP6" s="228"/>
      <c r="AQ6" s="228"/>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7"/>
      <c r="DU6" s="187"/>
      <c r="DV6" s="187"/>
      <c r="DW6" s="187"/>
      <c r="DX6" s="187"/>
      <c r="DY6" s="187"/>
      <c r="DZ6" s="187"/>
      <c r="EA6" s="187"/>
      <c r="EB6" s="187"/>
      <c r="EC6" s="187"/>
      <c r="ED6" s="187"/>
      <c r="EE6" s="187"/>
      <c r="EF6" s="187"/>
      <c r="EG6" s="187"/>
    </row>
    <row r="7" spans="1:165" ht="15">
      <c r="A7" s="25"/>
      <c r="B7" s="362" t="s">
        <v>416</v>
      </c>
      <c r="C7" s="44"/>
      <c r="D7" s="362" t="s">
        <v>417</v>
      </c>
      <c r="E7" s="286"/>
      <c r="F7" s="259"/>
      <c r="P7" s="44"/>
      <c r="Q7" s="44"/>
      <c r="R7" s="44"/>
      <c r="S7" s="44"/>
      <c r="T7" s="44"/>
      <c r="U7" s="44"/>
      <c r="V7" s="44"/>
      <c r="W7" s="44"/>
      <c r="X7" s="44"/>
      <c r="Y7" s="44"/>
      <c r="Z7" s="44"/>
      <c r="AA7" s="303"/>
      <c r="AB7" s="303"/>
      <c r="AC7" s="303"/>
      <c r="AD7" s="187"/>
      <c r="AE7" s="187"/>
      <c r="AF7" s="187"/>
      <c r="AG7" s="187"/>
      <c r="AH7" s="187"/>
      <c r="AI7" s="187"/>
      <c r="AJ7" s="187"/>
      <c r="AK7" s="187"/>
      <c r="AL7" s="187"/>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1346" t="str">
        <f>+Input!A4</f>
        <v>(JAN 2021 - DEC 2021)</v>
      </c>
      <c r="EI7" s="1347"/>
    </row>
    <row r="8" spans="1:165" ht="15">
      <c r="A8" s="25"/>
      <c r="B8" s="363"/>
      <c r="C8" s="44"/>
      <c r="D8" s="381"/>
      <c r="E8" s="286"/>
      <c r="F8" s="223">
        <v>40544</v>
      </c>
      <c r="G8" s="134">
        <v>40575</v>
      </c>
      <c r="H8" s="134">
        <v>40603</v>
      </c>
      <c r="I8" s="134">
        <v>40634</v>
      </c>
      <c r="J8" s="134">
        <v>40664</v>
      </c>
      <c r="K8" s="134">
        <v>40695</v>
      </c>
      <c r="L8" s="134">
        <v>40725</v>
      </c>
      <c r="M8" s="134">
        <v>40756</v>
      </c>
      <c r="N8" s="134">
        <v>40787</v>
      </c>
      <c r="O8" s="134">
        <v>40848</v>
      </c>
      <c r="P8" s="134">
        <v>40848</v>
      </c>
      <c r="Q8" s="134">
        <v>40878</v>
      </c>
      <c r="R8" s="134">
        <v>40909</v>
      </c>
      <c r="S8" s="134">
        <v>40940</v>
      </c>
      <c r="T8" s="134">
        <v>40969</v>
      </c>
      <c r="U8" s="134">
        <v>41000</v>
      </c>
      <c r="V8" s="134">
        <v>41030</v>
      </c>
      <c r="W8" s="134">
        <v>41061</v>
      </c>
      <c r="X8" s="134">
        <v>41091</v>
      </c>
      <c r="Y8" s="134">
        <v>41122</v>
      </c>
      <c r="Z8" s="134">
        <v>41153</v>
      </c>
      <c r="AA8" s="134">
        <v>41183</v>
      </c>
      <c r="AB8" s="134">
        <v>41243</v>
      </c>
      <c r="AC8" s="134">
        <v>41274</v>
      </c>
      <c r="AD8" s="134">
        <v>41305</v>
      </c>
      <c r="AE8" s="134">
        <v>41333</v>
      </c>
      <c r="AF8" s="134">
        <v>41364</v>
      </c>
      <c r="AG8" s="134">
        <v>41394</v>
      </c>
      <c r="AH8" s="134">
        <v>41425</v>
      </c>
      <c r="AI8" s="134">
        <v>41455</v>
      </c>
      <c r="AJ8" s="134">
        <v>41486</v>
      </c>
      <c r="AK8" s="134">
        <v>41517</v>
      </c>
      <c r="AL8" s="134">
        <v>41547</v>
      </c>
      <c r="AM8" s="223">
        <v>41578</v>
      </c>
      <c r="AN8" s="223">
        <v>41608</v>
      </c>
      <c r="AO8" s="223">
        <v>41639</v>
      </c>
      <c r="AP8" s="223">
        <v>41670</v>
      </c>
      <c r="AQ8" s="223">
        <v>41698</v>
      </c>
      <c r="AR8" s="223">
        <v>41729</v>
      </c>
      <c r="AS8" s="223">
        <v>41759</v>
      </c>
      <c r="AT8" s="223">
        <v>41790</v>
      </c>
      <c r="AU8" s="223">
        <v>41820</v>
      </c>
      <c r="AV8" s="223">
        <v>41850</v>
      </c>
      <c r="AW8" s="223">
        <v>41882</v>
      </c>
      <c r="AX8" s="223">
        <v>41912</v>
      </c>
      <c r="AY8" s="223">
        <v>41943</v>
      </c>
      <c r="AZ8" s="223">
        <v>41973</v>
      </c>
      <c r="BA8" s="223">
        <v>42004</v>
      </c>
      <c r="BB8" s="223">
        <v>42035</v>
      </c>
      <c r="BC8" s="223">
        <v>42063</v>
      </c>
      <c r="BD8" s="223">
        <v>42094</v>
      </c>
      <c r="BE8" s="223">
        <v>42124</v>
      </c>
      <c r="BF8" s="223">
        <v>42155</v>
      </c>
      <c r="BG8" s="223">
        <v>42185</v>
      </c>
      <c r="BH8" s="223">
        <v>42216</v>
      </c>
      <c r="BI8" s="223">
        <v>42247</v>
      </c>
      <c r="BJ8" s="223">
        <v>42277</v>
      </c>
      <c r="BK8" s="223">
        <v>42308</v>
      </c>
      <c r="BL8" s="223">
        <v>42338</v>
      </c>
      <c r="BM8" s="223">
        <v>42369</v>
      </c>
      <c r="BN8" s="223">
        <v>42400</v>
      </c>
      <c r="BO8" s="223">
        <v>42429</v>
      </c>
      <c r="BP8" s="223">
        <v>42460</v>
      </c>
      <c r="BQ8" s="223">
        <v>42490</v>
      </c>
      <c r="BR8" s="223">
        <v>42521</v>
      </c>
      <c r="BS8" s="223">
        <v>42551</v>
      </c>
      <c r="BT8" s="223">
        <v>42582</v>
      </c>
      <c r="BU8" s="223">
        <v>42613</v>
      </c>
      <c r="BV8" s="223">
        <v>42643</v>
      </c>
      <c r="BW8" s="223">
        <v>42674</v>
      </c>
      <c r="BX8" s="223">
        <v>42704</v>
      </c>
      <c r="BY8" s="223">
        <v>42735</v>
      </c>
      <c r="BZ8" s="223">
        <v>42766</v>
      </c>
      <c r="CA8" s="223">
        <v>42794</v>
      </c>
      <c r="CB8" s="223">
        <v>42825</v>
      </c>
      <c r="CC8" s="223">
        <v>42855</v>
      </c>
      <c r="CD8" s="223">
        <v>42886</v>
      </c>
      <c r="CE8" s="223">
        <v>42916</v>
      </c>
      <c r="CF8" s="223">
        <v>42947</v>
      </c>
      <c r="CG8" s="223">
        <v>42950</v>
      </c>
      <c r="CH8" s="223">
        <v>43008</v>
      </c>
      <c r="CI8" s="223">
        <v>43039</v>
      </c>
      <c r="CJ8" s="223">
        <v>43069</v>
      </c>
      <c r="CK8" s="223">
        <v>43100</v>
      </c>
      <c r="CL8" s="223">
        <v>43131</v>
      </c>
      <c r="CM8" s="223">
        <v>43159</v>
      </c>
      <c r="CN8" s="223">
        <v>43190</v>
      </c>
      <c r="CO8" s="223">
        <v>43220</v>
      </c>
      <c r="CP8" s="223">
        <v>43251</v>
      </c>
      <c r="CQ8" s="223">
        <v>43281</v>
      </c>
      <c r="CR8" s="223">
        <v>43312</v>
      </c>
      <c r="CS8" s="223">
        <v>43343</v>
      </c>
      <c r="CT8" s="223">
        <v>43373</v>
      </c>
      <c r="CU8" s="223">
        <v>43404</v>
      </c>
      <c r="CV8" s="223">
        <v>43434</v>
      </c>
      <c r="CW8" s="223">
        <v>43465</v>
      </c>
      <c r="CX8" s="223">
        <v>43496</v>
      </c>
      <c r="CY8" s="223">
        <v>43524</v>
      </c>
      <c r="CZ8" s="223">
        <v>43555</v>
      </c>
      <c r="DA8" s="223">
        <v>43585</v>
      </c>
      <c r="DB8" s="223">
        <v>43616</v>
      </c>
      <c r="DC8" s="223">
        <v>43646</v>
      </c>
      <c r="DD8" s="223">
        <v>43677</v>
      </c>
      <c r="DE8" s="223">
        <v>43708</v>
      </c>
      <c r="DF8" s="223">
        <v>43738</v>
      </c>
      <c r="DG8" s="223">
        <v>43769</v>
      </c>
      <c r="DH8" s="223">
        <v>43799</v>
      </c>
      <c r="DI8" s="223">
        <v>43830</v>
      </c>
      <c r="DJ8" s="223">
        <f t="shared" ref="DJ8:EA8" si="0">+DI8+30</f>
        <v>43860</v>
      </c>
      <c r="DK8" s="223">
        <f t="shared" si="0"/>
        <v>43890</v>
      </c>
      <c r="DL8" s="223">
        <f t="shared" si="0"/>
        <v>43920</v>
      </c>
      <c r="DM8" s="223">
        <f t="shared" si="0"/>
        <v>43950</v>
      </c>
      <c r="DN8" s="223">
        <f t="shared" si="0"/>
        <v>43980</v>
      </c>
      <c r="DO8" s="223">
        <f t="shared" si="0"/>
        <v>44010</v>
      </c>
      <c r="DP8" s="223">
        <f t="shared" si="0"/>
        <v>44040</v>
      </c>
      <c r="DQ8" s="223">
        <f t="shared" si="0"/>
        <v>44070</v>
      </c>
      <c r="DR8" s="223">
        <f t="shared" si="0"/>
        <v>44100</v>
      </c>
      <c r="DS8" s="223">
        <f t="shared" si="0"/>
        <v>44130</v>
      </c>
      <c r="DT8" s="223">
        <f t="shared" si="0"/>
        <v>44160</v>
      </c>
      <c r="DU8" s="223">
        <f t="shared" si="0"/>
        <v>44190</v>
      </c>
      <c r="DV8" s="223">
        <f t="shared" si="0"/>
        <v>44220</v>
      </c>
      <c r="DW8" s="223">
        <f t="shared" si="0"/>
        <v>44250</v>
      </c>
      <c r="DX8" s="223">
        <f t="shared" si="0"/>
        <v>44280</v>
      </c>
      <c r="DY8" s="223">
        <f t="shared" si="0"/>
        <v>44310</v>
      </c>
      <c r="DZ8" s="223">
        <f t="shared" si="0"/>
        <v>44340</v>
      </c>
      <c r="EA8" s="223">
        <f t="shared" si="0"/>
        <v>44370</v>
      </c>
      <c r="EB8" s="223">
        <f t="shared" ref="EB8:EG8" si="1">+EA8+30</f>
        <v>44400</v>
      </c>
      <c r="EC8" s="223">
        <f t="shared" si="1"/>
        <v>44430</v>
      </c>
      <c r="ED8" s="223">
        <f t="shared" si="1"/>
        <v>44460</v>
      </c>
      <c r="EE8" s="223">
        <f t="shared" si="1"/>
        <v>44490</v>
      </c>
      <c r="EF8" s="223">
        <f t="shared" si="1"/>
        <v>44520</v>
      </c>
      <c r="EG8" s="223">
        <f t="shared" si="1"/>
        <v>44550</v>
      </c>
      <c r="EH8" s="1348" t="s">
        <v>511</v>
      </c>
      <c r="EI8" s="1349"/>
      <c r="EK8" s="56"/>
      <c r="EL8" s="56"/>
      <c r="EM8" s="56"/>
      <c r="EN8" s="56"/>
      <c r="EO8" s="56"/>
      <c r="EP8" s="56"/>
      <c r="EQ8" s="56"/>
      <c r="ER8" s="56"/>
      <c r="ES8" s="56"/>
      <c r="ET8" s="56"/>
      <c r="EU8" s="56"/>
      <c r="EV8" s="56"/>
      <c r="EW8" s="56"/>
      <c r="EX8" s="56"/>
      <c r="EY8" s="56"/>
      <c r="EZ8" s="56"/>
      <c r="FA8" s="56"/>
      <c r="FB8" s="56"/>
      <c r="FC8" s="56"/>
      <c r="FD8" s="56"/>
      <c r="FE8" s="56"/>
      <c r="FF8" s="56"/>
      <c r="FG8" s="56"/>
      <c r="FH8" s="56"/>
      <c r="FI8" s="56"/>
    </row>
    <row r="9" spans="1:165">
      <c r="A9" s="17" t="s">
        <v>2506</v>
      </c>
      <c r="B9" s="364">
        <f>(+EH9/1000)</f>
        <v>517145.58792999992</v>
      </c>
      <c r="C9" s="44"/>
      <c r="D9" s="382">
        <f>(+EG9/1000)</f>
        <v>50551.45953</v>
      </c>
      <c r="E9" s="286"/>
      <c r="F9" s="375">
        <v>64136169</v>
      </c>
      <c r="G9" s="116">
        <v>50050202</v>
      </c>
      <c r="H9" s="116">
        <v>39116226</v>
      </c>
      <c r="I9" s="116">
        <v>38558175</v>
      </c>
      <c r="J9" s="116">
        <v>36493596</v>
      </c>
      <c r="K9" s="116">
        <v>33696507</v>
      </c>
      <c r="L9" s="116">
        <v>32015049.109999999</v>
      </c>
      <c r="M9" s="116">
        <v>30819251.23</v>
      </c>
      <c r="N9" s="116">
        <v>29138823.350000001</v>
      </c>
      <c r="O9" s="116">
        <v>25204319.739999998</v>
      </c>
      <c r="P9" s="121">
        <v>29050209.510000002</v>
      </c>
      <c r="Q9" s="121">
        <v>35806470.75</v>
      </c>
      <c r="R9" s="116">
        <v>43391687.470000006</v>
      </c>
      <c r="S9" s="116">
        <v>32196564.150000006</v>
      </c>
      <c r="T9" s="116">
        <v>32715816.079999991</v>
      </c>
      <c r="U9" s="264">
        <v>30401447.869999997</v>
      </c>
      <c r="V9" s="264">
        <v>32153777.120000001</v>
      </c>
      <c r="W9" s="264">
        <v>30245167.609999999</v>
      </c>
      <c r="X9" s="264">
        <v>33417311.540000003</v>
      </c>
      <c r="Y9" s="264">
        <v>31591437.529999997</v>
      </c>
      <c r="Z9" s="264">
        <v>28231109.160000004</v>
      </c>
      <c r="AA9" s="264">
        <v>29135360.84</v>
      </c>
      <c r="AB9" s="264">
        <v>30862407.25</v>
      </c>
      <c r="AC9" s="265">
        <v>36427763.600000001</v>
      </c>
      <c r="AD9" s="265">
        <v>41378770.899999999</v>
      </c>
      <c r="AE9" s="265">
        <v>36680833</v>
      </c>
      <c r="AF9" s="265">
        <v>40849682.419999994</v>
      </c>
      <c r="AG9" s="265">
        <v>38101873.32</v>
      </c>
      <c r="AH9" s="294">
        <v>30034745.960000008</v>
      </c>
      <c r="AI9" s="294">
        <v>31155361.370000001</v>
      </c>
      <c r="AJ9" s="374">
        <v>27701417.899999995</v>
      </c>
      <c r="AK9" s="374">
        <v>26322465.550000004</v>
      </c>
      <c r="AL9" s="374">
        <v>27200455.859999999</v>
      </c>
      <c r="AM9" s="323">
        <v>26331645.879999999</v>
      </c>
      <c r="AN9" s="323">
        <v>26819097.469999999</v>
      </c>
      <c r="AO9" s="323">
        <v>31154347.57</v>
      </c>
      <c r="AP9" s="434">
        <v>45049229.169999994</v>
      </c>
      <c r="AQ9" s="434">
        <v>41308285.779999994</v>
      </c>
      <c r="AR9" s="434">
        <v>34224059.170000002</v>
      </c>
      <c r="AS9" s="434">
        <v>35414910.509999998</v>
      </c>
      <c r="AT9" s="434">
        <v>26507728.270000003</v>
      </c>
      <c r="AU9" s="434">
        <v>27034326.639999997</v>
      </c>
      <c r="AV9" s="434">
        <v>28126906.250000004</v>
      </c>
      <c r="AW9" s="434">
        <v>29302705.43</v>
      </c>
      <c r="AX9" s="434">
        <v>27440191.66</v>
      </c>
      <c r="AY9" s="434">
        <v>28437528.969999999</v>
      </c>
      <c r="AZ9" s="434">
        <v>30694879.700000007</v>
      </c>
      <c r="BA9" s="434">
        <v>37376895.260000005</v>
      </c>
      <c r="BB9" s="434">
        <v>41526853.440000005</v>
      </c>
      <c r="BC9" s="434">
        <v>40747118.190000005</v>
      </c>
      <c r="BD9" s="434">
        <v>37675557.359999999</v>
      </c>
      <c r="BE9" s="434">
        <v>32020189.060000006</v>
      </c>
      <c r="BF9" s="434">
        <v>27373668.810000002</v>
      </c>
      <c r="BG9" s="434">
        <v>31846469.240000002</v>
      </c>
      <c r="BH9" s="434">
        <v>27944548.710000001</v>
      </c>
      <c r="BI9" s="434">
        <v>30544045.240000002</v>
      </c>
      <c r="BJ9" s="434">
        <v>28843664.960000001</v>
      </c>
      <c r="BK9" s="434">
        <v>30339340.559999999</v>
      </c>
      <c r="BL9" s="434">
        <v>34445454.619999997</v>
      </c>
      <c r="BM9" s="434">
        <v>33007907.030000001</v>
      </c>
      <c r="BN9" s="434">
        <v>43458243.620000005</v>
      </c>
      <c r="BO9" s="434">
        <v>46174577.250000007</v>
      </c>
      <c r="BP9" s="434">
        <v>38531095.469999999</v>
      </c>
      <c r="BQ9" s="434">
        <v>35996519.359999999</v>
      </c>
      <c r="BR9" s="434">
        <v>31116562.18</v>
      </c>
      <c r="BS9" s="434">
        <v>31939658.089999996</v>
      </c>
      <c r="BT9" s="434">
        <v>35031259.739999995</v>
      </c>
      <c r="BU9" s="434">
        <v>33686641.32</v>
      </c>
      <c r="BV9" s="434">
        <v>32101363.620000001</v>
      </c>
      <c r="BW9" s="434">
        <v>33260955</v>
      </c>
      <c r="BX9" s="434">
        <v>30184342.52</v>
      </c>
      <c r="BY9" s="434">
        <v>35134172.949999996</v>
      </c>
      <c r="BZ9" s="434">
        <v>39009633.990000002</v>
      </c>
      <c r="CA9" s="434">
        <v>36125128.779999994</v>
      </c>
      <c r="CB9" s="434">
        <v>33999266.789999999</v>
      </c>
      <c r="CC9" s="434">
        <v>36788892.019999996</v>
      </c>
      <c r="CD9" s="434">
        <v>34043478.120000005</v>
      </c>
      <c r="CE9" s="434">
        <v>30627749.869999997</v>
      </c>
      <c r="CF9" s="434">
        <v>31896481.530000001</v>
      </c>
      <c r="CG9" s="434">
        <v>37408660.879999995</v>
      </c>
      <c r="CH9" s="434">
        <v>37220060.560000002</v>
      </c>
      <c r="CI9" s="656">
        <v>31264726.539999999</v>
      </c>
      <c r="CJ9" s="656">
        <v>34454206.760000005</v>
      </c>
      <c r="CK9" s="656">
        <v>42142078.830000013</v>
      </c>
      <c r="CL9" s="656">
        <v>59737368.489999995</v>
      </c>
      <c r="CM9" s="656">
        <v>43456502.710000001</v>
      </c>
      <c r="CN9" s="656">
        <v>35439285.339999996</v>
      </c>
      <c r="CO9" s="656">
        <v>40963132.570000008</v>
      </c>
      <c r="CP9" s="656">
        <v>33750433.270000003</v>
      </c>
      <c r="CQ9" s="656">
        <v>36100149.720000006</v>
      </c>
      <c r="CR9" s="656">
        <v>38475401.810000002</v>
      </c>
      <c r="CS9" s="656">
        <v>33960823.980000004</v>
      </c>
      <c r="CT9" s="656">
        <v>36561610.080000013</v>
      </c>
      <c r="CU9" s="656">
        <v>39125040.050000004</v>
      </c>
      <c r="CV9" s="656">
        <v>36874124.920000009</v>
      </c>
      <c r="CW9" s="656">
        <v>42173747.170000009</v>
      </c>
      <c r="CX9" s="656">
        <v>47675399.100000001</v>
      </c>
      <c r="CY9" s="656">
        <v>41282346.650000006</v>
      </c>
      <c r="CZ9" s="656">
        <v>40972417.300000004</v>
      </c>
      <c r="DA9" s="656">
        <v>38557859.68</v>
      </c>
      <c r="DB9" s="656">
        <v>37479703.879999995</v>
      </c>
      <c r="DC9" s="656">
        <v>32025081.750000004</v>
      </c>
      <c r="DD9" s="656">
        <v>32140814.890000001</v>
      </c>
      <c r="DE9" s="656">
        <v>30763920.25</v>
      </c>
      <c r="DF9" s="656">
        <v>35334292.890000001</v>
      </c>
      <c r="DG9" s="949">
        <v>34311088.479999997</v>
      </c>
      <c r="DH9" s="949">
        <v>36757847.039999999</v>
      </c>
      <c r="DI9" s="656">
        <v>42437008.07</v>
      </c>
      <c r="DJ9" s="656">
        <v>46564399.519999996</v>
      </c>
      <c r="DK9" s="656">
        <v>41641503.240000002</v>
      </c>
      <c r="DL9" s="656">
        <v>38444839.949999996</v>
      </c>
      <c r="DM9" s="656">
        <v>31831182.150000006</v>
      </c>
      <c r="DN9" s="656">
        <v>30361232.48</v>
      </c>
      <c r="DO9" s="656">
        <v>32045007.690000001</v>
      </c>
      <c r="DP9" s="656">
        <v>30525209.949999999</v>
      </c>
      <c r="DQ9" s="656">
        <v>29434342.700000003</v>
      </c>
      <c r="DR9" s="656">
        <v>30091836.440000001</v>
      </c>
      <c r="DS9" s="656">
        <v>31448742.199999999</v>
      </c>
      <c r="DT9" s="656">
        <v>34809282.790000007</v>
      </c>
      <c r="DU9" s="656">
        <v>44829436.920000002</v>
      </c>
      <c r="DV9" s="656">
        <v>57427824.769999996</v>
      </c>
      <c r="DW9" s="656">
        <v>47714723.329999998</v>
      </c>
      <c r="DX9" s="656">
        <v>46349639.280000001</v>
      </c>
      <c r="DY9" s="656">
        <v>44995002.140000001</v>
      </c>
      <c r="DZ9" s="656">
        <v>37961226.520000011</v>
      </c>
      <c r="EA9" s="656">
        <v>37628565.090000004</v>
      </c>
      <c r="EB9" s="656">
        <v>38186269.560000002</v>
      </c>
      <c r="EC9" s="656">
        <v>36037868.090000004</v>
      </c>
      <c r="ED9" s="656">
        <v>38034830</v>
      </c>
      <c r="EE9" s="656">
        <f>-(VLOOKUP("4800",'Input IS ACCTS'!$A$6:$CV$512,97,FALSE)+VLOOKUP("4810",'Input IS ACCTS'!$A$6:$CV$512,97,FALSE)+VLOOKUP("4830",'Input IS ACCTS'!$A$6:$CV$512,97,FALSE)+VLOOKUP("4870",'Input IS ACCTS'!$A$6:$CV$512,97,FALSE)+VLOOKUP("4880",'Input IS ACCTS'!$A$6:$CV$512,97,FALSE)+VLOOKUP("4893",'Input IS ACCTS'!$A$6:$CV$512,97,FALSE)+VLOOKUP("4930",'Input IS ACCTS'!$A$6:$CV$512,97,FALSE)+VLOOKUP("4950",'Input IS ACCTS'!$A$6:$CV$512,97,FALSE))+-VLOOKUP("4074140",'Input IS ACCTS'!$A$6:$CV$512,97,FALSE)+-VLOOKUP("4074141",'Input IS ACCTS'!$A$6:$CV$512,97,FALSE)+-VLOOKUP("4074071",'Input IS ACCTS'!$A$6:$CV$512,97,FALSE)+-VLOOKUP("4074072",'Input IS ACCTS'!$A$6:$CV$512,97,FALSE)-VLOOKUP("4120",'Input IS ACCTS'!$A$6:$CV$512,97,FALSE)</f>
        <v>40510482.890000001</v>
      </c>
      <c r="EF9" s="656">
        <f>-(VLOOKUP("4800",'Input IS ACCTS'!$A$6:$CV$512,98,FALSE)+VLOOKUP("4810",'Input IS ACCTS'!$A$6:$CV$512,98,FALSE)+VLOOKUP("4830",'Input IS ACCTS'!$A$6:$CV$512,98,FALSE)+VLOOKUP("4870",'Input IS ACCTS'!$A$6:$CV$512,98,FALSE)+VLOOKUP("4880",'Input IS ACCTS'!$A$6:$CV$512,98,FALSE)+VLOOKUP("4893",'Input IS ACCTS'!$A$6:$CV$512,98,FALSE)+VLOOKUP("4930",'Input IS ACCTS'!$A$6:$CV$512,98,FALSE)+VLOOKUP("4950",'Input IS ACCTS'!$A$6:$CV$512,98,FALSE))+-VLOOKUP("4074140",'Input IS ACCTS'!$A$6:$CV$512,98,FALSE)+-VLOOKUP("4074141",'Input IS ACCTS'!$A$6:$CV$512,98,FALSE)+-VLOOKUP("4074071",'Input IS ACCTS'!$A$6:$CV$512,98,FALSE)+-VLOOKUP("4074072",'Input IS ACCTS'!$A$6:$CV$512,98,FALSE)-VLOOKUP("4120",'Input IS ACCTS'!$A$6:$CV$512,98,FALSE)</f>
        <v>41747696.730000004</v>
      </c>
      <c r="EG9" s="656">
        <f>-(VLOOKUP("4800",'Input IS ACCTS'!$A$6:$CV$512,99,FALSE)+VLOOKUP("4810",'Input IS ACCTS'!$A$6:$CV$512,99,FALSE)+VLOOKUP("4830",'Input IS ACCTS'!$A$6:$CV$512,99,FALSE)+VLOOKUP("4870",'Input IS ACCTS'!$A$6:$CV$512,99,FALSE)+VLOOKUP("4880",'Input IS ACCTS'!$A$6:$CV$512,99,FALSE)+VLOOKUP("4893",'Input IS ACCTS'!$A$6:$CV$512,99,FALSE)+VLOOKUP("4930",'Input IS ACCTS'!$A$6:$CV$512,99,FALSE)+VLOOKUP("4950",'Input IS ACCTS'!$A$6:$CV$512,99,FALSE))+-VLOOKUP("4074140",'Input IS ACCTS'!$A$6:$CV$512,99,FALSE)+-VLOOKUP("4074141",'Input IS ACCTS'!$A$6:$CV$512,99,FALSE)+-VLOOKUP("4074071",'Input IS ACCTS'!$A$6:$CV$512,99,FALSE)+-VLOOKUP("4074072",'Input IS ACCTS'!$A$6:$CV$512,99,FALSE)-VLOOKUP("4120",'Input IS ACCTS'!$A$6:$CV$512,99,FALSE)</f>
        <v>50551459.530000001</v>
      </c>
      <c r="EH9" s="150">
        <f>SUM(DV9:EG9)</f>
        <v>517145587.92999995</v>
      </c>
      <c r="EI9" s="198">
        <f>EH9/1000</f>
        <v>517145.58792999992</v>
      </c>
      <c r="EK9" s="56"/>
      <c r="EL9" s="56"/>
      <c r="EM9" s="56"/>
      <c r="EN9" s="56"/>
      <c r="EO9" s="56"/>
      <c r="EP9" s="56"/>
      <c r="EQ9" s="56"/>
      <c r="ER9" s="56"/>
      <c r="ES9" s="56"/>
      <c r="ET9" s="56"/>
    </row>
    <row r="10" spans="1:165">
      <c r="A10" t="s">
        <v>377</v>
      </c>
      <c r="B10" s="364">
        <f>(+EH10/1000)</f>
        <v>161278.81740999999</v>
      </c>
      <c r="C10" s="44"/>
      <c r="D10" s="382">
        <f>(+EG10/1000)</f>
        <v>17167.27015</v>
      </c>
      <c r="E10" s="286"/>
      <c r="F10" s="375">
        <v>35929047</v>
      </c>
      <c r="G10" s="116">
        <v>28125374</v>
      </c>
      <c r="H10" s="116">
        <v>18312624</v>
      </c>
      <c r="I10" s="206">
        <v>19065132</v>
      </c>
      <c r="J10" s="206">
        <v>18720413</v>
      </c>
      <c r="K10" s="206">
        <v>16241683</v>
      </c>
      <c r="L10" s="206">
        <v>14575428.810000001</v>
      </c>
      <c r="M10" s="206">
        <v>14503895.970000001</v>
      </c>
      <c r="N10" s="206">
        <v>12476962.24</v>
      </c>
      <c r="O10" s="206">
        <v>8315577.0700000003</v>
      </c>
      <c r="P10" s="124">
        <v>10431436.41</v>
      </c>
      <c r="Q10" s="124">
        <v>14552678.27</v>
      </c>
      <c r="R10" s="116">
        <v>19323169.680000003</v>
      </c>
      <c r="S10" s="116">
        <v>11921843.789999999</v>
      </c>
      <c r="T10" s="116">
        <v>11972773.119999997</v>
      </c>
      <c r="U10" s="266">
        <v>10555026.039999999</v>
      </c>
      <c r="V10" s="266">
        <v>13428349.260000002</v>
      </c>
      <c r="W10" s="266">
        <v>12446485.77</v>
      </c>
      <c r="X10" s="266">
        <v>15460656.659999998</v>
      </c>
      <c r="Y10" s="266">
        <v>13964657.51</v>
      </c>
      <c r="Z10" s="266">
        <v>11030296.539999997</v>
      </c>
      <c r="AA10" s="266">
        <v>11152862.32</v>
      </c>
      <c r="AB10" s="266">
        <v>11038493.34</v>
      </c>
      <c r="AC10" s="267">
        <v>15300054.119999999</v>
      </c>
      <c r="AD10" s="318">
        <v>17559639.670000002</v>
      </c>
      <c r="AE10" s="318">
        <v>15098350.789999999</v>
      </c>
      <c r="AF10" s="318">
        <v>17464987.18</v>
      </c>
      <c r="AG10" s="318">
        <v>16042957.35</v>
      </c>
      <c r="AH10" s="305">
        <v>11549317.539999999</v>
      </c>
      <c r="AI10" s="305">
        <v>12803659.49</v>
      </c>
      <c r="AJ10" s="324">
        <v>9117444.25</v>
      </c>
      <c r="AK10" s="324">
        <v>8748767.25</v>
      </c>
      <c r="AL10" s="324">
        <v>9147665.0199999996</v>
      </c>
      <c r="AM10" s="324">
        <v>8124721.4700000007</v>
      </c>
      <c r="AN10" s="324">
        <v>7599607.8799999999</v>
      </c>
      <c r="AO10" s="324">
        <v>10193967.4</v>
      </c>
      <c r="AP10" s="435">
        <v>18885501.369999997</v>
      </c>
      <c r="AQ10" s="435">
        <v>16710103.75</v>
      </c>
      <c r="AR10" s="435">
        <v>11990899.669999998</v>
      </c>
      <c r="AS10" s="435">
        <v>14096943.02</v>
      </c>
      <c r="AT10" s="435">
        <v>7510945.0899999999</v>
      </c>
      <c r="AU10" s="435">
        <v>7780344.75</v>
      </c>
      <c r="AV10" s="435">
        <v>9254849.4300000016</v>
      </c>
      <c r="AW10" s="435">
        <v>11110747.470000001</v>
      </c>
      <c r="AX10" s="435">
        <v>8335265.129999999</v>
      </c>
      <c r="AY10" s="435">
        <v>9326457.1900000013</v>
      </c>
      <c r="AZ10" s="435">
        <v>10419190.390000001</v>
      </c>
      <c r="BA10" s="435">
        <v>14181834.150000002</v>
      </c>
      <c r="BB10" s="435">
        <v>15744195.169999998</v>
      </c>
      <c r="BC10" s="435">
        <v>15327773.870000001</v>
      </c>
      <c r="BD10" s="435">
        <v>12821273.630000001</v>
      </c>
      <c r="BE10" s="435">
        <v>11052671.949999999</v>
      </c>
      <c r="BF10" s="435">
        <v>8336276.6300000008</v>
      </c>
      <c r="BG10" s="435">
        <v>11506614.470000001</v>
      </c>
      <c r="BH10" s="435">
        <v>8591358.1300000008</v>
      </c>
      <c r="BI10" s="435">
        <v>11086216.839999998</v>
      </c>
      <c r="BJ10" s="435">
        <v>9651105.1400000006</v>
      </c>
      <c r="BK10" s="435">
        <v>10247454.67</v>
      </c>
      <c r="BL10" s="435">
        <v>13762675.949999997</v>
      </c>
      <c r="BM10" s="435">
        <v>10607495.420000002</v>
      </c>
      <c r="BN10" s="435">
        <v>17224147.039999999</v>
      </c>
      <c r="BO10" s="435">
        <v>18954001.390000001</v>
      </c>
      <c r="BP10" s="435">
        <v>14610091.289999999</v>
      </c>
      <c r="BQ10" s="435">
        <v>14301106.339999998</v>
      </c>
      <c r="BR10" s="435">
        <v>10633070.180000002</v>
      </c>
      <c r="BS10" s="435">
        <v>11450753.499999998</v>
      </c>
      <c r="BT10" s="435">
        <v>14877401.100000001</v>
      </c>
      <c r="BU10" s="435">
        <v>13866856.649999999</v>
      </c>
      <c r="BV10" s="435">
        <v>12207508.729999999</v>
      </c>
      <c r="BW10" s="435">
        <v>12879324.389999999</v>
      </c>
      <c r="BX10" s="435">
        <v>8853260.1499999985</v>
      </c>
      <c r="BY10" s="435">
        <v>11495331.029999999</v>
      </c>
      <c r="BZ10" s="435">
        <v>14123756.439999999</v>
      </c>
      <c r="CA10" s="435">
        <v>13284704.350000001</v>
      </c>
      <c r="CB10" s="435">
        <v>10132613.449999999</v>
      </c>
      <c r="CC10" s="435">
        <v>13624311.619999999</v>
      </c>
      <c r="CD10" s="435">
        <v>12076232.76</v>
      </c>
      <c r="CE10" s="435">
        <v>9351212.1099999994</v>
      </c>
      <c r="CF10" s="435">
        <v>11576206.780000001</v>
      </c>
      <c r="CG10" s="435">
        <v>16547458.02</v>
      </c>
      <c r="CH10" s="435">
        <v>16308798.129999999</v>
      </c>
      <c r="CI10" s="658">
        <v>10049997.700000001</v>
      </c>
      <c r="CJ10" s="658">
        <v>12227990.450000001</v>
      </c>
      <c r="CK10" s="658">
        <v>17224714.670000002</v>
      </c>
      <c r="CL10" s="658">
        <v>28323337.009999998</v>
      </c>
      <c r="CM10" s="658">
        <v>16877971.170000002</v>
      </c>
      <c r="CN10" s="658">
        <v>10656544.970000001</v>
      </c>
      <c r="CO10" s="658">
        <v>14035730.630000001</v>
      </c>
      <c r="CP10" s="658">
        <v>11584869.24</v>
      </c>
      <c r="CQ10" s="658">
        <v>13927010.850000001</v>
      </c>
      <c r="CR10" s="658">
        <v>15458251.729999999</v>
      </c>
      <c r="CS10" s="658">
        <v>12079612.24</v>
      </c>
      <c r="CT10" s="658">
        <v>14237102.5</v>
      </c>
      <c r="CU10" s="658">
        <v>16311723.799999997</v>
      </c>
      <c r="CV10" s="658">
        <v>13970101.419999998</v>
      </c>
      <c r="CW10" s="658">
        <v>15719752.549999999</v>
      </c>
      <c r="CX10" s="658">
        <v>19487678.060000002</v>
      </c>
      <c r="CY10" s="658">
        <v>14733147.84</v>
      </c>
      <c r="CZ10" s="658">
        <v>14785572.529999999</v>
      </c>
      <c r="DA10" s="658">
        <v>14444981.209999999</v>
      </c>
      <c r="DB10" s="658">
        <v>14046232.980000002</v>
      </c>
      <c r="DC10" s="658">
        <v>9707830.5600000005</v>
      </c>
      <c r="DD10" s="658">
        <v>9757329.5500000007</v>
      </c>
      <c r="DE10" s="658">
        <v>8618926.2399999984</v>
      </c>
      <c r="DF10" s="658">
        <v>12903755.140000001</v>
      </c>
      <c r="DG10" s="658">
        <v>11404519.58</v>
      </c>
      <c r="DH10" s="658">
        <v>11643663.42</v>
      </c>
      <c r="DI10" s="658">
        <v>14617248.200000001</v>
      </c>
      <c r="DJ10" s="658">
        <v>17024957.799999997</v>
      </c>
      <c r="DK10" s="658">
        <v>13648088.01</v>
      </c>
      <c r="DL10" s="658">
        <v>11822521.219999999</v>
      </c>
      <c r="DM10" s="658">
        <v>9129555.3499999996</v>
      </c>
      <c r="DN10" s="658">
        <v>8251960.5399999991</v>
      </c>
      <c r="DO10" s="658">
        <v>9245049.3399999999</v>
      </c>
      <c r="DP10" s="658">
        <v>8495809.9900000002</v>
      </c>
      <c r="DQ10" s="658">
        <v>6929366.8000000007</v>
      </c>
      <c r="DR10" s="658">
        <v>7392128.2000000002</v>
      </c>
      <c r="DS10" s="658">
        <v>7640179.5300000012</v>
      </c>
      <c r="DT10" s="658">
        <v>10170215.460000001</v>
      </c>
      <c r="DU10" s="658">
        <v>16417657.560000001</v>
      </c>
      <c r="DV10" s="658">
        <v>20452194.869999997</v>
      </c>
      <c r="DW10" s="658">
        <v>16480775.060000002</v>
      </c>
      <c r="DX10" s="658">
        <v>15481339.280000001</v>
      </c>
      <c r="DY10" s="658">
        <v>13943323.74</v>
      </c>
      <c r="DZ10" s="658">
        <v>10175093.430000002</v>
      </c>
      <c r="EA10" s="658">
        <v>10244738.020000001</v>
      </c>
      <c r="EB10" s="658">
        <v>10886004.699999999</v>
      </c>
      <c r="EC10" s="658">
        <v>10059469.49</v>
      </c>
      <c r="ED10" s="658">
        <v>10464940.5</v>
      </c>
      <c r="EE10" s="658">
        <f>(VLOOKUP("8010",'Input IS ACCTS'!$A$6:$CV$512,97,FALSE)+VLOOKUP("8040",'Input IS ACCTS'!$A$6:$CV$512,97,FALSE)+VLOOKUP("8081",'Input IS ACCTS'!$A$6:$CV$512,97,FALSE)+VLOOKUP("8082",'Input IS ACCTS'!$A$6:$CV$512,97,FALSE)+VLOOKUP("8120",'Input IS ACCTS'!$A$6:$CV$512,97,FALSE)+VLOOKUP("4073060",'Input IS ACCTS'!$A$6:$CV$512,97,FALSE)+VLOOKUP("4073061",'Input IS ACCTS'!$A$6:$CV$512,97,FALSE)+VLOOKUP("4074060",'Input IS ACCTS'!$A$6:$CV$512,97,FALSE)+VLOOKUP("4074061",'Input IS ACCTS'!$A$6:$CV$512,97,FALSE))</f>
        <v>13348919.390000001</v>
      </c>
      <c r="EF10" s="658">
        <f>(VLOOKUP("8010",'Input IS ACCTS'!$A$6:$CV$512,98,FALSE)+VLOOKUP("8040",'Input IS ACCTS'!$A$6:$CV$512,98,FALSE)+VLOOKUP("8081",'Input IS ACCTS'!$A$6:$CV$512,98,FALSE)+VLOOKUP("8082",'Input IS ACCTS'!$A$6:$CV$512,98,FALSE)+VLOOKUP("8120",'Input IS ACCTS'!$A$6:$CV$512,98,FALSE)+VLOOKUP("4073060",'Input IS ACCTS'!$A$6:$CV$512,98,FALSE)+VLOOKUP("4073061",'Input IS ACCTS'!$A$6:$CV$512,98,FALSE)+VLOOKUP("4074060",'Input IS ACCTS'!$A$6:$CV$512,98,FALSE)+VLOOKUP("4074061",'Input IS ACCTS'!$A$6:$CV$512,98,FALSE))</f>
        <v>12574748.779999997</v>
      </c>
      <c r="EG10" s="658">
        <f>(VLOOKUP("8010",'Input IS ACCTS'!$A$6:$CV$512,99,FALSE)+VLOOKUP("8040",'Input IS ACCTS'!$A$6:$CV$512,99,FALSE)+VLOOKUP("8081",'Input IS ACCTS'!$A$6:$CV$512,99,FALSE)+VLOOKUP("8082",'Input IS ACCTS'!$A$6:$CV$512,99,FALSE)+VLOOKUP("8120",'Input IS ACCTS'!$A$6:$CV$512,99,FALSE)+VLOOKUP("4073060",'Input IS ACCTS'!$A$6:$CV$512,99,FALSE)+VLOOKUP("4073061",'Input IS ACCTS'!$A$6:$CV$512,99,FALSE)+VLOOKUP("4074060",'Input IS ACCTS'!$A$6:$CV$512,99,FALSE)+VLOOKUP("4074061",'Input IS ACCTS'!$A$6:$CV$512,99,FALSE))</f>
        <v>17167270.149999999</v>
      </c>
      <c r="EH10" s="150">
        <f>SUM(DV10:EG10)</f>
        <v>161278817.41</v>
      </c>
      <c r="EI10" s="198">
        <f>EH10/1000</f>
        <v>161278.81740999999</v>
      </c>
      <c r="EK10" s="56"/>
      <c r="EL10" s="56"/>
      <c r="EM10" s="56"/>
      <c r="EN10" s="56"/>
      <c r="EO10" s="56"/>
      <c r="EP10" s="56"/>
      <c r="EQ10" s="56"/>
      <c r="ER10" s="56"/>
      <c r="ES10" s="56"/>
      <c r="ET10" s="56"/>
    </row>
    <row r="11" spans="1:165">
      <c r="A11" t="s">
        <v>378</v>
      </c>
      <c r="B11" s="365">
        <f>+B9-B10</f>
        <v>355866.7705199999</v>
      </c>
      <c r="C11" s="44"/>
      <c r="D11" s="383">
        <f>+D9-D10</f>
        <v>33384.189379999996</v>
      </c>
      <c r="E11" s="286"/>
      <c r="F11" s="126">
        <v>28207122</v>
      </c>
      <c r="G11" s="125">
        <v>21924828</v>
      </c>
      <c r="H11" s="125">
        <v>20803602</v>
      </c>
      <c r="I11" s="125">
        <v>19493043</v>
      </c>
      <c r="J11" s="125">
        <v>17773183</v>
      </c>
      <c r="K11" s="125">
        <v>17454824</v>
      </c>
      <c r="L11" s="125">
        <v>17439620.299999997</v>
      </c>
      <c r="M11" s="125">
        <v>16315355.26</v>
      </c>
      <c r="N11" s="125">
        <v>16661861.110000001</v>
      </c>
      <c r="O11" s="125">
        <v>16888742.669999998</v>
      </c>
      <c r="P11" s="125">
        <v>18618773.100000001</v>
      </c>
      <c r="Q11" s="125">
        <v>21253792.48</v>
      </c>
      <c r="R11" s="125">
        <v>24068517.790000003</v>
      </c>
      <c r="S11" s="125">
        <v>20274720.360000007</v>
      </c>
      <c r="T11" s="125">
        <v>20743042.959999993</v>
      </c>
      <c r="U11" s="268">
        <v>19846421.829999998</v>
      </c>
      <c r="V11" s="268">
        <v>18725427.859999999</v>
      </c>
      <c r="W11" s="268">
        <v>17798681.84</v>
      </c>
      <c r="X11" s="268">
        <v>17956654.880000003</v>
      </c>
      <c r="Y11" s="268">
        <v>17626780.019999996</v>
      </c>
      <c r="Z11" s="268">
        <v>17200812.620000005</v>
      </c>
      <c r="AA11" s="268">
        <v>17982498.52</v>
      </c>
      <c r="AB11" s="268">
        <v>19823913.91</v>
      </c>
      <c r="AC11" s="268">
        <v>21127709.480000004</v>
      </c>
      <c r="AD11" s="268">
        <v>23819131.229999997</v>
      </c>
      <c r="AE11" s="268">
        <v>21582482.210000001</v>
      </c>
      <c r="AF11" s="268">
        <v>23384695.239999995</v>
      </c>
      <c r="AG11" s="268">
        <v>22058915.969999999</v>
      </c>
      <c r="AH11" s="268">
        <v>18485428.420000009</v>
      </c>
      <c r="AI11" s="268">
        <v>18351701.880000003</v>
      </c>
      <c r="AJ11" s="125">
        <v>18583973.649999995</v>
      </c>
      <c r="AK11" s="125">
        <v>17573698.300000004</v>
      </c>
      <c r="AL11" s="125">
        <v>18052790.84</v>
      </c>
      <c r="AM11" s="125">
        <v>18206924.409999996</v>
      </c>
      <c r="AN11" s="125">
        <v>19219489.59</v>
      </c>
      <c r="AO11" s="125">
        <v>20960380.170000002</v>
      </c>
      <c r="AP11" s="125">
        <v>26163727.799999997</v>
      </c>
      <c r="AQ11" s="125">
        <v>24598182.029999994</v>
      </c>
      <c r="AR11" s="125">
        <v>22233159.500000004</v>
      </c>
      <c r="AS11" s="125">
        <v>21317967.489999998</v>
      </c>
      <c r="AT11" s="125">
        <v>18996783.180000003</v>
      </c>
      <c r="AU11" s="125">
        <v>19253981.889999997</v>
      </c>
      <c r="AV11" s="125">
        <v>18872056.82</v>
      </c>
      <c r="AW11" s="125">
        <v>18191957.960000001</v>
      </c>
      <c r="AX11" s="125">
        <v>19104926.530000001</v>
      </c>
      <c r="AY11" s="125">
        <v>19111071.779999997</v>
      </c>
      <c r="AZ11" s="125">
        <v>20275689.310000006</v>
      </c>
      <c r="BA11" s="125">
        <v>23195061.110000003</v>
      </c>
      <c r="BB11" s="125">
        <v>25782658.270000007</v>
      </c>
      <c r="BC11" s="125">
        <v>25419344.320000004</v>
      </c>
      <c r="BD11" s="125">
        <v>24854283.729999997</v>
      </c>
      <c r="BE11" s="125">
        <v>20967517.110000007</v>
      </c>
      <c r="BF11" s="125">
        <v>19037392.18</v>
      </c>
      <c r="BG11" s="125">
        <v>20339854.770000003</v>
      </c>
      <c r="BH11" s="125">
        <v>19353190.579999998</v>
      </c>
      <c r="BI11" s="125">
        <v>19457828.400000006</v>
      </c>
      <c r="BJ11" s="125">
        <v>19192559.82</v>
      </c>
      <c r="BK11" s="125">
        <v>20091885.890000001</v>
      </c>
      <c r="BL11" s="125">
        <v>20682778.670000002</v>
      </c>
      <c r="BM11" s="125">
        <v>22400411.609999999</v>
      </c>
      <c r="BN11" s="125">
        <v>26234096.580000006</v>
      </c>
      <c r="BO11" s="125">
        <v>27220575.860000007</v>
      </c>
      <c r="BP11" s="125">
        <v>23921004.18</v>
      </c>
      <c r="BQ11" s="125">
        <v>21695413.020000003</v>
      </c>
      <c r="BR11" s="125">
        <v>20483492</v>
      </c>
      <c r="BS11" s="125">
        <v>20488904.589999996</v>
      </c>
      <c r="BT11" s="125">
        <v>20153858.639999993</v>
      </c>
      <c r="BU11" s="125">
        <v>19819784.670000002</v>
      </c>
      <c r="BV11" s="125">
        <v>19893854.890000001</v>
      </c>
      <c r="BW11" s="125">
        <v>20381630.609999999</v>
      </c>
      <c r="BX11" s="125">
        <v>21331082.370000001</v>
      </c>
      <c r="BY11" s="125">
        <v>23638841.919999994</v>
      </c>
      <c r="BZ11" s="125">
        <f>+BZ9-BZ10</f>
        <v>24885877.550000004</v>
      </c>
      <c r="CA11" s="125">
        <f>+CA9-CA10</f>
        <v>22840424.429999992</v>
      </c>
      <c r="CB11" s="125">
        <f>+CB9-CB10</f>
        <v>23866653.34</v>
      </c>
      <c r="CC11" s="125">
        <v>23164580.399999999</v>
      </c>
      <c r="CD11" s="125">
        <v>21967245.360000007</v>
      </c>
      <c r="CE11" s="125">
        <v>21276537.759999998</v>
      </c>
      <c r="CF11" s="125">
        <f t="shared" ref="CF11:CK11" si="2">+CF9-CF10</f>
        <v>20320274.75</v>
      </c>
      <c r="CG11" s="125">
        <f t="shared" si="2"/>
        <v>20861202.859999996</v>
      </c>
      <c r="CH11" s="125">
        <f t="shared" si="2"/>
        <v>20911262.430000003</v>
      </c>
      <c r="CI11" s="125">
        <f t="shared" si="2"/>
        <v>21214728.839999996</v>
      </c>
      <c r="CJ11" s="125">
        <f t="shared" si="2"/>
        <v>22226216.310000002</v>
      </c>
      <c r="CK11" s="125">
        <f t="shared" si="2"/>
        <v>24917364.160000011</v>
      </c>
      <c r="CL11" s="125">
        <f t="shared" ref="CL11:CQ11" si="3">+CL9-CL10</f>
        <v>31414031.479999997</v>
      </c>
      <c r="CM11" s="125">
        <f t="shared" si="3"/>
        <v>26578531.539999999</v>
      </c>
      <c r="CN11" s="125">
        <f t="shared" si="3"/>
        <v>24782740.369999997</v>
      </c>
      <c r="CO11" s="125">
        <f t="shared" si="3"/>
        <v>26927401.940000005</v>
      </c>
      <c r="CP11" s="125">
        <f t="shared" si="3"/>
        <v>22165564.030000001</v>
      </c>
      <c r="CQ11" s="125">
        <f t="shared" si="3"/>
        <v>22173138.870000005</v>
      </c>
      <c r="CR11" s="125">
        <f t="shared" ref="CR11:CW11" si="4">+CR9-CR10</f>
        <v>23017150.080000006</v>
      </c>
      <c r="CS11" s="125">
        <f t="shared" si="4"/>
        <v>21881211.740000002</v>
      </c>
      <c r="CT11" s="125">
        <f t="shared" si="4"/>
        <v>22324507.580000013</v>
      </c>
      <c r="CU11" s="125">
        <f t="shared" si="4"/>
        <v>22813316.250000007</v>
      </c>
      <c r="CV11" s="125">
        <f t="shared" si="4"/>
        <v>22904023.500000011</v>
      </c>
      <c r="CW11" s="125">
        <f t="shared" si="4"/>
        <v>26453994.620000012</v>
      </c>
      <c r="CX11" s="125">
        <f t="shared" ref="CX11:DC11" si="5">+CX9-CX10</f>
        <v>28187721.039999999</v>
      </c>
      <c r="CY11" s="125">
        <f t="shared" si="5"/>
        <v>26549198.810000006</v>
      </c>
      <c r="CZ11" s="125">
        <f t="shared" si="5"/>
        <v>26186844.770000003</v>
      </c>
      <c r="DA11" s="125">
        <f t="shared" si="5"/>
        <v>24112878.469999999</v>
      </c>
      <c r="DB11" s="125">
        <f t="shared" si="5"/>
        <v>23433470.899999991</v>
      </c>
      <c r="DC11" s="125">
        <f t="shared" si="5"/>
        <v>22317251.190000005</v>
      </c>
      <c r="DD11" s="125">
        <f t="shared" ref="DD11:DI11" si="6">+DD9-DD10</f>
        <v>22383485.34</v>
      </c>
      <c r="DE11" s="125">
        <f t="shared" si="6"/>
        <v>22144994.010000002</v>
      </c>
      <c r="DF11" s="125">
        <f t="shared" si="6"/>
        <v>22430537.75</v>
      </c>
      <c r="DG11" s="125">
        <f t="shared" si="6"/>
        <v>22906568.899999999</v>
      </c>
      <c r="DH11" s="125">
        <f t="shared" si="6"/>
        <v>25114183.619999997</v>
      </c>
      <c r="DI11" s="125">
        <f t="shared" si="6"/>
        <v>27819759.869999997</v>
      </c>
      <c r="DJ11" s="125">
        <f t="shared" ref="DJ11:EI11" si="7">+DJ9-DJ10</f>
        <v>29539441.719999999</v>
      </c>
      <c r="DK11" s="125">
        <f t="shared" si="7"/>
        <v>27993415.230000004</v>
      </c>
      <c r="DL11" s="125">
        <f t="shared" si="7"/>
        <v>26622318.729999997</v>
      </c>
      <c r="DM11" s="125">
        <f t="shared" si="7"/>
        <v>22701626.800000004</v>
      </c>
      <c r="DN11" s="125">
        <f t="shared" si="7"/>
        <v>22109271.940000001</v>
      </c>
      <c r="DO11" s="125">
        <f t="shared" si="7"/>
        <v>22799958.350000001</v>
      </c>
      <c r="DP11" s="125">
        <f t="shared" si="7"/>
        <v>22029399.960000001</v>
      </c>
      <c r="DQ11" s="125">
        <f t="shared" si="7"/>
        <v>22504975.900000002</v>
      </c>
      <c r="DR11" s="125">
        <f t="shared" si="7"/>
        <v>22699708.240000002</v>
      </c>
      <c r="DS11" s="125">
        <f t="shared" si="7"/>
        <v>23808562.669999998</v>
      </c>
      <c r="DT11" s="125">
        <f t="shared" si="7"/>
        <v>24639067.330000006</v>
      </c>
      <c r="DU11" s="125">
        <f t="shared" si="7"/>
        <v>28411779.359999999</v>
      </c>
      <c r="DV11" s="125">
        <f t="shared" ref="DV11:EA11" si="8">+DV9-DV10</f>
        <v>36975629.899999999</v>
      </c>
      <c r="DW11" s="125">
        <f t="shared" si="8"/>
        <v>31233948.269999996</v>
      </c>
      <c r="DX11" s="125">
        <f t="shared" si="8"/>
        <v>30868300</v>
      </c>
      <c r="DY11" s="125">
        <f t="shared" si="8"/>
        <v>31051678.399999999</v>
      </c>
      <c r="DZ11" s="125">
        <f t="shared" si="8"/>
        <v>27786133.090000011</v>
      </c>
      <c r="EA11" s="125">
        <f t="shared" si="8"/>
        <v>27383827.07</v>
      </c>
      <c r="EB11" s="125">
        <f t="shared" ref="EB11:EH11" si="9">+EB9-EB10</f>
        <v>27300264.860000003</v>
      </c>
      <c r="EC11" s="125">
        <f t="shared" si="9"/>
        <v>25978398.600000001</v>
      </c>
      <c r="ED11" s="125">
        <f t="shared" si="9"/>
        <v>27569889.5</v>
      </c>
      <c r="EE11" s="125">
        <f t="shared" si="9"/>
        <v>27161563.5</v>
      </c>
      <c r="EF11" s="125">
        <f t="shared" si="9"/>
        <v>29172947.950000007</v>
      </c>
      <c r="EG11" s="125">
        <f t="shared" si="9"/>
        <v>33384189.380000003</v>
      </c>
      <c r="EH11" s="417">
        <f t="shared" si="9"/>
        <v>355866770.51999998</v>
      </c>
      <c r="EI11" s="199">
        <f t="shared" si="7"/>
        <v>355866.7705199999</v>
      </c>
      <c r="EK11" s="56"/>
      <c r="EL11" s="56"/>
      <c r="EM11" s="56"/>
      <c r="EN11" s="56"/>
      <c r="EO11" s="56"/>
      <c r="EP11" s="56"/>
      <c r="EQ11" s="56"/>
      <c r="ER11" s="56"/>
      <c r="ES11" s="56"/>
      <c r="ET11" s="56"/>
    </row>
    <row r="12" spans="1:165">
      <c r="B12" s="364"/>
      <c r="C12" s="44"/>
      <c r="D12" s="382"/>
      <c r="E12" s="286"/>
      <c r="F12" s="209"/>
      <c r="G12" s="43"/>
      <c r="H12" s="43"/>
      <c r="I12" s="209"/>
      <c r="J12" s="209"/>
      <c r="K12" s="43"/>
      <c r="L12" s="43"/>
      <c r="M12" s="43"/>
      <c r="N12" s="43"/>
      <c r="O12" s="43"/>
      <c r="P12" s="205"/>
      <c r="Q12" s="205"/>
      <c r="R12" s="43"/>
      <c r="S12" s="43"/>
      <c r="T12" s="43"/>
      <c r="U12" s="269"/>
      <c r="V12" s="269"/>
      <c r="W12" s="270"/>
      <c r="X12" s="270"/>
      <c r="Y12" s="270"/>
      <c r="Z12" s="270"/>
      <c r="AA12" s="270"/>
      <c r="AB12" s="270"/>
      <c r="AC12" s="271"/>
      <c r="AD12" s="271"/>
      <c r="AE12" s="271"/>
      <c r="AF12" s="271"/>
      <c r="AG12" s="271"/>
      <c r="AH12" s="271"/>
      <c r="AI12" s="271"/>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205"/>
      <c r="DX12" s="205"/>
      <c r="DY12" s="205"/>
      <c r="DZ12" s="205"/>
      <c r="EA12" s="205"/>
      <c r="EB12" s="205"/>
      <c r="EC12" s="205"/>
      <c r="ED12" s="205"/>
      <c r="EE12" s="205"/>
      <c r="EF12" s="205"/>
      <c r="EG12" s="205"/>
      <c r="EH12" s="205"/>
      <c r="EI12" s="198"/>
      <c r="EK12" s="56"/>
      <c r="EL12" s="56"/>
      <c r="EM12" s="56"/>
      <c r="EN12" s="56"/>
      <c r="EO12" s="56"/>
      <c r="EP12" s="56"/>
      <c r="EQ12" s="56"/>
      <c r="ER12" s="56"/>
      <c r="ES12" s="56"/>
      <c r="ET12" s="56"/>
    </row>
    <row r="13" spans="1:165">
      <c r="A13" t="s">
        <v>379</v>
      </c>
      <c r="B13" s="364">
        <f t="shared" ref="B13:B21" si="10">(+EH13/1000)</f>
        <v>140031.48268000002</v>
      </c>
      <c r="C13" s="44"/>
      <c r="D13" s="382">
        <f t="shared" ref="D13:D21" si="11">(+EG13/1000)</f>
        <v>15466.521239999996</v>
      </c>
      <c r="E13" s="286"/>
      <c r="F13" s="375">
        <v>6872128</v>
      </c>
      <c r="G13" s="116">
        <v>6046886</v>
      </c>
      <c r="H13" s="116">
        <v>6794405</v>
      </c>
      <c r="I13" s="116">
        <v>6284464</v>
      </c>
      <c r="J13" s="116">
        <v>6066590</v>
      </c>
      <c r="K13" s="116">
        <v>9001917</v>
      </c>
      <c r="L13" s="116">
        <v>7199268.5899999999</v>
      </c>
      <c r="M13" s="116">
        <v>7455490.5999999996</v>
      </c>
      <c r="N13" s="116">
        <v>5855391.6699999999</v>
      </c>
      <c r="O13" s="116">
        <v>6689819.25</v>
      </c>
      <c r="P13" s="158">
        <v>7361662.0300000003</v>
      </c>
      <c r="Q13" s="121">
        <v>7700540.8499999996</v>
      </c>
      <c r="R13" s="116">
        <v>6956570.9299999997</v>
      </c>
      <c r="S13" s="116">
        <v>7083313.6299999999</v>
      </c>
      <c r="T13" s="116">
        <v>7192643.330000001</v>
      </c>
      <c r="U13" s="264">
        <v>6024997.54</v>
      </c>
      <c r="V13" s="264">
        <v>5862273.1400000015</v>
      </c>
      <c r="W13" s="264">
        <v>5682694.3700000001</v>
      </c>
      <c r="X13" s="264">
        <v>6455778.4300000006</v>
      </c>
      <c r="Y13" s="264">
        <v>5705293.0700000012</v>
      </c>
      <c r="Z13" s="264">
        <v>6467533.2100000018</v>
      </c>
      <c r="AA13" s="264">
        <v>7067774.1199999982</v>
      </c>
      <c r="AB13" s="264">
        <v>7820074.370000001</v>
      </c>
      <c r="AC13" s="265">
        <v>9089442.5200000014</v>
      </c>
      <c r="AD13" s="319">
        <v>7088845.7599999998</v>
      </c>
      <c r="AE13" s="319">
        <v>7214257.3099999996</v>
      </c>
      <c r="AF13" s="319">
        <v>7055404.6699999999</v>
      </c>
      <c r="AG13" s="320">
        <v>7204832</v>
      </c>
      <c r="AH13" s="320">
        <v>7100123.21</v>
      </c>
      <c r="AI13" s="320">
        <v>7677765.4400000004</v>
      </c>
      <c r="AJ13" s="328">
        <v>7678549.0299999993</v>
      </c>
      <c r="AK13" s="328">
        <v>7864351.1100000003</v>
      </c>
      <c r="AL13" s="328">
        <v>7179564.8200000003</v>
      </c>
      <c r="AM13" s="328">
        <v>7627635.540000001</v>
      </c>
      <c r="AN13" s="328">
        <v>7390667.4900000021</v>
      </c>
      <c r="AO13" s="328">
        <v>9195029.1299999971</v>
      </c>
      <c r="AP13" s="458">
        <v>8604544.5799999982</v>
      </c>
      <c r="AQ13" s="458">
        <v>8711405.8399999999</v>
      </c>
      <c r="AR13" s="458">
        <v>5758413.6399999997</v>
      </c>
      <c r="AS13" s="458">
        <v>7845599.8600000013</v>
      </c>
      <c r="AT13" s="458">
        <v>7891828.2200000007</v>
      </c>
      <c r="AU13" s="458">
        <v>7398391.8699999992</v>
      </c>
      <c r="AV13" s="458">
        <v>8197773.9600000018</v>
      </c>
      <c r="AW13" s="458">
        <v>7978026.6100000003</v>
      </c>
      <c r="AX13" s="458">
        <v>8772183.209999999</v>
      </c>
      <c r="AY13" s="468">
        <v>7332107.8500000006</v>
      </c>
      <c r="AZ13" s="468">
        <v>7425066.9700000016</v>
      </c>
      <c r="BA13" s="468">
        <v>8150539.0599999996</v>
      </c>
      <c r="BB13" s="468">
        <v>8083043.9900000012</v>
      </c>
      <c r="BC13" s="468">
        <v>8138014.9300000025</v>
      </c>
      <c r="BD13" s="468">
        <v>9042818.2600000016</v>
      </c>
      <c r="BE13" s="468">
        <v>8392853.5899999999</v>
      </c>
      <c r="BF13" s="468">
        <v>7063231.5199999986</v>
      </c>
      <c r="BG13" s="468">
        <v>7506052.9500000002</v>
      </c>
      <c r="BH13" s="468">
        <v>7598063.5099999998</v>
      </c>
      <c r="BI13" s="468">
        <v>8183300.3199999984</v>
      </c>
      <c r="BJ13" s="481">
        <v>7845017.2400000002</v>
      </c>
      <c r="BK13" s="481">
        <v>8018585.6399999997</v>
      </c>
      <c r="BL13" s="481">
        <v>9193033.1400000006</v>
      </c>
      <c r="BM13" s="481">
        <v>10024917.010000002</v>
      </c>
      <c r="BN13" s="481">
        <v>8254316.8999999985</v>
      </c>
      <c r="BO13" s="481">
        <v>8922885.25</v>
      </c>
      <c r="BP13" s="481">
        <v>8849971.2999999989</v>
      </c>
      <c r="BQ13" s="481">
        <v>7813729.5600000015</v>
      </c>
      <c r="BR13" s="518">
        <v>7256721.8600000022</v>
      </c>
      <c r="BS13" s="518">
        <v>9385053.7300000004</v>
      </c>
      <c r="BT13" s="518">
        <v>7317268.6600000001</v>
      </c>
      <c r="BU13" s="518">
        <v>9038044.700000003</v>
      </c>
      <c r="BV13" s="518">
        <v>7910332.6499999994</v>
      </c>
      <c r="BW13" s="518">
        <v>8674458.870000001</v>
      </c>
      <c r="BX13" s="518">
        <v>7902932.5300000012</v>
      </c>
      <c r="BY13" s="518">
        <v>11738945.810000001</v>
      </c>
      <c r="BZ13" s="518">
        <v>7865164.410000002</v>
      </c>
      <c r="CA13" s="518">
        <v>8269551.7300000014</v>
      </c>
      <c r="CB13" s="518">
        <v>8260874.8500000006</v>
      </c>
      <c r="CC13" s="518">
        <v>8496644.8100000005</v>
      </c>
      <c r="CD13" s="518">
        <v>8318895.7199999997</v>
      </c>
      <c r="CE13" s="518">
        <v>9566681.879999999</v>
      </c>
      <c r="CF13" s="518">
        <v>8228868.1500000004</v>
      </c>
      <c r="CG13" s="518">
        <v>8945266.620000001</v>
      </c>
      <c r="CH13" s="518">
        <v>8838165.0500000007</v>
      </c>
      <c r="CI13" s="518">
        <v>8999891.8099999987</v>
      </c>
      <c r="CJ13" s="518">
        <v>8987604.1400000006</v>
      </c>
      <c r="CK13" s="518">
        <v>8921564.7200000025</v>
      </c>
      <c r="CL13" s="518">
        <v>10389126.91</v>
      </c>
      <c r="CM13" s="518">
        <v>11405438.720000001</v>
      </c>
      <c r="CN13" s="518">
        <v>11489755.91</v>
      </c>
      <c r="CO13" s="518">
        <v>11848054.140000001</v>
      </c>
      <c r="CP13" s="518">
        <v>10278946.560000001</v>
      </c>
      <c r="CQ13" s="518">
        <v>10162091.91</v>
      </c>
      <c r="CR13" s="518">
        <v>11144812.370000003</v>
      </c>
      <c r="CS13" s="518">
        <v>10559682.59</v>
      </c>
      <c r="CT13" s="518">
        <v>2936739.0100000007</v>
      </c>
      <c r="CU13" s="518">
        <v>10667708.469999999</v>
      </c>
      <c r="CV13" s="518">
        <v>10051616.659999998</v>
      </c>
      <c r="CW13" s="518">
        <v>10828374.869999999</v>
      </c>
      <c r="CX13" s="518">
        <v>10704047.970000001</v>
      </c>
      <c r="CY13" s="518">
        <v>10197302.529999999</v>
      </c>
      <c r="CZ13" s="518">
        <v>10933807.130000001</v>
      </c>
      <c r="DA13" s="518">
        <v>9452738.7199999988</v>
      </c>
      <c r="DB13" s="518">
        <v>9623196.75</v>
      </c>
      <c r="DC13" s="518">
        <v>10004876.34</v>
      </c>
      <c r="DD13" s="518">
        <v>10836839.369999999</v>
      </c>
      <c r="DE13" s="865">
        <v>10289937.84</v>
      </c>
      <c r="DF13" s="518">
        <v>10658872.26</v>
      </c>
      <c r="DG13" s="865">
        <v>10816141.519999998</v>
      </c>
      <c r="DH13" s="518">
        <v>11388449.270000003</v>
      </c>
      <c r="DI13" s="518">
        <v>13809685.580000004</v>
      </c>
      <c r="DJ13" s="518">
        <v>10646212.800000001</v>
      </c>
      <c r="DK13" s="518">
        <v>11589610.57</v>
      </c>
      <c r="DL13" s="518">
        <v>12036201.48</v>
      </c>
      <c r="DM13" s="518">
        <v>10133297.039999999</v>
      </c>
      <c r="DN13" s="934">
        <v>9496298.040000001</v>
      </c>
      <c r="DO13" s="934">
        <v>10924631.790000003</v>
      </c>
      <c r="DP13" s="518">
        <v>10202309.84</v>
      </c>
      <c r="DQ13" s="518">
        <v>10103527.440000001</v>
      </c>
      <c r="DR13" s="518">
        <v>10896470.880000001</v>
      </c>
      <c r="DS13" s="518">
        <v>12718271.51</v>
      </c>
      <c r="DT13" s="518">
        <v>9979721.5499999989</v>
      </c>
      <c r="DU13" s="518">
        <v>14552383.76</v>
      </c>
      <c r="DV13" s="518">
        <v>11859828.670000002</v>
      </c>
      <c r="DW13" s="518">
        <v>11091194.499999998</v>
      </c>
      <c r="DX13" s="518">
        <v>11222752.209999999</v>
      </c>
      <c r="DY13" s="518">
        <v>10992290.48</v>
      </c>
      <c r="DZ13" s="518">
        <v>10570744.020000001</v>
      </c>
      <c r="EA13" s="518">
        <v>11346348.880000001</v>
      </c>
      <c r="EB13" s="518">
        <v>11808795.57</v>
      </c>
      <c r="EC13" s="518">
        <v>10489196.460000001</v>
      </c>
      <c r="ED13" s="518">
        <v>12746654.459999999</v>
      </c>
      <c r="EE13" s="518">
        <f>(VLOOKUP("O&amp;M Expense",'Input IS ACCTS'!$A$6:$CV$512,97,FALSE)+VLOOKUP("4073071",'Input IS ACCTS'!$A$6:$CV$512,97,FALSE)+VLOOKUP("4073072",'Input IS ACCTS'!$A$6:$CV$512,97,FALSE)+VLOOKUP("4073052",'Input IS ACCTS'!$A$5:$CV$512,97,FALSE)+VLOOKUP("4073140",'Input IS ACCTS'!$A$6:$CV$512,97,FALSE)+VLOOKUP("4073141",'Input IS ACCTS'!$A$6:$CV$512,97,FALSE)+VLOOKUP("4073212",'Input IS ACCTS'!$A$6:$CV$512,97,FALSE)+VLOOKUP("4130",'Input IS ACCTS'!$A$6:$CV$512,97,FALSE))</f>
        <v>11250399.399999999</v>
      </c>
      <c r="EF13" s="518">
        <f>(VLOOKUP("O&amp;M Expense",'Input IS ACCTS'!$A$6:$CV$512,98,FALSE)+VLOOKUP("4073071",'Input IS ACCTS'!$A$6:$CV$512,98,FALSE)+VLOOKUP("4073072",'Input IS ACCTS'!$A$6:$CV$512,98,FALSE)+VLOOKUP("4073052",'Input IS ACCTS'!$A$5:$CV$512,98,FALSE)+VLOOKUP("4073140",'Input IS ACCTS'!$A$6:$CV$512,98,FALSE)+VLOOKUP("4073141",'Input IS ACCTS'!$A$6:$CV$512,98,FALSE)+VLOOKUP("4073212",'Input IS ACCTS'!$A$6:$CV$512,98,FALSE)+VLOOKUP("4130",'Input IS ACCTS'!$A$6:$CV$512,98,FALSE))</f>
        <v>11186756.789999999</v>
      </c>
      <c r="EG13" s="518">
        <f>(VLOOKUP("O&amp;M Expense",'Input IS ACCTS'!$A$6:$CV$512,99,FALSE)+VLOOKUP("4073071",'Input IS ACCTS'!$A$6:$CV$512,99,FALSE)+VLOOKUP("4073072",'Input IS ACCTS'!$A$6:$CV$512,99,FALSE)+VLOOKUP("4073052",'Input IS ACCTS'!$A$5:$CV$512,99,FALSE)+VLOOKUP("4073140",'Input IS ACCTS'!$A$6:$CV$512,99,FALSE)+VLOOKUP("4073141",'Input IS ACCTS'!$A$6:$CV$512,99,FALSE)+VLOOKUP("4073212",'Input IS ACCTS'!$A$6:$CV$512,99,FALSE)+VLOOKUP("4130",'Input IS ACCTS'!$A$6:$CV$512,99,FALSE))</f>
        <v>15466521.239999996</v>
      </c>
      <c r="EH13" s="150">
        <f t="shared" ref="EH13:EH21" si="12">SUM(DV13:EG13)</f>
        <v>140031482.68000001</v>
      </c>
      <c r="EI13" s="198">
        <f t="shared" ref="EI13:EI42" si="13">EH13/1000</f>
        <v>140031.48268000002</v>
      </c>
      <c r="EK13" s="56"/>
      <c r="EL13" s="56"/>
      <c r="EM13" s="56"/>
      <c r="EN13" s="56"/>
      <c r="EO13" s="56"/>
      <c r="EP13" s="56"/>
      <c r="EQ13" s="56"/>
      <c r="ER13" s="56"/>
      <c r="ES13" s="56"/>
      <c r="ET13" s="56"/>
    </row>
    <row r="14" spans="1:165">
      <c r="A14" t="s">
        <v>380</v>
      </c>
      <c r="B14" s="364">
        <f t="shared" si="10"/>
        <v>51120.588510000001</v>
      </c>
      <c r="C14" s="44"/>
      <c r="D14" s="382">
        <f t="shared" si="11"/>
        <v>4514.8558200000007</v>
      </c>
      <c r="E14" s="286"/>
      <c r="F14" s="375">
        <v>3747411</v>
      </c>
      <c r="G14" s="116">
        <v>3756052</v>
      </c>
      <c r="H14" s="116">
        <v>3776007</v>
      </c>
      <c r="I14" s="116">
        <v>3802618</v>
      </c>
      <c r="J14" s="116">
        <v>3814956</v>
      </c>
      <c r="K14" s="116">
        <v>3816945</v>
      </c>
      <c r="L14" s="116">
        <v>3826208.23</v>
      </c>
      <c r="M14" s="116">
        <v>3838114.27</v>
      </c>
      <c r="N14" s="116">
        <v>3856169.23</v>
      </c>
      <c r="O14" s="116">
        <v>3864854.1</v>
      </c>
      <c r="P14" s="158">
        <v>3879550.75</v>
      </c>
      <c r="Q14" s="121">
        <v>3902920.4</v>
      </c>
      <c r="R14" s="116">
        <v>4136485.6200000006</v>
      </c>
      <c r="S14" s="116">
        <v>4139241.89</v>
      </c>
      <c r="T14" s="116">
        <v>4175899.48</v>
      </c>
      <c r="U14" s="264">
        <v>4197432.0199999996</v>
      </c>
      <c r="V14" s="264">
        <v>3820603.32</v>
      </c>
      <c r="W14" s="264">
        <v>4139634.15</v>
      </c>
      <c r="X14" s="264">
        <v>3942543.7200000007</v>
      </c>
      <c r="Y14" s="264">
        <v>4029251.8699999996</v>
      </c>
      <c r="Z14" s="264">
        <v>4069973.52</v>
      </c>
      <c r="AA14" s="264">
        <v>4676681.84</v>
      </c>
      <c r="AB14" s="264">
        <v>4193254.21</v>
      </c>
      <c r="AC14" s="265">
        <v>4199819.4600000009</v>
      </c>
      <c r="AD14" s="265">
        <v>4203871.18</v>
      </c>
      <c r="AE14" s="265">
        <v>4292923.96</v>
      </c>
      <c r="AF14" s="265">
        <v>4301327.4000000004</v>
      </c>
      <c r="AG14" s="294">
        <v>4089366.89</v>
      </c>
      <c r="AH14" s="294">
        <v>4124320.6</v>
      </c>
      <c r="AI14" s="294">
        <v>4133270.16</v>
      </c>
      <c r="AJ14" s="374">
        <v>4139437.5899999994</v>
      </c>
      <c r="AK14" s="374">
        <v>4143387.2600000002</v>
      </c>
      <c r="AL14" s="374">
        <v>4160720.13</v>
      </c>
      <c r="AM14" s="323">
        <v>4166705.9999999991</v>
      </c>
      <c r="AN14" s="323">
        <v>4202054.04</v>
      </c>
      <c r="AO14" s="323">
        <v>4213408.72</v>
      </c>
      <c r="AP14" s="432">
        <v>4245161.26</v>
      </c>
      <c r="AQ14" s="432">
        <v>4207119.1399999997</v>
      </c>
      <c r="AR14" s="432">
        <v>4214231.42</v>
      </c>
      <c r="AS14" s="432">
        <v>4222479.62</v>
      </c>
      <c r="AT14" s="432">
        <v>4241082.46</v>
      </c>
      <c r="AU14" s="432">
        <v>4251586.87</v>
      </c>
      <c r="AV14" s="432">
        <v>4262005.4800000004</v>
      </c>
      <c r="AW14" s="432">
        <v>4298136.43</v>
      </c>
      <c r="AX14" s="432">
        <v>4316386.4000000004</v>
      </c>
      <c r="AY14" s="432">
        <v>4334447.7300000004</v>
      </c>
      <c r="AZ14" s="432">
        <v>4365072.1100000003</v>
      </c>
      <c r="BA14" s="432">
        <v>4384360.91</v>
      </c>
      <c r="BB14" s="432">
        <v>4407098.71</v>
      </c>
      <c r="BC14" s="432">
        <v>4425417.41</v>
      </c>
      <c r="BD14" s="432">
        <v>4431232.5199999996</v>
      </c>
      <c r="BE14" s="432">
        <v>4446182.9000000004</v>
      </c>
      <c r="BF14" s="432">
        <v>4467479.41</v>
      </c>
      <c r="BG14" s="432">
        <v>4488665.9000000004</v>
      </c>
      <c r="BH14" s="432">
        <v>4538000.74</v>
      </c>
      <c r="BI14" s="432">
        <v>4550526.09</v>
      </c>
      <c r="BJ14" s="432">
        <v>4562763.3</v>
      </c>
      <c r="BK14" s="432">
        <v>4584730.0999999996</v>
      </c>
      <c r="BL14" s="432">
        <v>4603963.09</v>
      </c>
      <c r="BM14" s="432">
        <v>4631851.5</v>
      </c>
      <c r="BN14" s="432">
        <v>4667147.76</v>
      </c>
      <c r="BO14" s="432">
        <v>4704864.67</v>
      </c>
      <c r="BP14" s="432">
        <v>4723345.3099999996</v>
      </c>
      <c r="BQ14" s="432">
        <v>4743484.2699999996</v>
      </c>
      <c r="BR14" s="432">
        <v>4763746.34</v>
      </c>
      <c r="BS14" s="432">
        <v>4777464.88</v>
      </c>
      <c r="BT14" s="432">
        <v>4959441.68</v>
      </c>
      <c r="BU14" s="432">
        <v>4837445.83</v>
      </c>
      <c r="BV14" s="432">
        <v>4938910.2699999996</v>
      </c>
      <c r="BW14" s="432">
        <v>4949351.38</v>
      </c>
      <c r="BX14" s="432">
        <v>5002328.6399999997</v>
      </c>
      <c r="BY14" s="432">
        <v>-11678706.08</v>
      </c>
      <c r="BZ14" s="432">
        <v>3595775.31</v>
      </c>
      <c r="CA14" s="432">
        <v>3616299.31</v>
      </c>
      <c r="CB14" s="432">
        <v>3633375.89</v>
      </c>
      <c r="CC14" s="432">
        <v>3642311.28</v>
      </c>
      <c r="CD14" s="432">
        <v>3646711.86</v>
      </c>
      <c r="CE14" s="432">
        <v>3664703.01</v>
      </c>
      <c r="CF14" s="432">
        <v>3681094.35</v>
      </c>
      <c r="CG14" s="432">
        <v>3699572.6</v>
      </c>
      <c r="CH14" s="432">
        <v>3720976.73</v>
      </c>
      <c r="CI14" s="432">
        <v>3759140.47</v>
      </c>
      <c r="CJ14" s="432">
        <v>3784764.26</v>
      </c>
      <c r="CK14" s="432">
        <v>3802460.82</v>
      </c>
      <c r="CL14" s="432">
        <v>3828881.35</v>
      </c>
      <c r="CM14" s="432">
        <v>3858918.81</v>
      </c>
      <c r="CN14" s="432">
        <v>3877230.57</v>
      </c>
      <c r="CO14" s="432">
        <v>3905747.53</v>
      </c>
      <c r="CP14" s="432">
        <v>3922730.34</v>
      </c>
      <c r="CQ14" s="432">
        <v>3962454.71</v>
      </c>
      <c r="CR14" s="432">
        <v>3982806.7</v>
      </c>
      <c r="CS14" s="432">
        <v>4002276.8</v>
      </c>
      <c r="CT14" s="432">
        <v>4045105.27</v>
      </c>
      <c r="CU14" s="432">
        <v>4031307.23</v>
      </c>
      <c r="CV14" s="432">
        <v>4072746.98</v>
      </c>
      <c r="CW14" s="432">
        <v>4134643.13</v>
      </c>
      <c r="CX14" s="432">
        <v>3107962.62</v>
      </c>
      <c r="CY14" s="432">
        <v>3127764.88</v>
      </c>
      <c r="CZ14" s="432">
        <v>3164395.09</v>
      </c>
      <c r="DA14" s="432">
        <v>3192930.59</v>
      </c>
      <c r="DB14" s="432">
        <v>3215751.7</v>
      </c>
      <c r="DC14" s="432">
        <v>3240566.32</v>
      </c>
      <c r="DD14" s="432">
        <v>3269450.45</v>
      </c>
      <c r="DE14" s="432">
        <v>3291399.24</v>
      </c>
      <c r="DF14" s="432">
        <v>3306879.04</v>
      </c>
      <c r="DG14" s="432">
        <v>3343583.3</v>
      </c>
      <c r="DH14" s="432">
        <v>3354950.57</v>
      </c>
      <c r="DI14" s="432">
        <v>3395513.35</v>
      </c>
      <c r="DJ14" s="432">
        <v>3428541.86</v>
      </c>
      <c r="DK14" s="432">
        <v>3444795.37</v>
      </c>
      <c r="DL14" s="432">
        <v>3482418.96</v>
      </c>
      <c r="DM14" s="432">
        <v>3513602.62</v>
      </c>
      <c r="DN14" s="432">
        <v>3534644.66</v>
      </c>
      <c r="DO14" s="432">
        <v>3555660.03</v>
      </c>
      <c r="DP14" s="432">
        <v>3580039.27</v>
      </c>
      <c r="DQ14" s="432">
        <v>3598451.29</v>
      </c>
      <c r="DR14" s="432">
        <v>3632403.4</v>
      </c>
      <c r="DS14" s="432">
        <v>3656996.48</v>
      </c>
      <c r="DT14" s="432">
        <v>3752982.95</v>
      </c>
      <c r="DU14" s="432">
        <v>3789137.69</v>
      </c>
      <c r="DV14" s="432">
        <v>4058861.98</v>
      </c>
      <c r="DW14" s="432">
        <v>4092393.43</v>
      </c>
      <c r="DX14" s="432">
        <v>4088038.85</v>
      </c>
      <c r="DY14" s="432">
        <v>4119088.03</v>
      </c>
      <c r="DZ14" s="432">
        <v>4253544.55</v>
      </c>
      <c r="EA14" s="432">
        <v>4279271.59</v>
      </c>
      <c r="EB14" s="432">
        <v>4304775.75</v>
      </c>
      <c r="EC14" s="432">
        <v>4323312.1900000004</v>
      </c>
      <c r="ED14" s="432">
        <v>4344549.92</v>
      </c>
      <c r="EE14" s="432">
        <f>(VLOOKUP("4030",'Input IS ACCTS'!$A$6:$CV$512,97,FALSE))</f>
        <v>4358337.1100000003</v>
      </c>
      <c r="EF14" s="432">
        <f>(VLOOKUP("4030",'Input IS ACCTS'!$A$6:$CV$512,98,FALSE))</f>
        <v>4383559.29</v>
      </c>
      <c r="EG14" s="432">
        <f>(VLOOKUP("4030",'Input IS ACCTS'!$A$6:$CV$512,99,FALSE))</f>
        <v>4514855.82</v>
      </c>
      <c r="EH14" s="150">
        <f t="shared" si="12"/>
        <v>51120588.509999998</v>
      </c>
      <c r="EI14" s="198">
        <f t="shared" si="13"/>
        <v>51120.588510000001</v>
      </c>
      <c r="EK14" s="56"/>
      <c r="EL14" s="56"/>
      <c r="EM14" s="56"/>
      <c r="EN14" s="56"/>
      <c r="EO14" s="56"/>
      <c r="EP14" s="56"/>
      <c r="EQ14" s="56"/>
      <c r="ER14" s="56"/>
      <c r="ES14" s="56"/>
      <c r="ET14" s="56"/>
    </row>
    <row r="15" spans="1:165">
      <c r="A15" t="s">
        <v>381</v>
      </c>
      <c r="B15" s="364">
        <f t="shared" si="10"/>
        <v>3535.3319700000002</v>
      </c>
      <c r="C15" s="44"/>
      <c r="D15" s="382">
        <f t="shared" si="11"/>
        <v>306.36935</v>
      </c>
      <c r="E15" s="286"/>
      <c r="F15" s="375">
        <v>109390</v>
      </c>
      <c r="G15" s="116">
        <v>109392</v>
      </c>
      <c r="H15" s="116">
        <v>115857</v>
      </c>
      <c r="I15" s="116">
        <v>116554</v>
      </c>
      <c r="J15" s="116">
        <v>116564</v>
      </c>
      <c r="K15" s="116">
        <v>117240</v>
      </c>
      <c r="L15" s="116">
        <v>107925.79</v>
      </c>
      <c r="M15" s="116">
        <v>107757.62</v>
      </c>
      <c r="N15" s="116">
        <v>171646.9</v>
      </c>
      <c r="O15" s="116">
        <v>171654.18</v>
      </c>
      <c r="P15" s="158">
        <v>171656.4</v>
      </c>
      <c r="Q15" s="121">
        <v>171666.29</v>
      </c>
      <c r="R15" s="116">
        <v>0</v>
      </c>
      <c r="S15" s="116">
        <v>0</v>
      </c>
      <c r="T15" s="116">
        <v>0</v>
      </c>
      <c r="U15" s="264">
        <v>0</v>
      </c>
      <c r="V15" s="264">
        <v>0</v>
      </c>
      <c r="W15" s="264">
        <v>0</v>
      </c>
      <c r="X15" s="264">
        <v>129607.94000000002</v>
      </c>
      <c r="Y15" s="264">
        <v>129994.68999999999</v>
      </c>
      <c r="Z15" s="264">
        <v>129966.99</v>
      </c>
      <c r="AA15" s="264">
        <v>130250.75000000001</v>
      </c>
      <c r="AB15" s="264">
        <v>130250.75000000001</v>
      </c>
      <c r="AC15" s="265">
        <v>-650071.12</v>
      </c>
      <c r="AD15" s="279">
        <v>0</v>
      </c>
      <c r="AE15" s="279">
        <v>0</v>
      </c>
      <c r="AF15" s="265">
        <v>0</v>
      </c>
      <c r="AG15" s="294">
        <v>224522.19</v>
      </c>
      <c r="AH15" s="294">
        <v>224522.3</v>
      </c>
      <c r="AI15" s="294">
        <v>224522.34</v>
      </c>
      <c r="AJ15" s="374">
        <v>224522.36</v>
      </c>
      <c r="AK15" s="374">
        <v>224522.32</v>
      </c>
      <c r="AL15" s="374">
        <v>228197.62</v>
      </c>
      <c r="AM15" s="323">
        <v>228450.72</v>
      </c>
      <c r="AN15" s="323">
        <v>-1313179.76</v>
      </c>
      <c r="AO15" s="323">
        <v>150794.13</v>
      </c>
      <c r="AP15" s="432">
        <v>147191.46</v>
      </c>
      <c r="AQ15" s="432">
        <v>150189.5</v>
      </c>
      <c r="AR15" s="432">
        <v>150194.57999999999</v>
      </c>
      <c r="AS15" s="432">
        <v>150194.63</v>
      </c>
      <c r="AT15" s="432">
        <v>150484.89000000001</v>
      </c>
      <c r="AU15" s="432">
        <v>150486.68</v>
      </c>
      <c r="AV15" s="432">
        <v>150488.16</v>
      </c>
      <c r="AW15" s="432">
        <v>148336.57999999999</v>
      </c>
      <c r="AX15" s="432">
        <v>154584.12</v>
      </c>
      <c r="AY15" s="432">
        <v>154782.59</v>
      </c>
      <c r="AZ15" s="432">
        <v>154803.57999999999</v>
      </c>
      <c r="BA15" s="432">
        <v>154804.53</v>
      </c>
      <c r="BB15" s="432">
        <v>154806.53</v>
      </c>
      <c r="BC15" s="432">
        <v>154806.63</v>
      </c>
      <c r="BD15" s="432">
        <v>134962.85</v>
      </c>
      <c r="BE15" s="432">
        <v>135733.29</v>
      </c>
      <c r="BF15" s="432">
        <v>147032.15</v>
      </c>
      <c r="BG15" s="432">
        <v>146988.38</v>
      </c>
      <c r="BH15" s="432">
        <v>147053.41</v>
      </c>
      <c r="BI15" s="432">
        <v>148150.35999999999</v>
      </c>
      <c r="BJ15" s="432">
        <v>148668.26999999999</v>
      </c>
      <c r="BK15" s="432">
        <v>149307.07999999999</v>
      </c>
      <c r="BL15" s="432">
        <v>148928.76</v>
      </c>
      <c r="BM15" s="432">
        <v>149025.72</v>
      </c>
      <c r="BN15" s="432">
        <v>149157.06</v>
      </c>
      <c r="BO15" s="432">
        <v>149157.44</v>
      </c>
      <c r="BP15" s="432">
        <v>149159.98000000001</v>
      </c>
      <c r="BQ15" s="432">
        <v>149093.32999999999</v>
      </c>
      <c r="BR15" s="432">
        <v>149095.4</v>
      </c>
      <c r="BS15" s="432">
        <v>149095.99</v>
      </c>
      <c r="BT15" s="432">
        <v>151055.9</v>
      </c>
      <c r="BU15" s="432">
        <v>158659.17000000001</v>
      </c>
      <c r="BV15" s="432">
        <v>158665.84</v>
      </c>
      <c r="BW15" s="432">
        <v>158827.91</v>
      </c>
      <c r="BX15" s="432">
        <v>160395.59</v>
      </c>
      <c r="BY15" s="432">
        <v>160906.1</v>
      </c>
      <c r="BZ15" s="432">
        <v>155958.22</v>
      </c>
      <c r="CA15" s="432">
        <v>155958.41</v>
      </c>
      <c r="CB15" s="432">
        <v>155959.65</v>
      </c>
      <c r="CC15" s="432">
        <v>158368.13</v>
      </c>
      <c r="CD15" s="432">
        <v>157782.47</v>
      </c>
      <c r="CE15" s="432">
        <v>157809.01999999999</v>
      </c>
      <c r="CF15" s="432">
        <v>158117.35999999999</v>
      </c>
      <c r="CG15" s="432">
        <v>158131.23000000001</v>
      </c>
      <c r="CH15" s="432">
        <v>158476.85</v>
      </c>
      <c r="CI15" s="432">
        <v>158503.75</v>
      </c>
      <c r="CJ15" s="432">
        <v>158595.5</v>
      </c>
      <c r="CK15" s="432">
        <v>158595.15</v>
      </c>
      <c r="CL15" s="432">
        <v>160184.29999999999</v>
      </c>
      <c r="CM15" s="432">
        <v>160187.41</v>
      </c>
      <c r="CN15" s="432">
        <v>160210.32999999999</v>
      </c>
      <c r="CO15" s="432">
        <v>161347.1</v>
      </c>
      <c r="CP15" s="432">
        <v>161706.65</v>
      </c>
      <c r="CQ15" s="432">
        <v>161723.91</v>
      </c>
      <c r="CR15" s="432">
        <v>161648.19</v>
      </c>
      <c r="CS15" s="432">
        <v>163599.94</v>
      </c>
      <c r="CT15" s="432">
        <v>163761.54</v>
      </c>
      <c r="CU15" s="432">
        <v>163948.59</v>
      </c>
      <c r="CV15" s="432">
        <v>168391.29</v>
      </c>
      <c r="CW15" s="432">
        <v>168590.2</v>
      </c>
      <c r="CX15" s="432">
        <v>175750.58</v>
      </c>
      <c r="CY15" s="432">
        <v>176244.21</v>
      </c>
      <c r="CZ15" s="432">
        <v>176111.99</v>
      </c>
      <c r="DA15" s="432">
        <v>176101.6</v>
      </c>
      <c r="DB15" s="432">
        <v>176152.95</v>
      </c>
      <c r="DC15" s="432">
        <v>172556.62</v>
      </c>
      <c r="DD15" s="432">
        <v>172563.25</v>
      </c>
      <c r="DE15" s="432">
        <v>172487.48</v>
      </c>
      <c r="DF15" s="432">
        <v>172554.12</v>
      </c>
      <c r="DG15" s="432">
        <v>178817.54</v>
      </c>
      <c r="DH15" s="432">
        <v>179457.42</v>
      </c>
      <c r="DI15" s="432">
        <v>180492.46</v>
      </c>
      <c r="DJ15" s="432">
        <v>186368.99</v>
      </c>
      <c r="DK15" s="432">
        <v>184231.94</v>
      </c>
      <c r="DL15" s="432">
        <v>185353.5</v>
      </c>
      <c r="DM15" s="432">
        <v>184520.25</v>
      </c>
      <c r="DN15" s="432">
        <v>184391.25</v>
      </c>
      <c r="DO15" s="432">
        <v>184507.58</v>
      </c>
      <c r="DP15" s="432">
        <v>185260.31</v>
      </c>
      <c r="DQ15" s="432">
        <v>185376.15</v>
      </c>
      <c r="DR15" s="432">
        <v>183665.84</v>
      </c>
      <c r="DS15" s="432">
        <v>183812.57</v>
      </c>
      <c r="DT15" s="432">
        <v>274286.36</v>
      </c>
      <c r="DU15" s="432">
        <v>274706.28999999998</v>
      </c>
      <c r="DV15" s="432">
        <v>270651.27</v>
      </c>
      <c r="DW15" s="432">
        <v>270886.17</v>
      </c>
      <c r="DX15" s="432">
        <v>271218.26</v>
      </c>
      <c r="DY15" s="432">
        <v>285406.7</v>
      </c>
      <c r="DZ15" s="432">
        <v>301060.37</v>
      </c>
      <c r="EA15" s="432">
        <v>302455.27</v>
      </c>
      <c r="EB15" s="432">
        <v>303895.84999999998</v>
      </c>
      <c r="EC15" s="432">
        <v>305319.11</v>
      </c>
      <c r="ED15" s="432">
        <v>305870.89</v>
      </c>
      <c r="EE15" s="432">
        <f>(VLOOKUP("4043",'Input IS ACCTS'!$A$6:$CV$512,97,FALSE))</f>
        <v>306026.75</v>
      </c>
      <c r="EF15" s="432">
        <f>(VLOOKUP("4043",'Input IS ACCTS'!$A$6:$CV$512,98,FALSE))</f>
        <v>306171.98</v>
      </c>
      <c r="EG15" s="432">
        <f>(VLOOKUP("4043",'Input IS ACCTS'!$A$6:$CV$512,99,FALSE))</f>
        <v>306369.34999999998</v>
      </c>
      <c r="EH15" s="150">
        <f t="shared" si="12"/>
        <v>3535331.97</v>
      </c>
      <c r="EI15" s="198">
        <f t="shared" si="13"/>
        <v>3535.3319700000002</v>
      </c>
      <c r="EK15" s="56"/>
      <c r="EL15" s="56"/>
      <c r="EM15" s="56"/>
      <c r="EN15" s="56"/>
      <c r="EO15" s="56"/>
      <c r="EP15" s="56"/>
      <c r="EQ15" s="56"/>
      <c r="ER15" s="56"/>
      <c r="ES15" s="56"/>
      <c r="ET15" s="56"/>
    </row>
    <row r="16" spans="1:165">
      <c r="A16" t="s">
        <v>382</v>
      </c>
      <c r="B16" s="364">
        <f t="shared" si="10"/>
        <v>40.960740000000001</v>
      </c>
      <c r="C16" s="44"/>
      <c r="D16" s="382">
        <f t="shared" si="11"/>
        <v>0</v>
      </c>
      <c r="E16" s="286"/>
      <c r="F16" s="375">
        <v>12429</v>
      </c>
      <c r="G16" s="116">
        <v>12429</v>
      </c>
      <c r="H16" s="116">
        <v>12429</v>
      </c>
      <c r="I16" s="116">
        <v>14617</v>
      </c>
      <c r="J16" s="116">
        <v>12429</v>
      </c>
      <c r="K16" s="116">
        <v>12429</v>
      </c>
      <c r="L16" s="116">
        <v>12428.82</v>
      </c>
      <c r="M16" s="116">
        <v>12428.82</v>
      </c>
      <c r="N16" s="116">
        <v>12428.82</v>
      </c>
      <c r="O16" s="116">
        <v>12428.82</v>
      </c>
      <c r="P16" s="158">
        <v>12428.82</v>
      </c>
      <c r="Q16" s="121">
        <v>12428.82</v>
      </c>
      <c r="R16" s="116">
        <v>0</v>
      </c>
      <c r="S16" s="116">
        <v>0</v>
      </c>
      <c r="T16" s="116">
        <v>0</v>
      </c>
      <c r="U16" s="264">
        <v>0</v>
      </c>
      <c r="V16" s="264">
        <v>0</v>
      </c>
      <c r="W16" s="264">
        <v>0</v>
      </c>
      <c r="X16" s="264">
        <v>87001.74</v>
      </c>
      <c r="Y16" s="264">
        <v>12428.82</v>
      </c>
      <c r="Z16" s="264">
        <v>12428.82</v>
      </c>
      <c r="AA16" s="264">
        <v>12428.82</v>
      </c>
      <c r="AB16" s="264">
        <v>12428.82</v>
      </c>
      <c r="AC16" s="265">
        <v>12428.82</v>
      </c>
      <c r="AD16" s="279">
        <v>12428.82</v>
      </c>
      <c r="AE16" s="279">
        <v>12428.82</v>
      </c>
      <c r="AF16" s="265">
        <v>12428.82</v>
      </c>
      <c r="AG16" s="294">
        <v>12428.82</v>
      </c>
      <c r="AH16" s="294">
        <v>12428.82</v>
      </c>
      <c r="AI16" s="294">
        <v>12428.82</v>
      </c>
      <c r="AJ16" s="374">
        <v>12428.82</v>
      </c>
      <c r="AK16" s="374">
        <v>12428.82</v>
      </c>
      <c r="AL16" s="374">
        <v>12428.82</v>
      </c>
      <c r="AM16" s="323">
        <v>12428.82</v>
      </c>
      <c r="AN16" s="323">
        <v>12428.82</v>
      </c>
      <c r="AO16" s="323">
        <v>12428.82</v>
      </c>
      <c r="AP16" s="432">
        <v>12428.82</v>
      </c>
      <c r="AQ16" s="432">
        <v>12428.82</v>
      </c>
      <c r="AR16" s="432">
        <v>12428.82</v>
      </c>
      <c r="AS16" s="432">
        <v>12428.82</v>
      </c>
      <c r="AT16" s="432">
        <v>12428.82</v>
      </c>
      <c r="AU16" s="432">
        <v>12428.82</v>
      </c>
      <c r="AV16" s="432">
        <v>12428.82</v>
      </c>
      <c r="AW16" s="432">
        <v>12428.82</v>
      </c>
      <c r="AX16" s="432">
        <v>12428.82</v>
      </c>
      <c r="AY16" s="432">
        <v>12428.82</v>
      </c>
      <c r="AZ16" s="432">
        <v>12428.82</v>
      </c>
      <c r="BA16" s="432">
        <v>12428.82</v>
      </c>
      <c r="BB16" s="432">
        <v>12428.82</v>
      </c>
      <c r="BC16" s="432">
        <v>12428.82</v>
      </c>
      <c r="BD16" s="432">
        <v>12428.82</v>
      </c>
      <c r="BE16" s="432">
        <v>12428.82</v>
      </c>
      <c r="BF16" s="432">
        <v>12428.82</v>
      </c>
      <c r="BG16" s="432">
        <v>12428.82</v>
      </c>
      <c r="BH16" s="432">
        <v>12428.82</v>
      </c>
      <c r="BI16" s="432">
        <v>12428.82</v>
      </c>
      <c r="BJ16" s="432">
        <v>12428.82</v>
      </c>
      <c r="BK16" s="432">
        <v>12428.82</v>
      </c>
      <c r="BL16" s="432">
        <v>12428.82</v>
      </c>
      <c r="BM16" s="432">
        <v>12428.82</v>
      </c>
      <c r="BN16" s="432">
        <v>12428.82</v>
      </c>
      <c r="BO16" s="432">
        <v>12428.82</v>
      </c>
      <c r="BP16" s="432">
        <v>12428.82</v>
      </c>
      <c r="BQ16" s="432">
        <v>12428.82</v>
      </c>
      <c r="BR16" s="432">
        <v>12428.82</v>
      </c>
      <c r="BS16" s="432">
        <v>12428.82</v>
      </c>
      <c r="BT16" s="432">
        <v>12428.82</v>
      </c>
      <c r="BU16" s="432">
        <v>12428.82</v>
      </c>
      <c r="BV16" s="432">
        <v>12428.82</v>
      </c>
      <c r="BW16" s="432">
        <v>12428.82</v>
      </c>
      <c r="BX16" s="432">
        <v>12428.82</v>
      </c>
      <c r="BY16" s="432">
        <v>12428.82</v>
      </c>
      <c r="BZ16" s="432">
        <v>12428.82</v>
      </c>
      <c r="CA16" s="432">
        <v>12428.82</v>
      </c>
      <c r="CB16" s="432">
        <v>12428.82</v>
      </c>
      <c r="CC16" s="432">
        <v>12428.82</v>
      </c>
      <c r="CD16" s="432">
        <v>12428.82</v>
      </c>
      <c r="CE16" s="432">
        <v>12428.82</v>
      </c>
      <c r="CF16" s="432">
        <v>12428.82</v>
      </c>
      <c r="CG16" s="432">
        <v>12428.82</v>
      </c>
      <c r="CH16" s="432">
        <v>12428.82</v>
      </c>
      <c r="CI16" s="432">
        <v>12428.82</v>
      </c>
      <c r="CJ16" s="432">
        <v>12428.82</v>
      </c>
      <c r="CK16" s="432">
        <v>12428.82</v>
      </c>
      <c r="CL16" s="432">
        <v>12428.82</v>
      </c>
      <c r="CM16" s="432">
        <v>12428.82</v>
      </c>
      <c r="CN16" s="432">
        <v>12428.82</v>
      </c>
      <c r="CO16" s="432">
        <v>12428.82</v>
      </c>
      <c r="CP16" s="432">
        <v>12428.82</v>
      </c>
      <c r="CQ16" s="432">
        <v>12428.82</v>
      </c>
      <c r="CR16" s="432">
        <v>12428.82</v>
      </c>
      <c r="CS16" s="432">
        <v>12428.82</v>
      </c>
      <c r="CT16" s="432">
        <v>12428.82</v>
      </c>
      <c r="CU16" s="432">
        <v>12428.82</v>
      </c>
      <c r="CV16" s="432">
        <v>12428.82</v>
      </c>
      <c r="CW16" s="432">
        <v>12428.82</v>
      </c>
      <c r="CX16" s="432">
        <v>12428.82</v>
      </c>
      <c r="CY16" s="432">
        <v>12428.82</v>
      </c>
      <c r="CZ16" s="432">
        <v>12428.82</v>
      </c>
      <c r="DA16" s="432">
        <v>12428.82</v>
      </c>
      <c r="DB16" s="432">
        <v>12428.82</v>
      </c>
      <c r="DC16" s="432">
        <v>12428.82</v>
      </c>
      <c r="DD16" s="432">
        <v>12428.82</v>
      </c>
      <c r="DE16" s="432">
        <v>12428.82</v>
      </c>
      <c r="DF16" s="432">
        <v>12428.82</v>
      </c>
      <c r="DG16" s="432">
        <v>12428.82</v>
      </c>
      <c r="DH16" s="432">
        <v>12428.82</v>
      </c>
      <c r="DI16" s="432">
        <v>12428.82</v>
      </c>
      <c r="DJ16" s="432">
        <v>12428.82</v>
      </c>
      <c r="DK16" s="432">
        <v>12428.82</v>
      </c>
      <c r="DL16" s="432">
        <v>12428.82</v>
      </c>
      <c r="DM16" s="432">
        <v>12428.82</v>
      </c>
      <c r="DN16" s="432">
        <v>12428.82</v>
      </c>
      <c r="DO16" s="432">
        <v>12428.82</v>
      </c>
      <c r="DP16" s="432">
        <v>12428.82</v>
      </c>
      <c r="DQ16" s="432">
        <v>12428.82</v>
      </c>
      <c r="DR16" s="432">
        <v>12428.82</v>
      </c>
      <c r="DS16" s="432">
        <v>5949.73</v>
      </c>
      <c r="DT16" s="432">
        <v>5949.73</v>
      </c>
      <c r="DU16" s="432">
        <v>5949.73</v>
      </c>
      <c r="DV16" s="432">
        <v>5949.73</v>
      </c>
      <c r="DW16" s="432">
        <v>5949.73</v>
      </c>
      <c r="DX16" s="432">
        <v>5949.73</v>
      </c>
      <c r="DY16" s="432">
        <v>5949.73</v>
      </c>
      <c r="DZ16" s="432">
        <v>5949.73</v>
      </c>
      <c r="EA16" s="432">
        <v>5949.73</v>
      </c>
      <c r="EB16" s="432">
        <v>5949.73</v>
      </c>
      <c r="EC16" s="432">
        <v>-687.37</v>
      </c>
      <c r="ED16" s="432">
        <v>0</v>
      </c>
      <c r="EE16" s="432">
        <f>(VLOOKUP("4060",'Input IS ACCTS'!$A$6:$CV$512,97,FALSE))</f>
        <v>0</v>
      </c>
      <c r="EF16" s="432">
        <f>(VLOOKUP("4060",'Input IS ACCTS'!$A$6:$CV$512,98,FALSE))</f>
        <v>0</v>
      </c>
      <c r="EG16" s="432">
        <f>(VLOOKUP("4060",'Input IS ACCTS'!$A$6:$CV$512,99,FALSE))</f>
        <v>0</v>
      </c>
      <c r="EH16" s="150">
        <f t="shared" si="12"/>
        <v>40960.74</v>
      </c>
      <c r="EI16" s="198">
        <f t="shared" si="13"/>
        <v>40.960740000000001</v>
      </c>
      <c r="EK16" s="56"/>
      <c r="EL16" s="56"/>
      <c r="EM16" s="56"/>
      <c r="EN16" s="56"/>
      <c r="EO16" s="56"/>
      <c r="EP16" s="56"/>
      <c r="EQ16" s="56"/>
      <c r="ER16" s="56"/>
      <c r="ES16" s="56"/>
      <c r="ET16" s="56"/>
    </row>
    <row r="17" spans="1:150">
      <c r="A17" t="s">
        <v>383</v>
      </c>
      <c r="B17" s="364">
        <f t="shared" si="10"/>
        <v>999.99995999999987</v>
      </c>
      <c r="C17" s="44"/>
      <c r="D17" s="382">
        <f t="shared" si="11"/>
        <v>83.333330000000004</v>
      </c>
      <c r="E17" s="286"/>
      <c r="F17" s="375">
        <v>53333</v>
      </c>
      <c r="G17" s="116">
        <v>53333</v>
      </c>
      <c r="H17" s="116">
        <v>53333</v>
      </c>
      <c r="I17" s="116">
        <v>53333</v>
      </c>
      <c r="J17" s="116">
        <v>53333</v>
      </c>
      <c r="K17" s="116">
        <v>53333</v>
      </c>
      <c r="L17" s="116">
        <v>53333</v>
      </c>
      <c r="M17" s="116">
        <v>53333</v>
      </c>
      <c r="N17" s="116">
        <v>53333</v>
      </c>
      <c r="O17" s="116">
        <v>53333</v>
      </c>
      <c r="P17" s="158">
        <v>53333</v>
      </c>
      <c r="Q17" s="121">
        <v>53333</v>
      </c>
      <c r="R17" s="116">
        <v>53333</v>
      </c>
      <c r="S17" s="116">
        <v>53333</v>
      </c>
      <c r="T17" s="116">
        <v>53333</v>
      </c>
      <c r="U17" s="264">
        <v>53333</v>
      </c>
      <c r="V17" s="264">
        <v>53333</v>
      </c>
      <c r="W17" s="264">
        <v>53333</v>
      </c>
      <c r="X17" s="264">
        <v>53333</v>
      </c>
      <c r="Y17" s="264">
        <v>53333</v>
      </c>
      <c r="Z17" s="264">
        <v>53333</v>
      </c>
      <c r="AA17" s="264">
        <v>53333</v>
      </c>
      <c r="AB17" s="264">
        <v>53333</v>
      </c>
      <c r="AC17" s="265">
        <v>53333</v>
      </c>
      <c r="AD17" s="279">
        <v>53333</v>
      </c>
      <c r="AE17" s="279">
        <v>53333</v>
      </c>
      <c r="AF17" s="265">
        <v>53333</v>
      </c>
      <c r="AG17" s="294">
        <v>53333</v>
      </c>
      <c r="AH17" s="294">
        <v>53333</v>
      </c>
      <c r="AI17" s="294">
        <v>0</v>
      </c>
      <c r="AJ17" s="374">
        <v>106666</v>
      </c>
      <c r="AK17" s="374">
        <v>53333</v>
      </c>
      <c r="AL17" s="374">
        <v>53333</v>
      </c>
      <c r="AM17" s="323">
        <v>53333</v>
      </c>
      <c r="AN17" s="323">
        <v>53333</v>
      </c>
      <c r="AO17" s="323">
        <v>53333</v>
      </c>
      <c r="AP17" s="434">
        <v>53333</v>
      </c>
      <c r="AQ17" s="434">
        <v>53333</v>
      </c>
      <c r="AR17" s="434">
        <v>53333</v>
      </c>
      <c r="AS17" s="434">
        <v>53333</v>
      </c>
      <c r="AT17" s="434">
        <v>53333</v>
      </c>
      <c r="AU17" s="434">
        <v>53333</v>
      </c>
      <c r="AV17" s="434">
        <v>53333</v>
      </c>
      <c r="AW17" s="434">
        <v>53333</v>
      </c>
      <c r="AX17" s="434">
        <v>53333</v>
      </c>
      <c r="AY17" s="434">
        <v>53333</v>
      </c>
      <c r="AZ17" s="434">
        <v>53333</v>
      </c>
      <c r="BA17" s="434">
        <v>53333</v>
      </c>
      <c r="BB17" s="434">
        <v>53333</v>
      </c>
      <c r="BC17" s="434">
        <v>53333</v>
      </c>
      <c r="BD17" s="434">
        <v>53333</v>
      </c>
      <c r="BE17" s="434">
        <v>53333</v>
      </c>
      <c r="BF17" s="434">
        <v>53333</v>
      </c>
      <c r="BG17" s="434">
        <v>53333</v>
      </c>
      <c r="BH17" s="434">
        <v>53333</v>
      </c>
      <c r="BI17" s="434">
        <v>53333</v>
      </c>
      <c r="BJ17" s="434">
        <v>53333</v>
      </c>
      <c r="BK17" s="434">
        <v>53333</v>
      </c>
      <c r="BL17" s="434">
        <v>53333</v>
      </c>
      <c r="BM17" s="434">
        <v>53333</v>
      </c>
      <c r="BN17" s="434">
        <v>53333</v>
      </c>
      <c r="BO17" s="434">
        <v>53333</v>
      </c>
      <c r="BP17" s="434">
        <v>53333</v>
      </c>
      <c r="BQ17" s="434">
        <v>53333</v>
      </c>
      <c r="BR17" s="434">
        <v>53333</v>
      </c>
      <c r="BS17" s="434">
        <v>53333</v>
      </c>
      <c r="BT17" s="434">
        <v>53333</v>
      </c>
      <c r="BU17" s="434">
        <v>53333</v>
      </c>
      <c r="BV17" s="434">
        <v>53333</v>
      </c>
      <c r="BW17" s="434">
        <v>53333</v>
      </c>
      <c r="BX17" s="434">
        <v>53333</v>
      </c>
      <c r="BY17" s="434">
        <v>16053333</v>
      </c>
      <c r="BZ17" s="434">
        <v>470000</v>
      </c>
      <c r="CA17" s="434">
        <v>470000</v>
      </c>
      <c r="CB17" s="434">
        <v>470000</v>
      </c>
      <c r="CC17" s="434">
        <v>470000</v>
      </c>
      <c r="CD17" s="434">
        <v>470000</v>
      </c>
      <c r="CE17" s="434">
        <v>470000</v>
      </c>
      <c r="CF17" s="434">
        <v>470000</v>
      </c>
      <c r="CG17" s="434">
        <v>470000</v>
      </c>
      <c r="CH17" s="434">
        <v>470000</v>
      </c>
      <c r="CI17" s="656">
        <v>470000</v>
      </c>
      <c r="CJ17" s="656">
        <v>470000</v>
      </c>
      <c r="CK17" s="656">
        <v>-755743</v>
      </c>
      <c r="CL17" s="656">
        <v>0</v>
      </c>
      <c r="CM17" s="656">
        <v>583333.34</v>
      </c>
      <c r="CN17" s="656">
        <v>2916666.68</v>
      </c>
      <c r="CO17" s="656">
        <v>0</v>
      </c>
      <c r="CP17" s="656">
        <v>0</v>
      </c>
      <c r="CQ17" s="656">
        <v>0</v>
      </c>
      <c r="CR17" s="656">
        <v>0</v>
      </c>
      <c r="CS17" s="656">
        <v>0</v>
      </c>
      <c r="CT17" s="656">
        <v>6517958</v>
      </c>
      <c r="CU17" s="656">
        <v>463895</v>
      </c>
      <c r="CV17" s="656">
        <v>463895</v>
      </c>
      <c r="CW17" s="656">
        <v>0</v>
      </c>
      <c r="CX17" s="656">
        <v>0</v>
      </c>
      <c r="CY17" s="656">
        <v>0</v>
      </c>
      <c r="CZ17" s="656">
        <v>0</v>
      </c>
      <c r="DA17" s="656">
        <v>0</v>
      </c>
      <c r="DB17" s="656">
        <v>0</v>
      </c>
      <c r="DC17" s="656">
        <v>0</v>
      </c>
      <c r="DD17" s="656">
        <v>0</v>
      </c>
      <c r="DE17" s="656">
        <v>0</v>
      </c>
      <c r="DF17" s="656">
        <v>0</v>
      </c>
      <c r="DG17" s="656">
        <v>0</v>
      </c>
      <c r="DH17" s="656">
        <v>0</v>
      </c>
      <c r="DI17" s="656">
        <v>0</v>
      </c>
      <c r="DJ17" s="656">
        <v>0</v>
      </c>
      <c r="DK17" s="656">
        <v>0</v>
      </c>
      <c r="DL17" s="656">
        <v>0</v>
      </c>
      <c r="DM17" s="656">
        <v>0</v>
      </c>
      <c r="DN17" s="656">
        <v>0</v>
      </c>
      <c r="DO17" s="656">
        <v>0</v>
      </c>
      <c r="DP17" s="656">
        <v>0</v>
      </c>
      <c r="DQ17" s="656">
        <v>0</v>
      </c>
      <c r="DR17" s="656">
        <v>0</v>
      </c>
      <c r="DS17" s="656">
        <v>0</v>
      </c>
      <c r="DT17" s="656">
        <v>0</v>
      </c>
      <c r="DU17" s="656">
        <v>0</v>
      </c>
      <c r="DV17" s="656">
        <v>83333.33</v>
      </c>
      <c r="DW17" s="656">
        <v>83333.33</v>
      </c>
      <c r="DX17" s="656">
        <v>83333.33</v>
      </c>
      <c r="DY17" s="656">
        <v>83333.33</v>
      </c>
      <c r="DZ17" s="656">
        <v>83333.33</v>
      </c>
      <c r="EA17" s="656">
        <v>83333.33</v>
      </c>
      <c r="EB17" s="656">
        <v>83333.33</v>
      </c>
      <c r="EC17" s="656">
        <v>83333.33</v>
      </c>
      <c r="ED17" s="656">
        <v>83333.33</v>
      </c>
      <c r="EE17" s="656">
        <f>VLOOKUP("6800050",'Input IS ACCTS'!$A$6:$CV$512,97,FALSE)+VLOOKUP("6800100",'Input IS ACCTS'!$A$6:$CV$512,97,FALSE)</f>
        <v>83333.33</v>
      </c>
      <c r="EF17" s="656">
        <f>VLOOKUP("6800050",'Input IS ACCTS'!$A$6:$CV$512,98,FALSE)+VLOOKUP("6800100",'Input IS ACCTS'!$A$6:$CV$512,98,FALSE)</f>
        <v>83333.33</v>
      </c>
      <c r="EG17" s="656">
        <f>VLOOKUP("6800050",'Input IS ACCTS'!$A$6:$CV$512,99,FALSE)+VLOOKUP("6800100",'Input IS ACCTS'!$A$6:$CV$512,99,FALSE)</f>
        <v>83333.33</v>
      </c>
      <c r="EH17" s="150">
        <f t="shared" si="12"/>
        <v>999999.95999999985</v>
      </c>
      <c r="EI17" s="198">
        <f t="shared" si="13"/>
        <v>999.99995999999987</v>
      </c>
      <c r="EK17" s="56"/>
      <c r="EL17" s="56"/>
      <c r="EM17" s="56"/>
      <c r="EN17" s="56"/>
      <c r="EO17" s="56"/>
      <c r="EP17" s="56"/>
      <c r="EQ17" s="56"/>
      <c r="ER17" s="56"/>
      <c r="ES17" s="56"/>
      <c r="ET17" s="56"/>
    </row>
    <row r="18" spans="1:150">
      <c r="A18" t="s">
        <v>384</v>
      </c>
      <c r="B18" s="364">
        <f t="shared" si="10"/>
        <v>47718.677969999997</v>
      </c>
      <c r="C18" s="44"/>
      <c r="D18" s="382">
        <f t="shared" si="11"/>
        <v>4388.5839100000003</v>
      </c>
      <c r="E18" s="286"/>
      <c r="F18" s="375">
        <v>4570834</v>
      </c>
      <c r="G18" s="116">
        <v>4405906</v>
      </c>
      <c r="H18" s="116">
        <v>3504322</v>
      </c>
      <c r="I18" s="116">
        <v>3197233</v>
      </c>
      <c r="J18" s="116">
        <v>2817622</v>
      </c>
      <c r="K18" s="116">
        <v>2836030</v>
      </c>
      <c r="L18" s="116">
        <v>2413383.92</v>
      </c>
      <c r="M18" s="116">
        <v>2295845.7000000002</v>
      </c>
      <c r="N18" s="116">
        <v>2205612.17</v>
      </c>
      <c r="O18" s="116">
        <v>2316906.31</v>
      </c>
      <c r="P18" s="158">
        <v>2262394.4500000002</v>
      </c>
      <c r="Q18" s="121">
        <v>2989602.55</v>
      </c>
      <c r="R18" s="116">
        <v>3457356.1299999994</v>
      </c>
      <c r="S18" s="116">
        <v>3179808.2800000003</v>
      </c>
      <c r="T18" s="116">
        <v>2898077.9499999997</v>
      </c>
      <c r="U18" s="264">
        <v>2784552.89</v>
      </c>
      <c r="V18" s="264">
        <v>2545751.1399999997</v>
      </c>
      <c r="W18" s="264">
        <v>2528626.3200000003</v>
      </c>
      <c r="X18" s="264">
        <v>2470716.79</v>
      </c>
      <c r="Y18" s="264">
        <v>2408975.5400000005</v>
      </c>
      <c r="Z18" s="264">
        <v>2284097.33</v>
      </c>
      <c r="AA18" s="264">
        <v>2393649.1699999995</v>
      </c>
      <c r="AB18" s="264">
        <v>2723482.0400000005</v>
      </c>
      <c r="AC18" s="265">
        <v>2745644.82</v>
      </c>
      <c r="AD18" s="279">
        <v>3361509.58</v>
      </c>
      <c r="AE18" s="279">
        <v>3311222.75</v>
      </c>
      <c r="AF18" s="265">
        <v>3210628.1</v>
      </c>
      <c r="AG18" s="294">
        <v>3208422.0599999996</v>
      </c>
      <c r="AH18" s="294">
        <v>2834167.93</v>
      </c>
      <c r="AI18" s="294">
        <v>2511579.1</v>
      </c>
      <c r="AJ18" s="374">
        <v>2334528.6999999997</v>
      </c>
      <c r="AK18" s="374">
        <v>2419072.7200000007</v>
      </c>
      <c r="AL18" s="374">
        <v>2455521.7400000002</v>
      </c>
      <c r="AM18" s="323">
        <v>2557750.5700000003</v>
      </c>
      <c r="AN18" s="323">
        <v>2080247.7599999998</v>
      </c>
      <c r="AO18" s="323">
        <v>2818686.1699999995</v>
      </c>
      <c r="AP18" s="459">
        <v>3900728.63</v>
      </c>
      <c r="AQ18" s="459">
        <v>3576790.95</v>
      </c>
      <c r="AR18" s="459">
        <v>3236058.27</v>
      </c>
      <c r="AS18" s="459">
        <v>3026048.36</v>
      </c>
      <c r="AT18" s="459">
        <v>2806888.43</v>
      </c>
      <c r="AU18" s="459">
        <v>2620717.92</v>
      </c>
      <c r="AV18" s="459">
        <v>2518056.41</v>
      </c>
      <c r="AW18" s="459">
        <v>2150955.4900000002</v>
      </c>
      <c r="AX18" s="459">
        <v>2559103.38</v>
      </c>
      <c r="AY18" s="466">
        <v>2601447.5099999998</v>
      </c>
      <c r="AZ18" s="466">
        <v>2764179.48</v>
      </c>
      <c r="BA18" s="466">
        <v>3351238.9</v>
      </c>
      <c r="BB18" s="466">
        <v>3516551.96</v>
      </c>
      <c r="BC18" s="466">
        <v>3692989.66</v>
      </c>
      <c r="BD18" s="466">
        <v>3508343.87</v>
      </c>
      <c r="BE18" s="466">
        <v>3029851.64</v>
      </c>
      <c r="BF18" s="466">
        <v>2658287.17</v>
      </c>
      <c r="BG18" s="466">
        <v>2703167.19</v>
      </c>
      <c r="BH18" s="466">
        <v>3008899.7</v>
      </c>
      <c r="BI18" s="466">
        <v>1966851.14</v>
      </c>
      <c r="BJ18" s="482">
        <v>2595616.34</v>
      </c>
      <c r="BK18" s="482">
        <v>2716940.84</v>
      </c>
      <c r="BL18" s="482">
        <v>2810517.19</v>
      </c>
      <c r="BM18" s="482">
        <v>3136601.07</v>
      </c>
      <c r="BN18" s="482">
        <v>3699068.84</v>
      </c>
      <c r="BO18" s="482">
        <v>3886626.27</v>
      </c>
      <c r="BP18" s="482">
        <v>3544103.31</v>
      </c>
      <c r="BQ18" s="482">
        <v>3090934.6</v>
      </c>
      <c r="BR18" s="482">
        <v>2977110.5</v>
      </c>
      <c r="BS18" s="482">
        <v>2761534.17</v>
      </c>
      <c r="BT18" s="482">
        <v>2721572.76</v>
      </c>
      <c r="BU18" s="482">
        <v>2646289.21</v>
      </c>
      <c r="BV18" s="482">
        <v>2754142.86</v>
      </c>
      <c r="BW18" s="482">
        <v>2661219.9300000002</v>
      </c>
      <c r="BX18" s="482">
        <v>2430568.36</v>
      </c>
      <c r="BY18" s="482">
        <v>3139624.19</v>
      </c>
      <c r="BZ18" s="482">
        <v>3585184.72</v>
      </c>
      <c r="CA18" s="482">
        <v>3442063.32</v>
      </c>
      <c r="CB18" s="482">
        <v>3377076.84</v>
      </c>
      <c r="CC18" s="482">
        <v>3283577.51</v>
      </c>
      <c r="CD18" s="482">
        <v>2774403.19</v>
      </c>
      <c r="CE18" s="482">
        <v>2695535.35</v>
      </c>
      <c r="CF18" s="482">
        <v>2572142.87</v>
      </c>
      <c r="CG18" s="482">
        <v>2627913.4</v>
      </c>
      <c r="CH18" s="482">
        <v>2578610.96</v>
      </c>
      <c r="CI18" s="482">
        <v>2756832.45</v>
      </c>
      <c r="CJ18" s="482">
        <v>2674039.12</v>
      </c>
      <c r="CK18" s="482">
        <v>3520899.82</v>
      </c>
      <c r="CL18" s="482">
        <v>4334596.51</v>
      </c>
      <c r="CM18" s="482">
        <v>4015312.02</v>
      </c>
      <c r="CN18" s="482">
        <v>3337124.2</v>
      </c>
      <c r="CO18" s="482">
        <v>3589495.24</v>
      </c>
      <c r="CP18" s="482">
        <v>3221215.62</v>
      </c>
      <c r="CQ18" s="482">
        <v>3014361.48</v>
      </c>
      <c r="CR18" s="482">
        <v>2936582.3</v>
      </c>
      <c r="CS18" s="482">
        <v>2981647.76</v>
      </c>
      <c r="CT18" s="482">
        <v>2925509</v>
      </c>
      <c r="CU18" s="482">
        <v>2877123.16</v>
      </c>
      <c r="CV18" s="482">
        <v>2540050.87</v>
      </c>
      <c r="CW18" s="482">
        <v>3556648.52</v>
      </c>
      <c r="CX18" s="482">
        <v>4307739.33</v>
      </c>
      <c r="CY18" s="482">
        <v>4173065.52</v>
      </c>
      <c r="CZ18" s="482">
        <v>3738381.25</v>
      </c>
      <c r="DA18" s="482">
        <v>3495798.49</v>
      </c>
      <c r="DB18" s="482">
        <v>3411019.13</v>
      </c>
      <c r="DC18" s="482">
        <v>3099423.36</v>
      </c>
      <c r="DD18" s="482">
        <v>3149256.73</v>
      </c>
      <c r="DE18" s="482">
        <v>2655880.29</v>
      </c>
      <c r="DF18" s="482">
        <v>2933410.13</v>
      </c>
      <c r="DG18" s="482">
        <v>3022627.73</v>
      </c>
      <c r="DH18" s="482">
        <v>3338463.86</v>
      </c>
      <c r="DI18" s="482">
        <v>3904465.91</v>
      </c>
      <c r="DJ18" s="482">
        <v>4250408.28</v>
      </c>
      <c r="DK18" s="482">
        <v>4388338.07</v>
      </c>
      <c r="DL18" s="482">
        <v>3828557.5</v>
      </c>
      <c r="DM18" s="482">
        <v>3446284.32</v>
      </c>
      <c r="DN18" s="482">
        <v>3239483.55</v>
      </c>
      <c r="DO18" s="482">
        <v>3047965.42</v>
      </c>
      <c r="DP18" s="482">
        <v>3230459.86</v>
      </c>
      <c r="DQ18" s="482">
        <v>3169729.55</v>
      </c>
      <c r="DR18" s="482">
        <v>2793302.48</v>
      </c>
      <c r="DS18" s="482">
        <v>3215027.13</v>
      </c>
      <c r="DT18" s="482">
        <v>2972960.48</v>
      </c>
      <c r="DU18" s="482">
        <v>3310526.72</v>
      </c>
      <c r="DV18" s="482">
        <v>4930150.0999999996</v>
      </c>
      <c r="DW18" s="482">
        <v>4622177.08</v>
      </c>
      <c r="DX18" s="482">
        <v>4266596.8600000003</v>
      </c>
      <c r="DY18" s="482">
        <v>4290323.0599999996</v>
      </c>
      <c r="DZ18" s="482">
        <v>4348543.2699999996</v>
      </c>
      <c r="EA18" s="482">
        <v>3105990.25</v>
      </c>
      <c r="EB18" s="482">
        <v>3879599.44</v>
      </c>
      <c r="EC18" s="482">
        <v>3558072.92</v>
      </c>
      <c r="ED18" s="482">
        <v>2843876.53</v>
      </c>
      <c r="EE18" s="482">
        <f>(VLOOKUP("4081",'Input IS ACCTS'!$A$6:$CV$512,97,FALSE))</f>
        <v>3600052.09</v>
      </c>
      <c r="EF18" s="482">
        <f>(VLOOKUP("4081",'Input IS ACCTS'!$A$6:$CV$512,98,FALSE))</f>
        <v>3884712.46</v>
      </c>
      <c r="EG18" s="482">
        <f>(VLOOKUP("4081",'Input IS ACCTS'!$A$6:$CV$512,99,FALSE))</f>
        <v>4388583.91</v>
      </c>
      <c r="EH18" s="150">
        <f t="shared" si="12"/>
        <v>47718677.969999999</v>
      </c>
      <c r="EI18" s="198">
        <f t="shared" si="13"/>
        <v>47718.677969999997</v>
      </c>
      <c r="EK18" s="56"/>
      <c r="EL18" s="56"/>
      <c r="EM18" s="56"/>
      <c r="EN18" s="56"/>
      <c r="EO18" s="56"/>
      <c r="EP18" s="56"/>
      <c r="EQ18" s="56"/>
      <c r="ER18" s="56"/>
      <c r="ES18" s="56"/>
      <c r="ET18" s="56"/>
    </row>
    <row r="19" spans="1:150">
      <c r="A19" s="17" t="s">
        <v>1354</v>
      </c>
      <c r="B19" s="364">
        <f t="shared" si="10"/>
        <v>8238.5524800000003</v>
      </c>
      <c r="C19" s="44"/>
      <c r="D19" s="382">
        <f t="shared" si="11"/>
        <v>3978.2824700000001</v>
      </c>
      <c r="E19" s="286"/>
      <c r="F19" s="375">
        <v>6264735</v>
      </c>
      <c r="G19" s="116">
        <v>1237250</v>
      </c>
      <c r="H19" s="116">
        <v>587306</v>
      </c>
      <c r="I19" s="116">
        <v>-535691</v>
      </c>
      <c r="J19" s="116">
        <v>-335587</v>
      </c>
      <c r="K19" s="116">
        <v>-444427</v>
      </c>
      <c r="L19" s="116">
        <v>-931788.84</v>
      </c>
      <c r="M19" s="116">
        <v>-1534095.34</v>
      </c>
      <c r="N19" s="116">
        <v>-981223.32</v>
      </c>
      <c r="O19" s="116">
        <v>-969109.97</v>
      </c>
      <c r="P19" s="158">
        <v>-20045521.02</v>
      </c>
      <c r="Q19" s="121">
        <v>-214753.13</v>
      </c>
      <c r="R19" s="116">
        <v>743944.82</v>
      </c>
      <c r="S19" s="116">
        <v>-544097.64</v>
      </c>
      <c r="T19" s="116">
        <v>-419750.91</v>
      </c>
      <c r="U19" s="264">
        <v>-421642.94</v>
      </c>
      <c r="V19" s="264">
        <v>-575421.75</v>
      </c>
      <c r="W19" s="264">
        <v>-4100720.18</v>
      </c>
      <c r="X19" s="264">
        <v>-936189.89</v>
      </c>
      <c r="Y19" s="264">
        <v>-711953.01</v>
      </c>
      <c r="Z19" s="264">
        <v>-1137277.8700000001</v>
      </c>
      <c r="AA19" s="264">
        <v>-920337.29</v>
      </c>
      <c r="AB19" s="264">
        <v>-1314648.98</v>
      </c>
      <c r="AC19" s="265">
        <v>354873.95</v>
      </c>
      <c r="AD19" s="280">
        <v>2418750.69</v>
      </c>
      <c r="AE19" s="280">
        <v>1048257.95</v>
      </c>
      <c r="AF19" s="280">
        <v>1681792.31</v>
      </c>
      <c r="AG19" s="294">
        <v>1642437.4400000002</v>
      </c>
      <c r="AH19" s="296">
        <v>157980.6</v>
      </c>
      <c r="AI19" s="296">
        <v>-12514.08</v>
      </c>
      <c r="AJ19" s="251">
        <v>260722.57</v>
      </c>
      <c r="AK19" s="251">
        <v>-384160.62</v>
      </c>
      <c r="AL19" s="251">
        <v>-273262.15000000002</v>
      </c>
      <c r="AM19" s="216">
        <v>59600.24</v>
      </c>
      <c r="AN19" s="216">
        <v>5550724.7400000002</v>
      </c>
      <c r="AO19" s="216">
        <v>1126945.42</v>
      </c>
      <c r="AP19" s="432">
        <v>2311322.62</v>
      </c>
      <c r="AQ19" s="432">
        <v>2902688.25</v>
      </c>
      <c r="AR19" s="432">
        <v>3077094.1</v>
      </c>
      <c r="AS19" s="432">
        <v>1559304.35</v>
      </c>
      <c r="AT19" s="432">
        <v>1500195.37</v>
      </c>
      <c r="AU19" s="432">
        <v>1028903.32</v>
      </c>
      <c r="AV19" s="432">
        <v>586512.91</v>
      </c>
      <c r="AW19" s="432">
        <v>295040.34000000003</v>
      </c>
      <c r="AX19" s="432">
        <v>-1531844.39</v>
      </c>
      <c r="AY19" s="432">
        <v>1706364.14</v>
      </c>
      <c r="AZ19" s="432">
        <v>-1391789.68</v>
      </c>
      <c r="BA19" s="432">
        <v>-6024753.6500000004</v>
      </c>
      <c r="BB19" s="432">
        <v>3511605.82</v>
      </c>
      <c r="BC19" s="432">
        <v>1486957.79</v>
      </c>
      <c r="BD19" s="432">
        <v>2754928.81</v>
      </c>
      <c r="BE19" s="432">
        <v>1145289.07</v>
      </c>
      <c r="BF19" s="432">
        <v>967601.02</v>
      </c>
      <c r="BG19" s="432">
        <v>1453873.02</v>
      </c>
      <c r="BH19" s="432">
        <v>1108703.04</v>
      </c>
      <c r="BI19" s="432">
        <v>1119369.74</v>
      </c>
      <c r="BJ19" s="432">
        <v>-302940.55</v>
      </c>
      <c r="BK19" s="432">
        <v>-363891.14</v>
      </c>
      <c r="BL19" s="432">
        <v>-260495.75</v>
      </c>
      <c r="BM19" s="432">
        <v>-9712054.75</v>
      </c>
      <c r="BN19" s="432">
        <v>2228737.0299999998</v>
      </c>
      <c r="BO19" s="432">
        <v>2924935.11</v>
      </c>
      <c r="BP19" s="432">
        <v>1094866.82</v>
      </c>
      <c r="BQ19" s="432">
        <v>558731.92000000004</v>
      </c>
      <c r="BR19" s="432">
        <v>197956.07</v>
      </c>
      <c r="BS19" s="432">
        <v>155411.68</v>
      </c>
      <c r="BT19" s="432">
        <v>265820.09999999998</v>
      </c>
      <c r="BU19" s="432">
        <v>-930761.12</v>
      </c>
      <c r="BV19" s="432">
        <v>1072918.4099999999</v>
      </c>
      <c r="BW19" s="432">
        <v>-760549.82</v>
      </c>
      <c r="BX19" s="432">
        <v>-261599.67</v>
      </c>
      <c r="BY19" s="432">
        <v>546673.78</v>
      </c>
      <c r="BZ19" s="432">
        <v>2040825.61</v>
      </c>
      <c r="CA19" s="432">
        <v>-631584.13</v>
      </c>
      <c r="CB19" s="432">
        <v>194813.43</v>
      </c>
      <c r="CC19" s="432">
        <v>511396.46</v>
      </c>
      <c r="CD19" s="432">
        <v>-842268.7</v>
      </c>
      <c r="CE19" s="432">
        <v>-962104.34</v>
      </c>
      <c r="CF19" s="432">
        <v>-972907</v>
      </c>
      <c r="CG19" s="432">
        <v>-1022100.66</v>
      </c>
      <c r="CH19" s="432">
        <v>1584073.3</v>
      </c>
      <c r="CI19" s="432">
        <v>-2008499.03</v>
      </c>
      <c r="CJ19" s="432">
        <v>-1017595.27</v>
      </c>
      <c r="CK19" s="432">
        <v>5725359.7400000002</v>
      </c>
      <c r="CL19" s="432">
        <v>3172840.78</v>
      </c>
      <c r="CM19" s="432">
        <v>342951.69</v>
      </c>
      <c r="CN19" s="432">
        <v>895317.01</v>
      </c>
      <c r="CO19" s="432">
        <v>1259189.22</v>
      </c>
      <c r="CP19" s="432">
        <v>205117.85</v>
      </c>
      <c r="CQ19" s="432">
        <v>492073.16</v>
      </c>
      <c r="CR19" s="432">
        <v>166344.88</v>
      </c>
      <c r="CS19" s="432">
        <v>-879336.49</v>
      </c>
      <c r="CT19" s="432">
        <v>432770.52</v>
      </c>
      <c r="CU19" s="432">
        <v>-353761.9</v>
      </c>
      <c r="CV19" s="432">
        <v>-3383402.33</v>
      </c>
      <c r="CW19" s="432">
        <v>1424397.97</v>
      </c>
      <c r="CX19" s="432">
        <v>1898229.81</v>
      </c>
      <c r="CY19" s="432">
        <v>-87759.87</v>
      </c>
      <c r="CZ19" s="432">
        <v>1161289.22</v>
      </c>
      <c r="DA19" s="432">
        <v>559174.94999999995</v>
      </c>
      <c r="DB19" s="432">
        <v>280899.64</v>
      </c>
      <c r="DC19" s="432">
        <v>192965.77</v>
      </c>
      <c r="DD19" s="432">
        <v>-11924.53</v>
      </c>
      <c r="DE19" s="432">
        <v>-33331.160000000003</v>
      </c>
      <c r="DF19" s="432">
        <v>122357.41</v>
      </c>
      <c r="DG19" s="432">
        <v>114338.06</v>
      </c>
      <c r="DH19" s="432">
        <v>482314.44</v>
      </c>
      <c r="DI19" s="432">
        <v>85023.62</v>
      </c>
      <c r="DJ19" s="432">
        <v>3049614.09</v>
      </c>
      <c r="DK19" s="432">
        <v>-2074721.21</v>
      </c>
      <c r="DL19" s="432">
        <v>458500.76</v>
      </c>
      <c r="DM19" s="432">
        <v>139401.47</v>
      </c>
      <c r="DN19" s="432">
        <v>-398549.92</v>
      </c>
      <c r="DO19" s="432">
        <v>-17852.25</v>
      </c>
      <c r="DP19" s="432">
        <v>-500016.4</v>
      </c>
      <c r="DQ19" s="432">
        <v>-116709.75999999999</v>
      </c>
      <c r="DR19" s="432">
        <v>120395.35</v>
      </c>
      <c r="DS19" s="432">
        <v>-1700886.66</v>
      </c>
      <c r="DT19" s="432">
        <v>157810.87</v>
      </c>
      <c r="DU19" s="432">
        <v>323552.88</v>
      </c>
      <c r="DV19" s="432">
        <v>2773724.39</v>
      </c>
      <c r="DW19" s="432">
        <v>1074495.75</v>
      </c>
      <c r="DX19" s="432">
        <v>-504079.37</v>
      </c>
      <c r="DY19" s="432">
        <v>954143.7</v>
      </c>
      <c r="DZ19" s="432">
        <v>-330815.38</v>
      </c>
      <c r="EA19" s="432">
        <v>1955989.38</v>
      </c>
      <c r="EB19" s="432">
        <v>-376170.8</v>
      </c>
      <c r="EC19" s="432">
        <v>581226.12</v>
      </c>
      <c r="ED19" s="432">
        <v>1483442.87</v>
      </c>
      <c r="EE19" s="432">
        <f>(VLOOKUP("4091",'Input IS ACCTS'!$A$6:$CV$512,97,FALSE))</f>
        <v>-1692496.25</v>
      </c>
      <c r="EF19" s="432">
        <f>(VLOOKUP("4091",'Input IS ACCTS'!$A$6:$CV$512,98,FALSE))</f>
        <v>-1659190.4</v>
      </c>
      <c r="EG19" s="432">
        <f>(VLOOKUP("4091",'Input IS ACCTS'!$A$6:$CV$512,99,FALSE))</f>
        <v>3978282.47</v>
      </c>
      <c r="EH19" s="150">
        <f t="shared" si="12"/>
        <v>8238552.4800000004</v>
      </c>
      <c r="EI19" s="198">
        <f t="shared" si="13"/>
        <v>8238.5524800000003</v>
      </c>
      <c r="EK19" s="56"/>
      <c r="EL19" s="56"/>
      <c r="EM19" s="56"/>
      <c r="EN19" s="56"/>
      <c r="EO19" s="56"/>
      <c r="EP19" s="56"/>
      <c r="EQ19" s="56"/>
      <c r="ER19" s="56"/>
      <c r="ES19" s="56"/>
      <c r="ET19" s="56"/>
    </row>
    <row r="20" spans="1:150">
      <c r="A20" s="17" t="s">
        <v>1356</v>
      </c>
      <c r="B20" s="364">
        <f t="shared" si="10"/>
        <v>13291.795559999999</v>
      </c>
      <c r="C20" s="44"/>
      <c r="D20" s="382">
        <f t="shared" si="11"/>
        <v>-2616.5281</v>
      </c>
      <c r="E20" s="286"/>
      <c r="F20" s="375">
        <v>-2508073</v>
      </c>
      <c r="G20" s="116">
        <v>771079</v>
      </c>
      <c r="H20" s="116">
        <v>1090986</v>
      </c>
      <c r="I20" s="116">
        <v>2038470</v>
      </c>
      <c r="J20" s="116">
        <v>1465026</v>
      </c>
      <c r="K20" s="116">
        <v>490824</v>
      </c>
      <c r="L20" s="116">
        <v>1716143.58</v>
      </c>
      <c r="M20" s="116">
        <v>1897834.77</v>
      </c>
      <c r="N20" s="116">
        <v>1991923.54</v>
      </c>
      <c r="O20" s="116">
        <v>1739195.64</v>
      </c>
      <c r="P20" s="158">
        <v>21207240.789999999</v>
      </c>
      <c r="Q20" s="121">
        <v>1852673.46</v>
      </c>
      <c r="R20" s="116">
        <v>1912532.47</v>
      </c>
      <c r="S20" s="116">
        <v>1989296.82</v>
      </c>
      <c r="T20" s="116">
        <v>2066944.4899999998</v>
      </c>
      <c r="U20" s="264">
        <v>2190299.61</v>
      </c>
      <c r="V20" s="264">
        <v>2231259.54</v>
      </c>
      <c r="W20" s="264">
        <v>5375351.2599999998</v>
      </c>
      <c r="X20" s="264">
        <v>2080561.89</v>
      </c>
      <c r="Y20" s="264">
        <v>2060211.41</v>
      </c>
      <c r="Z20" s="264">
        <v>2170203.16</v>
      </c>
      <c r="AA20" s="264">
        <v>1757336.2</v>
      </c>
      <c r="AB20" s="264">
        <v>2568804.2599999998</v>
      </c>
      <c r="AC20" s="265">
        <v>1156166.03</v>
      </c>
      <c r="AD20" s="279">
        <v>223961.46304865149</v>
      </c>
      <c r="AE20" s="279">
        <v>799755.50304865162</v>
      </c>
      <c r="AF20" s="265">
        <v>846251.95304865146</v>
      </c>
      <c r="AG20" s="294">
        <v>392907.76304865145</v>
      </c>
      <c r="AH20" s="294">
        <v>849349.12304865161</v>
      </c>
      <c r="AI20" s="294">
        <v>899293.93304865155</v>
      </c>
      <c r="AJ20" s="374">
        <v>723316.04304865142</v>
      </c>
      <c r="AK20" s="374">
        <v>965231.15304865153</v>
      </c>
      <c r="AL20" s="374">
        <v>1218946.8630486515</v>
      </c>
      <c r="AM20" s="323">
        <v>752276.42304865154</v>
      </c>
      <c r="AN20" s="323">
        <v>-3651150.9369513481</v>
      </c>
      <c r="AO20" s="323">
        <v>467.62304865150259</v>
      </c>
      <c r="AP20" s="432">
        <v>797790.57</v>
      </c>
      <c r="AQ20" s="432">
        <v>-300304.7</v>
      </c>
      <c r="AR20" s="432">
        <v>-113876.48</v>
      </c>
      <c r="AS20" s="432">
        <v>259025.67</v>
      </c>
      <c r="AT20" s="432">
        <v>-374515.85</v>
      </c>
      <c r="AU20" s="432">
        <v>364456.3</v>
      </c>
      <c r="AV20" s="432">
        <v>386811.22</v>
      </c>
      <c r="AW20" s="432">
        <v>663651.21</v>
      </c>
      <c r="AX20" s="432">
        <v>2342998.9900000002</v>
      </c>
      <c r="AY20" s="432">
        <v>-366429.53</v>
      </c>
      <c r="AZ20" s="432">
        <v>3069502.86</v>
      </c>
      <c r="BA20" s="432">
        <v>8336921.8700000001</v>
      </c>
      <c r="BB20" s="432">
        <v>-275913.05</v>
      </c>
      <c r="BC20" s="432">
        <v>1517705.04</v>
      </c>
      <c r="BD20" s="432">
        <v>-229143.11</v>
      </c>
      <c r="BE20" s="432">
        <v>308339.71999999997</v>
      </c>
      <c r="BF20" s="432">
        <v>364626.14</v>
      </c>
      <c r="BG20" s="432">
        <v>113882.78</v>
      </c>
      <c r="BH20" s="432">
        <v>-29699.14</v>
      </c>
      <c r="BI20" s="432">
        <v>-151948.79999999999</v>
      </c>
      <c r="BJ20" s="432">
        <v>1417199.94</v>
      </c>
      <c r="BK20" s="432">
        <v>1646764.96</v>
      </c>
      <c r="BL20" s="432">
        <v>1290361.8700000001</v>
      </c>
      <c r="BM20" s="432">
        <v>10961767.789999999</v>
      </c>
      <c r="BN20" s="432">
        <v>923774.88</v>
      </c>
      <c r="BO20" s="432">
        <v>268317.09000000003</v>
      </c>
      <c r="BP20" s="432">
        <v>990508.94</v>
      </c>
      <c r="BQ20" s="432">
        <v>1224181.94</v>
      </c>
      <c r="BR20" s="432">
        <v>1369396.56</v>
      </c>
      <c r="BS20" s="432">
        <v>715535.25</v>
      </c>
      <c r="BT20" s="432">
        <v>1172591.31</v>
      </c>
      <c r="BU20" s="432">
        <v>1298883.51</v>
      </c>
      <c r="BV20" s="432">
        <v>-130656.15</v>
      </c>
      <c r="BW20" s="432">
        <v>1792223.13</v>
      </c>
      <c r="BX20" s="432">
        <v>2025072.31</v>
      </c>
      <c r="BY20" s="432">
        <v>1276753.72</v>
      </c>
      <c r="BZ20" s="432">
        <v>1007791.66</v>
      </c>
      <c r="CA20" s="432">
        <v>2803153.57</v>
      </c>
      <c r="CB20" s="432">
        <v>2561260.2000000002</v>
      </c>
      <c r="CC20" s="432">
        <v>1745517.27</v>
      </c>
      <c r="CD20" s="432">
        <v>2904990.24</v>
      </c>
      <c r="CE20" s="432">
        <v>2569026.12</v>
      </c>
      <c r="CF20" s="432">
        <v>2508529.0099999998</v>
      </c>
      <c r="CG20" s="432">
        <v>2444486.59</v>
      </c>
      <c r="CH20" s="432">
        <v>102029.45</v>
      </c>
      <c r="CI20" s="432">
        <v>3452189.2</v>
      </c>
      <c r="CJ20" s="432">
        <v>2924938.02</v>
      </c>
      <c r="CK20" s="432">
        <v>-2419811.6800000002</v>
      </c>
      <c r="CL20" s="432">
        <v>-424489.68</v>
      </c>
      <c r="CM20" s="432">
        <v>784354.58</v>
      </c>
      <c r="CN20" s="432">
        <v>-231493.34</v>
      </c>
      <c r="CO20" s="432">
        <v>224730.79</v>
      </c>
      <c r="CP20" s="432">
        <v>919013.52</v>
      </c>
      <c r="CQ20" s="432">
        <v>539773.27</v>
      </c>
      <c r="CR20" s="432">
        <v>721249.05999999994</v>
      </c>
      <c r="CS20" s="432">
        <v>1619384.2000000002</v>
      </c>
      <c r="CT20" s="432">
        <v>836768.26</v>
      </c>
      <c r="CU20" s="432">
        <f>(VLOOKUP("4101",'Input IS ACCTS'!$A$6:$CV$512,61,FALSE))</f>
        <v>1163529.56</v>
      </c>
      <c r="CV20" s="432">
        <f>(VLOOKUP("4101",'Input IS ACCTS'!$A$6:$CV$512,62,FALSE))</f>
        <v>4457679.3600000003</v>
      </c>
      <c r="CW20" s="432">
        <f>(VLOOKUP("4101",'Input IS ACCTS'!$A$6:$CV$512,63,FALSE))</f>
        <v>113328.6</v>
      </c>
      <c r="CX20" s="432">
        <f>(VLOOKUP("4101",'Input IS ACCTS'!$A$6:$CV$512,64,FALSE))</f>
        <v>246440.66</v>
      </c>
      <c r="CY20" s="432">
        <f>(VLOOKUP("4101",'Input IS ACCTS'!$A$6:$CV$512,65,FALSE))</f>
        <v>2016465.43</v>
      </c>
      <c r="CZ20" s="432">
        <f>(VLOOKUP("4101",'Input IS ACCTS'!$A$6:$CV$512,66,FALSE))</f>
        <v>641096.55000000005</v>
      </c>
      <c r="DA20" s="432">
        <f>(VLOOKUP("4101",'Input IS ACCTS'!$A$6:$CV$512,67,FALSE))</f>
        <v>1080080.19</v>
      </c>
      <c r="DB20" s="432">
        <f>(VLOOKUP("4101",'Input IS ACCTS'!$A$6:$CV$512,68,FALSE))</f>
        <v>1176801.29</v>
      </c>
      <c r="DC20" s="432">
        <f>(VLOOKUP("4101",'Input IS ACCTS'!$A$6:$CV$512,69,FALSE))</f>
        <v>1139163.42</v>
      </c>
      <c r="DD20" s="432">
        <v>944421.19</v>
      </c>
      <c r="DE20" s="432">
        <v>1173908.4099999999</v>
      </c>
      <c r="DF20" s="432">
        <v>599012.24</v>
      </c>
      <c r="DG20" s="432">
        <v>909892.55</v>
      </c>
      <c r="DH20" s="432">
        <v>858821.24</v>
      </c>
      <c r="DI20" s="432">
        <v>1452272.21</v>
      </c>
      <c r="DJ20" s="432">
        <v>-678148.9</v>
      </c>
      <c r="DK20" s="432">
        <v>3783401.71</v>
      </c>
      <c r="DL20" s="432">
        <v>983157.33</v>
      </c>
      <c r="DM20" s="432">
        <v>840155.65</v>
      </c>
      <c r="DN20" s="432">
        <v>1294461.54</v>
      </c>
      <c r="DO20" s="432">
        <v>911790.04</v>
      </c>
      <c r="DP20" s="432">
        <v>1291428.43</v>
      </c>
      <c r="DQ20" s="432">
        <v>1019109.73</v>
      </c>
      <c r="DR20" s="432">
        <v>1259997.56</v>
      </c>
      <c r="DS20" s="432">
        <v>1943284.86</v>
      </c>
      <c r="DT20" s="432">
        <v>1351955.5</v>
      </c>
      <c r="DU20" s="432">
        <v>1079410.44</v>
      </c>
      <c r="DV20" s="432">
        <v>675422.61</v>
      </c>
      <c r="DW20" s="432">
        <v>1189381.5</v>
      </c>
      <c r="DX20" s="432">
        <v>2754279.95</v>
      </c>
      <c r="DY20" s="432">
        <v>1355641.68</v>
      </c>
      <c r="DZ20" s="432">
        <v>1901529.35</v>
      </c>
      <c r="EA20" s="432">
        <v>-395914.15</v>
      </c>
      <c r="EB20" s="432">
        <v>1617623.67</v>
      </c>
      <c r="EC20" s="432">
        <v>729649.99</v>
      </c>
      <c r="ED20" s="432">
        <v>-747066.9</v>
      </c>
      <c r="EE20" s="432">
        <f>(VLOOKUP("4101",'Input IS ACCTS'!$A$6:$CV$512,97,FALSE))</f>
        <v>3026643.52</v>
      </c>
      <c r="EF20" s="432">
        <f>(VLOOKUP("4101",'Input IS ACCTS'!$A$6:$CV$512,98,FALSE))</f>
        <v>3801132.44</v>
      </c>
      <c r="EG20" s="432">
        <f>(VLOOKUP("4101",'Input IS ACCTS'!$A$6:$CV$512,99,FALSE))</f>
        <v>-2616528.1</v>
      </c>
      <c r="EH20" s="150">
        <f t="shared" si="12"/>
        <v>13291795.559999999</v>
      </c>
      <c r="EI20" s="198">
        <f t="shared" si="13"/>
        <v>13291.795559999999</v>
      </c>
      <c r="EK20" s="56"/>
      <c r="EL20" s="56"/>
      <c r="EM20" s="56"/>
      <c r="EN20" s="56"/>
      <c r="EO20" s="56"/>
      <c r="EP20" s="56"/>
      <c r="EQ20" s="56"/>
      <c r="ER20" s="56"/>
      <c r="ES20" s="56"/>
      <c r="ET20" s="56"/>
    </row>
    <row r="21" spans="1:150">
      <c r="A21" t="s">
        <v>413</v>
      </c>
      <c r="B21" s="364">
        <f t="shared" si="10"/>
        <v>0</v>
      </c>
      <c r="C21" s="44"/>
      <c r="D21" s="382">
        <f t="shared" si="11"/>
        <v>0</v>
      </c>
      <c r="E21" s="286"/>
      <c r="F21" s="375">
        <v>1</v>
      </c>
      <c r="G21" s="116">
        <v>-1</v>
      </c>
      <c r="H21" s="116"/>
      <c r="I21" s="206"/>
      <c r="J21" s="206"/>
      <c r="K21" s="206"/>
      <c r="L21" s="206"/>
      <c r="M21" s="206"/>
      <c r="N21" s="206"/>
      <c r="O21" s="206"/>
      <c r="P21" s="124"/>
      <c r="Q21" s="124"/>
      <c r="R21" s="116">
        <v>0</v>
      </c>
      <c r="S21" s="116"/>
      <c r="T21" s="116"/>
      <c r="U21" s="266"/>
      <c r="V21" s="266"/>
      <c r="W21" s="266">
        <v>0</v>
      </c>
      <c r="X21" s="266">
        <v>0</v>
      </c>
      <c r="Y21" s="266">
        <v>0</v>
      </c>
      <c r="Z21" s="266">
        <v>0</v>
      </c>
      <c r="AA21" s="266">
        <v>0</v>
      </c>
      <c r="AB21" s="266">
        <v>0</v>
      </c>
      <c r="AC21" s="267">
        <v>0</v>
      </c>
      <c r="AD21" s="267">
        <v>0</v>
      </c>
      <c r="AE21" s="267">
        <v>0</v>
      </c>
      <c r="AF21" s="267">
        <v>0</v>
      </c>
      <c r="AG21" s="297">
        <v>0</v>
      </c>
      <c r="AH21" s="297">
        <v>0</v>
      </c>
      <c r="AI21" s="297">
        <v>0</v>
      </c>
      <c r="AJ21" s="235">
        <v>0</v>
      </c>
      <c r="AK21" s="235">
        <v>0</v>
      </c>
      <c r="AL21" s="235">
        <v>0</v>
      </c>
      <c r="AM21" s="235">
        <v>0</v>
      </c>
      <c r="AN21" s="235">
        <v>0</v>
      </c>
      <c r="AO21" s="235">
        <v>0</v>
      </c>
      <c r="AP21" s="436">
        <v>0</v>
      </c>
      <c r="AQ21" s="436">
        <v>0</v>
      </c>
      <c r="AR21" s="436">
        <v>0</v>
      </c>
      <c r="AS21" s="436">
        <v>0</v>
      </c>
      <c r="AT21" s="436">
        <v>0</v>
      </c>
      <c r="AU21" s="436">
        <v>0</v>
      </c>
      <c r="AV21" s="436">
        <v>0</v>
      </c>
      <c r="AW21" s="436">
        <v>0</v>
      </c>
      <c r="AX21" s="436">
        <v>0</v>
      </c>
      <c r="AY21" s="436">
        <v>0</v>
      </c>
      <c r="AZ21" s="436">
        <v>0</v>
      </c>
      <c r="BA21" s="436">
        <v>0</v>
      </c>
      <c r="BB21" s="436">
        <v>0</v>
      </c>
      <c r="BC21" s="436">
        <v>0</v>
      </c>
      <c r="BD21" s="436">
        <v>0</v>
      </c>
      <c r="BE21" s="436">
        <v>0</v>
      </c>
      <c r="BF21" s="436">
        <v>0</v>
      </c>
      <c r="BG21" s="436">
        <v>0</v>
      </c>
      <c r="BH21" s="436">
        <v>0</v>
      </c>
      <c r="BI21" s="436">
        <v>0</v>
      </c>
      <c r="BJ21" s="436">
        <v>0</v>
      </c>
      <c r="BK21" s="436">
        <v>0</v>
      </c>
      <c r="BL21" s="436">
        <v>0</v>
      </c>
      <c r="BM21" s="436">
        <v>0</v>
      </c>
      <c r="BN21" s="436">
        <v>0</v>
      </c>
      <c r="BO21" s="436">
        <v>0</v>
      </c>
      <c r="BP21" s="436">
        <v>0</v>
      </c>
      <c r="BQ21" s="436">
        <v>0</v>
      </c>
      <c r="BR21" s="436">
        <v>0</v>
      </c>
      <c r="BS21" s="436">
        <v>0</v>
      </c>
      <c r="BT21" s="436">
        <v>0</v>
      </c>
      <c r="BU21" s="436">
        <v>0</v>
      </c>
      <c r="BV21" s="436">
        <v>0</v>
      </c>
      <c r="BW21" s="436">
        <v>0</v>
      </c>
      <c r="BX21" s="436">
        <v>0</v>
      </c>
      <c r="BY21" s="436">
        <v>0</v>
      </c>
      <c r="BZ21" s="436">
        <v>0</v>
      </c>
      <c r="CA21" s="436">
        <v>0</v>
      </c>
      <c r="CB21" s="436">
        <v>0</v>
      </c>
      <c r="CC21" s="436">
        <v>0</v>
      </c>
      <c r="CD21" s="436">
        <v>0</v>
      </c>
      <c r="CE21" s="436">
        <v>0</v>
      </c>
      <c r="CF21" s="436">
        <v>0</v>
      </c>
      <c r="CG21" s="436">
        <v>0</v>
      </c>
      <c r="CH21" s="436">
        <v>0</v>
      </c>
      <c r="CI21" s="436">
        <v>0</v>
      </c>
      <c r="CJ21" s="436">
        <v>0</v>
      </c>
      <c r="CK21" s="436">
        <v>0</v>
      </c>
      <c r="CL21" s="436">
        <v>0</v>
      </c>
      <c r="CM21" s="436">
        <v>0</v>
      </c>
      <c r="CN21" s="436">
        <v>0</v>
      </c>
      <c r="CO21" s="436">
        <v>0</v>
      </c>
      <c r="CP21" s="436">
        <v>0</v>
      </c>
      <c r="CQ21" s="436">
        <v>0</v>
      </c>
      <c r="CR21" s="436">
        <v>0</v>
      </c>
      <c r="CS21" s="436">
        <v>0</v>
      </c>
      <c r="CT21" s="436">
        <v>0</v>
      </c>
      <c r="CU21" s="436">
        <v>0</v>
      </c>
      <c r="CV21" s="436">
        <v>0</v>
      </c>
      <c r="CW21" s="436">
        <v>0</v>
      </c>
      <c r="CX21" s="436">
        <v>0</v>
      </c>
      <c r="CY21" s="436">
        <v>0</v>
      </c>
      <c r="CZ21" s="436">
        <v>0</v>
      </c>
      <c r="DA21" s="436">
        <v>0</v>
      </c>
      <c r="DB21" s="436">
        <v>0</v>
      </c>
      <c r="DC21" s="436">
        <v>0</v>
      </c>
      <c r="DD21" s="436">
        <v>0</v>
      </c>
      <c r="DE21" s="436">
        <v>0</v>
      </c>
      <c r="DF21" s="436">
        <v>0</v>
      </c>
      <c r="DG21" s="436">
        <v>0</v>
      </c>
      <c r="DH21" s="436">
        <v>0</v>
      </c>
      <c r="DI21" s="436">
        <v>0</v>
      </c>
      <c r="DJ21" s="436">
        <v>0</v>
      </c>
      <c r="DK21" s="436">
        <v>0</v>
      </c>
      <c r="DL21" s="436">
        <v>0</v>
      </c>
      <c r="DM21" s="436">
        <v>0</v>
      </c>
      <c r="DN21" s="436">
        <v>0</v>
      </c>
      <c r="DO21" s="436">
        <v>0</v>
      </c>
      <c r="DP21" s="436">
        <v>0</v>
      </c>
      <c r="DQ21" s="436">
        <v>0</v>
      </c>
      <c r="DR21" s="436">
        <v>0</v>
      </c>
      <c r="DS21" s="436">
        <v>0</v>
      </c>
      <c r="DT21" s="436">
        <v>0</v>
      </c>
      <c r="DU21" s="436">
        <v>0</v>
      </c>
      <c r="DV21" s="436">
        <v>0</v>
      </c>
      <c r="DW21" s="436">
        <v>0</v>
      </c>
      <c r="DX21" s="436">
        <v>0</v>
      </c>
      <c r="DY21" s="436">
        <v>0</v>
      </c>
      <c r="DZ21" s="436">
        <v>0</v>
      </c>
      <c r="EA21" s="436">
        <v>0</v>
      </c>
      <c r="EB21" s="436">
        <v>0</v>
      </c>
      <c r="EC21" s="436">
        <v>0</v>
      </c>
      <c r="ED21" s="436">
        <v>0</v>
      </c>
      <c r="EE21" s="436">
        <v>0</v>
      </c>
      <c r="EF21" s="436">
        <v>0</v>
      </c>
      <c r="EG21" s="436">
        <v>0</v>
      </c>
      <c r="EH21" s="150">
        <f t="shared" si="12"/>
        <v>0</v>
      </c>
      <c r="EI21" s="198">
        <f t="shared" si="13"/>
        <v>0</v>
      </c>
      <c r="EK21" s="56"/>
      <c r="EL21" s="56"/>
      <c r="EM21" s="56"/>
      <c r="EN21" s="56"/>
      <c r="EO21" s="56"/>
      <c r="EP21" s="56"/>
      <c r="EQ21" s="56"/>
      <c r="ER21" s="56"/>
      <c r="ES21" s="56"/>
      <c r="ET21" s="56"/>
    </row>
    <row r="22" spans="1:150">
      <c r="A22" t="s">
        <v>385</v>
      </c>
      <c r="B22" s="366">
        <f>SUM(B13:B21)</f>
        <v>264977.38987000001</v>
      </c>
      <c r="C22" s="44"/>
      <c r="D22" s="367">
        <f>SUM(D13:D21)</f>
        <v>26121.418020000001</v>
      </c>
      <c r="E22" s="286"/>
      <c r="F22" s="126">
        <v>19746879</v>
      </c>
      <c r="G22" s="125">
        <v>16726289</v>
      </c>
      <c r="H22" s="125">
        <v>16213726</v>
      </c>
      <c r="I22" s="125">
        <v>15221493</v>
      </c>
      <c r="J22" s="125">
        <v>14198746</v>
      </c>
      <c r="K22" s="125">
        <v>15892007</v>
      </c>
      <c r="L22" s="125">
        <v>14527332.439999999</v>
      </c>
      <c r="M22" s="125">
        <v>14187195.209999997</v>
      </c>
      <c r="N22" s="125">
        <v>13333350.109999999</v>
      </c>
      <c r="O22" s="125">
        <v>14007137.9</v>
      </c>
      <c r="P22" s="125">
        <v>15092870.070000004</v>
      </c>
      <c r="Q22" s="125">
        <v>16740779.949999997</v>
      </c>
      <c r="R22" s="125">
        <v>17701965.23</v>
      </c>
      <c r="S22" s="125">
        <v>16141216.310000001</v>
      </c>
      <c r="T22" s="125">
        <v>16241057.110000001</v>
      </c>
      <c r="U22" s="268">
        <v>15123079.779999999</v>
      </c>
      <c r="V22" s="268">
        <v>14213145.57</v>
      </c>
      <c r="W22" s="268">
        <v>13890875.699999999</v>
      </c>
      <c r="X22" s="268">
        <v>14473649.790000001</v>
      </c>
      <c r="Y22" s="268">
        <v>13911735.590000004</v>
      </c>
      <c r="Z22" s="268">
        <v>14222022.030000005</v>
      </c>
      <c r="AA22" s="268">
        <v>15310300.089999996</v>
      </c>
      <c r="AB22" s="268">
        <v>16395850.910000004</v>
      </c>
      <c r="AC22" s="268">
        <v>17212906.400000002</v>
      </c>
      <c r="AD22" s="268">
        <v>17802153.933048654</v>
      </c>
      <c r="AE22" s="268">
        <v>17039483.253048651</v>
      </c>
      <c r="AF22" s="268">
        <v>17581551.693048652</v>
      </c>
      <c r="AG22" s="268">
        <v>17166705.303048652</v>
      </c>
      <c r="AH22" s="268">
        <v>15523733.323048653</v>
      </c>
      <c r="AI22" s="268">
        <v>15593807.373048654</v>
      </c>
      <c r="AJ22" s="125">
        <v>15643805.79304865</v>
      </c>
      <c r="AK22" s="125">
        <v>15394791.413048655</v>
      </c>
      <c r="AL22" s="125">
        <v>15192707.703048652</v>
      </c>
      <c r="AM22" s="125">
        <v>15593187.37304865</v>
      </c>
      <c r="AN22" s="125">
        <v>14641456.373048658</v>
      </c>
      <c r="AO22" s="125">
        <v>17758569.273048654</v>
      </c>
      <c r="AP22" s="125">
        <v>20072500.940000001</v>
      </c>
      <c r="AQ22" s="125">
        <v>19313650.800000001</v>
      </c>
      <c r="AR22" s="125">
        <v>16387877.349999998</v>
      </c>
      <c r="AS22" s="125">
        <v>17128414.310000002</v>
      </c>
      <c r="AT22" s="125">
        <v>16281725.340000002</v>
      </c>
      <c r="AU22" s="125">
        <v>15880304.779999999</v>
      </c>
      <c r="AV22" s="125">
        <v>16167409.960000003</v>
      </c>
      <c r="AW22" s="125">
        <v>15599908.48</v>
      </c>
      <c r="AX22" s="125">
        <v>16679173.529999999</v>
      </c>
      <c r="AY22" s="125">
        <v>15828482.110000003</v>
      </c>
      <c r="AZ22" s="125">
        <v>16452597.140000002</v>
      </c>
      <c r="BA22" s="125">
        <v>18418873.439999998</v>
      </c>
      <c r="BB22" s="125">
        <v>19462955.780000001</v>
      </c>
      <c r="BC22" s="125">
        <v>19481653.280000005</v>
      </c>
      <c r="BD22" s="125">
        <v>19708905.02</v>
      </c>
      <c r="BE22" s="125">
        <v>17524012.029999997</v>
      </c>
      <c r="BF22" s="125">
        <v>15734019.23</v>
      </c>
      <c r="BG22" s="125">
        <v>16478392.040000001</v>
      </c>
      <c r="BH22" s="125">
        <v>16436783.079999998</v>
      </c>
      <c r="BI22" s="125">
        <v>15882010.669999998</v>
      </c>
      <c r="BJ22" s="125">
        <v>16332086.359999998</v>
      </c>
      <c r="BK22" s="125">
        <v>16818199.299999997</v>
      </c>
      <c r="BL22" s="125">
        <v>17852070.120000001</v>
      </c>
      <c r="BM22" s="125">
        <v>19257870.16</v>
      </c>
      <c r="BN22" s="125">
        <v>19987964.289999999</v>
      </c>
      <c r="BO22" s="125">
        <v>20922547.649999999</v>
      </c>
      <c r="BP22" s="125">
        <v>19417717.48</v>
      </c>
      <c r="BQ22" s="125">
        <v>17645917.440000001</v>
      </c>
      <c r="BR22" s="125">
        <v>16779788.550000004</v>
      </c>
      <c r="BS22" s="125">
        <v>18009857.52</v>
      </c>
      <c r="BT22" s="125">
        <v>16653512.23</v>
      </c>
      <c r="BU22" s="125">
        <v>17114323.120000005</v>
      </c>
      <c r="BV22" s="125">
        <v>16770075.699999997</v>
      </c>
      <c r="BW22" s="125">
        <v>17541293.219999999</v>
      </c>
      <c r="BX22" s="125">
        <v>17325459.580000002</v>
      </c>
      <c r="BY22" s="125">
        <v>21249959.34</v>
      </c>
      <c r="BZ22" s="125">
        <f>SUM(BZ13:BZ21)</f>
        <v>18733128.750000004</v>
      </c>
      <c r="CA22" s="125">
        <f>SUM(CA13:CA21)</f>
        <v>18137871.030000001</v>
      </c>
      <c r="CB22" s="125">
        <f>SUM(CB13:CB21)</f>
        <v>18665789.68</v>
      </c>
      <c r="CC22" s="125">
        <v>18320244.280000001</v>
      </c>
      <c r="CD22" s="125">
        <v>17442943.600000001</v>
      </c>
      <c r="CE22" s="125">
        <v>18174079.859999999</v>
      </c>
      <c r="CF22" s="125">
        <f t="shared" ref="CF22:CK22" si="14">SUM(CF13:CF21)</f>
        <v>16658273.560000001</v>
      </c>
      <c r="CG22" s="125">
        <f t="shared" si="14"/>
        <v>17335698.600000001</v>
      </c>
      <c r="CH22" s="125">
        <f t="shared" si="14"/>
        <v>17464761.16</v>
      </c>
      <c r="CI22" s="125">
        <f t="shared" si="14"/>
        <v>17600487.470000003</v>
      </c>
      <c r="CJ22" s="125">
        <f t="shared" si="14"/>
        <v>17994774.59</v>
      </c>
      <c r="CK22" s="125">
        <f t="shared" si="14"/>
        <v>18965754.390000004</v>
      </c>
      <c r="CL22" s="125">
        <f t="shared" ref="CL22:CQ22" si="15">SUM(CL13:CL21)</f>
        <v>21473568.990000002</v>
      </c>
      <c r="CM22" s="125">
        <f t="shared" si="15"/>
        <v>21162925.390000001</v>
      </c>
      <c r="CN22" s="125">
        <f t="shared" si="15"/>
        <v>22457240.180000003</v>
      </c>
      <c r="CO22" s="125">
        <f t="shared" si="15"/>
        <v>21000992.839999996</v>
      </c>
      <c r="CP22" s="125">
        <f t="shared" si="15"/>
        <v>18721159.360000003</v>
      </c>
      <c r="CQ22" s="125">
        <f t="shared" si="15"/>
        <v>18344907.260000002</v>
      </c>
      <c r="CR22" s="125">
        <f t="shared" ref="CR22:CW22" si="16">SUM(CR13:CR21)</f>
        <v>19125872.32</v>
      </c>
      <c r="CS22" s="125">
        <f t="shared" si="16"/>
        <v>18459683.620000001</v>
      </c>
      <c r="CT22" s="125">
        <f t="shared" si="16"/>
        <v>17871040.420000002</v>
      </c>
      <c r="CU22" s="125">
        <f t="shared" si="16"/>
        <v>19026178.93</v>
      </c>
      <c r="CV22" s="125">
        <f t="shared" si="16"/>
        <v>18383406.649999999</v>
      </c>
      <c r="CW22" s="125">
        <f t="shared" si="16"/>
        <v>20238412.109999999</v>
      </c>
      <c r="CX22" s="125">
        <f t="shared" ref="CX22:DC22" si="17">SUM(CX13:CX21)</f>
        <v>20452599.789999999</v>
      </c>
      <c r="CY22" s="125">
        <f t="shared" si="17"/>
        <v>19615511.52</v>
      </c>
      <c r="CZ22" s="125">
        <f t="shared" si="17"/>
        <v>19827510.050000001</v>
      </c>
      <c r="DA22" s="125">
        <f t="shared" si="17"/>
        <v>17969253.359999999</v>
      </c>
      <c r="DB22" s="125">
        <f t="shared" si="17"/>
        <v>17896250.279999997</v>
      </c>
      <c r="DC22" s="125">
        <f t="shared" si="17"/>
        <v>17861980.649999999</v>
      </c>
      <c r="DD22" s="125">
        <f t="shared" ref="DD22:DI22" si="18">SUM(DD13:DD21)</f>
        <v>18373035.280000001</v>
      </c>
      <c r="DE22" s="125">
        <f t="shared" si="18"/>
        <v>17562710.920000002</v>
      </c>
      <c r="DF22" s="125">
        <f t="shared" si="18"/>
        <v>17805514.02</v>
      </c>
      <c r="DG22" s="125">
        <f t="shared" si="18"/>
        <v>18397829.519999996</v>
      </c>
      <c r="DH22" s="125">
        <f t="shared" si="18"/>
        <v>19614885.620000005</v>
      </c>
      <c r="DI22" s="125">
        <f t="shared" si="18"/>
        <v>22839881.950000007</v>
      </c>
      <c r="DJ22" s="125">
        <f t="shared" ref="DJ22:EI22" si="19">SUM(DJ13:DJ21)</f>
        <v>20895425.940000001</v>
      </c>
      <c r="DK22" s="125">
        <f t="shared" si="19"/>
        <v>21328085.270000003</v>
      </c>
      <c r="DL22" s="125">
        <f t="shared" si="19"/>
        <v>20986618.350000001</v>
      </c>
      <c r="DM22" s="125">
        <f t="shared" si="19"/>
        <v>18269690.169999998</v>
      </c>
      <c r="DN22" s="125">
        <f t="shared" si="19"/>
        <v>17363157.940000001</v>
      </c>
      <c r="DO22" s="125">
        <f t="shared" si="19"/>
        <v>18619131.43</v>
      </c>
      <c r="DP22" s="125">
        <f t="shared" si="19"/>
        <v>18001910.130000003</v>
      </c>
      <c r="DQ22" s="125">
        <f t="shared" si="19"/>
        <v>17971913.219999999</v>
      </c>
      <c r="DR22" s="125">
        <f t="shared" si="19"/>
        <v>18898664.330000002</v>
      </c>
      <c r="DS22" s="125">
        <f t="shared" si="19"/>
        <v>20022455.620000001</v>
      </c>
      <c r="DT22" s="125">
        <f t="shared" si="19"/>
        <v>18495667.440000001</v>
      </c>
      <c r="DU22" s="125">
        <f t="shared" si="19"/>
        <v>23335667.509999998</v>
      </c>
      <c r="DV22" s="125">
        <f t="shared" ref="DV22:EA22" si="20">SUM(DV13:DV21)</f>
        <v>24657922.080000002</v>
      </c>
      <c r="DW22" s="125">
        <f t="shared" si="20"/>
        <v>22429811.489999998</v>
      </c>
      <c r="DX22" s="125">
        <f t="shared" si="20"/>
        <v>22188089.819999997</v>
      </c>
      <c r="DY22" s="125">
        <f t="shared" si="20"/>
        <v>22086176.709999997</v>
      </c>
      <c r="DZ22" s="125">
        <f t="shared" si="20"/>
        <v>21133889.240000002</v>
      </c>
      <c r="EA22" s="125">
        <f t="shared" si="20"/>
        <v>20683424.280000001</v>
      </c>
      <c r="EB22" s="125">
        <f t="shared" ref="EB22:EH22" si="21">SUM(EB13:EB21)</f>
        <v>21627802.539999999</v>
      </c>
      <c r="EC22" s="125">
        <f t="shared" si="21"/>
        <v>20069422.75</v>
      </c>
      <c r="ED22" s="125">
        <f t="shared" si="21"/>
        <v>21060661.100000001</v>
      </c>
      <c r="EE22" s="125">
        <f t="shared" si="21"/>
        <v>20932295.949999999</v>
      </c>
      <c r="EF22" s="125">
        <f t="shared" si="21"/>
        <v>21986475.890000001</v>
      </c>
      <c r="EG22" s="125">
        <f t="shared" si="21"/>
        <v>26121418.019999992</v>
      </c>
      <c r="EH22" s="417">
        <f t="shared" si="21"/>
        <v>264977389.87</v>
      </c>
      <c r="EI22" s="199">
        <f t="shared" si="19"/>
        <v>264977.38987000001</v>
      </c>
      <c r="EK22" s="56"/>
      <c r="EL22" s="56"/>
      <c r="EM22" s="56"/>
      <c r="EN22" s="56"/>
      <c r="EO22" s="56"/>
      <c r="EP22" s="56"/>
      <c r="EQ22" s="56"/>
      <c r="ER22" s="56"/>
      <c r="ES22" s="56"/>
      <c r="ET22" s="56"/>
    </row>
    <row r="23" spans="1:150">
      <c r="B23" s="367"/>
      <c r="C23" s="44"/>
      <c r="D23" s="367"/>
      <c r="E23" s="286"/>
      <c r="F23" s="376"/>
      <c r="G23" s="205"/>
      <c r="H23" s="205"/>
      <c r="I23" s="205"/>
      <c r="J23" s="205"/>
      <c r="K23" s="205"/>
      <c r="L23" s="205"/>
      <c r="M23" s="205"/>
      <c r="N23" s="205"/>
      <c r="O23" s="205"/>
      <c r="P23" s="205"/>
      <c r="Q23" s="205"/>
      <c r="R23" s="205"/>
      <c r="S23" s="205"/>
      <c r="T23" s="205"/>
      <c r="U23" s="271"/>
      <c r="V23" s="271"/>
      <c r="W23" s="271"/>
      <c r="X23" s="271"/>
      <c r="Y23" s="271"/>
      <c r="Z23" s="271"/>
      <c r="AA23" s="271"/>
      <c r="AB23" s="271"/>
      <c r="AC23" s="271"/>
      <c r="AD23" s="271"/>
      <c r="AE23" s="271"/>
      <c r="AF23" s="271"/>
      <c r="AG23" s="271"/>
      <c r="AH23" s="271"/>
      <c r="AI23" s="271"/>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198"/>
      <c r="EK23" s="56"/>
      <c r="EL23" s="56"/>
      <c r="EM23" s="56"/>
      <c r="EN23" s="56"/>
      <c r="EO23" s="56"/>
      <c r="EP23" s="56"/>
      <c r="EQ23" s="56"/>
      <c r="ER23" s="56"/>
      <c r="ES23" s="56"/>
      <c r="ET23" s="56"/>
    </row>
    <row r="24" spans="1:150">
      <c r="A24" t="s">
        <v>414</v>
      </c>
      <c r="B24" s="368">
        <f>+B11-B22</f>
        <v>90889.38064999989</v>
      </c>
      <c r="C24" s="44"/>
      <c r="D24" s="368">
        <f>+D11-D22</f>
        <v>7262.7713599999952</v>
      </c>
      <c r="E24" s="286"/>
      <c r="F24" s="207">
        <v>8460243</v>
      </c>
      <c r="G24" s="207">
        <v>5198539</v>
      </c>
      <c r="H24" s="207">
        <v>4589876</v>
      </c>
      <c r="I24" s="207">
        <v>4271550</v>
      </c>
      <c r="J24" s="207">
        <v>3574437</v>
      </c>
      <c r="K24" s="207">
        <v>1562817</v>
      </c>
      <c r="L24" s="207">
        <v>2912287.8599999975</v>
      </c>
      <c r="M24" s="207">
        <v>2128160.0500000026</v>
      </c>
      <c r="N24" s="207">
        <v>3328511.0000000019</v>
      </c>
      <c r="O24" s="207">
        <v>2881604.7699999977</v>
      </c>
      <c r="P24" s="207">
        <v>3525903.0299999975</v>
      </c>
      <c r="Q24" s="207">
        <v>4513012.5300000031</v>
      </c>
      <c r="R24" s="207">
        <v>6366552.5600000024</v>
      </c>
      <c r="S24" s="207">
        <v>4133504.0500000063</v>
      </c>
      <c r="T24" s="207">
        <v>4501985.8499999922</v>
      </c>
      <c r="U24" s="272">
        <v>4723342.0499999989</v>
      </c>
      <c r="V24" s="272">
        <v>4512282.2899999991</v>
      </c>
      <c r="W24" s="272">
        <v>3907806.1400000006</v>
      </c>
      <c r="X24" s="272">
        <v>3483005.0900000017</v>
      </c>
      <c r="Y24" s="272">
        <v>3715044.4299999923</v>
      </c>
      <c r="Z24" s="272">
        <v>2978790.59</v>
      </c>
      <c r="AA24" s="272">
        <v>2672198.4300000034</v>
      </c>
      <c r="AB24" s="272">
        <v>3428062.9999999963</v>
      </c>
      <c r="AC24" s="272">
        <v>3914803.0800000019</v>
      </c>
      <c r="AD24" s="272">
        <v>6016977.2969513424</v>
      </c>
      <c r="AE24" s="272">
        <v>4542998.95695135</v>
      </c>
      <c r="AF24" s="272">
        <v>5803143.5469513424</v>
      </c>
      <c r="AG24" s="272">
        <v>4892210.6669513471</v>
      </c>
      <c r="AH24" s="272">
        <v>2961695.0969513562</v>
      </c>
      <c r="AI24" s="272">
        <v>2757894.5069513489</v>
      </c>
      <c r="AJ24" s="207">
        <v>2940167.8569513448</v>
      </c>
      <c r="AK24" s="207">
        <v>2178906.8869513497</v>
      </c>
      <c r="AL24" s="207">
        <v>2860083.1369513478</v>
      </c>
      <c r="AM24" s="207">
        <v>2613737.0369513463</v>
      </c>
      <c r="AN24" s="207">
        <v>4578033.2169513423</v>
      </c>
      <c r="AO24" s="207">
        <v>3201810.8969513476</v>
      </c>
      <c r="AP24" s="207">
        <v>6091226.8599999957</v>
      </c>
      <c r="AQ24" s="207">
        <v>5284531.229999993</v>
      </c>
      <c r="AR24" s="207">
        <v>5845282.150000006</v>
      </c>
      <c r="AS24" s="207">
        <v>4189553.179999996</v>
      </c>
      <c r="AT24" s="207">
        <v>2715057.8400000017</v>
      </c>
      <c r="AU24" s="207">
        <v>3373677.1099999975</v>
      </c>
      <c r="AV24" s="207">
        <v>2704646.8599999975</v>
      </c>
      <c r="AW24" s="207">
        <v>2592049.4800000004</v>
      </c>
      <c r="AX24" s="207">
        <v>2425753.0000000019</v>
      </c>
      <c r="AY24" s="207">
        <v>3282589.6699999943</v>
      </c>
      <c r="AZ24" s="207">
        <v>3823092.1700000037</v>
      </c>
      <c r="BA24" s="207">
        <v>4776187.6700000055</v>
      </c>
      <c r="BB24" s="207">
        <v>6319702.4900000058</v>
      </c>
      <c r="BC24" s="207">
        <v>5937691.0399999991</v>
      </c>
      <c r="BD24" s="207">
        <v>5145378.7099999972</v>
      </c>
      <c r="BE24" s="207">
        <v>3443505.0800000094</v>
      </c>
      <c r="BF24" s="207">
        <v>3303372.9499999993</v>
      </c>
      <c r="BG24" s="207">
        <v>3861462.7300000023</v>
      </c>
      <c r="BH24" s="207">
        <v>2916407.5</v>
      </c>
      <c r="BI24" s="207">
        <v>3575817.7300000079</v>
      </c>
      <c r="BJ24" s="207">
        <v>2860473.4600000028</v>
      </c>
      <c r="BK24" s="207">
        <v>3273686.5900000036</v>
      </c>
      <c r="BL24" s="207">
        <v>2830708.5500000007</v>
      </c>
      <c r="BM24" s="207">
        <v>3142541.4499999993</v>
      </c>
      <c r="BN24" s="207">
        <v>6246132.2900000066</v>
      </c>
      <c r="BO24" s="207">
        <v>6298028.2100000083</v>
      </c>
      <c r="BP24" s="207">
        <v>4503286.6999999993</v>
      </c>
      <c r="BQ24" s="207">
        <v>4049495.5800000019</v>
      </c>
      <c r="BR24" s="207">
        <v>3703703.4499999993</v>
      </c>
      <c r="BS24" s="207">
        <v>2479047.0700000003</v>
      </c>
      <c r="BT24" s="207">
        <v>3500346.4099999927</v>
      </c>
      <c r="BU24" s="207">
        <v>2705461.549999997</v>
      </c>
      <c r="BV24" s="207">
        <v>3123779.1900000032</v>
      </c>
      <c r="BW24" s="207">
        <v>2840337.3900000006</v>
      </c>
      <c r="BX24" s="207">
        <v>4005622.7899999991</v>
      </c>
      <c r="BY24" s="207">
        <v>2388882.5799999945</v>
      </c>
      <c r="BZ24" s="207">
        <f>+BZ11-BZ22</f>
        <v>6152748.8000000007</v>
      </c>
      <c r="CA24" s="207">
        <f>+CA11-CA22</f>
        <v>4702553.3999999911</v>
      </c>
      <c r="CB24" s="207">
        <f>+CB11-CB22</f>
        <v>5200863.66</v>
      </c>
      <c r="CC24" s="207">
        <v>4844336.1199999973</v>
      </c>
      <c r="CD24" s="207">
        <v>4524301.7600000054</v>
      </c>
      <c r="CE24" s="207">
        <v>3102457.8999999985</v>
      </c>
      <c r="CF24" s="207">
        <f t="shared" ref="CF24:CK24" si="22">+CF11-CF22</f>
        <v>3662001.1899999995</v>
      </c>
      <c r="CG24" s="207">
        <f t="shared" si="22"/>
        <v>3525504.2599999942</v>
      </c>
      <c r="CH24" s="207">
        <f t="shared" si="22"/>
        <v>3446501.2700000033</v>
      </c>
      <c r="CI24" s="207">
        <f t="shared" si="22"/>
        <v>3614241.3699999936</v>
      </c>
      <c r="CJ24" s="207">
        <f t="shared" si="22"/>
        <v>4231441.7200000025</v>
      </c>
      <c r="CK24" s="207">
        <f t="shared" si="22"/>
        <v>5951609.770000007</v>
      </c>
      <c r="CL24" s="207">
        <f t="shared" ref="CL24:CQ24" si="23">+CL11-CL22</f>
        <v>9940462.4899999946</v>
      </c>
      <c r="CM24" s="207">
        <f t="shared" si="23"/>
        <v>5415606.1499999985</v>
      </c>
      <c r="CN24" s="207">
        <f t="shared" si="23"/>
        <v>2325500.1899999939</v>
      </c>
      <c r="CO24" s="207">
        <f t="shared" si="23"/>
        <v>5926409.1000000089</v>
      </c>
      <c r="CP24" s="207">
        <f t="shared" si="23"/>
        <v>3444404.6699999981</v>
      </c>
      <c r="CQ24" s="207">
        <f t="shared" si="23"/>
        <v>3828231.6100000031</v>
      </c>
      <c r="CR24" s="207">
        <f t="shared" ref="CR24:CW24" si="24">+CR11-CR22</f>
        <v>3891277.7600000054</v>
      </c>
      <c r="CS24" s="207">
        <f t="shared" si="24"/>
        <v>3421528.120000001</v>
      </c>
      <c r="CT24" s="207">
        <f t="shared" si="24"/>
        <v>4453467.1600000113</v>
      </c>
      <c r="CU24" s="207">
        <f t="shared" si="24"/>
        <v>3787137.3200000077</v>
      </c>
      <c r="CV24" s="207">
        <f t="shared" si="24"/>
        <v>4520616.8500000127</v>
      </c>
      <c r="CW24" s="207">
        <f t="shared" si="24"/>
        <v>6215582.5100000128</v>
      </c>
      <c r="CX24" s="207">
        <f t="shared" ref="CX24:DC24" si="25">+CX11-CX22</f>
        <v>7735121.25</v>
      </c>
      <c r="CY24" s="207">
        <f t="shared" si="25"/>
        <v>6933687.2900000066</v>
      </c>
      <c r="CZ24" s="207">
        <f t="shared" si="25"/>
        <v>6359334.7200000025</v>
      </c>
      <c r="DA24" s="207">
        <f t="shared" si="25"/>
        <v>6143625.1099999994</v>
      </c>
      <c r="DB24" s="207">
        <f t="shared" si="25"/>
        <v>5537220.6199999936</v>
      </c>
      <c r="DC24" s="207">
        <f t="shared" si="25"/>
        <v>4455270.5400000066</v>
      </c>
      <c r="DD24" s="207">
        <f t="shared" ref="DD24:DI24" si="26">+DD11-DD22</f>
        <v>4010450.0599999987</v>
      </c>
      <c r="DE24" s="207">
        <f t="shared" si="26"/>
        <v>4582283.09</v>
      </c>
      <c r="DF24" s="207">
        <f t="shared" si="26"/>
        <v>4625023.7300000004</v>
      </c>
      <c r="DG24" s="207">
        <f t="shared" si="26"/>
        <v>4508739.3800000027</v>
      </c>
      <c r="DH24" s="207">
        <f t="shared" si="26"/>
        <v>5499297.9999999925</v>
      </c>
      <c r="DI24" s="207">
        <f t="shared" si="26"/>
        <v>4979877.9199999906</v>
      </c>
      <c r="DJ24" s="207">
        <f t="shared" ref="DJ24:EI24" si="27">+DJ11-DJ22</f>
        <v>8644015.7799999975</v>
      </c>
      <c r="DK24" s="207">
        <f t="shared" si="27"/>
        <v>6665329.9600000009</v>
      </c>
      <c r="DL24" s="207">
        <f t="shared" si="27"/>
        <v>5635700.3799999952</v>
      </c>
      <c r="DM24" s="207">
        <f t="shared" si="27"/>
        <v>4431936.6300000064</v>
      </c>
      <c r="DN24" s="207">
        <f t="shared" si="27"/>
        <v>4746114</v>
      </c>
      <c r="DO24" s="207">
        <f t="shared" si="27"/>
        <v>4180826.9200000018</v>
      </c>
      <c r="DP24" s="207">
        <f t="shared" si="27"/>
        <v>4027489.8299999982</v>
      </c>
      <c r="DQ24" s="207">
        <f t="shared" si="27"/>
        <v>4533062.6800000034</v>
      </c>
      <c r="DR24" s="207">
        <f t="shared" si="27"/>
        <v>3801043.91</v>
      </c>
      <c r="DS24" s="207">
        <f t="shared" si="27"/>
        <v>3786107.049999997</v>
      </c>
      <c r="DT24" s="207">
        <f t="shared" si="27"/>
        <v>6143399.8900000043</v>
      </c>
      <c r="DU24" s="207">
        <f t="shared" si="27"/>
        <v>5076111.8500000015</v>
      </c>
      <c r="DV24" s="207">
        <f t="shared" ref="DV24:EA24" si="28">+DV11-DV22</f>
        <v>12317707.819999997</v>
      </c>
      <c r="DW24" s="207">
        <f t="shared" si="28"/>
        <v>8804136.7799999975</v>
      </c>
      <c r="DX24" s="207">
        <f t="shared" si="28"/>
        <v>8680210.1800000034</v>
      </c>
      <c r="DY24" s="207">
        <f t="shared" si="28"/>
        <v>8965501.6900000013</v>
      </c>
      <c r="DZ24" s="207">
        <f t="shared" si="28"/>
        <v>6652243.8500000089</v>
      </c>
      <c r="EA24" s="207">
        <f t="shared" si="28"/>
        <v>6700402.7899999991</v>
      </c>
      <c r="EB24" s="207">
        <f t="shared" ref="EB24:EH24" si="29">+EB11-EB22</f>
        <v>5672462.320000004</v>
      </c>
      <c r="EC24" s="207">
        <f t="shared" si="29"/>
        <v>5908975.8500000015</v>
      </c>
      <c r="ED24" s="207">
        <f t="shared" si="29"/>
        <v>6509228.3999999985</v>
      </c>
      <c r="EE24" s="207">
        <f t="shared" si="29"/>
        <v>6229267.5500000007</v>
      </c>
      <c r="EF24" s="207">
        <f t="shared" si="29"/>
        <v>7186472.0600000061</v>
      </c>
      <c r="EG24" s="207">
        <f t="shared" si="29"/>
        <v>7262771.3600000106</v>
      </c>
      <c r="EH24" s="439">
        <f t="shared" si="29"/>
        <v>90889380.649999976</v>
      </c>
      <c r="EI24" s="199">
        <f t="shared" si="27"/>
        <v>90889.38064999989</v>
      </c>
      <c r="EK24" s="56"/>
      <c r="EL24" s="56"/>
      <c r="EM24" s="56"/>
      <c r="EN24" s="56"/>
      <c r="EO24" s="56"/>
      <c r="EP24" s="56"/>
      <c r="EQ24" s="56"/>
      <c r="ER24" s="56"/>
      <c r="ES24" s="56"/>
      <c r="ET24" s="56"/>
    </row>
    <row r="25" spans="1:150">
      <c r="B25" s="317"/>
      <c r="C25" s="44"/>
      <c r="D25" s="384"/>
      <c r="E25" s="286"/>
      <c r="F25" s="209"/>
      <c r="G25" s="43"/>
      <c r="H25" s="43"/>
      <c r="I25" s="43"/>
      <c r="J25" s="43"/>
      <c r="K25" s="43"/>
      <c r="L25" s="43"/>
      <c r="M25" s="43"/>
      <c r="N25" s="43"/>
      <c r="O25" s="43"/>
      <c r="P25" s="205"/>
      <c r="Q25" s="205"/>
      <c r="R25" s="43"/>
      <c r="S25" s="43"/>
      <c r="T25" s="43"/>
      <c r="U25" s="270"/>
      <c r="V25" s="270"/>
      <c r="W25" s="270"/>
      <c r="X25" s="270"/>
      <c r="Y25" s="270"/>
      <c r="Z25" s="270"/>
      <c r="AA25" s="270"/>
      <c r="AB25" s="270"/>
      <c r="AC25" s="271"/>
      <c r="AD25" s="271"/>
      <c r="AE25" s="271"/>
      <c r="AF25" s="271"/>
      <c r="AG25" s="271"/>
      <c r="AH25" s="271"/>
      <c r="AI25" s="271"/>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453"/>
      <c r="BH25" s="453"/>
      <c r="BI25" s="453"/>
      <c r="BJ25" s="453"/>
      <c r="BK25" s="453"/>
      <c r="BL25" s="453"/>
      <c r="BM25" s="453"/>
      <c r="BN25" s="453"/>
      <c r="BO25" s="453"/>
      <c r="BP25" s="453"/>
      <c r="BQ25" s="453"/>
      <c r="BR25" s="453"/>
      <c r="BS25" s="453"/>
      <c r="BT25" s="453"/>
      <c r="BU25" s="453"/>
      <c r="BV25" s="453"/>
      <c r="BW25" s="453"/>
      <c r="BX25" s="453"/>
      <c r="BY25" s="453"/>
      <c r="BZ25" s="453"/>
      <c r="CA25" s="453"/>
      <c r="CB25" s="453"/>
      <c r="CC25" s="453"/>
      <c r="CD25" s="453"/>
      <c r="CE25" s="453"/>
      <c r="CF25" s="453"/>
      <c r="CG25" s="453"/>
      <c r="CH25" s="453"/>
      <c r="CI25" s="453"/>
      <c r="CJ25" s="453"/>
      <c r="CK25" s="453"/>
      <c r="CL25" s="453"/>
      <c r="CM25" s="453"/>
      <c r="CN25" s="453"/>
      <c r="CO25" s="453"/>
      <c r="CP25" s="453"/>
      <c r="CQ25" s="453"/>
      <c r="CR25" s="453"/>
      <c r="CS25" s="453"/>
      <c r="CT25" s="453"/>
      <c r="CU25" s="453"/>
      <c r="CV25" s="453"/>
      <c r="CW25" s="453"/>
      <c r="CX25" s="453"/>
      <c r="CY25" s="453"/>
      <c r="CZ25" s="453"/>
      <c r="DA25" s="453"/>
      <c r="DB25" s="453"/>
      <c r="DC25" s="453"/>
      <c r="DD25" s="453"/>
      <c r="DE25" s="453"/>
      <c r="DF25" s="453"/>
      <c r="DG25" s="453"/>
      <c r="DH25" s="453"/>
      <c r="DI25" s="453"/>
      <c r="DJ25" s="453"/>
      <c r="DK25" s="453"/>
      <c r="DL25" s="453"/>
      <c r="DM25" s="453"/>
      <c r="DN25" s="453"/>
      <c r="DO25" s="453"/>
      <c r="DP25" s="453"/>
      <c r="DQ25" s="453"/>
      <c r="DR25" s="453"/>
      <c r="DS25" s="453"/>
      <c r="DT25" s="453"/>
      <c r="DU25" s="453"/>
      <c r="DV25" s="453"/>
      <c r="DW25" s="453"/>
      <c r="DX25" s="453"/>
      <c r="DY25" s="453"/>
      <c r="DZ25" s="453"/>
      <c r="EA25" s="453"/>
      <c r="EB25" s="453"/>
      <c r="EC25" s="453"/>
      <c r="ED25" s="453"/>
      <c r="EE25" s="453"/>
      <c r="EF25" s="453"/>
      <c r="EG25" s="453"/>
      <c r="EH25" s="205"/>
      <c r="EI25" s="198"/>
      <c r="EK25" s="56"/>
      <c r="EL25" s="56"/>
      <c r="EM25" s="56"/>
      <c r="EN25" s="56"/>
      <c r="EO25" s="56"/>
      <c r="EP25" s="56"/>
      <c r="EQ25" s="56"/>
      <c r="ER25" s="56"/>
      <c r="ES25" s="56"/>
      <c r="ET25" s="56"/>
    </row>
    <row r="26" spans="1:150">
      <c r="A26" s="4" t="s">
        <v>386</v>
      </c>
      <c r="B26" s="369"/>
      <c r="C26" s="44"/>
      <c r="D26" s="385"/>
      <c r="E26" s="286"/>
      <c r="F26" s="209"/>
      <c r="G26" s="43"/>
      <c r="H26" s="43"/>
      <c r="I26" s="43"/>
      <c r="J26" s="43"/>
      <c r="K26" s="43"/>
      <c r="L26" s="43"/>
      <c r="M26" s="43"/>
      <c r="N26" s="43"/>
      <c r="O26" s="43"/>
      <c r="P26" s="205"/>
      <c r="Q26" s="205"/>
      <c r="R26" s="43"/>
      <c r="S26" s="43"/>
      <c r="T26" s="43"/>
      <c r="U26" s="270"/>
      <c r="V26" s="270"/>
      <c r="W26" s="270"/>
      <c r="X26" s="270"/>
      <c r="Y26" s="270"/>
      <c r="Z26" s="270"/>
      <c r="AA26" s="270"/>
      <c r="AB26" s="270"/>
      <c r="AC26" s="271"/>
      <c r="AD26" s="271"/>
      <c r="AE26" s="271"/>
      <c r="AF26" s="271"/>
      <c r="AG26" s="271"/>
      <c r="AH26" s="271"/>
      <c r="AI26" s="271"/>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198"/>
      <c r="EK26" s="56"/>
      <c r="EL26" s="56"/>
      <c r="EM26" s="56"/>
      <c r="EN26" s="56"/>
      <c r="EO26" s="56"/>
      <c r="EP26" s="56"/>
      <c r="EQ26" s="56"/>
      <c r="ER26" s="56"/>
      <c r="ES26" s="56"/>
      <c r="ET26" s="56"/>
    </row>
    <row r="27" spans="1:150">
      <c r="A27" t="s">
        <v>387</v>
      </c>
      <c r="B27" s="364">
        <f t="shared" ref="B27:B33" si="30">(+EH27/1000)</f>
        <v>-16.439250000000001</v>
      </c>
      <c r="C27" s="44"/>
      <c r="D27" s="382">
        <f t="shared" ref="D27:D33" si="31">(+EG27/1000)</f>
        <v>-2.26675</v>
      </c>
      <c r="E27" s="286"/>
      <c r="F27" s="375">
        <v>6948</v>
      </c>
      <c r="G27" s="116">
        <v>-7557</v>
      </c>
      <c r="H27" s="116">
        <v>-7479</v>
      </c>
      <c r="I27" s="116">
        <v>-3175</v>
      </c>
      <c r="J27" s="116">
        <v>-6695</v>
      </c>
      <c r="K27" s="116">
        <v>22278</v>
      </c>
      <c r="L27" s="116">
        <v>-12505.36</v>
      </c>
      <c r="M27" s="116">
        <v>-7240.1</v>
      </c>
      <c r="N27" s="116">
        <v>-7882.64</v>
      </c>
      <c r="O27" s="116">
        <v>-20678.650000000001</v>
      </c>
      <c r="P27" s="121">
        <v>-7558.98</v>
      </c>
      <c r="Q27" s="121">
        <v>-8753.4599999999991</v>
      </c>
      <c r="R27" s="116">
        <v>14163.84</v>
      </c>
      <c r="S27" s="116">
        <v>-12223.15</v>
      </c>
      <c r="T27" s="116">
        <v>6620.5499999999993</v>
      </c>
      <c r="U27" s="264">
        <v>-39078.509999999995</v>
      </c>
      <c r="V27" s="264">
        <v>-26074.799999999996</v>
      </c>
      <c r="W27" s="264">
        <v>8341.24</v>
      </c>
      <c r="X27" s="264">
        <v>3699.9999999999995</v>
      </c>
      <c r="Y27" s="264">
        <v>-3447.9799999999996</v>
      </c>
      <c r="Z27" s="264">
        <v>-7449.9999999999991</v>
      </c>
      <c r="AA27" s="264">
        <v>-12750</v>
      </c>
      <c r="AB27" s="264">
        <v>18775</v>
      </c>
      <c r="AC27" s="265">
        <v>-182220.51</v>
      </c>
      <c r="AD27" s="265">
        <v>-13560.770000000002</v>
      </c>
      <c r="AE27" s="265">
        <v>3323.75</v>
      </c>
      <c r="AF27" s="265">
        <v>-368.85000000000014</v>
      </c>
      <c r="AG27" s="294">
        <v>13612.000000000002</v>
      </c>
      <c r="AH27" s="294">
        <v>5418.7999999999975</v>
      </c>
      <c r="AI27" s="294">
        <v>-13891.2</v>
      </c>
      <c r="AJ27" s="374">
        <v>1162.8000000000006</v>
      </c>
      <c r="AK27" s="374">
        <v>8181.4400000000005</v>
      </c>
      <c r="AL27" s="374">
        <v>-1566.1999999999996</v>
      </c>
      <c r="AM27" s="323">
        <v>219.40000000000026</v>
      </c>
      <c r="AN27" s="323">
        <v>-1125.0000000000002</v>
      </c>
      <c r="AO27" s="323">
        <v>2125</v>
      </c>
      <c r="AP27" s="459">
        <v>-1664.4699999999998</v>
      </c>
      <c r="AQ27" s="459">
        <v>12652.33</v>
      </c>
      <c r="AR27" s="459">
        <v>-13061.66</v>
      </c>
      <c r="AS27" s="459">
        <v>-3819.5</v>
      </c>
      <c r="AT27" s="459">
        <v>-11079.28</v>
      </c>
      <c r="AU27" s="459">
        <v>-2954.58</v>
      </c>
      <c r="AV27" s="459">
        <v>-9090.4699999999993</v>
      </c>
      <c r="AW27" s="459">
        <v>9642.68</v>
      </c>
      <c r="AX27" s="459">
        <v>10603.73</v>
      </c>
      <c r="AY27" s="466">
        <v>2867.52</v>
      </c>
      <c r="AZ27" s="466">
        <v>-1360.22</v>
      </c>
      <c r="BA27" s="466">
        <v>-124299.7</v>
      </c>
      <c r="BB27" s="466">
        <v>6896.07</v>
      </c>
      <c r="BC27" s="466">
        <v>-7975.9000000000005</v>
      </c>
      <c r="BD27" s="466">
        <v>5833.95</v>
      </c>
      <c r="BE27" s="466">
        <v>4748.8900000000003</v>
      </c>
      <c r="BF27" s="466">
        <v>1500.27</v>
      </c>
      <c r="BG27" s="466">
        <v>-4327.74</v>
      </c>
      <c r="BH27" s="466">
        <v>18790.62</v>
      </c>
      <c r="BI27" s="466">
        <v>-249.46000000000004</v>
      </c>
      <c r="BJ27" s="482">
        <v>595.19000000000005</v>
      </c>
      <c r="BK27" s="482">
        <v>3982.67</v>
      </c>
      <c r="BL27" s="482">
        <v>16912.87</v>
      </c>
      <c r="BM27" s="482">
        <v>-90983.06</v>
      </c>
      <c r="BN27" s="482">
        <v>-787.7</v>
      </c>
      <c r="BO27" s="482">
        <v>-281.72000000000003</v>
      </c>
      <c r="BP27" s="482">
        <v>13091.92</v>
      </c>
      <c r="BQ27" s="482">
        <v>2167.83</v>
      </c>
      <c r="BR27" s="482">
        <v>2080</v>
      </c>
      <c r="BS27" s="482">
        <v>5855</v>
      </c>
      <c r="BT27" s="482">
        <v>2783.52</v>
      </c>
      <c r="BU27" s="482">
        <v>-72.519999999999982</v>
      </c>
      <c r="BV27" s="482">
        <v>-221.5</v>
      </c>
      <c r="BW27" s="482">
        <v>4210</v>
      </c>
      <c r="BX27" s="482">
        <v>-400.81</v>
      </c>
      <c r="BY27" s="482">
        <v>-65955</v>
      </c>
      <c r="BZ27" s="482">
        <v>125</v>
      </c>
      <c r="CA27" s="482">
        <v>0</v>
      </c>
      <c r="CB27" s="482">
        <v>26689.71</v>
      </c>
      <c r="CC27" s="482">
        <v>0</v>
      </c>
      <c r="CD27" s="482">
        <v>0</v>
      </c>
      <c r="CE27" s="482">
        <v>4139.9799999999996</v>
      </c>
      <c r="CF27" s="482">
        <v>-764.25</v>
      </c>
      <c r="CG27" s="482">
        <v>-109.83000000000001</v>
      </c>
      <c r="CH27" s="482">
        <v>-44.61</v>
      </c>
      <c r="CI27" s="482">
        <v>-28.42</v>
      </c>
      <c r="CJ27" s="482">
        <v>-710.23</v>
      </c>
      <c r="CK27" s="482">
        <v>37947</v>
      </c>
      <c r="CL27" s="482">
        <v>-36.43</v>
      </c>
      <c r="CM27" s="482">
        <v>14279.87</v>
      </c>
      <c r="CN27" s="482">
        <v>2460.94</v>
      </c>
      <c r="CO27" s="482">
        <v>22589.25</v>
      </c>
      <c r="CP27" s="482">
        <v>-32.590000000000003</v>
      </c>
      <c r="CQ27" s="482">
        <v>3943.19</v>
      </c>
      <c r="CR27" s="482">
        <v>5781.88</v>
      </c>
      <c r="CS27" s="482">
        <v>7777.3</v>
      </c>
      <c r="CT27" s="482">
        <v>5393.89</v>
      </c>
      <c r="CU27" s="482">
        <v>-239.08</v>
      </c>
      <c r="CV27" s="482">
        <v>-218.27</v>
      </c>
      <c r="CW27" s="482">
        <v>-316.47000000000003</v>
      </c>
      <c r="CX27" s="482">
        <v>-753.97</v>
      </c>
      <c r="CY27" s="482">
        <v>3809.22</v>
      </c>
      <c r="CZ27" s="482">
        <v>-115.45</v>
      </c>
      <c r="DA27" s="482">
        <v>-145.88999999999999</v>
      </c>
      <c r="DB27" s="482">
        <v>5830.38</v>
      </c>
      <c r="DC27" s="482">
        <v>-128.44</v>
      </c>
      <c r="DD27" s="482">
        <v>-275.52</v>
      </c>
      <c r="DE27" s="482">
        <v>571.84</v>
      </c>
      <c r="DF27" s="482">
        <v>-1720.8700000000001</v>
      </c>
      <c r="DG27" s="482">
        <v>3437.29</v>
      </c>
      <c r="DH27" s="482">
        <v>-1487.86</v>
      </c>
      <c r="DI27" s="482">
        <v>1708.8</v>
      </c>
      <c r="DJ27" s="482">
        <v>-301.91999999999996</v>
      </c>
      <c r="DK27" s="482">
        <v>2913.04</v>
      </c>
      <c r="DL27" s="482">
        <v>-835.78</v>
      </c>
      <c r="DM27" s="482">
        <v>4207.41</v>
      </c>
      <c r="DN27" s="482">
        <v>-2438.1</v>
      </c>
      <c r="DO27" s="482">
        <v>3701.68</v>
      </c>
      <c r="DP27" s="482">
        <v>-627.98</v>
      </c>
      <c r="DQ27" s="482">
        <v>5972.9599999999991</v>
      </c>
      <c r="DR27" s="482">
        <v>-679.6</v>
      </c>
      <c r="DS27" s="482">
        <v>-17017.97</v>
      </c>
      <c r="DT27" s="482">
        <v>-865.59</v>
      </c>
      <c r="DU27" s="482">
        <v>-4096.22</v>
      </c>
      <c r="DV27" s="482">
        <v>-2667.96</v>
      </c>
      <c r="DW27" s="482">
        <v>-2689.41</v>
      </c>
      <c r="DX27" s="482">
        <v>-2379.44</v>
      </c>
      <c r="DY27" s="482">
        <v>6465.51</v>
      </c>
      <c r="DZ27" s="482">
        <v>-592.79</v>
      </c>
      <c r="EA27" s="482">
        <v>-1644.0300000000002</v>
      </c>
      <c r="EB27" s="482">
        <v>-1331.57</v>
      </c>
      <c r="EC27" s="482">
        <v>-1656.31</v>
      </c>
      <c r="ED27" s="482">
        <v>-2642.34</v>
      </c>
      <c r="EE27" s="482">
        <f>(-VLOOKUP("4150",'Input IS ACCTS'!$A$6:$CV$512,97,FALSE)+(-VLOOKUP("4160",'Input IS ACCTS'!$A$6:$CV$512,97,FALSE)))</f>
        <v>-1974.72</v>
      </c>
      <c r="EF27" s="482">
        <f>(-VLOOKUP("4150",'Input IS ACCTS'!$A$6:$CV$512,98,FALSE)+(-VLOOKUP("4160",'Input IS ACCTS'!$A$6:$CV$512,98,FALSE)))</f>
        <v>-3059.44</v>
      </c>
      <c r="EG27" s="482">
        <f>(-VLOOKUP("4150",'Input IS ACCTS'!$A$6:$CV$512,99,FALSE)+(-VLOOKUP("4160",'Input IS ACCTS'!$A$6:$CV$512,99,FALSE)))</f>
        <v>-2266.75</v>
      </c>
      <c r="EH27" s="150">
        <f t="shared" ref="EH27:EH33" si="32">SUM(DV27:EG27)</f>
        <v>-16439.25</v>
      </c>
      <c r="EI27" s="198">
        <f t="shared" si="13"/>
        <v>-16.439250000000001</v>
      </c>
      <c r="EK27" s="56"/>
      <c r="EL27" s="56"/>
      <c r="EM27" s="56"/>
      <c r="EN27" s="56"/>
      <c r="EO27" s="56"/>
      <c r="EP27" s="56"/>
      <c r="EQ27" s="56"/>
      <c r="ER27" s="56"/>
      <c r="ES27" s="56"/>
      <c r="ET27" s="56"/>
    </row>
    <row r="28" spans="1:150">
      <c r="A28" t="s">
        <v>388</v>
      </c>
      <c r="B28" s="364">
        <f t="shared" si="30"/>
        <v>79.623620000000017</v>
      </c>
      <c r="C28" s="44"/>
      <c r="D28" s="382">
        <f t="shared" si="31"/>
        <v>3.6692800000000001</v>
      </c>
      <c r="E28" s="286"/>
      <c r="F28" s="375">
        <v>17112</v>
      </c>
      <c r="G28" s="116">
        <v>28005</v>
      </c>
      <c r="H28" s="116">
        <v>12092</v>
      </c>
      <c r="I28" s="116">
        <v>11566</v>
      </c>
      <c r="J28" s="116">
        <v>51059</v>
      </c>
      <c r="K28" s="116">
        <v>19032</v>
      </c>
      <c r="L28" s="116">
        <v>6846.93</v>
      </c>
      <c r="M28" s="116">
        <v>19448.66</v>
      </c>
      <c r="N28" s="116">
        <v>33893.1</v>
      </c>
      <c r="O28" s="116">
        <v>10242.69</v>
      </c>
      <c r="P28" s="121">
        <v>11970.65</v>
      </c>
      <c r="Q28" s="121">
        <v>13108.98</v>
      </c>
      <c r="R28" s="116">
        <v>8820.2900000000009</v>
      </c>
      <c r="S28" s="116">
        <v>5410.8</v>
      </c>
      <c r="T28" s="116">
        <v>15357.16</v>
      </c>
      <c r="U28" s="264">
        <v>19180.650000000001</v>
      </c>
      <c r="V28" s="264">
        <v>10946.170000000002</v>
      </c>
      <c r="W28" s="264">
        <v>13873.41</v>
      </c>
      <c r="X28" s="264">
        <v>16454.599999999999</v>
      </c>
      <c r="Y28" s="264">
        <v>10127.269999999999</v>
      </c>
      <c r="Z28" s="264">
        <v>22549.85</v>
      </c>
      <c r="AA28" s="264">
        <v>6424.68</v>
      </c>
      <c r="AB28" s="264">
        <v>6432.2</v>
      </c>
      <c r="AC28" s="265">
        <v>6435.38</v>
      </c>
      <c r="AD28" s="265">
        <v>12778.19</v>
      </c>
      <c r="AE28" s="265">
        <v>14689.19</v>
      </c>
      <c r="AF28" s="265">
        <v>14470.93</v>
      </c>
      <c r="AG28" s="294">
        <v>12612.26</v>
      </c>
      <c r="AH28" s="294">
        <v>17226.739999999998</v>
      </c>
      <c r="AI28" s="294">
        <v>11504.339999999998</v>
      </c>
      <c r="AJ28" s="374">
        <v>15795.3</v>
      </c>
      <c r="AK28" s="374">
        <v>20419.169999999998</v>
      </c>
      <c r="AL28" s="374">
        <v>12085.85</v>
      </c>
      <c r="AM28" s="323">
        <v>30010.22</v>
      </c>
      <c r="AN28" s="323">
        <v>24780.809999999998</v>
      </c>
      <c r="AO28" s="323">
        <v>12648.27</v>
      </c>
      <c r="AP28" s="459">
        <v>33105.9</v>
      </c>
      <c r="AQ28" s="459">
        <v>60160.57</v>
      </c>
      <c r="AR28" s="459">
        <v>16942.79</v>
      </c>
      <c r="AS28" s="459">
        <v>13700.03</v>
      </c>
      <c r="AT28" s="459">
        <v>22433.86</v>
      </c>
      <c r="AU28" s="459">
        <v>34601</v>
      </c>
      <c r="AV28" s="459">
        <v>13577.67</v>
      </c>
      <c r="AW28" s="459">
        <v>15638</v>
      </c>
      <c r="AX28" s="459">
        <v>15354.58</v>
      </c>
      <c r="AY28" s="466">
        <v>17160.03</v>
      </c>
      <c r="AZ28" s="466">
        <v>11242.67</v>
      </c>
      <c r="BA28" s="466">
        <v>30143.55</v>
      </c>
      <c r="BB28" s="466">
        <v>25287.87</v>
      </c>
      <c r="BC28" s="466">
        <v>18621.48</v>
      </c>
      <c r="BD28" s="466">
        <v>20659.18</v>
      </c>
      <c r="BE28" s="466">
        <v>25139.11</v>
      </c>
      <c r="BF28" s="466">
        <v>45226.83</v>
      </c>
      <c r="BG28" s="466">
        <v>46562.080000000002</v>
      </c>
      <c r="BH28" s="466">
        <v>13445.99</v>
      </c>
      <c r="BI28" s="466">
        <v>21691.13</v>
      </c>
      <c r="BJ28" s="482">
        <v>16325.54</v>
      </c>
      <c r="BK28" s="482">
        <v>18294.91</v>
      </c>
      <c r="BL28" s="482">
        <v>24058.92</v>
      </c>
      <c r="BM28" s="482">
        <v>21149.64</v>
      </c>
      <c r="BN28" s="482">
        <v>17840.47</v>
      </c>
      <c r="BO28" s="482">
        <v>68388.09</v>
      </c>
      <c r="BP28" s="482">
        <v>25117.439999999999</v>
      </c>
      <c r="BQ28" s="482">
        <v>36773.22</v>
      </c>
      <c r="BR28" s="482">
        <v>38605.68</v>
      </c>
      <c r="BS28" s="482">
        <v>48091.37</v>
      </c>
      <c r="BT28" s="482">
        <v>53566.52</v>
      </c>
      <c r="BU28" s="482">
        <v>41569.760000000002</v>
      </c>
      <c r="BV28" s="482">
        <v>29858.92</v>
      </c>
      <c r="BW28" s="482">
        <v>24046.71</v>
      </c>
      <c r="BX28" s="482">
        <v>34613.72</v>
      </c>
      <c r="BY28" s="482">
        <v>41797.339999999997</v>
      </c>
      <c r="BZ28" s="482">
        <v>28006.81</v>
      </c>
      <c r="CA28" s="482">
        <v>37984.57</v>
      </c>
      <c r="CB28" s="482">
        <v>31193.17</v>
      </c>
      <c r="CC28" s="482">
        <v>30066.84</v>
      </c>
      <c r="CD28" s="482">
        <v>9809.65</v>
      </c>
      <c r="CE28" s="482">
        <v>20994.17</v>
      </c>
      <c r="CF28" s="482">
        <v>1754.21</v>
      </c>
      <c r="CG28" s="482">
        <v>5124.66</v>
      </c>
      <c r="CH28" s="482">
        <v>1872.7</v>
      </c>
      <c r="CI28" s="482">
        <v>2250.67</v>
      </c>
      <c r="CJ28" s="482">
        <v>653.58000000000004</v>
      </c>
      <c r="CK28" s="482">
        <v>722.53</v>
      </c>
      <c r="CL28" s="482">
        <v>5980.14</v>
      </c>
      <c r="CM28" s="482">
        <v>683.95</v>
      </c>
      <c r="CN28" s="482">
        <v>593.34</v>
      </c>
      <c r="CO28" s="482">
        <v>1242.23</v>
      </c>
      <c r="CP28" s="482">
        <v>3325.19</v>
      </c>
      <c r="CQ28" s="482">
        <v>823.95</v>
      </c>
      <c r="CR28" s="482">
        <v>-61.04</v>
      </c>
      <c r="CS28" s="482">
        <v>774.42</v>
      </c>
      <c r="CT28" s="482">
        <v>869.08</v>
      </c>
      <c r="CU28" s="482">
        <v>-123.42</v>
      </c>
      <c r="CV28" s="482">
        <v>859.74</v>
      </c>
      <c r="CW28" s="482">
        <v>1245.73</v>
      </c>
      <c r="CX28" s="482">
        <v>1386.14</v>
      </c>
      <c r="CY28" s="482">
        <v>1039.8</v>
      </c>
      <c r="CZ28" s="482">
        <v>926.46</v>
      </c>
      <c r="DA28" s="482">
        <v>955.99</v>
      </c>
      <c r="DB28" s="482">
        <v>1150.17</v>
      </c>
      <c r="DC28" s="482">
        <v>3577.39</v>
      </c>
      <c r="DD28" s="482">
        <v>3981.29</v>
      </c>
      <c r="DE28" s="482">
        <v>3921.99</v>
      </c>
      <c r="DF28" s="482">
        <v>3048.89</v>
      </c>
      <c r="DG28" s="482">
        <v>21.6</v>
      </c>
      <c r="DH28" s="482">
        <v>5046.87</v>
      </c>
      <c r="DI28" s="482">
        <v>1393.46</v>
      </c>
      <c r="DJ28" s="482">
        <v>5829.61</v>
      </c>
      <c r="DK28" s="482">
        <v>5336.06</v>
      </c>
      <c r="DL28" s="482">
        <v>13624.8</v>
      </c>
      <c r="DM28" s="482">
        <v>48706.879999999997</v>
      </c>
      <c r="DN28" s="482">
        <v>1187.4000000000001</v>
      </c>
      <c r="DO28" s="482">
        <v>991.75</v>
      </c>
      <c r="DP28" s="482">
        <v>897.63</v>
      </c>
      <c r="DQ28" s="482">
        <v>1009.82</v>
      </c>
      <c r="DR28" s="482">
        <v>815.56</v>
      </c>
      <c r="DS28" s="482">
        <v>749.87</v>
      </c>
      <c r="DT28" s="482">
        <v>902.24</v>
      </c>
      <c r="DU28" s="482">
        <v>992.81</v>
      </c>
      <c r="DV28" s="482">
        <v>10589.77</v>
      </c>
      <c r="DW28" s="482">
        <v>10135.75</v>
      </c>
      <c r="DX28" s="482">
        <v>9969.0400000000009</v>
      </c>
      <c r="DY28" s="482">
        <v>9850.0300000000007</v>
      </c>
      <c r="DZ28" s="482">
        <v>14402.36</v>
      </c>
      <c r="EA28" s="482">
        <v>5189.09</v>
      </c>
      <c r="EB28" s="482">
        <v>3312.69</v>
      </c>
      <c r="EC28" s="482">
        <v>3259.81</v>
      </c>
      <c r="ED28" s="482">
        <v>2984.07</v>
      </c>
      <c r="EE28" s="482">
        <f>(-VLOOKUP("4190",'Input IS ACCTS'!$A$6:$CV$512,97,FALSE))</f>
        <v>3102.86</v>
      </c>
      <c r="EF28" s="482">
        <f>(-VLOOKUP("4190",'Input IS ACCTS'!$A$6:$CV$512,98,FALSE))</f>
        <v>3158.87</v>
      </c>
      <c r="EG28" s="482">
        <f>(-VLOOKUP("4190",'Input IS ACCTS'!$A$6:$CV$512,99,FALSE))</f>
        <v>3669.28</v>
      </c>
      <c r="EH28" s="150">
        <f t="shared" si="32"/>
        <v>79623.62000000001</v>
      </c>
      <c r="EI28" s="198">
        <f t="shared" si="13"/>
        <v>79.623620000000017</v>
      </c>
      <c r="EK28" s="56"/>
      <c r="EL28" s="56"/>
      <c r="EM28" s="56"/>
      <c r="EN28" s="56"/>
      <c r="EO28" s="56"/>
      <c r="EP28" s="56"/>
      <c r="EQ28" s="56"/>
      <c r="ER28" s="56"/>
      <c r="ES28" s="56"/>
      <c r="ET28" s="56"/>
    </row>
    <row r="29" spans="1:150">
      <c r="A29" t="s">
        <v>389</v>
      </c>
      <c r="B29" s="364">
        <f>(+EH29/1000)</f>
        <v>6.6276500000000009</v>
      </c>
      <c r="C29" s="44"/>
      <c r="D29" s="382">
        <f t="shared" si="31"/>
        <v>-1.55162</v>
      </c>
      <c r="E29" s="286"/>
      <c r="F29" s="375">
        <v>39542</v>
      </c>
      <c r="G29" s="116">
        <v>36326</v>
      </c>
      <c r="H29" s="116">
        <v>35097</v>
      </c>
      <c r="I29" s="116">
        <v>28520</v>
      </c>
      <c r="J29" s="116">
        <v>48905</v>
      </c>
      <c r="K29" s="116">
        <v>39235</v>
      </c>
      <c r="L29" s="116">
        <v>213371.16</v>
      </c>
      <c r="M29" s="116">
        <v>25762.11</v>
      </c>
      <c r="N29" s="116">
        <v>26711.11</v>
      </c>
      <c r="O29" s="116">
        <v>25198.16</v>
      </c>
      <c r="P29" s="121">
        <v>30837.66</v>
      </c>
      <c r="Q29" s="121">
        <v>43382.66</v>
      </c>
      <c r="R29" s="116">
        <v>25198.16</v>
      </c>
      <c r="S29" s="116">
        <v>29288.01</v>
      </c>
      <c r="T29" s="116">
        <v>27185.61</v>
      </c>
      <c r="U29" s="264">
        <v>25198.16</v>
      </c>
      <c r="V29" s="264">
        <v>25762.11</v>
      </c>
      <c r="W29" s="264">
        <v>26325.81</v>
      </c>
      <c r="X29" s="264">
        <v>25198.09</v>
      </c>
      <c r="Y29" s="264">
        <v>25198.09</v>
      </c>
      <c r="Z29" s="264">
        <v>0</v>
      </c>
      <c r="AA29" s="264">
        <v>0</v>
      </c>
      <c r="AB29" s="264">
        <v>0</v>
      </c>
      <c r="AC29" s="265">
        <v>0</v>
      </c>
      <c r="AD29" s="265">
        <v>0</v>
      </c>
      <c r="AE29" s="265">
        <v>7025.26</v>
      </c>
      <c r="AF29" s="265">
        <v>0</v>
      </c>
      <c r="AG29" s="294">
        <v>22061.77</v>
      </c>
      <c r="AH29" s="294">
        <v>14634.99</v>
      </c>
      <c r="AI29" s="294">
        <v>0</v>
      </c>
      <c r="AJ29" s="374">
        <v>10196.51</v>
      </c>
      <c r="AK29" s="374">
        <v>34428.230000000003</v>
      </c>
      <c r="AL29" s="374">
        <v>26390.98</v>
      </c>
      <c r="AM29" s="323">
        <v>0</v>
      </c>
      <c r="AN29" s="323">
        <v>0</v>
      </c>
      <c r="AO29" s="323">
        <v>13195.49</v>
      </c>
      <c r="AP29" s="459">
        <v>150</v>
      </c>
      <c r="AQ29" s="459">
        <v>6994.39</v>
      </c>
      <c r="AR29" s="459">
        <v>60</v>
      </c>
      <c r="AS29" s="459">
        <v>168</v>
      </c>
      <c r="AT29" s="459">
        <v>158</v>
      </c>
      <c r="AU29" s="459">
        <v>120</v>
      </c>
      <c r="AV29" s="459">
        <v>142</v>
      </c>
      <c r="AW29" s="459">
        <v>138</v>
      </c>
      <c r="AX29" s="459">
        <v>136</v>
      </c>
      <c r="AY29" s="466">
        <v>-215.02</v>
      </c>
      <c r="AZ29" s="466">
        <v>186</v>
      </c>
      <c r="BA29" s="466">
        <v>226</v>
      </c>
      <c r="BB29" s="466">
        <v>257</v>
      </c>
      <c r="BC29" s="466">
        <v>244</v>
      </c>
      <c r="BD29" s="466">
        <v>191</v>
      </c>
      <c r="BE29" s="466">
        <v>177</v>
      </c>
      <c r="BF29" s="466">
        <v>232</v>
      </c>
      <c r="BG29" s="466">
        <v>203</v>
      </c>
      <c r="BH29" s="466">
        <v>200</v>
      </c>
      <c r="BI29" s="466">
        <v>223</v>
      </c>
      <c r="BJ29" s="482">
        <v>246</v>
      </c>
      <c r="BK29" s="482">
        <v>353</v>
      </c>
      <c r="BL29" s="482">
        <v>672</v>
      </c>
      <c r="BM29" s="482">
        <v>689484.31</v>
      </c>
      <c r="BN29" s="482">
        <v>2208</v>
      </c>
      <c r="BO29" s="482">
        <v>1354</v>
      </c>
      <c r="BP29" s="482">
        <v>920</v>
      </c>
      <c r="BQ29" s="482">
        <v>839</v>
      </c>
      <c r="BR29" s="482">
        <v>735</v>
      </c>
      <c r="BS29" s="482">
        <v>784</v>
      </c>
      <c r="BT29" s="482">
        <v>179243.13</v>
      </c>
      <c r="BU29" s="482">
        <v>393794.13</v>
      </c>
      <c r="BV29" s="482">
        <v>179321.13</v>
      </c>
      <c r="BW29" s="482">
        <v>911674.98</v>
      </c>
      <c r="BX29" s="482">
        <v>179472.13</v>
      </c>
      <c r="BY29" s="482">
        <v>179729.03</v>
      </c>
      <c r="BZ29" s="482">
        <v>180045.13</v>
      </c>
      <c r="CA29" s="482">
        <v>179957.13</v>
      </c>
      <c r="CB29" s="482">
        <v>180174.23</v>
      </c>
      <c r="CC29" s="482">
        <v>178584.13</v>
      </c>
      <c r="CD29" s="482">
        <v>182218.13</v>
      </c>
      <c r="CE29" s="482">
        <v>180676.13</v>
      </c>
      <c r="CF29" s="482">
        <v>180862.13</v>
      </c>
      <c r="CG29" s="482">
        <v>180994.13</v>
      </c>
      <c r="CH29" s="482">
        <v>181050.13</v>
      </c>
      <c r="CI29" s="482">
        <v>182665.96</v>
      </c>
      <c r="CJ29" s="482">
        <v>186445.30000000002</v>
      </c>
      <c r="CK29" s="482">
        <v>188288.13</v>
      </c>
      <c r="CL29" s="482">
        <v>192933.99</v>
      </c>
      <c r="CM29" s="482">
        <v>184973.23</v>
      </c>
      <c r="CN29" s="482">
        <v>183278.47</v>
      </c>
      <c r="CO29" s="482">
        <v>146758.51</v>
      </c>
      <c r="CP29" s="482">
        <v>186318.64</v>
      </c>
      <c r="CQ29" s="482">
        <v>187862.47</v>
      </c>
      <c r="CR29" s="482">
        <v>189045.01</v>
      </c>
      <c r="CS29" s="482">
        <v>189231.06</v>
      </c>
      <c r="CT29" s="482">
        <v>196559.79</v>
      </c>
      <c r="CU29" s="482">
        <v>168325.95</v>
      </c>
      <c r="CV29" s="482">
        <v>193437.05000000002</v>
      </c>
      <c r="CW29" s="482">
        <v>180454.45</v>
      </c>
      <c r="CX29" s="482">
        <v>203266.58000000002</v>
      </c>
      <c r="CY29" s="482">
        <v>191020.30000000002</v>
      </c>
      <c r="CZ29" s="482">
        <v>190023.93</v>
      </c>
      <c r="DA29" s="482">
        <v>191603.24</v>
      </c>
      <c r="DB29" s="482">
        <v>187239.5</v>
      </c>
      <c r="DC29" s="482">
        <v>178349.92</v>
      </c>
      <c r="DD29" s="482">
        <v>195529.44</v>
      </c>
      <c r="DE29" s="482">
        <v>185547.74</v>
      </c>
      <c r="DF29" s="482">
        <v>189945.67</v>
      </c>
      <c r="DG29" s="482">
        <v>187425.12</v>
      </c>
      <c r="DH29" s="482">
        <v>187395.55000000002</v>
      </c>
      <c r="DI29" s="482">
        <v>186911.71</v>
      </c>
      <c r="DJ29" s="482">
        <v>183357.87</v>
      </c>
      <c r="DK29" s="482">
        <v>183381.67</v>
      </c>
      <c r="DL29" s="482">
        <v>187085.45</v>
      </c>
      <c r="DM29" s="482">
        <v>173926.1</v>
      </c>
      <c r="DN29" s="482">
        <v>134598.43</v>
      </c>
      <c r="DO29" s="482">
        <v>157662.21</v>
      </c>
      <c r="DP29" s="482">
        <v>21062.63</v>
      </c>
      <c r="DQ29" s="482">
        <v>13641.89</v>
      </c>
      <c r="DR29" s="482">
        <v>852.55</v>
      </c>
      <c r="DS29" s="482">
        <v>2386.31</v>
      </c>
      <c r="DT29" s="482">
        <v>-1094.53</v>
      </c>
      <c r="DU29" s="482">
        <v>395.97</v>
      </c>
      <c r="DV29" s="482">
        <v>999.71</v>
      </c>
      <c r="DW29" s="482">
        <v>-805.71</v>
      </c>
      <c r="DX29" s="482">
        <v>64.64</v>
      </c>
      <c r="DY29" s="482">
        <v>4013.08</v>
      </c>
      <c r="DZ29" s="482">
        <v>7</v>
      </c>
      <c r="EA29" s="482">
        <v>2693.33</v>
      </c>
      <c r="EB29" s="482">
        <v>-2444.14</v>
      </c>
      <c r="EC29" s="482">
        <v>113.74</v>
      </c>
      <c r="ED29" s="482">
        <v>1434.45</v>
      </c>
      <c r="EE29" s="482">
        <f>(-VLOOKUP("4210",'Input IS ACCTS'!$A$6:$CV$512,97,FALSE)+(-VLOOKUP("4211",'Input IS ACCTS'!$A$6:$CV$512,97,FALSE))+(-VLOOKUP("4560",'Input IS ACCTS'!$A$6:$CV$512,97,FALSE)))</f>
        <v>-1436.19</v>
      </c>
      <c r="EF29" s="482">
        <f>(-VLOOKUP("4210",'Input IS ACCTS'!$A$6:$CV$512,98,FALSE)+(-VLOOKUP("4211",'Input IS ACCTS'!$A$6:$CV$512,98,FALSE))+(-VLOOKUP("4560",'Input IS ACCTS'!$A$6:$CV$512,98,FALSE)))</f>
        <v>3539.36</v>
      </c>
      <c r="EG29" s="482">
        <f>(-VLOOKUP("4210",'Input IS ACCTS'!$A$6:$CV$512,99,FALSE)+(-VLOOKUP("4211",'Input IS ACCTS'!$A$6:$CV$512,99,FALSE))+(-VLOOKUP("4560",'Input IS ACCTS'!$A$6:$CV$512,99,FALSE)))</f>
        <v>-1551.62</v>
      </c>
      <c r="EH29" s="150">
        <f t="shared" si="32"/>
        <v>6627.6500000000005</v>
      </c>
      <c r="EI29" s="198">
        <f t="shared" si="13"/>
        <v>6.6276500000000009</v>
      </c>
      <c r="EK29" s="56"/>
      <c r="EL29" s="56"/>
      <c r="EM29" s="56"/>
      <c r="EN29" s="56"/>
      <c r="EO29" s="56"/>
      <c r="EP29" s="56"/>
      <c r="EQ29" s="56"/>
      <c r="ER29" s="56"/>
      <c r="ES29" s="56"/>
      <c r="ET29" s="56"/>
    </row>
    <row r="30" spans="1:150">
      <c r="A30" s="169" t="s">
        <v>471</v>
      </c>
      <c r="B30" s="364">
        <f t="shared" si="30"/>
        <v>3644.1554699999997</v>
      </c>
      <c r="C30" s="44"/>
      <c r="D30" s="382">
        <f t="shared" si="31"/>
        <v>159.44492000000002</v>
      </c>
      <c r="E30" s="286"/>
      <c r="F30" s="375">
        <v>384082</v>
      </c>
      <c r="G30" s="116">
        <v>70937</v>
      </c>
      <c r="H30" s="116">
        <v>410919</v>
      </c>
      <c r="I30" s="116">
        <v>199575</v>
      </c>
      <c r="J30" s="116">
        <v>237851</v>
      </c>
      <c r="K30" s="116">
        <v>435863</v>
      </c>
      <c r="L30" s="116">
        <v>326114.52</v>
      </c>
      <c r="M30" s="116">
        <v>120231.18</v>
      </c>
      <c r="N30" s="116">
        <v>211555.43</v>
      </c>
      <c r="O30" s="116">
        <v>39681.879999999997</v>
      </c>
      <c r="P30" s="121">
        <v>304140.34999999998</v>
      </c>
      <c r="Q30" s="121">
        <v>321742</v>
      </c>
      <c r="R30" s="116">
        <v>150326.49</v>
      </c>
      <c r="S30" s="116">
        <v>126121.07</v>
      </c>
      <c r="T30" s="116">
        <v>89869.8</v>
      </c>
      <c r="U30" s="264">
        <v>222889.46</v>
      </c>
      <c r="V30" s="264">
        <v>129498.73999999999</v>
      </c>
      <c r="W30" s="264">
        <v>-71705.61</v>
      </c>
      <c r="X30" s="264">
        <v>135245.64000000001</v>
      </c>
      <c r="Y30" s="264">
        <v>122405.05</v>
      </c>
      <c r="Z30" s="264">
        <v>141325.48000000001</v>
      </c>
      <c r="AA30" s="264">
        <v>124049.31</v>
      </c>
      <c r="AB30" s="264">
        <v>69022.64</v>
      </c>
      <c r="AC30" s="265">
        <v>344807.04</v>
      </c>
      <c r="AD30" s="265">
        <v>292455.71999999997</v>
      </c>
      <c r="AE30" s="265">
        <v>164796.48000000001</v>
      </c>
      <c r="AF30" s="265">
        <v>307255.33</v>
      </c>
      <c r="AG30" s="294">
        <v>198884.62</v>
      </c>
      <c r="AH30" s="294">
        <v>188158.68</v>
      </c>
      <c r="AI30" s="294">
        <v>255298.89</v>
      </c>
      <c r="AJ30" s="374">
        <v>207243.81</v>
      </c>
      <c r="AK30" s="374">
        <v>231420.29</v>
      </c>
      <c r="AL30" s="374">
        <v>260117.72000000003</v>
      </c>
      <c r="AM30" s="323">
        <v>228530.99</v>
      </c>
      <c r="AN30" s="323">
        <v>107196.27</v>
      </c>
      <c r="AO30" s="323">
        <v>174002.4</v>
      </c>
      <c r="AP30" s="432">
        <v>214296.28</v>
      </c>
      <c r="AQ30" s="432">
        <v>330590.94</v>
      </c>
      <c r="AR30" s="432">
        <v>206491.26</v>
      </c>
      <c r="AS30" s="432">
        <v>280856.64</v>
      </c>
      <c r="AT30" s="432">
        <v>178527.23</v>
      </c>
      <c r="AU30" s="432">
        <v>262447.71999999997</v>
      </c>
      <c r="AV30" s="432">
        <v>240575.55</v>
      </c>
      <c r="AW30" s="432">
        <v>197832.04</v>
      </c>
      <c r="AX30" s="432">
        <v>68753.320000000007</v>
      </c>
      <c r="AY30" s="432">
        <v>294246.26</v>
      </c>
      <c r="AZ30" s="432">
        <v>168347.11</v>
      </c>
      <c r="BA30" s="432">
        <v>192880.57</v>
      </c>
      <c r="BB30" s="432">
        <v>390775.07</v>
      </c>
      <c r="BC30" s="432">
        <v>210884.69</v>
      </c>
      <c r="BD30" s="432">
        <v>150763.29</v>
      </c>
      <c r="BE30" s="432">
        <v>117072.92</v>
      </c>
      <c r="BF30" s="432">
        <v>224359.7</v>
      </c>
      <c r="BG30" s="432">
        <v>216294.17</v>
      </c>
      <c r="BH30" s="432">
        <v>152920.16</v>
      </c>
      <c r="BI30" s="432">
        <v>171043.58</v>
      </c>
      <c r="BJ30" s="432">
        <v>223338.23999999999</v>
      </c>
      <c r="BK30" s="432">
        <v>130233.48</v>
      </c>
      <c r="BL30" s="432">
        <v>190346.84</v>
      </c>
      <c r="BM30" s="432">
        <v>703834.01</v>
      </c>
      <c r="BN30" s="432">
        <v>296280.46000000002</v>
      </c>
      <c r="BO30" s="432">
        <v>362928.71</v>
      </c>
      <c r="BP30" s="432">
        <v>102655.97</v>
      </c>
      <c r="BQ30" s="432">
        <v>122065.81</v>
      </c>
      <c r="BR30" s="432">
        <v>290536.36</v>
      </c>
      <c r="BS30" s="432">
        <v>148831.98000000001</v>
      </c>
      <c r="BT30" s="432">
        <v>214871.25</v>
      </c>
      <c r="BU30" s="432">
        <v>277765.40000000002</v>
      </c>
      <c r="BV30" s="432">
        <v>180270.99</v>
      </c>
      <c r="BW30" s="432">
        <v>769396.37</v>
      </c>
      <c r="BX30" s="432">
        <v>202984.49</v>
      </c>
      <c r="BY30" s="432">
        <v>221317.04</v>
      </c>
      <c r="BZ30" s="432">
        <v>353932.4</v>
      </c>
      <c r="CA30" s="432">
        <v>308136.26</v>
      </c>
      <c r="CB30" s="432">
        <v>287169.15000000002</v>
      </c>
      <c r="CC30" s="432">
        <v>146968.54999999999</v>
      </c>
      <c r="CD30" s="432">
        <v>331963.59000000003</v>
      </c>
      <c r="CE30" s="432">
        <v>-153361.17000000001</v>
      </c>
      <c r="CF30" s="432">
        <v>293256.39</v>
      </c>
      <c r="CG30" s="432">
        <v>142790.04999999999</v>
      </c>
      <c r="CH30" s="432">
        <v>297970.53000000003</v>
      </c>
      <c r="CI30" s="432">
        <v>245610.76</v>
      </c>
      <c r="CJ30" s="432">
        <v>341556.85</v>
      </c>
      <c r="CK30" s="432">
        <v>549068.92000000004</v>
      </c>
      <c r="CL30" s="432">
        <v>427265.75</v>
      </c>
      <c r="CM30" s="432">
        <v>414555.12</v>
      </c>
      <c r="CN30" s="432">
        <v>112602.5</v>
      </c>
      <c r="CO30" s="432">
        <v>506278.72</v>
      </c>
      <c r="CP30" s="432">
        <v>262049.55</v>
      </c>
      <c r="CQ30" s="432">
        <v>222660.19</v>
      </c>
      <c r="CR30" s="432">
        <v>289543.83</v>
      </c>
      <c r="CS30" s="432">
        <v>189620.79</v>
      </c>
      <c r="CT30" s="432">
        <v>174472.46</v>
      </c>
      <c r="CU30" s="432">
        <v>253677.03</v>
      </c>
      <c r="CV30" s="432">
        <v>242731.81</v>
      </c>
      <c r="CW30" s="432">
        <v>417337.17</v>
      </c>
      <c r="CX30" s="432">
        <v>256648.59</v>
      </c>
      <c r="CY30" s="432">
        <v>285523.38</v>
      </c>
      <c r="CZ30" s="432">
        <v>461128.74</v>
      </c>
      <c r="DA30" s="432">
        <v>417107.02</v>
      </c>
      <c r="DB30" s="432">
        <v>323818.81</v>
      </c>
      <c r="DC30" s="432">
        <v>234534.32</v>
      </c>
      <c r="DD30" s="432">
        <v>338930.12</v>
      </c>
      <c r="DE30" s="432">
        <v>459463.36</v>
      </c>
      <c r="DF30" s="432">
        <v>219164.33</v>
      </c>
      <c r="DG30" s="432">
        <v>197590.86</v>
      </c>
      <c r="DH30" s="432">
        <v>194188.46</v>
      </c>
      <c r="DI30" s="432">
        <v>228792.44</v>
      </c>
      <c r="DJ30" s="432">
        <v>126272.64</v>
      </c>
      <c r="DK30" s="432">
        <v>424898.82</v>
      </c>
      <c r="DL30" s="432">
        <v>93899.42</v>
      </c>
      <c r="DM30" s="432">
        <v>334447.24</v>
      </c>
      <c r="DN30" s="432">
        <v>410336.04</v>
      </c>
      <c r="DO30" s="432">
        <v>224341.44</v>
      </c>
      <c r="DP30" s="432">
        <v>188439.92</v>
      </c>
      <c r="DQ30" s="432">
        <v>311341.21000000002</v>
      </c>
      <c r="DR30" s="432">
        <v>239230.3</v>
      </c>
      <c r="DS30" s="432">
        <v>350793.42</v>
      </c>
      <c r="DT30" s="432">
        <v>209032.59</v>
      </c>
      <c r="DU30" s="432">
        <v>367048.31</v>
      </c>
      <c r="DV30" s="432">
        <v>334134.96999999997</v>
      </c>
      <c r="DW30" s="432">
        <v>387862.25</v>
      </c>
      <c r="DX30" s="432">
        <v>275361.32</v>
      </c>
      <c r="DY30" s="432">
        <v>331471.51</v>
      </c>
      <c r="DZ30" s="432">
        <v>390513.08</v>
      </c>
      <c r="EA30" s="432">
        <v>271490.58</v>
      </c>
      <c r="EB30" s="432">
        <v>274120.75</v>
      </c>
      <c r="EC30" s="432">
        <v>337068.29</v>
      </c>
      <c r="ED30" s="432">
        <v>295827.65000000002</v>
      </c>
      <c r="EE30" s="432">
        <f>-(VLOOKUP("4181",'Input IS ACCTS'!$A$6:$CV$512,97,FALSE))</f>
        <v>313747.78000000003</v>
      </c>
      <c r="EF30" s="432">
        <f>-(VLOOKUP("4181",'Input IS ACCTS'!$A$6:$CV$512,98,FALSE))</f>
        <v>273112.37</v>
      </c>
      <c r="EG30" s="432">
        <f>-(VLOOKUP("4181",'Input IS ACCTS'!$A$6:$CV$512,99,FALSE))</f>
        <v>159444.92000000001</v>
      </c>
      <c r="EH30" s="150">
        <f t="shared" si="32"/>
        <v>3644155.4699999997</v>
      </c>
      <c r="EI30" s="198">
        <f t="shared" si="13"/>
        <v>3644.1554699999997</v>
      </c>
      <c r="EK30" s="56"/>
      <c r="EL30" s="56"/>
      <c r="EM30" s="56"/>
      <c r="EN30" s="56"/>
      <c r="EO30" s="56"/>
      <c r="EP30" s="56"/>
      <c r="EQ30" s="56"/>
      <c r="ER30" s="56"/>
      <c r="ES30" s="56"/>
      <c r="ET30" s="56"/>
    </row>
    <row r="31" spans="1:150">
      <c r="A31" s="438" t="s">
        <v>390</v>
      </c>
      <c r="B31" s="364">
        <f t="shared" si="30"/>
        <v>588.97244999999998</v>
      </c>
      <c r="C31" s="44"/>
      <c r="D31" s="382">
        <f t="shared" si="31"/>
        <v>100.63234999999999</v>
      </c>
      <c r="E31" s="286"/>
      <c r="F31" s="375">
        <v>7840</v>
      </c>
      <c r="G31" s="116">
        <v>42875</v>
      </c>
      <c r="H31" s="116">
        <v>2715</v>
      </c>
      <c r="I31" s="116">
        <v>2957</v>
      </c>
      <c r="J31" s="116">
        <v>43638</v>
      </c>
      <c r="K31" s="116">
        <v>11618</v>
      </c>
      <c r="L31" s="116">
        <v>33783.370000000003</v>
      </c>
      <c r="M31" s="116">
        <v>28542.799999999999</v>
      </c>
      <c r="N31" s="116">
        <v>5374.07</v>
      </c>
      <c r="O31" s="116">
        <v>12274.79</v>
      </c>
      <c r="P31" s="121">
        <v>6539.27</v>
      </c>
      <c r="Q31" s="121">
        <v>18903.57</v>
      </c>
      <c r="R31" s="116">
        <v>5480.37</v>
      </c>
      <c r="S31" s="116">
        <v>51211.72</v>
      </c>
      <c r="T31" s="116">
        <v>5558</v>
      </c>
      <c r="U31" s="264">
        <v>60260.61</v>
      </c>
      <c r="V31" s="264">
        <v>24520.1</v>
      </c>
      <c r="W31" s="264">
        <v>7334.52</v>
      </c>
      <c r="X31" s="264">
        <v>-154640.32000000007</v>
      </c>
      <c r="Y31" s="264">
        <v>2.1316282072803006E-11</v>
      </c>
      <c r="Z31" s="264">
        <v>1.4210854715202004E-11</v>
      </c>
      <c r="AA31" s="264">
        <v>-7.1054273576010019E-12</v>
      </c>
      <c r="AB31" s="264">
        <v>-150.00000000000568</v>
      </c>
      <c r="AC31" s="265">
        <v>150.00000000000568</v>
      </c>
      <c r="AD31" s="265">
        <v>-2.8421709430404007E-11</v>
      </c>
      <c r="AE31" s="265">
        <v>-6686.0000000000073</v>
      </c>
      <c r="AF31" s="265">
        <v>-1.4210854715202004E-11</v>
      </c>
      <c r="AG31" s="294">
        <v>-199.99999999998863</v>
      </c>
      <c r="AH31" s="294">
        <v>-539.99999999997783</v>
      </c>
      <c r="AI31" s="294">
        <v>-4000.0000000000073</v>
      </c>
      <c r="AJ31" s="374">
        <v>7.1054273576010019E-12</v>
      </c>
      <c r="AK31" s="374">
        <v>7.1054273576010019E-12</v>
      </c>
      <c r="AL31" s="374">
        <v>-48.000000000001819</v>
      </c>
      <c r="AM31" s="329">
        <v>-524.99999999998431</v>
      </c>
      <c r="AN31" s="329">
        <v>-50.000000000004263</v>
      </c>
      <c r="AO31" s="329">
        <v>-50.000000000011369</v>
      </c>
      <c r="AP31" s="459">
        <v>14929.1</v>
      </c>
      <c r="AQ31" s="459">
        <v>33606.619999999995</v>
      </c>
      <c r="AR31" s="459">
        <v>51965.72</v>
      </c>
      <c r="AS31" s="459">
        <v>9676.15</v>
      </c>
      <c r="AT31" s="459">
        <v>35363.839999999997</v>
      </c>
      <c r="AU31" s="459">
        <v>21268.1</v>
      </c>
      <c r="AV31" s="459">
        <v>58391.19</v>
      </c>
      <c r="AW31" s="459">
        <v>16695.39</v>
      </c>
      <c r="AX31" s="459">
        <v>9193.880000000001</v>
      </c>
      <c r="AY31" s="466">
        <v>9278.34</v>
      </c>
      <c r="AZ31" s="466">
        <v>15502.02</v>
      </c>
      <c r="BA31" s="466">
        <v>52738.51</v>
      </c>
      <c r="BB31" s="466">
        <v>20233.21</v>
      </c>
      <c r="BC31" s="466">
        <v>36051.25</v>
      </c>
      <c r="BD31" s="466">
        <v>53831.09</v>
      </c>
      <c r="BE31" s="466">
        <v>72535.839999999997</v>
      </c>
      <c r="BF31" s="466">
        <v>23683.559999999998</v>
      </c>
      <c r="BG31" s="466">
        <v>25999.53</v>
      </c>
      <c r="BH31" s="466">
        <v>40198.520000000004</v>
      </c>
      <c r="BI31" s="466">
        <v>20964.82</v>
      </c>
      <c r="BJ31" s="482">
        <v>60050.020000000004</v>
      </c>
      <c r="BK31" s="482">
        <v>27105.29</v>
      </c>
      <c r="BL31" s="482">
        <v>17678.09</v>
      </c>
      <c r="BM31" s="482">
        <v>79882.789999999994</v>
      </c>
      <c r="BN31" s="482">
        <v>31796.67</v>
      </c>
      <c r="BO31" s="482">
        <v>26794.6</v>
      </c>
      <c r="BP31" s="482">
        <v>1049660.75</v>
      </c>
      <c r="BQ31" s="482">
        <v>31151.879999999997</v>
      </c>
      <c r="BR31" s="482">
        <v>29807.87</v>
      </c>
      <c r="BS31" s="482">
        <v>147993.19</v>
      </c>
      <c r="BT31" s="482">
        <v>24845.64</v>
      </c>
      <c r="BU31" s="482">
        <v>26116.55</v>
      </c>
      <c r="BV31" s="482">
        <v>36942.050000000003</v>
      </c>
      <c r="BW31" s="482">
        <v>38123.35</v>
      </c>
      <c r="BX31" s="482">
        <v>24210.720000000001</v>
      </c>
      <c r="BY31" s="482">
        <v>122107.59</v>
      </c>
      <c r="BZ31" s="482">
        <v>-13338.130000000001</v>
      </c>
      <c r="CA31" s="482">
        <v>19634.73</v>
      </c>
      <c r="CB31" s="482">
        <v>8130.51</v>
      </c>
      <c r="CC31" s="482">
        <v>29685.57</v>
      </c>
      <c r="CD31" s="482">
        <v>15256.43</v>
      </c>
      <c r="CE31" s="482">
        <v>14519.84</v>
      </c>
      <c r="CF31" s="482">
        <v>53262.97</v>
      </c>
      <c r="CG31" s="482">
        <v>24941.200000000001</v>
      </c>
      <c r="CH31" s="482">
        <v>40323.160000000003</v>
      </c>
      <c r="CI31" s="482">
        <v>22215.79</v>
      </c>
      <c r="CJ31" s="482">
        <v>18851.760000000002</v>
      </c>
      <c r="CK31" s="482">
        <v>33791.69</v>
      </c>
      <c r="CL31" s="482">
        <v>13998.8</v>
      </c>
      <c r="CM31" s="482">
        <v>78467.87</v>
      </c>
      <c r="CN31" s="482">
        <v>20647.62</v>
      </c>
      <c r="CO31" s="482">
        <v>56162.89</v>
      </c>
      <c r="CP31" s="482">
        <v>32400.39</v>
      </c>
      <c r="CQ31" s="482">
        <v>13366.28</v>
      </c>
      <c r="CR31" s="482">
        <v>11097.45</v>
      </c>
      <c r="CS31" s="482">
        <v>27895.66</v>
      </c>
      <c r="CT31" s="482">
        <v>16658.64</v>
      </c>
      <c r="CU31" s="482">
        <v>73888.91</v>
      </c>
      <c r="CV31" s="482">
        <v>66279.03</v>
      </c>
      <c r="CW31" s="482">
        <v>37869.08</v>
      </c>
      <c r="CX31" s="482">
        <v>41193.14</v>
      </c>
      <c r="CY31" s="482">
        <v>25602.32</v>
      </c>
      <c r="CZ31" s="482">
        <v>89218.47</v>
      </c>
      <c r="DA31" s="482">
        <v>28832.25</v>
      </c>
      <c r="DB31" s="482">
        <v>35379.17</v>
      </c>
      <c r="DC31" s="482">
        <v>11174.1</v>
      </c>
      <c r="DD31" s="482">
        <v>14974.75</v>
      </c>
      <c r="DE31" s="482">
        <v>23220.42</v>
      </c>
      <c r="DF31" s="482">
        <v>77385.62000000001</v>
      </c>
      <c r="DG31" s="482">
        <v>19285.489999999998</v>
      </c>
      <c r="DH31" s="482">
        <v>41741.03</v>
      </c>
      <c r="DI31" s="482">
        <v>66190.570000000007</v>
      </c>
      <c r="DJ31" s="482">
        <v>11055.41</v>
      </c>
      <c r="DK31" s="482">
        <v>114461.26999999999</v>
      </c>
      <c r="DL31" s="482">
        <v>43439.23</v>
      </c>
      <c r="DM31" s="482">
        <v>113507.68</v>
      </c>
      <c r="DN31" s="482">
        <v>41371.550000000003</v>
      </c>
      <c r="DO31" s="482">
        <v>66857.179999999993</v>
      </c>
      <c r="DP31" s="482">
        <v>14575.52</v>
      </c>
      <c r="DQ31" s="482">
        <v>26196.880000000001</v>
      </c>
      <c r="DR31" s="482">
        <v>9238.27</v>
      </c>
      <c r="DS31" s="482">
        <v>47371.97</v>
      </c>
      <c r="DT31" s="482">
        <v>26350.89</v>
      </c>
      <c r="DU31" s="482">
        <v>80786.37</v>
      </c>
      <c r="DV31" s="482">
        <v>49957.54</v>
      </c>
      <c r="DW31" s="482">
        <v>61239.79</v>
      </c>
      <c r="DX31" s="482">
        <v>41263.420000000006</v>
      </c>
      <c r="DY31" s="482">
        <v>37604.119999999995</v>
      </c>
      <c r="DZ31" s="482">
        <v>23143.49</v>
      </c>
      <c r="EA31" s="482">
        <v>40925.760000000002</v>
      </c>
      <c r="EB31" s="482">
        <v>32993.35</v>
      </c>
      <c r="EC31" s="482">
        <v>33921.519999999997</v>
      </c>
      <c r="ED31" s="482">
        <v>93251.18</v>
      </c>
      <c r="EE31" s="482">
        <f>(VLOOKUP("4212",'Input IS ACCTS'!$A$6:$CV$512,97,FALSE)+(VLOOKUP("4261",'Input IS ACCTS'!$A$6:$CV$512,97,FALSE)+(VLOOKUP("4264",'Input IS ACCTS'!$A$6:$CV$512,97,FALSE)+(VLOOKUP("4265",'Input IS ACCTS'!$A$6:$CV$512,97,FALSE)+(VLOOKUP("4263",'Input IS ACCTS'!$A$6:$CV$512,97,FALSE))))))</f>
        <v>40916.58</v>
      </c>
      <c r="EF31" s="482">
        <f>(VLOOKUP("4212",'Input IS ACCTS'!$A$6:$CV$512,98,FALSE)+(VLOOKUP("4261",'Input IS ACCTS'!$A$6:$CV$512,98,FALSE)+(VLOOKUP("4264",'Input IS ACCTS'!$A$6:$CV$512,98,FALSE)+(VLOOKUP("4265",'Input IS ACCTS'!$A$6:$CV$512,98,FALSE)+(VLOOKUP("4263",'Input IS ACCTS'!$A$6:$CV$512,98,FALSE))))))</f>
        <v>33123.35</v>
      </c>
      <c r="EG31" s="482">
        <f>(VLOOKUP("4212",'Input IS ACCTS'!$A$6:$CV$512,99,FALSE)+(VLOOKUP("4261",'Input IS ACCTS'!$A$6:$CV$512,99,FALSE)+(VLOOKUP("4264",'Input IS ACCTS'!$A$6:$CV$512,99,FALSE)+(VLOOKUP("4265",'Input IS ACCTS'!$A$6:$CV$512,99,FALSE)+(VLOOKUP("4263",'Input IS ACCTS'!$A$6:$CV$512,99,FALSE))))))</f>
        <v>100632.34999999999</v>
      </c>
      <c r="EH31" s="150">
        <f t="shared" si="32"/>
        <v>588972.44999999995</v>
      </c>
      <c r="EI31" s="198">
        <f t="shared" si="13"/>
        <v>588.97244999999998</v>
      </c>
      <c r="EK31" s="56"/>
      <c r="EL31" s="56"/>
      <c r="EM31" s="56"/>
      <c r="EN31" s="56"/>
      <c r="EO31" s="56"/>
      <c r="EP31" s="56"/>
      <c r="EQ31" s="56"/>
      <c r="ER31" s="56"/>
      <c r="ES31" s="56"/>
      <c r="ET31" s="56"/>
    </row>
    <row r="32" spans="1:150">
      <c r="A32" s="837" t="s">
        <v>2283</v>
      </c>
      <c r="B32" s="364">
        <f t="shared" si="30"/>
        <v>3294.7623899999999</v>
      </c>
      <c r="C32" s="44"/>
      <c r="D32" s="382">
        <f t="shared" si="31"/>
        <v>163.71722</v>
      </c>
      <c r="E32" s="286"/>
      <c r="F32" s="375">
        <v>0</v>
      </c>
      <c r="G32" s="116">
        <v>0</v>
      </c>
      <c r="H32" s="116">
        <v>0</v>
      </c>
      <c r="I32" s="116">
        <v>0</v>
      </c>
      <c r="J32" s="116">
        <v>0</v>
      </c>
      <c r="K32" s="116">
        <v>0</v>
      </c>
      <c r="L32" s="116">
        <v>0</v>
      </c>
      <c r="M32" s="116">
        <v>0</v>
      </c>
      <c r="N32" s="116">
        <v>0</v>
      </c>
      <c r="O32" s="116">
        <v>0</v>
      </c>
      <c r="P32" s="121">
        <v>0</v>
      </c>
      <c r="Q32" s="121">
        <v>0</v>
      </c>
      <c r="R32" s="116">
        <v>0</v>
      </c>
      <c r="S32" s="116">
        <v>0</v>
      </c>
      <c r="T32" s="116">
        <v>0</v>
      </c>
      <c r="U32" s="264">
        <v>0</v>
      </c>
      <c r="V32" s="264">
        <v>0</v>
      </c>
      <c r="W32" s="264">
        <v>0</v>
      </c>
      <c r="X32" s="264">
        <v>0</v>
      </c>
      <c r="Y32" s="264">
        <v>0</v>
      </c>
      <c r="Z32" s="264">
        <v>0</v>
      </c>
      <c r="AA32" s="264">
        <v>0</v>
      </c>
      <c r="AB32" s="264">
        <v>0</v>
      </c>
      <c r="AC32" s="265">
        <v>0</v>
      </c>
      <c r="AD32" s="265">
        <v>0</v>
      </c>
      <c r="AE32" s="265">
        <v>0</v>
      </c>
      <c r="AF32" s="265">
        <v>0</v>
      </c>
      <c r="AG32" s="294">
        <v>0</v>
      </c>
      <c r="AH32" s="294">
        <v>0</v>
      </c>
      <c r="AI32" s="294">
        <v>0</v>
      </c>
      <c r="AJ32" s="374">
        <v>0</v>
      </c>
      <c r="AK32" s="374">
        <v>0</v>
      </c>
      <c r="AL32" s="374">
        <v>0</v>
      </c>
      <c r="AM32" s="323">
        <v>0</v>
      </c>
      <c r="AN32" s="323">
        <v>0</v>
      </c>
      <c r="AO32" s="323">
        <v>0</v>
      </c>
      <c r="AP32" s="432">
        <v>0</v>
      </c>
      <c r="AQ32" s="432">
        <v>0</v>
      </c>
      <c r="AR32" s="432">
        <v>0</v>
      </c>
      <c r="AS32" s="432">
        <v>0</v>
      </c>
      <c r="AT32" s="432">
        <v>0</v>
      </c>
      <c r="AU32" s="432">
        <v>0</v>
      </c>
      <c r="AV32" s="432">
        <v>0</v>
      </c>
      <c r="AW32" s="432">
        <v>0</v>
      </c>
      <c r="AX32" s="432">
        <v>0</v>
      </c>
      <c r="AY32" s="432">
        <v>0</v>
      </c>
      <c r="AZ32" s="432">
        <v>0</v>
      </c>
      <c r="BA32" s="432">
        <v>0</v>
      </c>
      <c r="BB32" s="432">
        <v>0</v>
      </c>
      <c r="BC32" s="432">
        <v>0</v>
      </c>
      <c r="BD32" s="432">
        <v>0</v>
      </c>
      <c r="BE32" s="432">
        <v>0</v>
      </c>
      <c r="BF32" s="432">
        <v>0</v>
      </c>
      <c r="BG32" s="432">
        <v>0</v>
      </c>
      <c r="BH32" s="432">
        <v>0</v>
      </c>
      <c r="BI32" s="432">
        <v>0</v>
      </c>
      <c r="BJ32" s="432">
        <v>0</v>
      </c>
      <c r="BK32" s="432">
        <v>0</v>
      </c>
      <c r="BL32" s="432">
        <v>0</v>
      </c>
      <c r="BM32" s="432">
        <v>0</v>
      </c>
      <c r="BN32" s="432">
        <v>0</v>
      </c>
      <c r="BO32" s="432">
        <v>0</v>
      </c>
      <c r="BP32" s="432">
        <v>0</v>
      </c>
      <c r="BQ32" s="432">
        <v>0</v>
      </c>
      <c r="BR32" s="432">
        <v>0</v>
      </c>
      <c r="BS32" s="432">
        <v>0</v>
      </c>
      <c r="BT32" s="432">
        <v>0</v>
      </c>
      <c r="BU32" s="432">
        <v>0</v>
      </c>
      <c r="BV32" s="432">
        <v>0</v>
      </c>
      <c r="BW32" s="432">
        <v>0</v>
      </c>
      <c r="BX32" s="432">
        <v>0</v>
      </c>
      <c r="BY32" s="432">
        <v>0</v>
      </c>
      <c r="BZ32" s="432">
        <v>0</v>
      </c>
      <c r="CA32" s="432">
        <v>0</v>
      </c>
      <c r="CB32" s="432">
        <v>0</v>
      </c>
      <c r="CC32" s="432">
        <v>0</v>
      </c>
      <c r="CD32" s="432">
        <v>0</v>
      </c>
      <c r="CE32" s="432">
        <v>0</v>
      </c>
      <c r="CF32" s="432">
        <v>0</v>
      </c>
      <c r="CG32" s="432">
        <v>0</v>
      </c>
      <c r="CH32" s="432">
        <v>0</v>
      </c>
      <c r="CI32" s="432">
        <v>0</v>
      </c>
      <c r="CJ32" s="432">
        <v>0</v>
      </c>
      <c r="CK32" s="432">
        <v>0</v>
      </c>
      <c r="CL32" s="432">
        <v>0</v>
      </c>
      <c r="CM32" s="432">
        <v>0</v>
      </c>
      <c r="CN32" s="432">
        <v>0</v>
      </c>
      <c r="CO32" s="432">
        <v>0</v>
      </c>
      <c r="CP32" s="432">
        <v>0</v>
      </c>
      <c r="CQ32" s="432">
        <v>0</v>
      </c>
      <c r="CR32" s="432">
        <v>0</v>
      </c>
      <c r="CS32" s="432">
        <v>0</v>
      </c>
      <c r="CT32" s="432">
        <v>0</v>
      </c>
      <c r="CU32" s="432">
        <v>0</v>
      </c>
      <c r="CV32" s="432">
        <v>0</v>
      </c>
      <c r="CW32" s="432">
        <v>0</v>
      </c>
      <c r="CX32" s="432">
        <v>0</v>
      </c>
      <c r="CY32" s="432">
        <v>0</v>
      </c>
      <c r="CZ32" s="432">
        <v>0</v>
      </c>
      <c r="DA32" s="432">
        <v>0</v>
      </c>
      <c r="DB32" s="432">
        <v>0</v>
      </c>
      <c r="DC32" s="432">
        <v>0</v>
      </c>
      <c r="DD32" s="432">
        <v>0</v>
      </c>
      <c r="DE32" s="866">
        <v>135260.79</v>
      </c>
      <c r="DF32" s="850">
        <f>-(VLOOKUP("4191",'Input IS ACCTS'!$A$6:$CV$512,72,FALSE))</f>
        <v>88143.23</v>
      </c>
      <c r="DG32" s="866">
        <v>69984.350000000006</v>
      </c>
      <c r="DH32" s="850">
        <v>78293.710000000006</v>
      </c>
      <c r="DI32" s="850">
        <v>98731.87</v>
      </c>
      <c r="DJ32" s="850">
        <v>128109.59</v>
      </c>
      <c r="DK32" s="850">
        <v>160068.20000000001</v>
      </c>
      <c r="DL32" s="850">
        <v>187039.09</v>
      </c>
      <c r="DM32" s="850">
        <v>212810.96</v>
      </c>
      <c r="DN32" s="850">
        <v>258036.43</v>
      </c>
      <c r="DO32" s="850">
        <v>295038.21000000002</v>
      </c>
      <c r="DP32" s="850">
        <v>317432.21000000002</v>
      </c>
      <c r="DQ32" s="850">
        <v>354208</v>
      </c>
      <c r="DR32" s="850">
        <v>396170.73</v>
      </c>
      <c r="DS32" s="850">
        <v>313400.96999999997</v>
      </c>
      <c r="DT32" s="850">
        <v>231389.87</v>
      </c>
      <c r="DU32" s="850">
        <v>267899.33</v>
      </c>
      <c r="DV32" s="850">
        <v>304757.78999999998</v>
      </c>
      <c r="DW32" s="850">
        <v>370593.85</v>
      </c>
      <c r="DX32" s="850">
        <v>389947.17</v>
      </c>
      <c r="DY32" s="850">
        <v>326242.06</v>
      </c>
      <c r="DZ32" s="850">
        <v>221915.58</v>
      </c>
      <c r="EA32" s="850">
        <v>230325.17</v>
      </c>
      <c r="EB32" s="850">
        <v>249458.15</v>
      </c>
      <c r="EC32" s="850">
        <v>280763.06</v>
      </c>
      <c r="ED32" s="850">
        <v>307772.68</v>
      </c>
      <c r="EE32" s="850">
        <f>-(VLOOKUP("4191",'Input IS ACCTS'!$A$6:$CV$512,97,FALSE))</f>
        <v>330307.34000000003</v>
      </c>
      <c r="EF32" s="850">
        <f>-(VLOOKUP("4191",'Input IS ACCTS'!$A$6:$CV$512,98,FALSE))</f>
        <v>118962.32</v>
      </c>
      <c r="EG32" s="850">
        <f>-(VLOOKUP("4191",'Input IS ACCTS'!$A$6:$CV$512,99,FALSE))</f>
        <v>163717.22</v>
      </c>
      <c r="EH32" s="150">
        <f t="shared" si="32"/>
        <v>3294762.3899999997</v>
      </c>
      <c r="EI32" s="198">
        <f>EH32/1000</f>
        <v>3294.7623899999999</v>
      </c>
      <c r="EK32" s="56"/>
      <c r="EL32" s="56"/>
      <c r="EM32" s="56"/>
      <c r="EN32" s="56"/>
      <c r="EO32" s="56"/>
      <c r="EP32" s="56"/>
      <c r="EQ32" s="56"/>
      <c r="ER32" s="56"/>
      <c r="ES32" s="56"/>
      <c r="ET32" s="56"/>
    </row>
    <row r="33" spans="1:150">
      <c r="A33" s="17" t="s">
        <v>1355</v>
      </c>
      <c r="B33" s="364">
        <f t="shared" si="30"/>
        <v>123.65810999999998</v>
      </c>
      <c r="C33" s="44"/>
      <c r="D33" s="382">
        <f t="shared" si="31"/>
        <v>-97.575820000000007</v>
      </c>
      <c r="E33" s="286"/>
      <c r="F33" s="375">
        <v>18443</v>
      </c>
      <c r="G33" s="116">
        <v>4597</v>
      </c>
      <c r="H33" s="116">
        <v>12236</v>
      </c>
      <c r="I33" s="116">
        <v>11230</v>
      </c>
      <c r="J33" s="116">
        <v>16416</v>
      </c>
      <c r="K33" s="116">
        <v>22797</v>
      </c>
      <c r="L33" s="116">
        <v>57527.14</v>
      </c>
      <c r="M33" s="116">
        <v>3118.27</v>
      </c>
      <c r="N33" s="116">
        <v>15660.51</v>
      </c>
      <c r="O33" s="116">
        <v>822.71</v>
      </c>
      <c r="P33" s="121">
        <v>9495.85</v>
      </c>
      <c r="Q33" s="121">
        <v>9537.0499999999993</v>
      </c>
      <c r="R33" s="116">
        <v>14123.66</v>
      </c>
      <c r="S33" s="116">
        <v>-9504.4500000000007</v>
      </c>
      <c r="T33" s="116">
        <v>14422.46</v>
      </c>
      <c r="U33" s="264">
        <v>-18178.18</v>
      </c>
      <c r="V33" s="264">
        <v>-4592.9399999999996</v>
      </c>
      <c r="W33" s="264">
        <v>13628.86</v>
      </c>
      <c r="X33" s="264">
        <v>14514.79</v>
      </c>
      <c r="Y33" s="264">
        <v>9924.6</v>
      </c>
      <c r="Z33" s="264">
        <v>4297.3900000000003</v>
      </c>
      <c r="AA33" s="264">
        <v>-2462.87</v>
      </c>
      <c r="AB33" s="264">
        <v>6694.1</v>
      </c>
      <c r="AC33" s="265">
        <v>-60634.79</v>
      </c>
      <c r="AD33" s="281">
        <v>-1436.64</v>
      </c>
      <c r="AE33" s="281">
        <v>8363.74</v>
      </c>
      <c r="AF33" s="265">
        <v>4343.1099999999997</v>
      </c>
      <c r="AG33" s="294">
        <v>15505.9</v>
      </c>
      <c r="AH33" s="296">
        <v>6967.75</v>
      </c>
      <c r="AI33" s="296">
        <v>-837.41</v>
      </c>
      <c r="AJ33" s="251">
        <v>8485.26</v>
      </c>
      <c r="AK33" s="251">
        <v>15590.84</v>
      </c>
      <c r="AL33" s="251">
        <v>10463.16</v>
      </c>
      <c r="AM33" s="216">
        <v>6644.96</v>
      </c>
      <c r="AN33" s="216">
        <v>-4765.34</v>
      </c>
      <c r="AO33" s="216">
        <v>8448.17</v>
      </c>
      <c r="AP33" s="432">
        <v>11805.59</v>
      </c>
      <c r="AQ33" s="432">
        <v>29501.11</v>
      </c>
      <c r="AR33" s="432">
        <v>-4315.67</v>
      </c>
      <c r="AS33" s="432">
        <v>69773.03</v>
      </c>
      <c r="AT33" s="432">
        <v>-88174.27</v>
      </c>
      <c r="AU33" s="432">
        <v>6021.9</v>
      </c>
      <c r="AV33" s="432">
        <v>-30264.81</v>
      </c>
      <c r="AW33" s="432">
        <v>-205.56</v>
      </c>
      <c r="AX33" s="432">
        <v>12789.06</v>
      </c>
      <c r="AY33" s="432">
        <v>3687.56</v>
      </c>
      <c r="AZ33" s="432">
        <v>-1884</v>
      </c>
      <c r="BA33" s="432">
        <v>-73481.48</v>
      </c>
      <c r="BB33" s="432">
        <v>6276.79</v>
      </c>
      <c r="BC33" s="432">
        <v>-4135.96</v>
      </c>
      <c r="BD33" s="432">
        <v>-19752.57</v>
      </c>
      <c r="BE33" s="432">
        <v>-16626.43</v>
      </c>
      <c r="BF33" s="432">
        <v>10034.24</v>
      </c>
      <c r="BG33" s="432">
        <v>63832.62</v>
      </c>
      <c r="BH33" s="432">
        <v>-6916.4</v>
      </c>
      <c r="BI33" s="432">
        <v>686.37</v>
      </c>
      <c r="BJ33" s="432">
        <v>-55098.3</v>
      </c>
      <c r="BK33" s="432">
        <v>-1190.26</v>
      </c>
      <c r="BL33" s="432">
        <v>2078.04</v>
      </c>
      <c r="BM33" s="432">
        <v>200747.01</v>
      </c>
      <c r="BN33" s="432">
        <v>-4410.3599999999997</v>
      </c>
      <c r="BO33" s="432">
        <v>17900.09</v>
      </c>
      <c r="BP33" s="432">
        <v>-9925.41</v>
      </c>
      <c r="BQ33" s="432">
        <v>4342.6499999999996</v>
      </c>
      <c r="BR33" s="432">
        <v>4499.7</v>
      </c>
      <c r="BS33" s="432">
        <v>-14942.42</v>
      </c>
      <c r="BT33" s="432">
        <v>83453.100000000006</v>
      </c>
      <c r="BU33" s="432">
        <v>158199.67000000001</v>
      </c>
      <c r="BV33" s="432">
        <v>293901.32</v>
      </c>
      <c r="BW33" s="432">
        <v>348928.49</v>
      </c>
      <c r="BX33" s="432">
        <v>73327.27</v>
      </c>
      <c r="BY33" s="432">
        <v>-649371.51</v>
      </c>
      <c r="BZ33" s="432">
        <v>108287.96</v>
      </c>
      <c r="CA33" s="432">
        <v>77885.19</v>
      </c>
      <c r="CB33" s="432">
        <v>-82968.27</v>
      </c>
      <c r="CC33" s="432">
        <v>71306.460000000006</v>
      </c>
      <c r="CD33" s="432">
        <v>69687.77</v>
      </c>
      <c r="CE33" s="432">
        <v>-197242.61</v>
      </c>
      <c r="CF33" s="432">
        <v>58077.54</v>
      </c>
      <c r="CG33" s="432">
        <v>62267.25</v>
      </c>
      <c r="CH33" s="432">
        <v>-158640.4</v>
      </c>
      <c r="CI33" s="432">
        <v>64185.54</v>
      </c>
      <c r="CJ33" s="432">
        <v>65028.5</v>
      </c>
      <c r="CK33" s="432">
        <v>-132944.51999999999</v>
      </c>
      <c r="CL33" s="432">
        <v>47044.19</v>
      </c>
      <c r="CM33" s="432">
        <v>47958.5</v>
      </c>
      <c r="CN33" s="432">
        <v>-72836.14</v>
      </c>
      <c r="CO33" s="432">
        <v>25831.03</v>
      </c>
      <c r="CP33" s="432">
        <v>40255.230000000003</v>
      </c>
      <c r="CQ33" s="432">
        <v>-82719.839999999997</v>
      </c>
      <c r="CR33" s="432">
        <v>45225.96</v>
      </c>
      <c r="CS33" s="432">
        <v>41191.99</v>
      </c>
      <c r="CT33" s="432">
        <v>-97983.62</v>
      </c>
      <c r="CU33" s="432">
        <f>(VLOOKUP("4092",'Input IS ACCTS'!$A$6:$CV$512,61,FALSE))+(VLOOKUP("4102",'Input IS ACCTS'!$A$6:$CV$512,61,FALSE))</f>
        <v>30887.24</v>
      </c>
      <c r="CV33" s="432">
        <f>(VLOOKUP("4092",'Input IS ACCTS'!$A$6:$CV$512,62,FALSE))+(VLOOKUP("4102",'Input IS ACCTS'!$A$6:$CV$512,62,FALSE))</f>
        <v>32230.41</v>
      </c>
      <c r="CW33" s="432">
        <f>(VLOOKUP("4092",'Input IS ACCTS'!$A$6:$CV$512,63,FALSE))+(VLOOKUP("4102",'Input IS ACCTS'!$A$6:$CV$512,63,FALSE))</f>
        <v>-136738.46</v>
      </c>
      <c r="CX33" s="432">
        <f>(VLOOKUP("4092",'Input IS ACCTS'!$A$6:$CV$512,64,FALSE))+(VLOOKUP("4102",'Input IS ACCTS'!$A$6:$CV$512,64,FALSE))</f>
        <v>41463.75</v>
      </c>
      <c r="CY33" s="432">
        <f>(VLOOKUP("4092",'Input IS ACCTS'!$A$6:$CV$512,65,FALSE))+(VLOOKUP("4102",'Input IS ACCTS'!$A$6:$CV$512,65,FALSE))</f>
        <v>43404.83</v>
      </c>
      <c r="CZ33" s="432">
        <f>(VLOOKUP("4092",'Input IS ACCTS'!$A$6:$CV$512,66,FALSE))+(VLOOKUP("4102",'Input IS ACCTS'!$A$6:$CV$512,66,FALSE))</f>
        <v>-37189.61</v>
      </c>
      <c r="DA33" s="432">
        <f>(VLOOKUP("4092",'Input IS ACCTS'!$A$6:$CV$512,67,FALSE))+(VLOOKUP("4102",'Input IS ACCTS'!$A$6:$CV$512,67,FALSE))</f>
        <v>44384.56</v>
      </c>
      <c r="DB33" s="432">
        <f>(VLOOKUP("4092",'Input IS ACCTS'!$A$6:$CV$512,68,FALSE))+(VLOOKUP("4102",'Input IS ACCTS'!$A$6:$CV$512,68,FALSE))</f>
        <v>38837.67</v>
      </c>
      <c r="DC33" s="432">
        <f>(VLOOKUP("4092",'Input IS ACCTS'!$A$6:$CV$512,69,FALSE))+(VLOOKUP("4102",'Input IS ACCTS'!$A$6:$CV$512,69,FALSE))</f>
        <v>-82483.349999999991</v>
      </c>
      <c r="DD33" s="432">
        <v>47574.159999999996</v>
      </c>
      <c r="DE33" s="432">
        <v>76939.41</v>
      </c>
      <c r="DF33" s="432">
        <v>-85876.32</v>
      </c>
      <c r="DG33" s="432">
        <v>59840.92</v>
      </c>
      <c r="DH33" s="432">
        <v>57126.34</v>
      </c>
      <c r="DI33" s="432">
        <v>-129170.98999999999</v>
      </c>
      <c r="DJ33" s="432">
        <v>74900.95</v>
      </c>
      <c r="DK33" s="432">
        <v>67533.11</v>
      </c>
      <c r="DL33" s="432">
        <v>-83639</v>
      </c>
      <c r="DM33" s="432">
        <v>80390.73</v>
      </c>
      <c r="DN33" s="432">
        <v>87099.11</v>
      </c>
      <c r="DO33" s="432">
        <v>94208.05</v>
      </c>
      <c r="DP33" s="432">
        <v>80852.38</v>
      </c>
      <c r="DQ33" s="432">
        <v>87255.46</v>
      </c>
      <c r="DR33" s="432">
        <v>-317165.2</v>
      </c>
      <c r="DS33" s="432">
        <v>67378.92</v>
      </c>
      <c r="DT33" s="432">
        <v>50946.69</v>
      </c>
      <c r="DU33" s="432">
        <v>-410525.51</v>
      </c>
      <c r="DV33" s="432">
        <v>73434.78</v>
      </c>
      <c r="DW33" s="432">
        <v>79044.53</v>
      </c>
      <c r="DX33" s="432">
        <v>-85309.56</v>
      </c>
      <c r="DY33" s="432">
        <v>75487.13</v>
      </c>
      <c r="DZ33" s="432">
        <v>51845.84</v>
      </c>
      <c r="EA33" s="432">
        <v>-102745.14</v>
      </c>
      <c r="EB33" s="432">
        <v>57603.41</v>
      </c>
      <c r="EC33" s="432">
        <v>63536.03</v>
      </c>
      <c r="ED33" s="432">
        <v>-88413.01</v>
      </c>
      <c r="EE33" s="432">
        <f>(VLOOKUP("4092",'Input IS ACCTS'!$A$6:$CV$512,97,FALSE))+(VLOOKUP("4102",'Input IS ACCTS'!$A$6:$CV$512,97,FALSE))</f>
        <v>72742.33</v>
      </c>
      <c r="EF33" s="432">
        <f>(VLOOKUP("4092",'Input IS ACCTS'!$A$6:$CV$512,98,FALSE))+(VLOOKUP("4102",'Input IS ACCTS'!$A$6:$CV$512,98,FALSE))</f>
        <v>24007.59</v>
      </c>
      <c r="EG33" s="432">
        <f>(VLOOKUP("4092",'Input IS ACCTS'!$A$6:$CV$512,99,FALSE))+(VLOOKUP("4102",'Input IS ACCTS'!$A$6:$CV$512,99,FALSE))</f>
        <v>-97575.82</v>
      </c>
      <c r="EH33" s="150">
        <f t="shared" si="32"/>
        <v>123658.10999999999</v>
      </c>
      <c r="EI33" s="198">
        <f>EH33/1000</f>
        <v>123.65810999999998</v>
      </c>
      <c r="EK33" s="56"/>
      <c r="EL33" s="56"/>
      <c r="EM33" s="56"/>
      <c r="EN33" s="56"/>
      <c r="EO33" s="56"/>
      <c r="EP33" s="56"/>
      <c r="EQ33" s="56"/>
      <c r="ER33" s="56"/>
      <c r="ES33" s="56"/>
      <c r="ET33" s="56"/>
    </row>
    <row r="34" spans="1:150">
      <c r="A34" t="s">
        <v>391</v>
      </c>
      <c r="B34" s="370">
        <f>+B27+B28+B29+B30-B31+B32-B33</f>
        <v>6296.0993199999994</v>
      </c>
      <c r="C34" s="44"/>
      <c r="D34" s="370">
        <f>+D27+D28+D29+D30-D31+D32-D33</f>
        <v>319.95652000000007</v>
      </c>
      <c r="E34" s="286"/>
      <c r="F34" s="207">
        <v>418334</v>
      </c>
      <c r="G34" s="207">
        <v>79475</v>
      </c>
      <c r="H34" s="207">
        <v>433643</v>
      </c>
      <c r="I34" s="207">
        <v>220432</v>
      </c>
      <c r="J34" s="207">
        <v>268336</v>
      </c>
      <c r="K34" s="207">
        <v>478202</v>
      </c>
      <c r="L34" s="207">
        <v>432950.63</v>
      </c>
      <c r="M34" s="207">
        <v>126022.24999999997</v>
      </c>
      <c r="N34" s="207">
        <v>240638.24999999997</v>
      </c>
      <c r="O34" s="207">
        <v>41209.769999999997</v>
      </c>
      <c r="P34" s="207">
        <v>321775.51</v>
      </c>
      <c r="Q34" s="207">
        <v>339453.65</v>
      </c>
      <c r="R34" s="207">
        <v>176556.14</v>
      </c>
      <c r="S34" s="207">
        <v>108469.95000000001</v>
      </c>
      <c r="T34" s="207">
        <v>116654.37000000001</v>
      </c>
      <c r="U34" s="272">
        <v>189130.15000000002</v>
      </c>
      <c r="V34" s="272">
        <v>120968.81999999999</v>
      </c>
      <c r="W34" s="272">
        <v>-46394.86</v>
      </c>
      <c r="X34" s="272">
        <v>318310.21000000008</v>
      </c>
      <c r="Y34" s="272">
        <v>142707.47999999995</v>
      </c>
      <c r="Z34" s="272">
        <v>151413.34</v>
      </c>
      <c r="AA34" s="272">
        <v>120596.39999999998</v>
      </c>
      <c r="AB34" s="272">
        <v>86572.59</v>
      </c>
      <c r="AC34" s="272">
        <v>239589.58</v>
      </c>
      <c r="AD34" s="272">
        <v>293348.68</v>
      </c>
      <c r="AE34" s="272">
        <v>186766.14000000004</v>
      </c>
      <c r="AF34" s="272">
        <v>316292.09000000003</v>
      </c>
      <c r="AG34" s="272">
        <v>229286.29</v>
      </c>
      <c r="AH34" s="272">
        <v>217852.80999999997</v>
      </c>
      <c r="AI34" s="272">
        <v>257888.69</v>
      </c>
      <c r="AJ34" s="207">
        <v>224502.14999999997</v>
      </c>
      <c r="AK34" s="207">
        <v>276265.70999999996</v>
      </c>
      <c r="AL34" s="207">
        <v>284873.29000000004</v>
      </c>
      <c r="AM34" s="207">
        <v>251535.66999999995</v>
      </c>
      <c r="AN34" s="207">
        <v>136459.84000000003</v>
      </c>
      <c r="AO34" s="207">
        <v>192168.15</v>
      </c>
      <c r="AP34" s="439">
        <v>219153.02</v>
      </c>
      <c r="AQ34" s="439">
        <v>347290.5</v>
      </c>
      <c r="AR34" s="439">
        <v>162782.34000000003</v>
      </c>
      <c r="AS34" s="439">
        <v>211455.99000000002</v>
      </c>
      <c r="AT34" s="439">
        <v>242850.24</v>
      </c>
      <c r="AU34" s="439">
        <v>266924.13999999996</v>
      </c>
      <c r="AV34" s="439">
        <v>217078.37</v>
      </c>
      <c r="AW34" s="439">
        <v>206760.89</v>
      </c>
      <c r="AX34" s="439">
        <v>72864.69</v>
      </c>
      <c r="AY34" s="439">
        <v>301092.89</v>
      </c>
      <c r="AZ34" s="439">
        <v>164797.54</v>
      </c>
      <c r="BA34" s="439">
        <v>119693.39000000001</v>
      </c>
      <c r="BB34" s="439">
        <v>396706.01</v>
      </c>
      <c r="BC34" s="439">
        <v>189858.97999999998</v>
      </c>
      <c r="BD34" s="439">
        <v>143368.90000000002</v>
      </c>
      <c r="BE34" s="439">
        <v>91228.50999999998</v>
      </c>
      <c r="BF34" s="439">
        <v>237601</v>
      </c>
      <c r="BG34" s="439">
        <v>168899.36000000002</v>
      </c>
      <c r="BH34" s="439">
        <v>152074.65</v>
      </c>
      <c r="BI34" s="439">
        <v>171057.06</v>
      </c>
      <c r="BJ34" s="439">
        <v>235553.25</v>
      </c>
      <c r="BK34" s="439">
        <v>126949.02999999998</v>
      </c>
      <c r="BL34" s="439">
        <v>212234.5</v>
      </c>
      <c r="BM34" s="439">
        <v>1042855.0999999999</v>
      </c>
      <c r="BN34" s="439">
        <v>288154.92000000004</v>
      </c>
      <c r="BO34" s="439">
        <v>387694.39</v>
      </c>
      <c r="BP34" s="439">
        <v>-897950.00999999989</v>
      </c>
      <c r="BQ34" s="439">
        <v>126351.32999999999</v>
      </c>
      <c r="BR34" s="439">
        <v>297649.46999999997</v>
      </c>
      <c r="BS34" s="439">
        <v>70511.58</v>
      </c>
      <c r="BT34" s="439">
        <v>342165.67999999993</v>
      </c>
      <c r="BU34" s="439">
        <v>528740.54999999993</v>
      </c>
      <c r="BV34" s="439">
        <v>58386.169999999984</v>
      </c>
      <c r="BW34" s="439">
        <v>1322276.22</v>
      </c>
      <c r="BX34" s="439">
        <v>319131.54000000004</v>
      </c>
      <c r="BY34" s="439">
        <v>904152.33000000007</v>
      </c>
      <c r="BZ34" s="439">
        <f>+BZ27+BZ28+BZ29+BZ30-BZ31-BZ33</f>
        <v>467159.51000000007</v>
      </c>
      <c r="CA34" s="439">
        <f>+CA27+CA28+CA29+CA30-CA31-CA33</f>
        <v>428558.04</v>
      </c>
      <c r="CB34" s="439">
        <f>+CB27+CB28+CB29+CB30-CB31-CB33</f>
        <v>600064.02</v>
      </c>
      <c r="CC34" s="207">
        <v>254627.49</v>
      </c>
      <c r="CD34" s="207">
        <v>439047.17</v>
      </c>
      <c r="CE34" s="207">
        <v>235171.87999999998</v>
      </c>
      <c r="CF34" s="207">
        <f t="shared" ref="CF34:CK34" si="33">+CF27+CF28+CF29+CF30-CF31-CF33</f>
        <v>363767.97000000003</v>
      </c>
      <c r="CG34" s="207">
        <f t="shared" si="33"/>
        <v>241590.56</v>
      </c>
      <c r="CH34" s="207">
        <f t="shared" si="33"/>
        <v>599165.99</v>
      </c>
      <c r="CI34" s="207">
        <f t="shared" si="33"/>
        <v>344097.64</v>
      </c>
      <c r="CJ34" s="207">
        <f t="shared" si="33"/>
        <v>444065.24</v>
      </c>
      <c r="CK34" s="207">
        <f t="shared" si="33"/>
        <v>875179.41000000015</v>
      </c>
      <c r="CL34" s="207">
        <f t="shared" ref="CL34:CQ34" si="34">+CL27+CL28+CL29+CL30-CL31-CL33</f>
        <v>565100.46</v>
      </c>
      <c r="CM34" s="207">
        <f t="shared" si="34"/>
        <v>488065.80000000005</v>
      </c>
      <c r="CN34" s="207">
        <f t="shared" si="34"/>
        <v>351123.77</v>
      </c>
      <c r="CO34" s="207">
        <f t="shared" si="34"/>
        <v>594874.78999999992</v>
      </c>
      <c r="CP34" s="207">
        <f t="shared" si="34"/>
        <v>379005.17000000004</v>
      </c>
      <c r="CQ34" s="207">
        <f t="shared" si="34"/>
        <v>484643.36</v>
      </c>
      <c r="CR34" s="207">
        <f t="shared" ref="CR34:CW34" si="35">+CR27+CR28+CR29+CR30-CR31-CR33</f>
        <v>427986.27</v>
      </c>
      <c r="CS34" s="207">
        <f t="shared" si="35"/>
        <v>318315.92000000004</v>
      </c>
      <c r="CT34" s="207">
        <f t="shared" si="35"/>
        <v>458620.19999999995</v>
      </c>
      <c r="CU34" s="207">
        <f t="shared" si="35"/>
        <v>316864.32999999996</v>
      </c>
      <c r="CV34" s="207">
        <f t="shared" si="35"/>
        <v>338300.89000000007</v>
      </c>
      <c r="CW34" s="207">
        <f t="shared" si="35"/>
        <v>697590.26</v>
      </c>
      <c r="CX34" s="207">
        <f t="shared" ref="CX34:DC34" si="36">+CX27+CX28+CX29+CX30-CX31-CX33</f>
        <v>377890.45</v>
      </c>
      <c r="CY34" s="207">
        <f t="shared" si="36"/>
        <v>412385.55</v>
      </c>
      <c r="CZ34" s="207">
        <f t="shared" si="36"/>
        <v>599934.81999999995</v>
      </c>
      <c r="DA34" s="207">
        <f t="shared" si="36"/>
        <v>536303.55000000005</v>
      </c>
      <c r="DB34" s="207">
        <f t="shared" si="36"/>
        <v>443822.02</v>
      </c>
      <c r="DC34" s="207">
        <f t="shared" si="36"/>
        <v>487642.44000000006</v>
      </c>
      <c r="DD34" s="207">
        <f t="shared" ref="DD34:DI34" si="37">+DD27+DD28+DD29+DD30-DD31+DD32-DD33</f>
        <v>475616.42</v>
      </c>
      <c r="DE34" s="207">
        <f t="shared" si="37"/>
        <v>684605.8899999999</v>
      </c>
      <c r="DF34" s="207">
        <f t="shared" si="37"/>
        <v>507071.95</v>
      </c>
      <c r="DG34" s="207">
        <f t="shared" si="37"/>
        <v>379332.81</v>
      </c>
      <c r="DH34" s="207">
        <f t="shared" si="37"/>
        <v>364569.36</v>
      </c>
      <c r="DI34" s="207">
        <f t="shared" si="37"/>
        <v>580518.69999999995</v>
      </c>
      <c r="DJ34" s="207">
        <f t="shared" ref="DJ34:DO34" si="38">+DJ27+DJ28+DJ29+DJ30-DJ31+DJ32-DJ33</f>
        <v>357311.43</v>
      </c>
      <c r="DK34" s="207">
        <f t="shared" si="38"/>
        <v>594603.41</v>
      </c>
      <c r="DL34" s="207">
        <f t="shared" si="38"/>
        <v>521012.75</v>
      </c>
      <c r="DM34" s="207">
        <f t="shared" si="38"/>
        <v>580200.18000000005</v>
      </c>
      <c r="DN34" s="207">
        <f t="shared" si="38"/>
        <v>673249.54</v>
      </c>
      <c r="DO34" s="207">
        <f t="shared" si="38"/>
        <v>520670.06</v>
      </c>
      <c r="DP34" s="207">
        <f t="shared" ref="DP34:DU34" si="39">+DP27+DP28+DP29+DP30-DP31+DP32-DP33</f>
        <v>431776.51</v>
      </c>
      <c r="DQ34" s="207">
        <f t="shared" si="39"/>
        <v>572721.54</v>
      </c>
      <c r="DR34" s="207">
        <f t="shared" si="39"/>
        <v>944316.47</v>
      </c>
      <c r="DS34" s="207">
        <f t="shared" si="39"/>
        <v>535561.71</v>
      </c>
      <c r="DT34" s="207">
        <f t="shared" si="39"/>
        <v>362067</v>
      </c>
      <c r="DU34" s="207">
        <f t="shared" si="39"/>
        <v>961979.34000000008</v>
      </c>
      <c r="DV34" s="207">
        <f t="shared" ref="DV34:EA34" si="40">+DV27+DV28+DV29+DV30-DV31+DV32-DV33</f>
        <v>524421.96</v>
      </c>
      <c r="DW34" s="207">
        <f t="shared" si="40"/>
        <v>624812.40999999992</v>
      </c>
      <c r="DX34" s="207">
        <f t="shared" si="40"/>
        <v>717008.86999999988</v>
      </c>
      <c r="DY34" s="207">
        <f t="shared" si="40"/>
        <v>564950.94000000006</v>
      </c>
      <c r="DZ34" s="207">
        <f t="shared" si="40"/>
        <v>551255.9</v>
      </c>
      <c r="EA34" s="207">
        <f t="shared" si="40"/>
        <v>569873.52</v>
      </c>
      <c r="EB34" s="207">
        <f t="shared" ref="EB34:EI34" si="41">+EB27+EB28+EB29+EB30-EB31+EB32-EB33</f>
        <v>432519.12</v>
      </c>
      <c r="EC34" s="207">
        <f t="shared" si="41"/>
        <v>522091.03999999992</v>
      </c>
      <c r="ED34" s="207">
        <f t="shared" si="41"/>
        <v>600538.34</v>
      </c>
      <c r="EE34" s="207">
        <f t="shared" si="41"/>
        <v>530088.16</v>
      </c>
      <c r="EF34" s="207">
        <f t="shared" si="41"/>
        <v>338582.54</v>
      </c>
      <c r="EG34" s="207">
        <f t="shared" si="41"/>
        <v>319956.52</v>
      </c>
      <c r="EH34" s="439">
        <f t="shared" si="41"/>
        <v>6296099.3199999994</v>
      </c>
      <c r="EI34" s="199">
        <f t="shared" si="41"/>
        <v>6296.0993199999994</v>
      </c>
      <c r="EK34" s="56"/>
      <c r="EL34" s="56"/>
      <c r="EM34" s="56"/>
      <c r="EN34" s="56"/>
      <c r="EO34" s="56"/>
      <c r="EP34" s="56"/>
      <c r="EQ34" s="56"/>
      <c r="ER34" s="56"/>
      <c r="ES34" s="56"/>
      <c r="ET34" s="56"/>
    </row>
    <row r="35" spans="1:150">
      <c r="B35" s="371"/>
      <c r="C35" s="44"/>
      <c r="D35" s="386"/>
      <c r="E35" s="286"/>
      <c r="F35" s="377"/>
      <c r="G35" s="51"/>
      <c r="H35" s="51"/>
      <c r="I35" s="51"/>
      <c r="J35" s="51"/>
      <c r="K35" s="51"/>
      <c r="L35" s="51"/>
      <c r="M35" s="51"/>
      <c r="N35" s="51"/>
      <c r="O35" s="51"/>
      <c r="P35" s="205"/>
      <c r="Q35" s="205"/>
      <c r="R35" s="51"/>
      <c r="S35" s="51"/>
      <c r="T35" s="51"/>
      <c r="U35" s="273"/>
      <c r="V35" s="273"/>
      <c r="W35" s="273"/>
      <c r="X35" s="273"/>
      <c r="Y35" s="273"/>
      <c r="Z35" s="273"/>
      <c r="AA35" s="273"/>
      <c r="AB35" s="273"/>
      <c r="AC35" s="271"/>
      <c r="AD35" s="271"/>
      <c r="AE35" s="271"/>
      <c r="AF35" s="271"/>
      <c r="AG35" s="271"/>
      <c r="AH35" s="271"/>
      <c r="AI35" s="271"/>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198"/>
      <c r="EK35" s="56"/>
      <c r="EL35" s="56"/>
      <c r="EM35" s="56"/>
      <c r="EN35" s="56"/>
      <c r="EO35" s="56"/>
      <c r="EP35" s="56"/>
      <c r="EQ35" s="56"/>
      <c r="ER35" s="56"/>
      <c r="ES35" s="56"/>
      <c r="ET35" s="56"/>
    </row>
    <row r="36" spans="1:150">
      <c r="A36" s="4" t="s">
        <v>392</v>
      </c>
      <c r="B36" s="371"/>
      <c r="C36" s="44"/>
      <c r="D36" s="382"/>
      <c r="E36" s="286"/>
      <c r="F36" s="209"/>
      <c r="G36" s="43"/>
      <c r="H36" s="43"/>
      <c r="I36" s="43"/>
      <c r="J36" s="43"/>
      <c r="K36" s="43"/>
      <c r="L36" s="43"/>
      <c r="M36" s="43"/>
      <c r="N36" s="43"/>
      <c r="O36" s="43"/>
      <c r="P36" s="205"/>
      <c r="Q36" s="205"/>
      <c r="R36" s="43"/>
      <c r="S36" s="43"/>
      <c r="T36" s="43"/>
      <c r="U36" s="270"/>
      <c r="V36" s="270"/>
      <c r="W36" s="270"/>
      <c r="X36" s="270"/>
      <c r="Y36" s="270"/>
      <c r="Z36" s="270"/>
      <c r="AA36" s="270"/>
      <c r="AB36" s="270"/>
      <c r="AC36" s="271"/>
      <c r="AD36" s="271"/>
      <c r="AE36" s="271"/>
      <c r="AF36" s="271"/>
      <c r="AG36" s="271"/>
      <c r="AH36" s="271"/>
      <c r="AI36" s="271"/>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05"/>
      <c r="EH36" s="205"/>
      <c r="EI36" s="198"/>
      <c r="EK36" s="56"/>
      <c r="EL36" s="56"/>
      <c r="EM36" s="56"/>
      <c r="EN36" s="56"/>
      <c r="EO36" s="56"/>
      <c r="EP36" s="56"/>
      <c r="EQ36" s="56"/>
      <c r="ER36" s="56"/>
      <c r="ES36" s="56"/>
      <c r="ET36" s="56"/>
    </row>
    <row r="37" spans="1:150">
      <c r="A37" t="s">
        <v>393</v>
      </c>
      <c r="B37" s="364">
        <f t="shared" ref="B37:B42" si="42">(+EH37/1000)</f>
        <v>19125.609690000001</v>
      </c>
      <c r="C37" s="44"/>
      <c r="D37" s="382">
        <f t="shared" ref="D37:D42" si="43">(+EG37/1000)</f>
        <v>1636.3541599999999</v>
      </c>
      <c r="E37" s="286"/>
      <c r="F37" s="378">
        <v>1170065</v>
      </c>
      <c r="G37" s="204">
        <v>1157681</v>
      </c>
      <c r="H37" s="204">
        <v>1161281</v>
      </c>
      <c r="I37" s="204">
        <v>1168296</v>
      </c>
      <c r="J37" s="204">
        <v>1161281</v>
      </c>
      <c r="K37" s="204">
        <v>1161281</v>
      </c>
      <c r="L37" s="204">
        <v>1141414.69</v>
      </c>
      <c r="M37" s="204">
        <v>1138614.51</v>
      </c>
      <c r="N37" s="204">
        <v>1138614.51</v>
      </c>
      <c r="O37" s="204">
        <v>1138614.51</v>
      </c>
      <c r="P37" s="121">
        <v>1138614.51</v>
      </c>
      <c r="Q37" s="121">
        <v>1138614.51</v>
      </c>
      <c r="R37" s="204">
        <v>1138614.51</v>
      </c>
      <c r="S37" s="204">
        <v>1138614.51</v>
      </c>
      <c r="T37" s="204">
        <v>1138614.51</v>
      </c>
      <c r="U37" s="274">
        <v>1138614.51</v>
      </c>
      <c r="V37" s="274">
        <v>1138614.51</v>
      </c>
      <c r="W37" s="274">
        <v>1226916.1000000001</v>
      </c>
      <c r="X37" s="274">
        <v>1178122.25</v>
      </c>
      <c r="Y37" s="274">
        <v>1061287.1100000001</v>
      </c>
      <c r="Z37" s="274">
        <v>942941.06</v>
      </c>
      <c r="AA37" s="274">
        <v>1002524.39</v>
      </c>
      <c r="AB37" s="274">
        <v>997107.72</v>
      </c>
      <c r="AC37" s="265">
        <v>997107.72</v>
      </c>
      <c r="AD37" s="265">
        <v>996837.72</v>
      </c>
      <c r="AE37" s="265">
        <v>997107.72</v>
      </c>
      <c r="AF37" s="265">
        <v>997107.72</v>
      </c>
      <c r="AG37" s="294">
        <v>997107.72</v>
      </c>
      <c r="AH37" s="294">
        <v>997107.72</v>
      </c>
      <c r="AI37" s="294">
        <v>997107.72</v>
      </c>
      <c r="AJ37" s="374">
        <v>997107.72</v>
      </c>
      <c r="AK37" s="374">
        <v>997107.72</v>
      </c>
      <c r="AL37" s="374">
        <v>997107.72</v>
      </c>
      <c r="AM37" s="323">
        <v>997107.72</v>
      </c>
      <c r="AN37" s="323">
        <v>997107.72</v>
      </c>
      <c r="AO37" s="323">
        <v>997107.72</v>
      </c>
      <c r="AP37" s="432">
        <v>997107.72</v>
      </c>
      <c r="AQ37" s="432">
        <v>997107.72</v>
      </c>
      <c r="AR37" s="432">
        <v>997107.72</v>
      </c>
      <c r="AS37" s="432">
        <v>997107.72</v>
      </c>
      <c r="AT37" s="432">
        <v>1015232.72</v>
      </c>
      <c r="AU37" s="432">
        <v>1033357.72</v>
      </c>
      <c r="AV37" s="432">
        <v>1033357.72</v>
      </c>
      <c r="AW37" s="432">
        <v>1033357.72</v>
      </c>
      <c r="AX37" s="432">
        <v>1033357.72</v>
      </c>
      <c r="AY37" s="432">
        <v>1033357.72</v>
      </c>
      <c r="AZ37" s="432">
        <v>1033357.72</v>
      </c>
      <c r="BA37" s="432">
        <v>1033357.72</v>
      </c>
      <c r="BB37" s="432">
        <v>1033357.72</v>
      </c>
      <c r="BC37" s="432">
        <v>1033357.73</v>
      </c>
      <c r="BD37" s="432">
        <v>1033357.73</v>
      </c>
      <c r="BE37" s="432">
        <v>1033357.73</v>
      </c>
      <c r="BF37" s="432">
        <v>1033357.73</v>
      </c>
      <c r="BG37" s="432">
        <v>1136024.3999999999</v>
      </c>
      <c r="BH37" s="432">
        <v>1103357.73</v>
      </c>
      <c r="BI37" s="432">
        <v>1103357.73</v>
      </c>
      <c r="BJ37" s="432">
        <v>1103357.73</v>
      </c>
      <c r="BK37" s="432">
        <v>1103357.73</v>
      </c>
      <c r="BL37" s="432">
        <v>1103357.73</v>
      </c>
      <c r="BM37" s="432">
        <v>1103357.73</v>
      </c>
      <c r="BN37" s="432">
        <v>1103357.73</v>
      </c>
      <c r="BO37" s="432">
        <v>1103357.73</v>
      </c>
      <c r="BP37" s="432">
        <v>1103357.73</v>
      </c>
      <c r="BQ37" s="432">
        <v>1103357.73</v>
      </c>
      <c r="BR37" s="432">
        <v>1103357.73</v>
      </c>
      <c r="BS37" s="432">
        <v>1103357.73</v>
      </c>
      <c r="BT37" s="432">
        <v>1103357.73</v>
      </c>
      <c r="BU37" s="432">
        <v>1093107.73</v>
      </c>
      <c r="BV37" s="432">
        <v>1103357.73</v>
      </c>
      <c r="BW37" s="432">
        <v>1103357.73</v>
      </c>
      <c r="BX37" s="432">
        <v>1103357.73</v>
      </c>
      <c r="BY37" s="432">
        <v>1103357.73</v>
      </c>
      <c r="BZ37" s="432">
        <v>1103357.73</v>
      </c>
      <c r="CA37" s="432">
        <v>1103357.73</v>
      </c>
      <c r="CB37" s="432">
        <v>1103357.73</v>
      </c>
      <c r="CC37" s="432">
        <v>1103357.73</v>
      </c>
      <c r="CD37" s="432">
        <v>1103357.73</v>
      </c>
      <c r="CE37" s="432">
        <v>1103357.73</v>
      </c>
      <c r="CF37" s="432">
        <v>1103357.73</v>
      </c>
      <c r="CG37" s="432">
        <v>1103357.73</v>
      </c>
      <c r="CH37" s="432">
        <v>1103357.73</v>
      </c>
      <c r="CI37" s="432">
        <v>1103357.73</v>
      </c>
      <c r="CJ37" s="432">
        <v>1103357.73</v>
      </c>
      <c r="CK37" s="432">
        <v>1103357.73</v>
      </c>
      <c r="CL37" s="432">
        <v>1103357.73</v>
      </c>
      <c r="CM37" s="432">
        <v>1103357.73</v>
      </c>
      <c r="CN37" s="432">
        <v>1103357.73</v>
      </c>
      <c r="CO37" s="432">
        <v>1103357.73</v>
      </c>
      <c r="CP37" s="432">
        <v>976274</v>
      </c>
      <c r="CQ37" s="432">
        <v>1055232.6499999999</v>
      </c>
      <c r="CR37" s="432">
        <v>1117941.06</v>
      </c>
      <c r="CS37" s="432">
        <v>1117941.06</v>
      </c>
      <c r="CT37" s="432">
        <v>1117941.06</v>
      </c>
      <c r="CU37" s="432">
        <v>1198288.32</v>
      </c>
      <c r="CV37" s="432">
        <v>1210649.3899999999</v>
      </c>
      <c r="CW37" s="432">
        <v>1210649.3899999999</v>
      </c>
      <c r="CX37" s="432">
        <v>1210649.3899999999</v>
      </c>
      <c r="CY37" s="432">
        <v>1210649.3899999999</v>
      </c>
      <c r="CZ37" s="432">
        <v>1210649.3899999999</v>
      </c>
      <c r="DA37" s="432">
        <v>1210649.3899999999</v>
      </c>
      <c r="DB37" s="432">
        <v>1210649.3899999999</v>
      </c>
      <c r="DC37" s="432">
        <v>1210649.3899999999</v>
      </c>
      <c r="DD37" s="432">
        <v>1230788.28</v>
      </c>
      <c r="DE37" s="432">
        <v>1286170.22</v>
      </c>
      <c r="DF37" s="432">
        <v>1286170.22</v>
      </c>
      <c r="DG37" s="432">
        <v>1286170.22</v>
      </c>
      <c r="DH37" s="432">
        <v>1286170.22</v>
      </c>
      <c r="DI37" s="432">
        <v>1286170.22</v>
      </c>
      <c r="DJ37" s="432">
        <v>1286170.22</v>
      </c>
      <c r="DK37" s="432">
        <v>1286170.22</v>
      </c>
      <c r="DL37" s="432">
        <v>1281135.51</v>
      </c>
      <c r="DM37" s="432">
        <v>1286170.22</v>
      </c>
      <c r="DN37" s="432">
        <v>1286170.22</v>
      </c>
      <c r="DO37" s="432">
        <v>1286170.22</v>
      </c>
      <c r="DP37" s="432">
        <v>1286170.22</v>
      </c>
      <c r="DQ37" s="432">
        <v>1286170.22</v>
      </c>
      <c r="DR37" s="432">
        <v>1286170.22</v>
      </c>
      <c r="DS37" s="432">
        <v>1286170.22</v>
      </c>
      <c r="DT37" s="432">
        <v>1286170.22</v>
      </c>
      <c r="DU37" s="432">
        <v>1286170.22</v>
      </c>
      <c r="DV37" s="432">
        <v>1286170.22</v>
      </c>
      <c r="DW37" s="432">
        <v>1286170.22</v>
      </c>
      <c r="DX37" s="432">
        <v>1603857.72</v>
      </c>
      <c r="DY37" s="432">
        <v>1846795.22</v>
      </c>
      <c r="DZ37" s="432">
        <v>1636354.16</v>
      </c>
      <c r="EA37" s="432">
        <v>1741574.69</v>
      </c>
      <c r="EB37" s="432">
        <v>1636354.16</v>
      </c>
      <c r="EC37" s="432">
        <v>1636354.16</v>
      </c>
      <c r="ED37" s="432">
        <v>1542916.66</v>
      </c>
      <c r="EE37" s="432">
        <f>(VLOOKUP("4270",'Input IS ACCTS'!$A$6:$CV$512,97,FALSE))</f>
        <v>1636354.16</v>
      </c>
      <c r="EF37" s="432">
        <f>(VLOOKUP("4270",'Input IS ACCTS'!$A$6:$CV$512,98,FALSE))</f>
        <v>1636354.16</v>
      </c>
      <c r="EG37" s="432">
        <f>(VLOOKUP("4270",'Input IS ACCTS'!$A$6:$CV$512,99,FALSE))</f>
        <v>1636354.16</v>
      </c>
      <c r="EH37" s="150">
        <f t="shared" ref="EH37:EH42" si="44">SUM(DV37:EG37)</f>
        <v>19125609.690000001</v>
      </c>
      <c r="EI37" s="198">
        <f>EH37/1000</f>
        <v>19125.609690000001</v>
      </c>
      <c r="EK37" s="56"/>
      <c r="EL37" s="56"/>
      <c r="EM37" s="56"/>
      <c r="EN37" s="56"/>
      <c r="EO37" s="56"/>
      <c r="EP37" s="56"/>
      <c r="EQ37" s="56"/>
      <c r="ER37" s="56"/>
      <c r="ES37" s="56"/>
      <c r="ET37" s="56"/>
    </row>
    <row r="38" spans="1:150">
      <c r="A38" t="s">
        <v>394</v>
      </c>
      <c r="B38" s="364">
        <f t="shared" si="42"/>
        <v>1104.9198200000001</v>
      </c>
      <c r="C38" s="44"/>
      <c r="D38" s="382">
        <f t="shared" si="43"/>
        <v>80.505769999999998</v>
      </c>
      <c r="E38" s="286"/>
      <c r="F38" s="375">
        <v>934</v>
      </c>
      <c r="G38" s="116">
        <v>0</v>
      </c>
      <c r="H38" s="116">
        <v>713</v>
      </c>
      <c r="I38" s="116">
        <v>0</v>
      </c>
      <c r="J38" s="116">
        <v>0</v>
      </c>
      <c r="K38" s="116">
        <v>0</v>
      </c>
      <c r="L38" s="116">
        <v>0</v>
      </c>
      <c r="M38" s="116">
        <v>0</v>
      </c>
      <c r="N38" s="116">
        <v>0</v>
      </c>
      <c r="O38" s="116">
        <v>0</v>
      </c>
      <c r="P38" s="121">
        <v>0</v>
      </c>
      <c r="Q38" s="121">
        <v>0</v>
      </c>
      <c r="R38" s="116">
        <v>0</v>
      </c>
      <c r="S38" s="116">
        <v>0</v>
      </c>
      <c r="T38" s="116">
        <v>0</v>
      </c>
      <c r="U38" s="264">
        <v>0</v>
      </c>
      <c r="V38" s="264">
        <v>0</v>
      </c>
      <c r="W38" s="264">
        <v>0</v>
      </c>
      <c r="X38" s="264">
        <v>0</v>
      </c>
      <c r="Y38" s="264">
        <v>0</v>
      </c>
      <c r="Z38" s="264">
        <v>0</v>
      </c>
      <c r="AA38" s="264">
        <v>0</v>
      </c>
      <c r="AB38" s="264">
        <v>0</v>
      </c>
      <c r="AC38" s="265">
        <v>0</v>
      </c>
      <c r="AD38" s="265">
        <v>-0.19277645286729239</v>
      </c>
      <c r="AE38" s="265">
        <v>-0.19277645286729239</v>
      </c>
      <c r="AF38" s="265">
        <v>-0.19277645286729239</v>
      </c>
      <c r="AG38" s="294">
        <v>-0.19277645286729239</v>
      </c>
      <c r="AH38" s="294">
        <v>-0.19277645286729239</v>
      </c>
      <c r="AI38" s="294">
        <v>-0.19277645286729239</v>
      </c>
      <c r="AJ38" s="374">
        <v>-0.19277645286729239</v>
      </c>
      <c r="AK38" s="374">
        <v>-0.19277645286729239</v>
      </c>
      <c r="AL38" s="374">
        <v>-0.19277645286729239</v>
      </c>
      <c r="AM38" s="323">
        <v>-0.19277645286729239</v>
      </c>
      <c r="AN38" s="323">
        <v>-0.19277645286729239</v>
      </c>
      <c r="AO38" s="323">
        <v>-0.19277645286729239</v>
      </c>
      <c r="AP38" s="434">
        <v>9928.48</v>
      </c>
      <c r="AQ38" s="434">
        <v>4748.9800000000005</v>
      </c>
      <c r="AR38" s="434">
        <v>1714.33</v>
      </c>
      <c r="AS38" s="434">
        <v>236.07</v>
      </c>
      <c r="AT38" s="434">
        <v>0</v>
      </c>
      <c r="AU38" s="434">
        <v>0</v>
      </c>
      <c r="AV38" s="434">
        <v>0</v>
      </c>
      <c r="AW38" s="434">
        <v>0</v>
      </c>
      <c r="AX38" s="434">
        <v>0</v>
      </c>
      <c r="AY38" s="434">
        <v>0</v>
      </c>
      <c r="AZ38" s="434">
        <v>0</v>
      </c>
      <c r="BA38" s="434">
        <v>2350.77</v>
      </c>
      <c r="BB38" s="434">
        <v>6336.83</v>
      </c>
      <c r="BC38" s="434">
        <v>3113.86</v>
      </c>
      <c r="BD38" s="434">
        <v>2717.41</v>
      </c>
      <c r="BE38" s="434">
        <v>0</v>
      </c>
      <c r="BF38" s="434">
        <v>0</v>
      </c>
      <c r="BG38" s="434">
        <v>0</v>
      </c>
      <c r="BH38" s="434">
        <v>0</v>
      </c>
      <c r="BI38" s="434">
        <v>0</v>
      </c>
      <c r="BJ38" s="434">
        <v>0</v>
      </c>
      <c r="BK38" s="434">
        <v>0</v>
      </c>
      <c r="BL38" s="434">
        <v>0</v>
      </c>
      <c r="BM38" s="434">
        <v>0</v>
      </c>
      <c r="BN38" s="434">
        <v>0</v>
      </c>
      <c r="BO38" s="434">
        <v>64.81</v>
      </c>
      <c r="BP38" s="434">
        <v>10.98</v>
      </c>
      <c r="BQ38" s="434">
        <v>0</v>
      </c>
      <c r="BR38" s="434">
        <v>0</v>
      </c>
      <c r="BS38" s="434">
        <v>621.5</v>
      </c>
      <c r="BT38" s="434">
        <v>924.31</v>
      </c>
      <c r="BU38" s="434">
        <v>1186.83</v>
      </c>
      <c r="BV38" s="434">
        <v>2130.1999999999998</v>
      </c>
      <c r="BW38" s="434">
        <v>153.06</v>
      </c>
      <c r="BX38" s="434">
        <v>6551.43</v>
      </c>
      <c r="BY38" s="434">
        <v>27616.11</v>
      </c>
      <c r="BZ38" s="434">
        <v>44905.67</v>
      </c>
      <c r="CA38" s="434">
        <v>49530.64</v>
      </c>
      <c r="CB38" s="434">
        <v>53647.49</v>
      </c>
      <c r="CC38" s="434">
        <v>57773.82</v>
      </c>
      <c r="CD38" s="434">
        <v>34876.49</v>
      </c>
      <c r="CE38" s="434">
        <v>46596.95</v>
      </c>
      <c r="CF38" s="434">
        <v>59324.639999999999</v>
      </c>
      <c r="CG38" s="434">
        <v>64594.479999999996</v>
      </c>
      <c r="CH38" s="434">
        <v>132738.07</v>
      </c>
      <c r="CI38" s="656">
        <v>123731.22</v>
      </c>
      <c r="CJ38" s="656">
        <v>16783.32</v>
      </c>
      <c r="CK38" s="656">
        <v>970.83</v>
      </c>
      <c r="CL38" s="656">
        <v>7178.15</v>
      </c>
      <c r="CM38" s="656">
        <v>196947.8</v>
      </c>
      <c r="CN38" s="656">
        <v>-180863.37999999998</v>
      </c>
      <c r="CO38" s="656">
        <v>7725.76</v>
      </c>
      <c r="CP38" s="656">
        <v>67465.7</v>
      </c>
      <c r="CQ38" s="656">
        <v>84725.13</v>
      </c>
      <c r="CR38" s="656">
        <v>17948.07</v>
      </c>
      <c r="CS38" s="656">
        <v>11889.599999999999</v>
      </c>
      <c r="CT38" s="656">
        <v>17109.919999999998</v>
      </c>
      <c r="CU38" s="656">
        <v>13053.15</v>
      </c>
      <c r="CV38" s="656">
        <v>46774.2</v>
      </c>
      <c r="CW38" s="656">
        <v>153884.13</v>
      </c>
      <c r="CX38" s="656">
        <f>VLOOKUP("7500020",'Input IS ACCTS'!$A$6:$CV$512,64,FALSE)+VLOOKUP("7500080",'Input IS ACCTS'!$A$6:$CV$512,64,FALSE)+'Debt &amp; Cust Dep'!CI61*1000</f>
        <v>214969.99</v>
      </c>
      <c r="CY38" s="656">
        <f>VLOOKUP("7500020",'Input IS ACCTS'!$A$6:$CV$512,65,FALSE)+VLOOKUP("7500080",'Input IS ACCTS'!$A$6:$CV$512,65,FALSE)+'Debt &amp; Cust Dep'!CJ61*1000</f>
        <v>197877.37</v>
      </c>
      <c r="CZ38" s="656">
        <f>VLOOKUP("7500020",'Input IS ACCTS'!$A$6:$CV$512,66,FALSE)+VLOOKUP("7500080",'Input IS ACCTS'!$A$6:$CV$512,66,FALSE)+'Debt &amp; Cust Dep'!CK61*1000</f>
        <v>175503.68999999997</v>
      </c>
      <c r="DA38" s="656">
        <f>VLOOKUP("7500020",'Input IS ACCTS'!$A$6:$CV$512,67,FALSE)+VLOOKUP("7500080",'Input IS ACCTS'!$A$6:$CV$512,67,FALSE)+'Debt &amp; Cust Dep'!CL61*1000</f>
        <v>161745.99999999997</v>
      </c>
      <c r="DB38" s="656">
        <f>VLOOKUP("7500020",'Input IS ACCTS'!$A$6:$CV$512,68,FALSE)+VLOOKUP("7500080",'Input IS ACCTS'!$A$6:$CV$512,68,FALSE)+'Debt &amp; Cust Dep'!CM61*1000</f>
        <v>101718.97999999998</v>
      </c>
      <c r="DC38" s="656">
        <f>VLOOKUP("7500020",'Input IS ACCTS'!$A$6:$CV$512,69,FALSE)+VLOOKUP("7500080",'Input IS ACCTS'!$A$6:$CV$512,69,FALSE)+'Debt &amp; Cust Dep'!CN61*1000</f>
        <v>-121127.27000000002</v>
      </c>
      <c r="DD38" s="656">
        <f>VLOOKUP("7500020",'Input IS ACCTS'!$A$6:$CV$512,70,FALSE)+VLOOKUP("7500080",'Input IS ACCTS'!$A$6:$CV$512,70,FALSE)+'Debt &amp; Cust Dep'!CO61*1000</f>
        <v>108407.9</v>
      </c>
      <c r="DE38" s="656">
        <f>VLOOKUP("7500020",'Input IS ACCTS'!$A$6:$CV$512,71,FALSE)+VLOOKUP("7500080",'Input IS ACCTS'!$A$6:$CV$512,71,FALSE)+'Debt &amp; Cust Dep'!CP61*1000</f>
        <v>95194.639999999985</v>
      </c>
      <c r="DF38" s="656">
        <f>VLOOKUP("7500020",'Input IS ACCTS'!$A$6:$CV$512,72,FALSE)+VLOOKUP("7500080",'Input IS ACCTS'!$A$6:$CV$512,72,FALSE)+'Debt &amp; Cust Dep'!CQ61*1000</f>
        <v>104624.98999999999</v>
      </c>
      <c r="DG38" s="656">
        <v>115835.31999999999</v>
      </c>
      <c r="DH38" s="656">
        <v>123047.75999999998</v>
      </c>
      <c r="DI38" s="656">
        <v>179924.16</v>
      </c>
      <c r="DJ38" s="656">
        <v>210215.55000000002</v>
      </c>
      <c r="DK38" s="656">
        <v>90143.97</v>
      </c>
      <c r="DL38" s="656">
        <v>237609.57</v>
      </c>
      <c r="DM38" s="656">
        <v>95122.09</v>
      </c>
      <c r="DN38" s="656">
        <v>94080.85</v>
      </c>
      <c r="DO38" s="656">
        <v>98773.909999999974</v>
      </c>
      <c r="DP38" s="656">
        <v>117552.37</v>
      </c>
      <c r="DQ38" s="656">
        <v>114333.16</v>
      </c>
      <c r="DR38" s="656">
        <v>110193.62</v>
      </c>
      <c r="DS38" s="656">
        <v>128807.5</v>
      </c>
      <c r="DT38" s="656">
        <v>143573.54</v>
      </c>
      <c r="DU38" s="656">
        <v>182942.44</v>
      </c>
      <c r="DV38" s="656">
        <v>218833.53</v>
      </c>
      <c r="DW38" s="656">
        <v>205384.68999999997</v>
      </c>
      <c r="DX38" s="656">
        <v>170017.74</v>
      </c>
      <c r="DY38" s="656">
        <v>28172.49</v>
      </c>
      <c r="DZ38" s="656">
        <v>47144.56</v>
      </c>
      <c r="EA38" s="656">
        <v>92193.74</v>
      </c>
      <c r="EB38" s="656">
        <v>48576.85</v>
      </c>
      <c r="EC38" s="656">
        <v>53198.429999999993</v>
      </c>
      <c r="ED38" s="656">
        <v>44199.61</v>
      </c>
      <c r="EE38" s="656">
        <f>VLOOKUP("7500020",'Input IS ACCTS'!$A$6:$CV$512,97,FALSE)+VLOOKUP("7500080",'Input IS ACCTS'!$A$6:$CV$512,97,FALSE)+VLOOKUP("7500090",'Input IS ACCTS'!$A$6:$CV$512,97,FALSE)</f>
        <v>57750.91</v>
      </c>
      <c r="EF38" s="656">
        <f>VLOOKUP("7500020",'Input IS ACCTS'!$A$6:$CV$512,98,FALSE)+VLOOKUP("7500080",'Input IS ACCTS'!$A$6:$CV$512,98,FALSE)+VLOOKUP("7500090",'Input IS ACCTS'!$A$6:$CV$512,98,FALSE)</f>
        <v>58941.5</v>
      </c>
      <c r="EG38" s="656">
        <f>VLOOKUP("7500020",'Input IS ACCTS'!$A$6:$CV$512,99,FALSE)+VLOOKUP("7500080",'Input IS ACCTS'!$A$6:$CV$512,99,FALSE)+VLOOKUP("7500090",'Input IS ACCTS'!$A$6:$CV$512,99,FALSE)</f>
        <v>80505.77</v>
      </c>
      <c r="EH38" s="150">
        <f t="shared" si="44"/>
        <v>1104919.82</v>
      </c>
      <c r="EI38" s="198">
        <f t="shared" si="13"/>
        <v>1104.9198200000001</v>
      </c>
      <c r="EK38" s="56"/>
      <c r="EL38" s="56"/>
      <c r="EM38" s="56"/>
      <c r="EN38" s="56"/>
      <c r="EO38" s="56"/>
      <c r="EP38" s="56"/>
      <c r="EQ38" s="56"/>
      <c r="ER38" s="56"/>
      <c r="ES38" s="56"/>
      <c r="ET38" s="56"/>
    </row>
    <row r="39" spans="1:150">
      <c r="A39" t="s">
        <v>395</v>
      </c>
      <c r="B39" s="364">
        <f t="shared" si="42"/>
        <v>347.68374</v>
      </c>
      <c r="C39" s="44"/>
      <c r="D39" s="382">
        <f t="shared" si="43"/>
        <v>31.548629999999999</v>
      </c>
      <c r="E39" s="286"/>
      <c r="F39" s="375">
        <v>115724</v>
      </c>
      <c r="G39" s="116">
        <v>115594</v>
      </c>
      <c r="H39" s="116">
        <v>117086</v>
      </c>
      <c r="I39" s="116">
        <v>116062</v>
      </c>
      <c r="J39" s="116">
        <v>119057</v>
      </c>
      <c r="K39" s="116">
        <v>119953</v>
      </c>
      <c r="L39" s="116">
        <v>116796.27</v>
      </c>
      <c r="M39" s="116">
        <v>116485.37</v>
      </c>
      <c r="N39" s="116">
        <v>116329.04</v>
      </c>
      <c r="O39" s="116">
        <v>116268.61</v>
      </c>
      <c r="P39" s="176">
        <v>116268.61</v>
      </c>
      <c r="Q39" s="176">
        <v>116287.71</v>
      </c>
      <c r="R39" s="116">
        <v>116274.97</v>
      </c>
      <c r="S39" s="116">
        <v>116274.97</v>
      </c>
      <c r="T39" s="116">
        <v>116274.97</v>
      </c>
      <c r="U39" s="264">
        <v>116274.97</v>
      </c>
      <c r="V39" s="264">
        <v>116274.97</v>
      </c>
      <c r="W39" s="264">
        <v>121680.31999999999</v>
      </c>
      <c r="X39" s="264">
        <v>113923.78</v>
      </c>
      <c r="Y39" s="264">
        <v>78512.809999999983</v>
      </c>
      <c r="Z39" s="264">
        <v>43505.340000000004</v>
      </c>
      <c r="AA39" s="264">
        <v>45176.18</v>
      </c>
      <c r="AB39" s="264">
        <v>45202.28</v>
      </c>
      <c r="AC39" s="275">
        <v>45296.530000000006</v>
      </c>
      <c r="AD39" s="265">
        <v>45303.65</v>
      </c>
      <c r="AE39" s="265">
        <v>45238.68</v>
      </c>
      <c r="AF39" s="265">
        <v>45238.68</v>
      </c>
      <c r="AG39" s="294">
        <v>45238.68</v>
      </c>
      <c r="AH39" s="294">
        <v>45238.68</v>
      </c>
      <c r="AI39" s="294">
        <v>45238.68</v>
      </c>
      <c r="AJ39" s="374">
        <v>45240.4</v>
      </c>
      <c r="AK39" s="374">
        <v>45262.73</v>
      </c>
      <c r="AL39" s="374">
        <v>45277.41</v>
      </c>
      <c r="AM39" s="323">
        <v>45243.49</v>
      </c>
      <c r="AN39" s="323">
        <v>45243.49</v>
      </c>
      <c r="AO39" s="323">
        <v>45243.49</v>
      </c>
      <c r="AP39" s="432">
        <v>45243.49</v>
      </c>
      <c r="AQ39" s="432">
        <v>45243.49</v>
      </c>
      <c r="AR39" s="432">
        <v>45243.49</v>
      </c>
      <c r="AS39" s="432">
        <v>45243.49</v>
      </c>
      <c r="AT39" s="432">
        <v>45257.87</v>
      </c>
      <c r="AU39" s="432">
        <v>45696.66</v>
      </c>
      <c r="AV39" s="432">
        <v>45572.94</v>
      </c>
      <c r="AW39" s="432">
        <v>45564.24</v>
      </c>
      <c r="AX39" s="432">
        <v>45768.45</v>
      </c>
      <c r="AY39" s="432">
        <v>45596.65</v>
      </c>
      <c r="AZ39" s="432">
        <v>45594.559999999998</v>
      </c>
      <c r="BA39" s="432">
        <v>45594.559999999998</v>
      </c>
      <c r="BB39" s="432">
        <v>45594.559999999998</v>
      </c>
      <c r="BC39" s="432">
        <v>45594.559999999998</v>
      </c>
      <c r="BD39" s="432">
        <v>45594.559999999998</v>
      </c>
      <c r="BE39" s="432">
        <v>45594.559999999998</v>
      </c>
      <c r="BF39" s="432">
        <v>78261.23</v>
      </c>
      <c r="BG39" s="432">
        <v>12648.48</v>
      </c>
      <c r="BH39" s="432">
        <v>45320.55</v>
      </c>
      <c r="BI39" s="432">
        <v>45317.25</v>
      </c>
      <c r="BJ39" s="432">
        <v>45428.37</v>
      </c>
      <c r="BK39" s="432">
        <v>45345.03</v>
      </c>
      <c r="BL39" s="432">
        <v>45344.32</v>
      </c>
      <c r="BM39" s="432">
        <v>45363.15</v>
      </c>
      <c r="BN39" s="432">
        <v>45345.03</v>
      </c>
      <c r="BO39" s="432">
        <v>45345.03</v>
      </c>
      <c r="BP39" s="432">
        <v>45345.03</v>
      </c>
      <c r="BQ39" s="432">
        <v>45345.03</v>
      </c>
      <c r="BR39" s="432">
        <v>45345.03</v>
      </c>
      <c r="BS39" s="432">
        <v>45345.03</v>
      </c>
      <c r="BT39" s="432">
        <v>45345.03</v>
      </c>
      <c r="BU39" s="432">
        <v>45345.03</v>
      </c>
      <c r="BV39" s="432">
        <v>45345.03</v>
      </c>
      <c r="BW39" s="432">
        <v>45345.03</v>
      </c>
      <c r="BX39" s="432">
        <v>45345.03</v>
      </c>
      <c r="BY39" s="432">
        <v>45345.03</v>
      </c>
      <c r="BZ39" s="432">
        <v>45345.03</v>
      </c>
      <c r="CA39" s="432">
        <v>45345.03</v>
      </c>
      <c r="CB39" s="432">
        <v>45345.03</v>
      </c>
      <c r="CC39" s="432">
        <v>45345.03</v>
      </c>
      <c r="CD39" s="432">
        <v>45345.03</v>
      </c>
      <c r="CE39" s="432">
        <v>45345.03</v>
      </c>
      <c r="CF39" s="432">
        <v>45345.03</v>
      </c>
      <c r="CG39" s="432">
        <v>45345.03</v>
      </c>
      <c r="CH39" s="432">
        <v>45345.03</v>
      </c>
      <c r="CI39" s="432">
        <v>45345.03</v>
      </c>
      <c r="CJ39" s="432">
        <v>45345.03</v>
      </c>
      <c r="CK39" s="432">
        <v>45345.03</v>
      </c>
      <c r="CL39" s="432">
        <v>45345.03</v>
      </c>
      <c r="CM39" s="432">
        <v>45345.03</v>
      </c>
      <c r="CN39" s="432">
        <v>45345.03</v>
      </c>
      <c r="CO39" s="432">
        <v>45345.03</v>
      </c>
      <c r="CP39" s="432">
        <v>27368.99</v>
      </c>
      <c r="CQ39" s="432">
        <v>12617.1</v>
      </c>
      <c r="CR39" s="432">
        <v>12704.24</v>
      </c>
      <c r="CS39" s="432">
        <v>12706.38</v>
      </c>
      <c r="CT39" s="432">
        <v>13141.73</v>
      </c>
      <c r="CU39" s="432">
        <v>13803.91</v>
      </c>
      <c r="CV39" s="432">
        <v>13829.09</v>
      </c>
      <c r="CW39" s="432">
        <v>13850.32</v>
      </c>
      <c r="CX39" s="432">
        <v>13822.88</v>
      </c>
      <c r="CY39" s="432">
        <v>13822.88</v>
      </c>
      <c r="CZ39" s="432">
        <v>14052.4</v>
      </c>
      <c r="DA39" s="432">
        <v>13860.92</v>
      </c>
      <c r="DB39" s="432">
        <v>13860.92</v>
      </c>
      <c r="DC39" s="432">
        <v>13860.92</v>
      </c>
      <c r="DD39" s="432">
        <v>13860.92</v>
      </c>
      <c r="DE39" s="432">
        <v>15398.62</v>
      </c>
      <c r="DF39" s="432">
        <v>15460.32</v>
      </c>
      <c r="DG39" s="432">
        <v>15429.82</v>
      </c>
      <c r="DH39" s="432">
        <v>15429.82</v>
      </c>
      <c r="DI39" s="432">
        <v>15628.22</v>
      </c>
      <c r="DJ39" s="432">
        <v>15469.92</v>
      </c>
      <c r="DK39" s="432">
        <v>15469.92</v>
      </c>
      <c r="DL39" s="432">
        <v>15481.28</v>
      </c>
      <c r="DM39" s="432">
        <v>15471.2</v>
      </c>
      <c r="DN39" s="432">
        <v>15471.2</v>
      </c>
      <c r="DO39" s="432">
        <v>15471.2</v>
      </c>
      <c r="DP39" s="432">
        <v>15471.2</v>
      </c>
      <c r="DQ39" s="432">
        <v>15471.2</v>
      </c>
      <c r="DR39" s="432">
        <v>15471.2</v>
      </c>
      <c r="DS39" s="432">
        <v>15471.2</v>
      </c>
      <c r="DT39" s="432">
        <v>15471.2</v>
      </c>
      <c r="DU39" s="432">
        <v>15471.2</v>
      </c>
      <c r="DV39" s="432">
        <v>15471.2</v>
      </c>
      <c r="DW39" s="432">
        <v>15471.2</v>
      </c>
      <c r="DX39" s="432">
        <v>28962.53</v>
      </c>
      <c r="DY39" s="432">
        <v>30345.65</v>
      </c>
      <c r="DZ39" s="432">
        <v>32308.91</v>
      </c>
      <c r="EA39" s="432">
        <v>34366.57</v>
      </c>
      <c r="EB39" s="432">
        <v>31548.63</v>
      </c>
      <c r="EC39" s="432">
        <v>31548.63</v>
      </c>
      <c r="ED39" s="432">
        <v>31548.63</v>
      </c>
      <c r="EE39" s="432">
        <f>(VLOOKUP("4280",'Input IS ACCTS'!$A$6:$CV$512,97,FALSE))</f>
        <v>31548.63</v>
      </c>
      <c r="EF39" s="432">
        <f>(VLOOKUP("4280",'Input IS ACCTS'!$A$6:$CV$512,98,FALSE))</f>
        <v>33014.53</v>
      </c>
      <c r="EG39" s="432">
        <f>(VLOOKUP("4280",'Input IS ACCTS'!$A$6:$CV$512,99,FALSE))</f>
        <v>31548.63</v>
      </c>
      <c r="EH39" s="150">
        <f t="shared" si="44"/>
        <v>347683.74</v>
      </c>
      <c r="EI39" s="198">
        <f t="shared" si="13"/>
        <v>347.68374</v>
      </c>
      <c r="EK39" s="56"/>
      <c r="EL39" s="56"/>
      <c r="EM39" s="56"/>
      <c r="EN39" s="56"/>
      <c r="EO39" s="56"/>
      <c r="EP39" s="56"/>
      <c r="EQ39" s="56"/>
      <c r="ER39" s="56"/>
      <c r="ES39" s="56"/>
      <c r="ET39" s="56"/>
    </row>
    <row r="40" spans="1:150">
      <c r="A40" t="s">
        <v>396</v>
      </c>
      <c r="B40" s="364">
        <f t="shared" si="42"/>
        <v>1.2712699999999999</v>
      </c>
      <c r="C40" s="44"/>
      <c r="D40" s="382">
        <f t="shared" si="43"/>
        <v>0</v>
      </c>
      <c r="E40" s="286"/>
      <c r="F40" s="375">
        <v>2418</v>
      </c>
      <c r="G40" s="116">
        <v>1065</v>
      </c>
      <c r="H40" s="116">
        <v>-1368</v>
      </c>
      <c r="I40" s="116">
        <v>17</v>
      </c>
      <c r="J40" s="116">
        <v>-852</v>
      </c>
      <c r="K40" s="116">
        <v>-2797</v>
      </c>
      <c r="L40" s="116">
        <v>-456.39</v>
      </c>
      <c r="M40" s="116">
        <v>228.03</v>
      </c>
      <c r="N40" s="116">
        <v>65.64</v>
      </c>
      <c r="O40" s="116">
        <v>39.5</v>
      </c>
      <c r="P40" s="176">
        <v>441.36</v>
      </c>
      <c r="Q40" s="176">
        <v>1166.47</v>
      </c>
      <c r="R40" s="116">
        <v>-238.16</v>
      </c>
      <c r="S40" s="116">
        <v>-374.59</v>
      </c>
      <c r="T40" s="116">
        <v>-6605.67</v>
      </c>
      <c r="U40" s="264">
        <v>-10785.78</v>
      </c>
      <c r="V40" s="264">
        <v>-12303.67</v>
      </c>
      <c r="W40" s="264">
        <v>-1816.46</v>
      </c>
      <c r="X40" s="264">
        <v>0</v>
      </c>
      <c r="Y40" s="264">
        <v>-742.56000000000006</v>
      </c>
      <c r="Z40" s="264">
        <v>2534.6499999999996</v>
      </c>
      <c r="AA40" s="264">
        <v>0</v>
      </c>
      <c r="AB40" s="264">
        <v>-235.08</v>
      </c>
      <c r="AC40" s="275">
        <v>-351.41</v>
      </c>
      <c r="AD40" s="265">
        <v>-287.85000000000002</v>
      </c>
      <c r="AE40" s="265">
        <v>211.15</v>
      </c>
      <c r="AF40" s="265">
        <v>2.74</v>
      </c>
      <c r="AG40" s="294">
        <v>-308.02</v>
      </c>
      <c r="AH40" s="294">
        <v>-122.4</v>
      </c>
      <c r="AI40" s="294">
        <v>-610.28</v>
      </c>
      <c r="AJ40" s="374">
        <v>-169.25</v>
      </c>
      <c r="AK40" s="374">
        <v>-40.43</v>
      </c>
      <c r="AL40" s="374">
        <v>-3644.44</v>
      </c>
      <c r="AM40" s="323">
        <v>-374.34</v>
      </c>
      <c r="AN40" s="323">
        <v>-46.36</v>
      </c>
      <c r="AO40" s="323">
        <v>0</v>
      </c>
      <c r="AP40" s="434">
        <v>8.7899999999999991</v>
      </c>
      <c r="AQ40" s="434">
        <v>0</v>
      </c>
      <c r="AR40" s="434">
        <v>0</v>
      </c>
      <c r="AS40" s="434">
        <v>0</v>
      </c>
      <c r="AT40" s="434">
        <v>0</v>
      </c>
      <c r="AU40" s="434">
        <v>0</v>
      </c>
      <c r="AV40" s="434">
        <v>0</v>
      </c>
      <c r="AW40" s="434">
        <v>21.92</v>
      </c>
      <c r="AX40" s="434">
        <v>471.22</v>
      </c>
      <c r="AY40" s="434">
        <v>359.57</v>
      </c>
      <c r="AZ40" s="434">
        <v>0</v>
      </c>
      <c r="BA40" s="434">
        <v>255.48</v>
      </c>
      <c r="BB40" s="434">
        <v>0</v>
      </c>
      <c r="BC40" s="434">
        <v>0</v>
      </c>
      <c r="BD40" s="434">
        <v>0</v>
      </c>
      <c r="BE40" s="434">
        <v>0</v>
      </c>
      <c r="BF40" s="434">
        <v>0</v>
      </c>
      <c r="BG40" s="434">
        <v>0</v>
      </c>
      <c r="BH40" s="434">
        <v>0</v>
      </c>
      <c r="BI40" s="434">
        <v>0</v>
      </c>
      <c r="BJ40" s="434">
        <v>0</v>
      </c>
      <c r="BK40" s="434">
        <v>0</v>
      </c>
      <c r="BL40" s="434">
        <v>0</v>
      </c>
      <c r="BM40" s="434">
        <v>0</v>
      </c>
      <c r="BN40" s="434">
        <v>0</v>
      </c>
      <c r="BO40" s="434">
        <v>0</v>
      </c>
      <c r="BP40" s="434">
        <v>0</v>
      </c>
      <c r="BQ40" s="434">
        <v>0</v>
      </c>
      <c r="BR40" s="434">
        <v>0</v>
      </c>
      <c r="BS40" s="434">
        <v>0</v>
      </c>
      <c r="BT40" s="434">
        <v>0</v>
      </c>
      <c r="BU40" s="434">
        <v>0</v>
      </c>
      <c r="BV40" s="434">
        <v>0</v>
      </c>
      <c r="BW40" s="434">
        <v>4.37</v>
      </c>
      <c r="BX40" s="434">
        <v>0</v>
      </c>
      <c r="BY40" s="434">
        <v>0</v>
      </c>
      <c r="BZ40" s="434">
        <v>0</v>
      </c>
      <c r="CA40" s="434">
        <v>0</v>
      </c>
      <c r="CB40" s="434">
        <v>0</v>
      </c>
      <c r="CC40" s="434">
        <v>0</v>
      </c>
      <c r="CD40" s="434">
        <v>0</v>
      </c>
      <c r="CE40" s="434">
        <v>0</v>
      </c>
      <c r="CF40" s="434">
        <v>0</v>
      </c>
      <c r="CG40" s="434">
        <v>0</v>
      </c>
      <c r="CH40" s="434">
        <v>0</v>
      </c>
      <c r="CI40" s="656">
        <v>0</v>
      </c>
      <c r="CJ40" s="656">
        <v>11265.77</v>
      </c>
      <c r="CK40" s="656">
        <v>17164.080000000002</v>
      </c>
      <c r="CL40" s="656">
        <v>0</v>
      </c>
      <c r="CM40" s="656">
        <v>0</v>
      </c>
      <c r="CN40" s="656">
        <v>0</v>
      </c>
      <c r="CO40" s="656">
        <v>0</v>
      </c>
      <c r="CP40" s="656">
        <v>0</v>
      </c>
      <c r="CQ40" s="656">
        <v>0</v>
      </c>
      <c r="CR40" s="656">
        <v>0</v>
      </c>
      <c r="CS40" s="656">
        <v>0</v>
      </c>
      <c r="CT40" s="656">
        <v>0</v>
      </c>
      <c r="CU40" s="656">
        <v>10930.39</v>
      </c>
      <c r="CV40" s="656">
        <v>9713.34</v>
      </c>
      <c r="CW40" s="656">
        <v>0</v>
      </c>
      <c r="CX40" s="656">
        <v>0</v>
      </c>
      <c r="CY40" s="656">
        <v>0</v>
      </c>
      <c r="CZ40" s="656">
        <v>0</v>
      </c>
      <c r="DA40" s="656">
        <v>0</v>
      </c>
      <c r="DB40" s="656">
        <v>0</v>
      </c>
      <c r="DC40" s="656">
        <v>0</v>
      </c>
      <c r="DD40" s="656">
        <v>0</v>
      </c>
      <c r="DE40" s="656">
        <v>0</v>
      </c>
      <c r="DF40" s="656">
        <v>0</v>
      </c>
      <c r="DG40" s="656">
        <v>0</v>
      </c>
      <c r="DH40" s="656">
        <v>0</v>
      </c>
      <c r="DI40" s="656">
        <v>0</v>
      </c>
      <c r="DJ40" s="656">
        <v>0</v>
      </c>
      <c r="DK40" s="656">
        <v>0</v>
      </c>
      <c r="DL40" s="656">
        <v>219.4</v>
      </c>
      <c r="DM40" s="656">
        <v>0</v>
      </c>
      <c r="DN40" s="656">
        <v>0</v>
      </c>
      <c r="DO40" s="656">
        <v>0</v>
      </c>
      <c r="DP40" s="656">
        <v>0</v>
      </c>
      <c r="DQ40" s="656">
        <v>0</v>
      </c>
      <c r="DR40" s="656">
        <v>0</v>
      </c>
      <c r="DS40" s="656">
        <v>0</v>
      </c>
      <c r="DT40" s="656">
        <v>0</v>
      </c>
      <c r="DU40" s="656">
        <v>0</v>
      </c>
      <c r="DV40" s="656">
        <v>0</v>
      </c>
      <c r="DW40" s="656">
        <v>0</v>
      </c>
      <c r="DX40" s="656">
        <v>278.17</v>
      </c>
      <c r="DY40" s="656">
        <v>993.1</v>
      </c>
      <c r="DZ40" s="656">
        <v>0</v>
      </c>
      <c r="EA40" s="656">
        <v>0</v>
      </c>
      <c r="EB40" s="656">
        <v>0</v>
      </c>
      <c r="EC40" s="656">
        <v>0</v>
      </c>
      <c r="ED40" s="656">
        <v>0</v>
      </c>
      <c r="EE40" s="656">
        <f>VLOOKUP("7500700",'Input IS ACCTS'!$A$6:$CV$512,97,FALSE)</f>
        <v>0</v>
      </c>
      <c r="EF40" s="656">
        <f>VLOOKUP("7500700",'Input IS ACCTS'!$A$6:$CV$512,98,FALSE)</f>
        <v>0</v>
      </c>
      <c r="EG40" s="656">
        <f>VLOOKUP("7500700",'Input IS ACCTS'!$A$6:$CV$512,99,FALSE)</f>
        <v>0</v>
      </c>
      <c r="EH40" s="150">
        <f t="shared" si="44"/>
        <v>1271.27</v>
      </c>
      <c r="EI40" s="198">
        <f>EH40/1000</f>
        <v>1.2712699999999999</v>
      </c>
      <c r="EK40" s="56"/>
      <c r="EL40" s="56"/>
      <c r="EM40" s="56"/>
      <c r="EN40" s="56"/>
      <c r="EO40" s="56"/>
      <c r="EP40" s="56"/>
      <c r="EQ40" s="56"/>
      <c r="ER40" s="56"/>
      <c r="ES40" s="56"/>
      <c r="ET40" s="56"/>
    </row>
    <row r="41" spans="1:150">
      <c r="A41" t="s">
        <v>397</v>
      </c>
      <c r="B41" s="364">
        <f t="shared" si="42"/>
        <v>373.71291000000002</v>
      </c>
      <c r="C41" s="44"/>
      <c r="D41" s="382">
        <f t="shared" si="43"/>
        <v>23.926300000000001</v>
      </c>
      <c r="E41" s="286"/>
      <c r="F41" s="375">
        <v>207447</v>
      </c>
      <c r="G41" s="116">
        <v>207445</v>
      </c>
      <c r="H41" s="116">
        <v>208336</v>
      </c>
      <c r="I41" s="116">
        <v>209299</v>
      </c>
      <c r="J41" s="116">
        <v>210422</v>
      </c>
      <c r="K41" s="116">
        <v>211215</v>
      </c>
      <c r="L41" s="116">
        <v>210874.5</v>
      </c>
      <c r="M41" s="116">
        <v>210316.13</v>
      </c>
      <c r="N41" s="116">
        <v>209487.13</v>
      </c>
      <c r="O41" s="116">
        <v>209523.01</v>
      </c>
      <c r="P41" s="176">
        <v>209629.75</v>
      </c>
      <c r="Q41" s="176">
        <v>228091.87</v>
      </c>
      <c r="R41" s="116">
        <v>192762.22</v>
      </c>
      <c r="S41" s="116">
        <v>209166.38</v>
      </c>
      <c r="T41" s="116">
        <v>209114.90000000002</v>
      </c>
      <c r="U41" s="264">
        <v>209175.02999999997</v>
      </c>
      <c r="V41" s="264">
        <v>209109.77</v>
      </c>
      <c r="W41" s="264">
        <v>208376.84</v>
      </c>
      <c r="X41" s="264">
        <v>208038.36</v>
      </c>
      <c r="Y41" s="264">
        <v>81032.289999999994</v>
      </c>
      <c r="Z41" s="264">
        <v>81176.37</v>
      </c>
      <c r="AA41" s="264">
        <v>81347.910000000018</v>
      </c>
      <c r="AB41" s="264">
        <v>81283.990000000005</v>
      </c>
      <c r="AC41" s="275">
        <v>81228.12</v>
      </c>
      <c r="AD41" s="265">
        <v>82510.48</v>
      </c>
      <c r="AE41" s="265">
        <v>80819.570000000007</v>
      </c>
      <c r="AF41" s="265">
        <v>80864.09</v>
      </c>
      <c r="AG41" s="295">
        <v>80865.88</v>
      </c>
      <c r="AH41" s="295">
        <v>86952.07</v>
      </c>
      <c r="AI41" s="295">
        <v>81303.09</v>
      </c>
      <c r="AJ41" s="327">
        <v>81982.76999999999</v>
      </c>
      <c r="AK41" s="327">
        <v>81083.87999999999</v>
      </c>
      <c r="AL41" s="327">
        <v>80969.090000000011</v>
      </c>
      <c r="AM41" s="330">
        <v>81345.31</v>
      </c>
      <c r="AN41" s="330">
        <v>81362.42</v>
      </c>
      <c r="AO41" s="330">
        <v>81762.73000000001</v>
      </c>
      <c r="AP41" s="656">
        <v>81894.760000000009</v>
      </c>
      <c r="AQ41" s="656">
        <v>82094.7</v>
      </c>
      <c r="AR41" s="656">
        <v>82115.39</v>
      </c>
      <c r="AS41" s="656">
        <v>82626.37999999999</v>
      </c>
      <c r="AT41" s="656">
        <v>83203.09</v>
      </c>
      <c r="AU41" s="656">
        <v>83004.789999999994</v>
      </c>
      <c r="AV41" s="656">
        <v>83313.78</v>
      </c>
      <c r="AW41" s="656">
        <v>83750.91</v>
      </c>
      <c r="AX41" s="656">
        <v>84355.54</v>
      </c>
      <c r="AY41" s="656">
        <v>84780.989999999991</v>
      </c>
      <c r="AZ41" s="656">
        <v>83829.83</v>
      </c>
      <c r="BA41" s="656">
        <v>84436.05</v>
      </c>
      <c r="BB41" s="656">
        <v>85442.34</v>
      </c>
      <c r="BC41" s="656">
        <v>84854.13</v>
      </c>
      <c r="BD41" s="656">
        <v>85595.22</v>
      </c>
      <c r="BE41" s="656">
        <v>84733.17</v>
      </c>
      <c r="BF41" s="656">
        <v>85537.26</v>
      </c>
      <c r="BG41" s="656">
        <v>85868.43</v>
      </c>
      <c r="BH41" s="656">
        <v>86218.240000000005</v>
      </c>
      <c r="BI41" s="656">
        <v>86523.16</v>
      </c>
      <c r="BJ41" s="656">
        <v>86793.2</v>
      </c>
      <c r="BK41" s="656">
        <v>86922.98</v>
      </c>
      <c r="BL41" s="656">
        <v>87199.89</v>
      </c>
      <c r="BM41" s="656">
        <v>87642.38</v>
      </c>
      <c r="BN41" s="656">
        <v>88204.160000000003</v>
      </c>
      <c r="BO41" s="656">
        <v>84851.199999999997</v>
      </c>
      <c r="BP41" s="656">
        <v>83457.48000000001</v>
      </c>
      <c r="BQ41" s="656">
        <v>81129.69</v>
      </c>
      <c r="BR41" s="656">
        <v>79572.649999999994</v>
      </c>
      <c r="BS41" s="656">
        <v>77905.850000000006</v>
      </c>
      <c r="BT41" s="656">
        <v>76787.37</v>
      </c>
      <c r="BU41" s="656">
        <v>74686.73</v>
      </c>
      <c r="BV41" s="656">
        <v>72356.320000000007</v>
      </c>
      <c r="BW41" s="656">
        <v>69772.560000000012</v>
      </c>
      <c r="BX41" s="656">
        <v>65144.549999999996</v>
      </c>
      <c r="BY41" s="656">
        <v>63466.990000000005</v>
      </c>
      <c r="BZ41" s="656">
        <v>61471</v>
      </c>
      <c r="CA41" s="656">
        <v>61667</v>
      </c>
      <c r="CB41" s="656">
        <v>61786.000000000007</v>
      </c>
      <c r="CC41" s="656">
        <v>61519.000000000007</v>
      </c>
      <c r="CD41" s="656">
        <v>61397.000000000007</v>
      </c>
      <c r="CE41" s="656">
        <v>60711</v>
      </c>
      <c r="CF41" s="656">
        <v>58858</v>
      </c>
      <c r="CG41" s="656">
        <v>56890</v>
      </c>
      <c r="CH41" s="656">
        <v>56308</v>
      </c>
      <c r="CI41" s="656">
        <v>55755.119999999995</v>
      </c>
      <c r="CJ41" s="656">
        <v>55424.87999999999</v>
      </c>
      <c r="CK41" s="656">
        <v>75832.44</v>
      </c>
      <c r="CL41" s="656">
        <v>47575.75</v>
      </c>
      <c r="CM41" s="656">
        <v>54553.06</v>
      </c>
      <c r="CN41" s="656">
        <v>58215.859999999971</v>
      </c>
      <c r="CO41" s="656">
        <v>59953.73</v>
      </c>
      <c r="CP41" s="656">
        <v>64137.11</v>
      </c>
      <c r="CQ41" s="656">
        <v>63925.09</v>
      </c>
      <c r="CR41" s="656">
        <v>65400.46</v>
      </c>
      <c r="CS41" s="656">
        <v>65203.68</v>
      </c>
      <c r="CT41" s="656">
        <v>65944.14</v>
      </c>
      <c r="CU41" s="656">
        <v>64652.650000000009</v>
      </c>
      <c r="CV41" s="656">
        <v>56088.36</v>
      </c>
      <c r="CW41" s="656">
        <v>41433.169999999984</v>
      </c>
      <c r="CX41" s="656">
        <f>(VLOOKUP("4310",'Input IS ACCTS'!$A$6:$CV$512,64,FALSE))-CX38-CX40</f>
        <v>55623.549999999988</v>
      </c>
      <c r="CY41" s="656">
        <f>(VLOOKUP("4310",'Input IS ACCTS'!$A$6:$CV$512,65,FALSE))-CY38-CY40</f>
        <v>57061.350000000006</v>
      </c>
      <c r="CZ41" s="656">
        <f>(VLOOKUP("4310",'Input IS ACCTS'!$A$6:$CV$512,66,FALSE))-CZ38-CZ40</f>
        <v>63013.750000000029</v>
      </c>
      <c r="DA41" s="656">
        <f>(VLOOKUP("4310",'Input IS ACCTS'!$A$6:$CV$512,67,FALSE))-DA38-DA40</f>
        <v>66742.160000000033</v>
      </c>
      <c r="DB41" s="656">
        <f>(VLOOKUP("4310",'Input IS ACCTS'!$A$6:$CV$512,68,FALSE))-DB38-DB40</f>
        <v>71652.23000000001</v>
      </c>
      <c r="DC41" s="656">
        <f>(VLOOKUP("4310",'Input IS ACCTS'!$A$6:$CV$512,69,FALSE))-DC38-DC40</f>
        <v>74356.570000000022</v>
      </c>
      <c r="DD41" s="656">
        <f>(VLOOKUP("4310",'Input IS ACCTS'!$A$6:$CV$512,70,FALSE))-DD38-DD40</f>
        <v>74194</v>
      </c>
      <c r="DE41" s="656">
        <f>(VLOOKUP("4310",'Input IS ACCTS'!$A$6:$CV$512,71,FALSE))-DE38-DE40</f>
        <v>71661.140000000014</v>
      </c>
      <c r="DF41" s="656">
        <f>(VLOOKUP("4310",'Input IS ACCTS'!$A$6:$CV$512,72,FALSE))-DF38-DF40</f>
        <v>70275.050000000017</v>
      </c>
      <c r="DG41" s="656">
        <v>67494.130000000019</v>
      </c>
      <c r="DH41" s="656">
        <v>62713.550000000017</v>
      </c>
      <c r="DI41" s="656">
        <v>48962.799999999988</v>
      </c>
      <c r="DJ41" s="656">
        <v>-145022.20000000001</v>
      </c>
      <c r="DK41" s="656">
        <v>-20934.880000000005</v>
      </c>
      <c r="DL41" s="656">
        <v>-162475.22</v>
      </c>
      <c r="DM41" s="656">
        <v>-27041.479999999996</v>
      </c>
      <c r="DN41" s="934">
        <v>498125.57</v>
      </c>
      <c r="DO41" s="934">
        <v>185997.39999999991</v>
      </c>
      <c r="DP41" s="656">
        <v>45836.630000000005</v>
      </c>
      <c r="DQ41" s="656">
        <v>45689.53</v>
      </c>
      <c r="DR41" s="656">
        <v>45340.69</v>
      </c>
      <c r="DS41" s="656">
        <v>44945.899999999994</v>
      </c>
      <c r="DT41" s="656">
        <v>44632.26999999999</v>
      </c>
      <c r="DU41" s="656">
        <v>19939.53</v>
      </c>
      <c r="DV41" s="656">
        <v>23996.459999999992</v>
      </c>
      <c r="DW41" s="656">
        <v>31247.650000000023</v>
      </c>
      <c r="DX41" s="656">
        <v>28477.64</v>
      </c>
      <c r="DY41" s="656">
        <v>32186.019999999997</v>
      </c>
      <c r="DZ41" s="656">
        <v>35035.270000000004</v>
      </c>
      <c r="EA41" s="656">
        <v>32970.089999999997</v>
      </c>
      <c r="EB41" s="656">
        <v>33447.470000000008</v>
      </c>
      <c r="EC41" s="656">
        <v>31970.030000000013</v>
      </c>
      <c r="ED41" s="656">
        <v>33317.679999999993</v>
      </c>
      <c r="EE41" s="656">
        <f>(VLOOKUP("4310",'Input IS ACCTS'!$A$6:$CV$512,97,FALSE))-EE38-EE40</f>
        <v>33344.509999999995</v>
      </c>
      <c r="EF41" s="656">
        <f>(VLOOKUP("4310",'Input IS ACCTS'!$A$6:$CV$512,98,FALSE))-EF38-EF40</f>
        <v>33793.789999999994</v>
      </c>
      <c r="EG41" s="656">
        <f>(VLOOKUP("4310",'Input IS ACCTS'!$A$6:$CV$512,99,FALSE))-EG38-EG40</f>
        <v>23926.300000000003</v>
      </c>
      <c r="EH41" s="150">
        <f t="shared" si="44"/>
        <v>373712.91000000003</v>
      </c>
      <c r="EI41" s="198">
        <f>EH41/1000</f>
        <v>373.71291000000002</v>
      </c>
      <c r="EK41" s="56"/>
      <c r="EL41" s="56"/>
      <c r="EM41" s="56"/>
      <c r="EN41" s="56"/>
      <c r="EO41" s="56"/>
      <c r="EP41" s="56"/>
      <c r="EQ41" s="56"/>
      <c r="ER41" s="56"/>
      <c r="ES41" s="56"/>
      <c r="ET41" s="56"/>
    </row>
    <row r="42" spans="1:150">
      <c r="A42" s="522" t="s">
        <v>2284</v>
      </c>
      <c r="B42" s="364">
        <f t="shared" si="42"/>
        <v>-1050.64626</v>
      </c>
      <c r="C42" s="44"/>
      <c r="D42" s="382">
        <f t="shared" si="43"/>
        <v>-52.206769999999999</v>
      </c>
      <c r="E42" s="286"/>
      <c r="F42" s="375">
        <v>0</v>
      </c>
      <c r="G42" s="116">
        <v>0</v>
      </c>
      <c r="H42" s="116">
        <v>0</v>
      </c>
      <c r="I42" s="116">
        <v>0</v>
      </c>
      <c r="J42" s="116">
        <v>0</v>
      </c>
      <c r="K42" s="116">
        <v>0</v>
      </c>
      <c r="L42" s="116">
        <v>0</v>
      </c>
      <c r="M42" s="116">
        <v>0</v>
      </c>
      <c r="N42" s="116">
        <v>0</v>
      </c>
      <c r="O42" s="116">
        <v>0</v>
      </c>
      <c r="P42" s="176">
        <v>0</v>
      </c>
      <c r="Q42" s="176">
        <v>0</v>
      </c>
      <c r="R42" s="116">
        <v>0</v>
      </c>
      <c r="S42" s="116">
        <v>0</v>
      </c>
      <c r="T42" s="116">
        <v>0</v>
      </c>
      <c r="U42" s="264">
        <v>0</v>
      </c>
      <c r="V42" s="264">
        <v>0</v>
      </c>
      <c r="W42" s="264">
        <v>0</v>
      </c>
      <c r="X42" s="264">
        <v>0</v>
      </c>
      <c r="Y42" s="264">
        <v>0</v>
      </c>
      <c r="Z42" s="264">
        <v>0</v>
      </c>
      <c r="AA42" s="264">
        <v>0</v>
      </c>
      <c r="AB42" s="264">
        <v>0</v>
      </c>
      <c r="AC42" s="275">
        <v>0</v>
      </c>
      <c r="AD42" s="265">
        <v>0</v>
      </c>
      <c r="AE42" s="265">
        <v>0</v>
      </c>
      <c r="AF42" s="265">
        <v>0</v>
      </c>
      <c r="AG42" s="295">
        <v>0</v>
      </c>
      <c r="AH42" s="295">
        <v>0</v>
      </c>
      <c r="AI42" s="295">
        <v>0</v>
      </c>
      <c r="AJ42" s="327">
        <v>0</v>
      </c>
      <c r="AK42" s="327">
        <v>0</v>
      </c>
      <c r="AL42" s="327">
        <v>0</v>
      </c>
      <c r="AM42" s="330">
        <v>0</v>
      </c>
      <c r="AN42" s="330">
        <v>0</v>
      </c>
      <c r="AO42" s="330">
        <v>0</v>
      </c>
      <c r="AP42" s="434">
        <v>0</v>
      </c>
      <c r="AQ42" s="434">
        <v>0</v>
      </c>
      <c r="AR42" s="434">
        <v>0</v>
      </c>
      <c r="AS42" s="434">
        <v>0</v>
      </c>
      <c r="AT42" s="434">
        <v>0</v>
      </c>
      <c r="AU42" s="434">
        <v>0</v>
      </c>
      <c r="AV42" s="434">
        <v>0</v>
      </c>
      <c r="AW42" s="434">
        <v>0</v>
      </c>
      <c r="AX42" s="434">
        <v>0</v>
      </c>
      <c r="AY42" s="434">
        <v>0</v>
      </c>
      <c r="AZ42" s="434">
        <v>0</v>
      </c>
      <c r="BA42" s="434">
        <v>0</v>
      </c>
      <c r="BB42" s="434">
        <v>0</v>
      </c>
      <c r="BC42" s="434">
        <v>0</v>
      </c>
      <c r="BD42" s="434">
        <v>0</v>
      </c>
      <c r="BE42" s="434">
        <v>0</v>
      </c>
      <c r="BF42" s="434">
        <v>0</v>
      </c>
      <c r="BG42" s="434">
        <v>0</v>
      </c>
      <c r="BH42" s="434">
        <v>0</v>
      </c>
      <c r="BI42" s="434">
        <v>0</v>
      </c>
      <c r="BJ42" s="434">
        <v>0</v>
      </c>
      <c r="BK42" s="434">
        <v>0</v>
      </c>
      <c r="BL42" s="434">
        <v>0</v>
      </c>
      <c r="BM42" s="434">
        <v>0</v>
      </c>
      <c r="BN42" s="434">
        <v>0</v>
      </c>
      <c r="BO42" s="434">
        <v>0</v>
      </c>
      <c r="BP42" s="434">
        <v>0</v>
      </c>
      <c r="BQ42" s="434">
        <v>0</v>
      </c>
      <c r="BR42" s="434">
        <v>0</v>
      </c>
      <c r="BS42" s="434">
        <v>0</v>
      </c>
      <c r="BT42" s="434">
        <v>0</v>
      </c>
      <c r="BU42" s="434">
        <v>0</v>
      </c>
      <c r="BV42" s="434">
        <v>0</v>
      </c>
      <c r="BW42" s="434">
        <v>0</v>
      </c>
      <c r="BX42" s="434">
        <v>0</v>
      </c>
      <c r="BY42" s="434">
        <v>0</v>
      </c>
      <c r="BZ42" s="434">
        <v>0</v>
      </c>
      <c r="CA42" s="434">
        <v>0</v>
      </c>
      <c r="CB42" s="434">
        <v>0</v>
      </c>
      <c r="CC42" s="434">
        <v>0</v>
      </c>
      <c r="CD42" s="434">
        <v>0</v>
      </c>
      <c r="CE42" s="434">
        <v>0</v>
      </c>
      <c r="CF42" s="434">
        <v>0</v>
      </c>
      <c r="CG42" s="434">
        <v>0</v>
      </c>
      <c r="CH42" s="434">
        <v>0</v>
      </c>
      <c r="CI42" s="656">
        <v>0</v>
      </c>
      <c r="CJ42" s="656">
        <v>0</v>
      </c>
      <c r="CK42" s="656">
        <v>0</v>
      </c>
      <c r="CL42" s="656">
        <v>0</v>
      </c>
      <c r="CM42" s="656">
        <v>0</v>
      </c>
      <c r="CN42" s="656">
        <v>0</v>
      </c>
      <c r="CO42" s="656">
        <v>0</v>
      </c>
      <c r="CP42" s="656">
        <v>0</v>
      </c>
      <c r="CQ42" s="656">
        <v>0</v>
      </c>
      <c r="CR42" s="656">
        <v>0</v>
      </c>
      <c r="CS42" s="656">
        <v>0</v>
      </c>
      <c r="CT42" s="656">
        <v>0</v>
      </c>
      <c r="CU42" s="656">
        <v>0</v>
      </c>
      <c r="CV42" s="656">
        <v>0</v>
      </c>
      <c r="CW42" s="656">
        <v>0</v>
      </c>
      <c r="CX42" s="656">
        <v>0</v>
      </c>
      <c r="CY42" s="656">
        <v>0</v>
      </c>
      <c r="CZ42" s="656">
        <v>0</v>
      </c>
      <c r="DA42" s="656">
        <v>0</v>
      </c>
      <c r="DB42" s="656">
        <v>0</v>
      </c>
      <c r="DC42" s="656">
        <v>0</v>
      </c>
      <c r="DD42" s="656">
        <v>0</v>
      </c>
      <c r="DE42" s="865">
        <v>-43419.48</v>
      </c>
      <c r="DF42" s="851">
        <v>-28294.53</v>
      </c>
      <c r="DG42" s="865">
        <v>-22465.389999999992</v>
      </c>
      <c r="DH42" s="851">
        <v>-25132.7</v>
      </c>
      <c r="DI42" s="851">
        <v>-31693.47</v>
      </c>
      <c r="DJ42" s="851">
        <v>-41123.9</v>
      </c>
      <c r="DK42" s="851">
        <v>-51382.78</v>
      </c>
      <c r="DL42" s="851">
        <v>-60040.59</v>
      </c>
      <c r="DM42" s="851">
        <v>-68313.5</v>
      </c>
      <c r="DN42" s="851">
        <v>-82831.14</v>
      </c>
      <c r="DO42" s="851">
        <v>-94708.89</v>
      </c>
      <c r="DP42" s="851">
        <v>-101897.5</v>
      </c>
      <c r="DQ42" s="851">
        <v>-113702.74</v>
      </c>
      <c r="DR42" s="851">
        <v>-127173</v>
      </c>
      <c r="DS42" s="851">
        <v>-100603.36</v>
      </c>
      <c r="DT42" s="851">
        <v>-74277.42</v>
      </c>
      <c r="DU42" s="851">
        <v>-85997.18</v>
      </c>
      <c r="DV42" s="851">
        <v>-97828.96</v>
      </c>
      <c r="DW42" s="851">
        <v>-118962.67</v>
      </c>
      <c r="DX42" s="851">
        <v>-125175.22</v>
      </c>
      <c r="DY42" s="851">
        <v>-101772.96</v>
      </c>
      <c r="DZ42" s="851">
        <v>-70765.289999999994</v>
      </c>
      <c r="EA42" s="851">
        <v>-73446.960000000006</v>
      </c>
      <c r="EB42" s="851">
        <v>-79548.13</v>
      </c>
      <c r="EC42" s="851">
        <v>-89530.79</v>
      </c>
      <c r="ED42" s="851">
        <v>-98143.71</v>
      </c>
      <c r="EE42" s="851">
        <f>(VLOOKUP("4320",'Input IS ACCTS'!$A$6:$CV$512,97,FALSE))</f>
        <v>-105329.65</v>
      </c>
      <c r="EF42" s="851">
        <f>(VLOOKUP("4320",'Input IS ACCTS'!$A$6:$CV$512,98,FALSE))</f>
        <v>-37935.15</v>
      </c>
      <c r="EG42" s="851">
        <f>(VLOOKUP("4320",'Input IS ACCTS'!$A$6:$CV$512,99,FALSE))</f>
        <v>-52206.77</v>
      </c>
      <c r="EH42" s="150">
        <f t="shared" si="44"/>
        <v>-1050646.26</v>
      </c>
      <c r="EI42" s="198">
        <f t="shared" si="13"/>
        <v>-1050.64626</v>
      </c>
      <c r="EK42" s="56"/>
      <c r="EL42" s="56"/>
      <c r="EM42" s="56"/>
      <c r="EN42" s="56"/>
      <c r="EO42" s="56"/>
      <c r="EP42" s="56"/>
      <c r="EQ42" s="56"/>
      <c r="ER42" s="56"/>
      <c r="ES42" s="56"/>
      <c r="ET42" s="56"/>
    </row>
    <row r="43" spans="1:150">
      <c r="A43" t="s">
        <v>398</v>
      </c>
      <c r="B43" s="370">
        <f>SUM(B37:B42)</f>
        <v>19902.551169999999</v>
      </c>
      <c r="C43" s="44"/>
      <c r="D43" s="370">
        <f>SUM(D37:D42)</f>
        <v>1720.1280899999999</v>
      </c>
      <c r="E43" s="286"/>
      <c r="F43" s="208">
        <v>1496588</v>
      </c>
      <c r="G43" s="208">
        <v>1481785</v>
      </c>
      <c r="H43" s="208">
        <v>1486048</v>
      </c>
      <c r="I43" s="208">
        <v>1493674</v>
      </c>
      <c r="J43" s="208">
        <v>1489908</v>
      </c>
      <c r="K43" s="208">
        <v>1489652</v>
      </c>
      <c r="L43" s="208">
        <v>1468629.07</v>
      </c>
      <c r="M43" s="208">
        <v>1465644.04</v>
      </c>
      <c r="N43" s="208">
        <v>1464496.3199999998</v>
      </c>
      <c r="O43" s="208">
        <v>1464445.6300000001</v>
      </c>
      <c r="P43" s="208">
        <v>1464954.2300000002</v>
      </c>
      <c r="Q43" s="208">
        <v>1484160.56</v>
      </c>
      <c r="R43" s="208">
        <v>1447413.54</v>
      </c>
      <c r="S43" s="208">
        <v>1463681.27</v>
      </c>
      <c r="T43" s="208">
        <v>1457398.71</v>
      </c>
      <c r="U43" s="276">
        <v>1453278.73</v>
      </c>
      <c r="V43" s="276">
        <v>1451695.58</v>
      </c>
      <c r="W43" s="276">
        <v>1555156.8000000003</v>
      </c>
      <c r="X43" s="276">
        <v>1500084.3900000001</v>
      </c>
      <c r="Y43" s="276">
        <v>1220089.6500000001</v>
      </c>
      <c r="Z43" s="276">
        <v>1070157.42</v>
      </c>
      <c r="AA43" s="276">
        <v>1129048.48</v>
      </c>
      <c r="AB43" s="276">
        <v>1123358.9100000001</v>
      </c>
      <c r="AC43" s="276">
        <v>1123280.96</v>
      </c>
      <c r="AD43" s="276">
        <v>1124363.8072235473</v>
      </c>
      <c r="AE43" s="276">
        <v>1123376.9272235471</v>
      </c>
      <c r="AF43" s="276">
        <v>1123213.0372235472</v>
      </c>
      <c r="AG43" s="276">
        <v>1122904.067223547</v>
      </c>
      <c r="AH43" s="276">
        <v>1129175.8772235471</v>
      </c>
      <c r="AI43" s="276">
        <v>1123039.0172235472</v>
      </c>
      <c r="AJ43" s="208">
        <v>1124161.4472235471</v>
      </c>
      <c r="AK43" s="208">
        <v>1123413.7072235469</v>
      </c>
      <c r="AL43" s="208">
        <v>1119709.5872235473</v>
      </c>
      <c r="AM43" s="208">
        <v>1123321.9872235472</v>
      </c>
      <c r="AN43" s="208">
        <v>1123667.077223547</v>
      </c>
      <c r="AO43" s="208">
        <v>1124113.7472235472</v>
      </c>
      <c r="AP43" s="437">
        <v>1134183.24</v>
      </c>
      <c r="AQ43" s="437">
        <v>1129194.8899999999</v>
      </c>
      <c r="AR43" s="437">
        <v>1126180.93</v>
      </c>
      <c r="AS43" s="437">
        <v>1125213.6599999999</v>
      </c>
      <c r="AT43" s="437">
        <v>1143693.6800000002</v>
      </c>
      <c r="AU43" s="437">
        <v>1162059.17</v>
      </c>
      <c r="AV43" s="437">
        <v>1162244.44</v>
      </c>
      <c r="AW43" s="437">
        <v>1162694.7899999998</v>
      </c>
      <c r="AX43" s="437">
        <v>1163952.93</v>
      </c>
      <c r="AY43" s="437">
        <v>1164094.93</v>
      </c>
      <c r="AZ43" s="437">
        <v>1162782.1100000001</v>
      </c>
      <c r="BA43" s="437">
        <v>1165994.58</v>
      </c>
      <c r="BB43" s="437">
        <v>1170731.45</v>
      </c>
      <c r="BC43" s="437">
        <v>1166920.2799999998</v>
      </c>
      <c r="BD43" s="437">
        <v>1167264.92</v>
      </c>
      <c r="BE43" s="437">
        <v>1163685.46</v>
      </c>
      <c r="BF43" s="437">
        <v>1197156.22</v>
      </c>
      <c r="BG43" s="437">
        <v>1234541.3099999998</v>
      </c>
      <c r="BH43" s="437">
        <v>1234896.52</v>
      </c>
      <c r="BI43" s="437">
        <v>1235198.1399999999</v>
      </c>
      <c r="BJ43" s="437">
        <v>1235579.3</v>
      </c>
      <c r="BK43" s="437">
        <v>1235625.74</v>
      </c>
      <c r="BL43" s="437">
        <v>1235901.94</v>
      </c>
      <c r="BM43" s="437">
        <v>1236363.2599999998</v>
      </c>
      <c r="BN43" s="437">
        <v>1236906.92</v>
      </c>
      <c r="BO43" s="437">
        <v>1233618.77</v>
      </c>
      <c r="BP43" s="437">
        <v>1232171.22</v>
      </c>
      <c r="BQ43" s="437">
        <v>1229832.45</v>
      </c>
      <c r="BR43" s="437">
        <v>1228275.4099999999</v>
      </c>
      <c r="BS43" s="437">
        <v>1227230.1100000001</v>
      </c>
      <c r="BT43" s="437">
        <v>1226414.44</v>
      </c>
      <c r="BU43" s="437">
        <v>1214326.32</v>
      </c>
      <c r="BV43" s="437">
        <v>1223189.28</v>
      </c>
      <c r="BW43" s="437">
        <v>1218632.7500000002</v>
      </c>
      <c r="BX43" s="437">
        <v>1220398.74</v>
      </c>
      <c r="BY43" s="437">
        <v>1239785.8600000001</v>
      </c>
      <c r="BZ43" s="437">
        <f>SUM(BZ37:BZ42)</f>
        <v>1255079.43</v>
      </c>
      <c r="CA43" s="437">
        <f>SUM(CA37:CA42)</f>
        <v>1259900.3999999999</v>
      </c>
      <c r="CB43" s="437">
        <f>SUM(CB37:CB42)</f>
        <v>1264136.25</v>
      </c>
      <c r="CC43" s="208">
        <v>1267995.58</v>
      </c>
      <c r="CD43" s="208">
        <v>1244976.25</v>
      </c>
      <c r="CE43" s="208">
        <v>1256010.71</v>
      </c>
      <c r="CF43" s="208">
        <f t="shared" ref="CF43:CK43" si="45">SUM(CF37:CF42)</f>
        <v>1266885.3999999999</v>
      </c>
      <c r="CG43" s="208">
        <f t="shared" si="45"/>
        <v>1270187.24</v>
      </c>
      <c r="CH43" s="208">
        <f t="shared" si="45"/>
        <v>1337748.83</v>
      </c>
      <c r="CI43" s="208">
        <f t="shared" si="45"/>
        <v>1328189.1000000001</v>
      </c>
      <c r="CJ43" s="208">
        <f t="shared" si="45"/>
        <v>1232176.73</v>
      </c>
      <c r="CK43" s="208">
        <f t="shared" si="45"/>
        <v>1242670.1100000001</v>
      </c>
      <c r="CL43" s="208">
        <f t="shared" ref="CL43:CQ43" si="46">SUM(CL37:CL42)</f>
        <v>1203456.6599999999</v>
      </c>
      <c r="CM43" s="208">
        <f t="shared" si="46"/>
        <v>1400203.62</v>
      </c>
      <c r="CN43" s="208">
        <f t="shared" si="46"/>
        <v>1026055.24</v>
      </c>
      <c r="CO43" s="208">
        <f t="shared" si="46"/>
        <v>1216382.25</v>
      </c>
      <c r="CP43" s="208">
        <f t="shared" si="46"/>
        <v>1135245.8</v>
      </c>
      <c r="CQ43" s="208">
        <f t="shared" si="46"/>
        <v>1216499.97</v>
      </c>
      <c r="CR43" s="208">
        <f t="shared" ref="CR43:CW43" si="47">SUM(CR37:CR42)</f>
        <v>1213993.83</v>
      </c>
      <c r="CS43" s="208">
        <f t="shared" si="47"/>
        <v>1207740.72</v>
      </c>
      <c r="CT43" s="208">
        <f t="shared" si="47"/>
        <v>1214136.8499999999</v>
      </c>
      <c r="CU43" s="208">
        <f t="shared" si="47"/>
        <v>1300728.4199999997</v>
      </c>
      <c r="CV43" s="208">
        <f t="shared" si="47"/>
        <v>1337054.3800000001</v>
      </c>
      <c r="CW43" s="208">
        <f t="shared" si="47"/>
        <v>1419817.01</v>
      </c>
      <c r="CX43" s="208">
        <f t="shared" ref="CX43:DC43" si="48">SUM(CX37:CX42)</f>
        <v>1495065.8099999998</v>
      </c>
      <c r="CY43" s="208">
        <f t="shared" si="48"/>
        <v>1479410.9899999998</v>
      </c>
      <c r="CZ43" s="208">
        <f t="shared" si="48"/>
        <v>1463219.2299999997</v>
      </c>
      <c r="DA43" s="208">
        <f t="shared" si="48"/>
        <v>1452998.4699999997</v>
      </c>
      <c r="DB43" s="208">
        <f t="shared" si="48"/>
        <v>1397881.5199999998</v>
      </c>
      <c r="DC43" s="208">
        <f t="shared" si="48"/>
        <v>1177739.6099999999</v>
      </c>
      <c r="DD43" s="208">
        <f t="shared" ref="DD43:DI43" si="49">SUM(DD37:DD42)</f>
        <v>1427251.0999999999</v>
      </c>
      <c r="DE43" s="208">
        <f t="shared" si="49"/>
        <v>1425005.1400000001</v>
      </c>
      <c r="DF43" s="208">
        <f t="shared" si="49"/>
        <v>1448236.05</v>
      </c>
      <c r="DG43" s="208">
        <f t="shared" si="49"/>
        <v>1462464.1000000003</v>
      </c>
      <c r="DH43" s="208">
        <f t="shared" si="49"/>
        <v>1462228.6500000001</v>
      </c>
      <c r="DI43" s="208">
        <f t="shared" si="49"/>
        <v>1498991.93</v>
      </c>
      <c r="DJ43" s="208">
        <f t="shared" ref="DJ43:DO43" si="50">SUM(DJ37:DJ42)</f>
        <v>1325709.5900000001</v>
      </c>
      <c r="DK43" s="208">
        <f t="shared" si="50"/>
        <v>1319466.45</v>
      </c>
      <c r="DL43" s="208">
        <f t="shared" si="50"/>
        <v>1311929.95</v>
      </c>
      <c r="DM43" s="208">
        <f t="shared" si="50"/>
        <v>1301408.53</v>
      </c>
      <c r="DN43" s="208">
        <f t="shared" si="50"/>
        <v>1811016.7000000002</v>
      </c>
      <c r="DO43" s="208">
        <f t="shared" si="50"/>
        <v>1491703.8399999999</v>
      </c>
      <c r="DP43" s="208">
        <f t="shared" ref="DP43:DU43" si="51">SUM(DP37:DP42)</f>
        <v>1363132.92</v>
      </c>
      <c r="DQ43" s="208">
        <f t="shared" si="51"/>
        <v>1347961.3699999999</v>
      </c>
      <c r="DR43" s="208">
        <f t="shared" si="51"/>
        <v>1330002.7299999997</v>
      </c>
      <c r="DS43" s="208">
        <f t="shared" si="51"/>
        <v>1374791.4599999997</v>
      </c>
      <c r="DT43" s="208">
        <f t="shared" si="51"/>
        <v>1415569.81</v>
      </c>
      <c r="DU43" s="208">
        <f t="shared" si="51"/>
        <v>1418526.21</v>
      </c>
      <c r="DV43" s="208">
        <f t="shared" ref="DV43:EI43" si="52">SUM(DV37:DV42)</f>
        <v>1446642.45</v>
      </c>
      <c r="DW43" s="208">
        <f t="shared" si="52"/>
        <v>1419311.0899999999</v>
      </c>
      <c r="DX43" s="208">
        <f t="shared" si="52"/>
        <v>1706418.5799999998</v>
      </c>
      <c r="DY43" s="208">
        <f t="shared" si="52"/>
        <v>1836719.52</v>
      </c>
      <c r="DZ43" s="208">
        <f t="shared" si="52"/>
        <v>1680077.6099999999</v>
      </c>
      <c r="EA43" s="208">
        <f t="shared" si="52"/>
        <v>1827658.1300000001</v>
      </c>
      <c r="EB43" s="208">
        <f t="shared" ref="EB43:EH43" si="53">SUM(EB37:EB42)</f>
        <v>1670378.98</v>
      </c>
      <c r="EC43" s="208">
        <f t="shared" si="53"/>
        <v>1663540.4599999997</v>
      </c>
      <c r="ED43" s="208">
        <f t="shared" si="53"/>
        <v>1553838.8699999999</v>
      </c>
      <c r="EE43" s="208">
        <f t="shared" si="53"/>
        <v>1653668.5599999998</v>
      </c>
      <c r="EF43" s="208">
        <f t="shared" si="53"/>
        <v>1724168.83</v>
      </c>
      <c r="EG43" s="208">
        <f t="shared" si="53"/>
        <v>1720128.0899999999</v>
      </c>
      <c r="EH43" s="439">
        <f t="shared" si="53"/>
        <v>19902551.169999998</v>
      </c>
      <c r="EI43" s="199">
        <f t="shared" si="52"/>
        <v>19902.551169999999</v>
      </c>
      <c r="EK43" s="56"/>
      <c r="EL43" s="56"/>
      <c r="EM43" s="56"/>
      <c r="EN43" s="56"/>
      <c r="EO43" s="56"/>
      <c r="EP43" s="56"/>
      <c r="EQ43" s="56"/>
      <c r="ER43" s="56"/>
      <c r="ES43" s="56"/>
      <c r="ET43" s="56"/>
    </row>
    <row r="44" spans="1:150">
      <c r="B44" s="372"/>
      <c r="C44" s="44"/>
      <c r="D44" s="372"/>
      <c r="E44" s="286"/>
      <c r="F44" s="379"/>
      <c r="G44" s="177"/>
      <c r="H44" s="177"/>
      <c r="I44" s="177"/>
      <c r="J44" s="177"/>
      <c r="K44" s="177"/>
      <c r="L44" s="177"/>
      <c r="M44" s="177"/>
      <c r="N44" s="177"/>
      <c r="O44" s="177"/>
      <c r="P44" s="177"/>
      <c r="Q44" s="177"/>
      <c r="R44" s="177"/>
      <c r="S44" s="177"/>
      <c r="T44" s="177"/>
      <c r="U44" s="277"/>
      <c r="V44" s="277"/>
      <c r="W44" s="277"/>
      <c r="X44" s="277"/>
      <c r="Y44" s="277"/>
      <c r="Z44" s="277"/>
      <c r="AA44" s="277"/>
      <c r="AB44" s="277"/>
      <c r="AC44" s="277"/>
      <c r="AD44" s="277"/>
      <c r="AE44" s="277"/>
      <c r="AF44" s="277"/>
      <c r="AG44" s="277"/>
      <c r="AH44" s="277"/>
      <c r="AI44" s="2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7"/>
      <c r="CM44" s="177"/>
      <c r="CN44" s="177"/>
      <c r="CO44" s="177"/>
      <c r="CP44" s="177"/>
      <c r="CQ44" s="177"/>
      <c r="CR44" s="177"/>
      <c r="CS44" s="177"/>
      <c r="CT44" s="177"/>
      <c r="CU44" s="177"/>
      <c r="CV44" s="177"/>
      <c r="CW44" s="177"/>
      <c r="CX44" s="177"/>
      <c r="CY44" s="177"/>
      <c r="CZ44" s="177"/>
      <c r="DA44" s="177"/>
      <c r="DB44" s="177"/>
      <c r="DC44" s="177"/>
      <c r="DD44" s="177"/>
      <c r="DE44" s="177"/>
      <c r="DF44" s="177"/>
      <c r="DG44" s="177"/>
      <c r="DH44" s="177"/>
      <c r="DI44" s="177"/>
      <c r="DJ44" s="177"/>
      <c r="DK44" s="177"/>
      <c r="DL44" s="177"/>
      <c r="DM44" s="177"/>
      <c r="DN44" s="177"/>
      <c r="DO44" s="177"/>
      <c r="DP44" s="177"/>
      <c r="DQ44" s="177"/>
      <c r="DR44" s="177"/>
      <c r="DS44" s="177"/>
      <c r="DT44" s="177"/>
      <c r="DU44" s="177"/>
      <c r="DV44" s="177"/>
      <c r="DW44" s="177"/>
      <c r="DX44" s="177"/>
      <c r="DY44" s="177"/>
      <c r="DZ44" s="177"/>
      <c r="EA44" s="177"/>
      <c r="EB44" s="177"/>
      <c r="EC44" s="177"/>
      <c r="ED44" s="177"/>
      <c r="EE44" s="177"/>
      <c r="EF44" s="177"/>
      <c r="EG44" s="177"/>
      <c r="EH44" s="177"/>
      <c r="EI44" s="198"/>
      <c r="EK44" s="56"/>
      <c r="EL44" s="56"/>
      <c r="EM44" s="56"/>
      <c r="EN44" s="56"/>
      <c r="EO44" s="56"/>
      <c r="EP44" s="56"/>
      <c r="EQ44" s="56"/>
      <c r="ER44" s="56"/>
      <c r="ES44" s="56"/>
      <c r="ET44" s="56"/>
    </row>
    <row r="45" spans="1:150" ht="13.5" thickBot="1">
      <c r="A45" s="170" t="s">
        <v>399</v>
      </c>
      <c r="B45" s="373">
        <f>+B24+B34-B43</f>
        <v>77282.928799999878</v>
      </c>
      <c r="C45" s="44"/>
      <c r="D45" s="373">
        <f>+D24+D34-D43</f>
        <v>5862.5997899999948</v>
      </c>
      <c r="E45" s="286"/>
      <c r="F45" s="227">
        <v>7381989</v>
      </c>
      <c r="G45" s="227">
        <v>3796229</v>
      </c>
      <c r="H45" s="227">
        <v>3537471</v>
      </c>
      <c r="I45" s="227">
        <v>2998308</v>
      </c>
      <c r="J45" s="227">
        <v>2352865</v>
      </c>
      <c r="K45" s="227">
        <v>551367</v>
      </c>
      <c r="L45" s="227">
        <v>1876609.4199999974</v>
      </c>
      <c r="M45" s="227">
        <v>788538.26000000257</v>
      </c>
      <c r="N45" s="227">
        <v>2104652.930000002</v>
      </c>
      <c r="O45" s="227">
        <v>1458368.9099999976</v>
      </c>
      <c r="P45" s="227">
        <v>2382724.3099999968</v>
      </c>
      <c r="Q45" s="227">
        <v>3368305.6200000034</v>
      </c>
      <c r="R45" s="227">
        <v>5095695.160000002</v>
      </c>
      <c r="S45" s="227">
        <v>2778292.7300000065</v>
      </c>
      <c r="T45" s="227">
        <v>3161241.5099999923</v>
      </c>
      <c r="U45" s="278">
        <v>3459193.4699999993</v>
      </c>
      <c r="V45" s="278">
        <v>3181555.5299999993</v>
      </c>
      <c r="W45" s="278">
        <v>2306254.4800000004</v>
      </c>
      <c r="X45" s="278">
        <v>2301230.9100000015</v>
      </c>
      <c r="Y45" s="278">
        <v>2637662.2599999923</v>
      </c>
      <c r="Z45" s="278">
        <v>2060046.5099999998</v>
      </c>
      <c r="AA45" s="278">
        <v>1663746.3500000034</v>
      </c>
      <c r="AB45" s="278">
        <v>2391276.679999996</v>
      </c>
      <c r="AC45" s="278">
        <v>3031111.700000002</v>
      </c>
      <c r="AD45" s="278">
        <v>5185962.1697277948</v>
      </c>
      <c r="AE45" s="278">
        <v>3606388.1697278023</v>
      </c>
      <c r="AF45" s="282">
        <v>4996222.5997277945</v>
      </c>
      <c r="AG45" s="278">
        <v>3998592.8897278002</v>
      </c>
      <c r="AH45" s="278">
        <v>2050372.0297278091</v>
      </c>
      <c r="AI45" s="278">
        <v>1892744.1797278016</v>
      </c>
      <c r="AJ45" s="227">
        <v>2040508.5597277975</v>
      </c>
      <c r="AK45" s="227">
        <v>1331758.8897278027</v>
      </c>
      <c r="AL45" s="227">
        <v>2025246.8397278006</v>
      </c>
      <c r="AM45" s="227">
        <v>1741950.7197277991</v>
      </c>
      <c r="AN45" s="227">
        <v>3590825.9797277953</v>
      </c>
      <c r="AO45" s="227">
        <v>2269865.2997278003</v>
      </c>
      <c r="AP45" s="227">
        <v>5176196.639999995</v>
      </c>
      <c r="AQ45" s="227">
        <v>4502626.8399999933</v>
      </c>
      <c r="AR45" s="227">
        <v>4881883.5600000061</v>
      </c>
      <c r="AS45" s="227">
        <v>3275795.5099999961</v>
      </c>
      <c r="AT45" s="227">
        <v>1814214.4000000018</v>
      </c>
      <c r="AU45" s="227">
        <v>2478542.0799999977</v>
      </c>
      <c r="AV45" s="227">
        <v>1759480.7899999977</v>
      </c>
      <c r="AW45" s="227">
        <v>1636115.5800000008</v>
      </c>
      <c r="AX45" s="227">
        <v>1334664.7600000019</v>
      </c>
      <c r="AY45" s="227">
        <v>2419587.6299999943</v>
      </c>
      <c r="AZ45" s="227">
        <v>2825107.6000000034</v>
      </c>
      <c r="BA45" s="227">
        <v>3729886.4800000051</v>
      </c>
      <c r="BB45" s="227">
        <v>5545677.0500000054</v>
      </c>
      <c r="BC45" s="227">
        <v>4960629.74</v>
      </c>
      <c r="BD45" s="227">
        <v>4121482.6899999976</v>
      </c>
      <c r="BE45" s="227">
        <v>2371048.1300000092</v>
      </c>
      <c r="BF45" s="227">
        <v>2343817.7299999995</v>
      </c>
      <c r="BG45" s="227">
        <v>2795820.7800000021</v>
      </c>
      <c r="BH45" s="227">
        <v>1833585.63</v>
      </c>
      <c r="BI45" s="227">
        <v>2511676.6500000078</v>
      </c>
      <c r="BJ45" s="227">
        <v>1860447.4100000027</v>
      </c>
      <c r="BK45" s="227">
        <v>2165009.8800000036</v>
      </c>
      <c r="BL45" s="227">
        <v>1807041.1100000008</v>
      </c>
      <c r="BM45" s="227">
        <v>2949033.2899999991</v>
      </c>
      <c r="BN45" s="227">
        <v>5297380.2900000066</v>
      </c>
      <c r="BO45" s="227">
        <v>5452103.8300000075</v>
      </c>
      <c r="BP45" s="227">
        <v>2373165.4699999997</v>
      </c>
      <c r="BQ45" s="227">
        <v>2946014.4600000018</v>
      </c>
      <c r="BR45" s="227">
        <v>2773077.5099999988</v>
      </c>
      <c r="BS45" s="227">
        <v>1322328.5400000003</v>
      </c>
      <c r="BT45" s="227">
        <v>2616097.6499999925</v>
      </c>
      <c r="BU45" s="227">
        <v>2019875.7799999968</v>
      </c>
      <c r="BV45" s="227">
        <v>1958976.0800000031</v>
      </c>
      <c r="BW45" s="227">
        <v>2943980.8600000003</v>
      </c>
      <c r="BX45" s="227">
        <v>3104355.5899999989</v>
      </c>
      <c r="BY45" s="227">
        <v>2053249.0499999945</v>
      </c>
      <c r="BZ45" s="227">
        <f>+BZ24+BZ34-BZ43</f>
        <v>5364828.8800000008</v>
      </c>
      <c r="CA45" s="227">
        <f>+CA24+CA34-CA43</f>
        <v>3871211.0399999912</v>
      </c>
      <c r="CB45" s="227">
        <f>+CB24+CB34-CB43</f>
        <v>4536791.43</v>
      </c>
      <c r="CC45" s="227">
        <v>3830968.0299999975</v>
      </c>
      <c r="CD45" s="227">
        <v>3718372.6800000053</v>
      </c>
      <c r="CE45" s="227">
        <v>2081619.0699999984</v>
      </c>
      <c r="CF45" s="227">
        <f t="shared" ref="CF45:CQ45" si="54">+CF24+CF34-CF43</f>
        <v>2758883.76</v>
      </c>
      <c r="CG45" s="227">
        <f t="shared" si="54"/>
        <v>2496907.5799999945</v>
      </c>
      <c r="CH45" s="227">
        <f t="shared" si="54"/>
        <v>2707918.4300000034</v>
      </c>
      <c r="CI45" s="227">
        <f t="shared" si="54"/>
        <v>2630149.9099999936</v>
      </c>
      <c r="CJ45" s="227">
        <f t="shared" si="54"/>
        <v>3443330.2300000028</v>
      </c>
      <c r="CK45" s="227">
        <f t="shared" si="54"/>
        <v>5584119.0700000068</v>
      </c>
      <c r="CL45" s="227">
        <f t="shared" si="54"/>
        <v>9302106.2899999954</v>
      </c>
      <c r="CM45" s="227">
        <f t="shared" si="54"/>
        <v>4503468.3299999982</v>
      </c>
      <c r="CN45" s="227">
        <f t="shared" si="54"/>
        <v>1650568.7199999939</v>
      </c>
      <c r="CO45" s="227">
        <f t="shared" si="54"/>
        <v>5304901.640000009</v>
      </c>
      <c r="CP45" s="227">
        <f t="shared" si="54"/>
        <v>2688164.0399999982</v>
      </c>
      <c r="CQ45" s="227">
        <f t="shared" si="54"/>
        <v>3096375.0000000037</v>
      </c>
      <c r="CR45" s="227">
        <f t="shared" ref="CR45:CW45" si="55">+CR24+CR34-CR43</f>
        <v>3105270.2000000048</v>
      </c>
      <c r="CS45" s="227">
        <f t="shared" si="55"/>
        <v>2532103.3200000012</v>
      </c>
      <c r="CT45" s="227">
        <f t="shared" si="55"/>
        <v>3697950.5100000119</v>
      </c>
      <c r="CU45" s="227">
        <f t="shared" si="55"/>
        <v>2803273.2300000079</v>
      </c>
      <c r="CV45" s="227">
        <f t="shared" si="55"/>
        <v>3521863.3600000124</v>
      </c>
      <c r="CW45" s="227">
        <f t="shared" si="55"/>
        <v>5493355.7600000128</v>
      </c>
      <c r="CX45" s="227">
        <f t="shared" ref="CX45:DF45" si="56">+CX24+CX34-CX43</f>
        <v>6617945.8900000006</v>
      </c>
      <c r="CY45" s="227">
        <f t="shared" si="56"/>
        <v>5866661.8500000071</v>
      </c>
      <c r="CZ45" s="227">
        <f t="shared" si="56"/>
        <v>5496050.3100000033</v>
      </c>
      <c r="DA45" s="227">
        <f t="shared" si="56"/>
        <v>5226930.1899999995</v>
      </c>
      <c r="DB45" s="227">
        <f t="shared" si="56"/>
        <v>4583161.1199999936</v>
      </c>
      <c r="DC45" s="227">
        <f t="shared" si="56"/>
        <v>3765173.3700000071</v>
      </c>
      <c r="DD45" s="227">
        <f t="shared" si="56"/>
        <v>3058815.379999999</v>
      </c>
      <c r="DE45" s="227">
        <f t="shared" si="56"/>
        <v>3841883.8399999994</v>
      </c>
      <c r="DF45" s="227">
        <f t="shared" si="56"/>
        <v>3683859.6300000008</v>
      </c>
      <c r="DG45" s="227">
        <f t="shared" ref="DG45:DL45" si="57">+DG24+DG34-DG43</f>
        <v>3425608.0900000017</v>
      </c>
      <c r="DH45" s="227">
        <f t="shared" si="57"/>
        <v>4401638.7099999925</v>
      </c>
      <c r="DI45" s="227">
        <f t="shared" si="57"/>
        <v>4061404.6899999911</v>
      </c>
      <c r="DJ45" s="227">
        <f t="shared" si="57"/>
        <v>7675617.6199999973</v>
      </c>
      <c r="DK45" s="227">
        <f t="shared" si="57"/>
        <v>5940466.9200000009</v>
      </c>
      <c r="DL45" s="227">
        <f t="shared" si="57"/>
        <v>4844783.179999995</v>
      </c>
      <c r="DM45" s="227">
        <f t="shared" ref="DM45:DR45" si="58">+DM24+DM34-DM43</f>
        <v>3710728.2800000058</v>
      </c>
      <c r="DN45" s="227">
        <f t="shared" si="58"/>
        <v>3608346.84</v>
      </c>
      <c r="DO45" s="227">
        <f t="shared" si="58"/>
        <v>3209793.1400000015</v>
      </c>
      <c r="DP45" s="227">
        <f t="shared" si="58"/>
        <v>3096133.4199999981</v>
      </c>
      <c r="DQ45" s="227">
        <f t="shared" si="58"/>
        <v>3757822.8500000034</v>
      </c>
      <c r="DR45" s="227">
        <f t="shared" si="58"/>
        <v>3415357.6500000004</v>
      </c>
      <c r="DS45" s="227">
        <f t="shared" ref="DS45:DX45" si="59">+DS24+DS34-DS43</f>
        <v>2946877.299999997</v>
      </c>
      <c r="DT45" s="227">
        <f t="shared" si="59"/>
        <v>5089897.0800000038</v>
      </c>
      <c r="DU45" s="227">
        <f t="shared" si="59"/>
        <v>4619564.9800000014</v>
      </c>
      <c r="DV45" s="227">
        <f t="shared" si="59"/>
        <v>11395487.329999998</v>
      </c>
      <c r="DW45" s="227">
        <f t="shared" si="59"/>
        <v>8009638.0999999978</v>
      </c>
      <c r="DX45" s="227">
        <f t="shared" si="59"/>
        <v>7690800.4700000025</v>
      </c>
      <c r="DY45" s="227">
        <f t="shared" ref="DY45:EI45" si="60">+DY24+DY34-DY43</f>
        <v>7693733.1100000013</v>
      </c>
      <c r="DZ45" s="227">
        <f t="shared" si="60"/>
        <v>5523422.1400000099</v>
      </c>
      <c r="EA45" s="227">
        <f t="shared" si="60"/>
        <v>5442618.1799999988</v>
      </c>
      <c r="EB45" s="227">
        <f t="shared" si="60"/>
        <v>4434602.4600000046</v>
      </c>
      <c r="EC45" s="227">
        <f t="shared" si="60"/>
        <v>4767526.4300000016</v>
      </c>
      <c r="ED45" s="227">
        <f t="shared" si="60"/>
        <v>5555927.8699999982</v>
      </c>
      <c r="EE45" s="227">
        <f>+EE24+EE34-EE43</f>
        <v>5105687.1500000013</v>
      </c>
      <c r="EF45" s="227">
        <f>+EF24+EF34-EF43</f>
        <v>5800885.7700000061</v>
      </c>
      <c r="EG45" s="227">
        <f>+EG24+EG34-EG43</f>
        <v>5862599.7900000103</v>
      </c>
      <c r="EH45" s="517">
        <f>+EH24+EH34-EH43</f>
        <v>77282928.799999967</v>
      </c>
      <c r="EI45" s="200">
        <f t="shared" si="60"/>
        <v>77282.928799999878</v>
      </c>
      <c r="EK45" s="56"/>
      <c r="EL45" s="56"/>
      <c r="EM45" s="56"/>
      <c r="EN45" s="56"/>
      <c r="EO45" s="56"/>
      <c r="EP45" s="56"/>
      <c r="EQ45" s="56"/>
      <c r="ER45" s="56"/>
      <c r="ES45" s="56"/>
      <c r="ET45" s="56"/>
    </row>
    <row r="46" spans="1:150" ht="13.5" thickTop="1">
      <c r="A46" s="56"/>
      <c r="B46" s="56"/>
      <c r="C46" s="44"/>
      <c r="D46" s="56"/>
      <c r="E46" s="286"/>
      <c r="F46" s="286"/>
      <c r="G46" s="44"/>
      <c r="H46" s="44"/>
      <c r="I46" s="44"/>
      <c r="J46" s="44"/>
      <c r="K46" s="44"/>
      <c r="L46" s="44"/>
      <c r="M46" s="44"/>
      <c r="N46" s="241"/>
      <c r="O46" s="241"/>
      <c r="P46" s="188"/>
      <c r="Q46" s="188"/>
      <c r="R46" s="44"/>
      <c r="S46" s="44"/>
      <c r="T46" s="44"/>
      <c r="U46" s="44"/>
      <c r="V46" s="44"/>
      <c r="W46" s="44"/>
      <c r="X46" s="44"/>
      <c r="Y46" s="44"/>
      <c r="Z46" s="241"/>
      <c r="AA46" s="241"/>
      <c r="AB46" s="241"/>
      <c r="AC46" s="188"/>
      <c r="AD46" s="188"/>
      <c r="AE46" s="188"/>
      <c r="AF46" s="188"/>
      <c r="AG46" s="188">
        <v>0</v>
      </c>
      <c r="AH46" s="188">
        <v>-3.2596290111541748E-9</v>
      </c>
      <c r="AI46" s="188">
        <v>0</v>
      </c>
      <c r="AJ46" s="188">
        <v>0</v>
      </c>
      <c r="AK46" s="188">
        <v>-3.2596290111541748E-9</v>
      </c>
      <c r="AL46" s="188">
        <v>0</v>
      </c>
      <c r="AM46" s="188">
        <v>-2.0954757928848267E-9</v>
      </c>
      <c r="AN46" s="188">
        <v>0</v>
      </c>
      <c r="AO46" s="188">
        <v>-8.3819031715393066E-9</v>
      </c>
      <c r="AP46" s="228">
        <v>-566.00000001490116</v>
      </c>
      <c r="AQ46" s="228">
        <v>-321.00000001490116</v>
      </c>
      <c r="AR46" s="228">
        <v>-151.99999998882413</v>
      </c>
      <c r="AS46" s="228">
        <v>-260.00000000046566</v>
      </c>
      <c r="AT46" s="228">
        <v>-294.00000000023283</v>
      </c>
      <c r="AU46" s="228">
        <v>-206.00000000791624</v>
      </c>
      <c r="AV46" s="456">
        <v>74861.499999997439</v>
      </c>
      <c r="AW46" s="456">
        <v>-75171.519999993267</v>
      </c>
      <c r="AX46" s="228">
        <v>-229.97999999835156</v>
      </c>
      <c r="AY46" s="228">
        <v>-291.99999999767169</v>
      </c>
      <c r="AZ46" s="228">
        <v>-99.999999998137355</v>
      </c>
      <c r="BA46" s="228">
        <v>-326.00999999186024</v>
      </c>
      <c r="BB46" s="228">
        <v>-622.95000000484288</v>
      </c>
      <c r="BC46" s="228">
        <v>-270.26000000908971</v>
      </c>
      <c r="BD46" s="228">
        <v>182.68999999575317</v>
      </c>
      <c r="BE46" s="228">
        <v>348.13000001106411</v>
      </c>
      <c r="BF46" s="228">
        <v>-182.26999999862164</v>
      </c>
      <c r="BG46" s="228">
        <v>-279.22000000299886</v>
      </c>
      <c r="BH46" s="228">
        <v>385.63000000850298</v>
      </c>
      <c r="BI46" s="228">
        <v>76.650000010151416</v>
      </c>
      <c r="BJ46" s="228">
        <v>147.40999999735504</v>
      </c>
      <c r="BK46" s="228">
        <v>-390.1199999996461</v>
      </c>
      <c r="BL46" s="228">
        <v>241.110000004293</v>
      </c>
      <c r="BM46" s="228">
        <v>-766.71000001113862</v>
      </c>
      <c r="BN46" s="228">
        <v>480.28999999817461</v>
      </c>
      <c r="BO46" s="503">
        <v>3.8300000140443444</v>
      </c>
      <c r="BP46" s="228">
        <v>65.470000008121133</v>
      </c>
      <c r="BQ46" s="228">
        <v>214.45999999623746</v>
      </c>
      <c r="BR46" s="228">
        <v>277.50999998860061</v>
      </c>
      <c r="BS46" s="228">
        <v>728.53999999817461</v>
      </c>
      <c r="BT46" s="228">
        <v>-602.35000000800937</v>
      </c>
      <c r="BU46" s="228">
        <v>-524.22000001044944</v>
      </c>
      <c r="BV46" s="228">
        <v>376.08000000729226</v>
      </c>
      <c r="BW46" s="228">
        <v>-119.13999999454245</v>
      </c>
      <c r="BX46" s="228">
        <v>755.58999999566004</v>
      </c>
      <c r="BY46" s="228">
        <v>49.050000001909211</v>
      </c>
      <c r="BZ46" s="228">
        <v>-471.12000000476837</v>
      </c>
      <c r="CA46" s="228">
        <v>111.03999999864027</v>
      </c>
      <c r="CB46" s="228">
        <v>-408.57000000867993</v>
      </c>
      <c r="CC46" s="228">
        <v>-231.97000000393018</v>
      </c>
      <c r="CD46" s="228">
        <v>72.680000010412186</v>
      </c>
      <c r="CE46" s="228">
        <v>119.06999999308027</v>
      </c>
      <c r="CF46" s="228">
        <v>-316.24000000488013</v>
      </c>
      <c r="CG46" s="228">
        <v>-592.41999999806285</v>
      </c>
      <c r="CH46" s="228">
        <v>-181.56999999983236</v>
      </c>
      <c r="CI46" s="228">
        <v>-950.09000000264496</v>
      </c>
      <c r="CJ46" s="228">
        <v>330.23000000370666</v>
      </c>
      <c r="CK46" s="228">
        <v>619.07000000495464</v>
      </c>
      <c r="CL46" s="228">
        <v>-193.71000000834465</v>
      </c>
      <c r="CM46" s="228">
        <v>368.33000000938773</v>
      </c>
      <c r="CN46" s="228">
        <v>368.71999999089167</v>
      </c>
      <c r="CO46" s="228">
        <v>-98.359999988228083</v>
      </c>
      <c r="CP46" s="228">
        <v>-735.95999999158084</v>
      </c>
      <c r="CQ46" s="228">
        <v>75.000000014901161</v>
      </c>
      <c r="CR46" s="228">
        <v>170.20000001275912</v>
      </c>
      <c r="CS46" s="228">
        <v>-796.67999999783933</v>
      </c>
      <c r="CT46" s="228">
        <v>50.51000001328066</v>
      </c>
      <c r="CU46" s="228">
        <v>473.23000000556931</v>
      </c>
      <c r="CV46" s="228">
        <v>363.36000002361834</v>
      </c>
      <c r="CW46" s="228">
        <v>955.76000001747161</v>
      </c>
      <c r="CX46" s="228">
        <v>345.88999998755753</v>
      </c>
      <c r="CY46" s="228">
        <v>-538.14999999012798</v>
      </c>
      <c r="CZ46" s="228">
        <v>-549.68999999482185</v>
      </c>
      <c r="DA46" s="228">
        <v>-269.80999999400228</v>
      </c>
      <c r="DB46" s="228">
        <v>-638.88000001199543</v>
      </c>
      <c r="DC46" s="228">
        <v>673.370000007096</v>
      </c>
      <c r="DD46" s="228">
        <v>215.38000000175089</v>
      </c>
      <c r="DE46" s="228">
        <v>-116.16000000061467</v>
      </c>
      <c r="DF46" s="228">
        <v>459.6299999980256</v>
      </c>
      <c r="DG46" s="228">
        <v>8.0900000054389238</v>
      </c>
      <c r="DH46" s="228">
        <v>338.70999999064952</v>
      </c>
      <c r="DI46" s="228">
        <v>604.6899999929592</v>
      </c>
      <c r="DJ46" s="228">
        <v>117.6200000019744</v>
      </c>
      <c r="DK46" s="228">
        <v>366.9200000083074</v>
      </c>
      <c r="DL46" s="228">
        <v>183.1800000006333</v>
      </c>
      <c r="DM46" s="228">
        <v>-671.71999999182299</v>
      </c>
      <c r="DN46" s="228">
        <v>346.83999998541549</v>
      </c>
      <c r="DO46" s="228">
        <v>93.140000007115304</v>
      </c>
      <c r="DP46" s="228">
        <v>833.42000000411645</v>
      </c>
      <c r="DQ46" s="228">
        <v>222.85000000242144</v>
      </c>
      <c r="DR46" s="228">
        <v>-342.34999998752028</v>
      </c>
      <c r="DS46" s="228">
        <v>477.29999998537824</v>
      </c>
      <c r="DT46" s="228">
        <v>297.08000000752509</v>
      </c>
      <c r="DU46" s="228">
        <v>-235.01999997999519</v>
      </c>
      <c r="DV46" s="228">
        <v>287.32999998703599</v>
      </c>
      <c r="DW46" s="228">
        <v>38.100000032223761</v>
      </c>
      <c r="DX46" s="228">
        <v>500.47000001277775</v>
      </c>
      <c r="DY46" s="228">
        <v>33.11000001244247</v>
      </c>
      <c r="DZ46" s="228">
        <v>122.14000002294779</v>
      </c>
      <c r="EA46" s="228">
        <v>418.17999998945743</v>
      </c>
      <c r="EB46" s="228">
        <v>-97.540000004693866</v>
      </c>
      <c r="EC46" s="228">
        <v>-573.56999998632818</v>
      </c>
      <c r="ED46" s="228">
        <v>627.87000001315027</v>
      </c>
      <c r="EE46" s="228">
        <v>-112.84999999590218</v>
      </c>
      <c r="EF46" s="228">
        <v>485.77000002469867</v>
      </c>
      <c r="EG46" s="228">
        <v>499.79000002611428</v>
      </c>
      <c r="EH46" s="150">
        <f>SUM(DV46:EG46)</f>
        <v>2228.8000001339242</v>
      </c>
      <c r="EI46" s="178"/>
      <c r="EJ46" s="178"/>
      <c r="EK46" s="17"/>
      <c r="EL46" s="17"/>
    </row>
    <row r="47" spans="1:150">
      <c r="A47" s="56"/>
      <c r="B47" s="56"/>
      <c r="C47" s="44"/>
      <c r="D47" s="56"/>
      <c r="E47" s="286"/>
      <c r="F47" s="286"/>
      <c r="G47" s="44"/>
      <c r="H47" s="44"/>
      <c r="I47" s="44"/>
      <c r="J47" s="44"/>
      <c r="K47" s="44"/>
      <c r="L47" s="44"/>
      <c r="M47" s="44"/>
      <c r="N47" s="228"/>
      <c r="O47" s="242"/>
      <c r="P47" s="188"/>
      <c r="Q47" s="188"/>
      <c r="R47" s="44"/>
      <c r="S47" s="44"/>
      <c r="T47" s="44"/>
      <c r="U47" s="44"/>
      <c r="V47" s="44"/>
      <c r="W47" s="44"/>
      <c r="X47" s="44"/>
      <c r="Y47" s="44"/>
      <c r="Z47" s="228"/>
      <c r="AA47" s="242"/>
      <c r="AB47" s="242"/>
      <c r="AC47" s="188"/>
      <c r="AD47" s="188"/>
      <c r="AE47" s="188"/>
      <c r="AF47" s="188"/>
      <c r="AG47" s="188"/>
      <c r="AH47" s="188"/>
      <c r="AI47" s="188"/>
      <c r="AJ47" s="188"/>
      <c r="AK47" s="188"/>
      <c r="AL47" s="18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178"/>
      <c r="EJ47" s="64"/>
      <c r="EK47" s="17"/>
      <c r="EL47" s="17"/>
    </row>
    <row r="48" spans="1:150">
      <c r="B48" s="163"/>
      <c r="C48" s="44"/>
      <c r="D48" s="44"/>
      <c r="E48" s="286"/>
      <c r="F48" s="44"/>
      <c r="G48" s="44"/>
      <c r="H48" s="44"/>
      <c r="I48" s="44"/>
      <c r="J48" s="44"/>
      <c r="K48" s="44"/>
      <c r="L48" s="44"/>
      <c r="M48" s="44"/>
      <c r="N48" s="242"/>
      <c r="O48" s="242"/>
      <c r="P48" s="188"/>
      <c r="Q48" s="188"/>
      <c r="R48" s="44"/>
      <c r="S48" s="44"/>
      <c r="T48" s="44"/>
      <c r="U48" s="44"/>
      <c r="V48" s="44"/>
      <c r="W48" s="44"/>
      <c r="X48" s="44"/>
      <c r="Y48" s="44"/>
      <c r="Z48" s="242"/>
      <c r="AA48" s="242"/>
      <c r="AB48" s="242"/>
      <c r="AC48" s="188"/>
      <c r="AD48" s="188"/>
      <c r="AE48" s="188"/>
      <c r="AF48" s="188"/>
      <c r="AG48" s="188"/>
      <c r="AH48" s="188"/>
      <c r="AI48" s="188"/>
      <c r="AJ48" s="188"/>
      <c r="AK48" s="188"/>
      <c r="AL48" s="188"/>
      <c r="AM48" s="188"/>
      <c r="AN48" s="188"/>
      <c r="AO48" s="188"/>
      <c r="AP48" s="188"/>
      <c r="AQ48" s="188"/>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188"/>
      <c r="DI48" s="188"/>
      <c r="DJ48" s="188"/>
      <c r="DK48" s="188"/>
      <c r="DL48" s="188"/>
      <c r="DM48" s="188"/>
      <c r="DN48" s="188"/>
      <c r="DO48" s="188"/>
      <c r="DP48" s="188"/>
      <c r="DQ48" s="188"/>
      <c r="DR48" s="188"/>
      <c r="DS48" s="188"/>
      <c r="DT48" s="188"/>
      <c r="DU48" s="188"/>
      <c r="DV48" s="188"/>
      <c r="DW48" s="188"/>
      <c r="DX48" s="188"/>
      <c r="DY48" s="188"/>
      <c r="DZ48" s="188"/>
      <c r="EA48" s="188"/>
      <c r="EB48" s="188"/>
      <c r="EC48" s="188"/>
      <c r="ED48" s="188"/>
      <c r="EE48" s="188"/>
      <c r="EF48" s="188"/>
      <c r="EG48" s="188"/>
      <c r="EH48" s="188"/>
      <c r="EI48" s="178"/>
      <c r="EJ48" s="64"/>
      <c r="EK48" s="17"/>
      <c r="EL48" s="17"/>
    </row>
    <row r="49" spans="1:142">
      <c r="C49" s="44"/>
      <c r="D49" s="22"/>
      <c r="E49" s="286"/>
      <c r="F49" s="44"/>
      <c r="G49" s="44"/>
      <c r="H49" s="44"/>
      <c r="I49" s="44"/>
      <c r="J49" s="44"/>
      <c r="K49" s="44"/>
      <c r="L49" s="44"/>
      <c r="M49" s="44"/>
      <c r="N49" s="242"/>
      <c r="O49" s="188"/>
      <c r="P49" s="188"/>
      <c r="Q49" s="188"/>
      <c r="R49" s="44"/>
      <c r="S49" s="44"/>
      <c r="T49" s="44"/>
      <c r="U49" s="44"/>
      <c r="V49" s="44"/>
      <c r="W49" s="44"/>
      <c r="X49" s="44"/>
      <c r="Y49" s="44"/>
      <c r="Z49" s="242"/>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BB49" s="188"/>
      <c r="BC49" s="188"/>
      <c r="BD49" s="188" t="s">
        <v>1408</v>
      </c>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188"/>
      <c r="DV49" s="188"/>
      <c r="DW49" s="188"/>
      <c r="DX49" s="188"/>
      <c r="DY49" s="188"/>
      <c r="DZ49" s="188"/>
      <c r="EA49" s="188"/>
      <c r="EB49" s="188"/>
      <c r="EC49" s="188"/>
      <c r="ED49" s="188"/>
      <c r="EE49" s="188"/>
      <c r="EF49" s="188"/>
      <c r="EG49" s="188"/>
      <c r="EH49" s="228"/>
      <c r="EI49" s="178"/>
      <c r="EJ49" s="64"/>
      <c r="EK49" s="17"/>
      <c r="EL49" s="17"/>
    </row>
    <row r="50" spans="1:142">
      <c r="A50" s="454" t="s">
        <v>1382</v>
      </c>
      <c r="B50" s="3"/>
      <c r="C50" s="44"/>
      <c r="D50" s="22"/>
      <c r="E50" s="286"/>
      <c r="F50" s="44"/>
      <c r="G50" s="44"/>
      <c r="H50" s="44"/>
      <c r="I50" s="44"/>
      <c r="J50" s="44"/>
      <c r="K50" s="44"/>
      <c r="L50" s="44"/>
      <c r="M50" s="44"/>
      <c r="N50" s="242"/>
      <c r="O50" s="242"/>
      <c r="P50" s="188"/>
      <c r="Q50" s="188"/>
      <c r="R50" s="44"/>
      <c r="S50" s="44"/>
      <c r="T50" s="44"/>
      <c r="U50" s="44"/>
      <c r="V50" s="44"/>
      <c r="W50" s="44"/>
      <c r="X50" s="44"/>
      <c r="Y50" s="44"/>
      <c r="Z50" s="242"/>
      <c r="AA50" s="242"/>
      <c r="AB50" s="242"/>
      <c r="AC50" s="188"/>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EH50" s="228"/>
      <c r="EI50" s="178"/>
      <c r="EJ50" s="64"/>
      <c r="EK50" s="17"/>
      <c r="EL50" s="17"/>
    </row>
    <row r="51" spans="1:142">
      <c r="A51" s="188" t="s">
        <v>1415</v>
      </c>
      <c r="C51" s="44"/>
      <c r="D51" s="22"/>
      <c r="E51" s="286"/>
      <c r="F51" s="44"/>
      <c r="G51" s="44"/>
      <c r="H51" s="44"/>
      <c r="I51" s="44"/>
      <c r="J51" s="44"/>
      <c r="K51" s="44"/>
      <c r="L51" s="44"/>
      <c r="M51" s="44"/>
      <c r="N51" s="242"/>
      <c r="O51" s="242"/>
      <c r="P51" s="188"/>
      <c r="Q51" s="188"/>
      <c r="R51" s="44"/>
      <c r="S51" s="44"/>
      <c r="T51" s="44"/>
      <c r="U51" s="44"/>
      <c r="V51" s="44"/>
      <c r="W51" s="44"/>
      <c r="X51" s="44"/>
      <c r="Y51" s="44"/>
      <c r="Z51" s="242"/>
      <c r="AA51" s="242"/>
      <c r="AB51" s="242"/>
      <c r="AC51" s="18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454" t="s">
        <v>1382</v>
      </c>
      <c r="BB51" s="228">
        <v>5545677.0499999998</v>
      </c>
      <c r="BC51" s="228">
        <v>4960629.7399999993</v>
      </c>
      <c r="BD51" s="57">
        <v>4121482.69</v>
      </c>
      <c r="BE51" s="186">
        <v>2371048.13</v>
      </c>
      <c r="BF51" s="186">
        <v>2343817.73</v>
      </c>
      <c r="BG51" s="186">
        <v>2795820.78</v>
      </c>
      <c r="BH51" s="186">
        <v>1833585.63</v>
      </c>
      <c r="BI51" s="186">
        <v>2511676.65</v>
      </c>
      <c r="BJ51" s="186">
        <v>1860447.41</v>
      </c>
      <c r="BK51" s="186">
        <v>2165009.88</v>
      </c>
      <c r="BL51" s="186">
        <v>1807041.1099999994</v>
      </c>
      <c r="BM51" s="186">
        <v>2949033.29</v>
      </c>
      <c r="BN51" s="186">
        <v>5297380.29</v>
      </c>
      <c r="BO51" s="186">
        <v>5452103.8300000001</v>
      </c>
      <c r="BP51" s="186">
        <v>2373165.4700000002</v>
      </c>
      <c r="BQ51" s="186">
        <v>2946014.46</v>
      </c>
      <c r="BR51" s="186">
        <v>2773077.51</v>
      </c>
      <c r="BS51" s="186">
        <v>1322328.54</v>
      </c>
      <c r="BT51" s="186">
        <v>2616097.65</v>
      </c>
      <c r="BU51" s="186">
        <v>2019875.78</v>
      </c>
      <c r="BV51" s="186">
        <v>1958976.08</v>
      </c>
      <c r="BW51" s="186">
        <v>2943980.86</v>
      </c>
      <c r="BX51" s="186">
        <v>3104355.59</v>
      </c>
      <c r="BY51" s="186">
        <v>2053249.05</v>
      </c>
      <c r="BZ51" s="186">
        <v>5364828.88</v>
      </c>
      <c r="CA51" s="186">
        <f>8007312.53-4136101.49</f>
        <v>3871211.04</v>
      </c>
      <c r="CB51" s="186">
        <v>4536791.43</v>
      </c>
      <c r="CC51" s="186">
        <v>3830968.03</v>
      </c>
      <c r="CD51" s="186">
        <v>3718372.6800000006</v>
      </c>
      <c r="CE51" s="186">
        <v>2081619.07</v>
      </c>
      <c r="CF51" s="186">
        <v>2758883.76</v>
      </c>
      <c r="CG51" s="186">
        <f>12086132.14-9589224.56</f>
        <v>2496907.58</v>
      </c>
      <c r="CH51" s="186">
        <v>2707918.43</v>
      </c>
      <c r="CI51" s="186">
        <v>2630149.91</v>
      </c>
      <c r="CJ51" s="440">
        <f>7337410.41-3894080.18</f>
        <v>3443330.23</v>
      </c>
      <c r="CK51" s="186">
        <v>5584119.0700000003</v>
      </c>
      <c r="CL51" s="818">
        <v>9302106.2899999991</v>
      </c>
      <c r="CM51" s="818">
        <f>14365517.64-9862049.31</f>
        <v>4503468.33</v>
      </c>
      <c r="CN51" s="818">
        <v>1650568.72</v>
      </c>
      <c r="CO51" s="818">
        <v>5304901.6399999997</v>
      </c>
      <c r="CP51" s="818">
        <f>15456143.34-12767979.3</f>
        <v>2688164.0399999991</v>
      </c>
      <c r="CQ51" s="818">
        <v>3096375</v>
      </c>
      <c r="CR51" s="818">
        <v>3105270.2</v>
      </c>
      <c r="CS51" s="818">
        <f>11089440.68-8557337.36</f>
        <v>2532103.3200000003</v>
      </c>
      <c r="CT51" s="818">
        <v>3697950.51</v>
      </c>
      <c r="CU51" s="818">
        <v>2803273.23</v>
      </c>
      <c r="CV51" s="818">
        <f>9335324.03-5813460.67</f>
        <v>3521863.3599999994</v>
      </c>
      <c r="CW51" s="818">
        <v>5493355.7599999998</v>
      </c>
      <c r="CX51" s="818">
        <v>6617945.8899999997</v>
      </c>
      <c r="CY51" s="818">
        <f>11818492.35-5951830.5</f>
        <v>5866661.8499999996</v>
      </c>
      <c r="CZ51" s="818">
        <v>5496050.3099999996</v>
      </c>
      <c r="DA51" s="818">
        <v>5226930.1900000004</v>
      </c>
      <c r="DB51" s="818">
        <f>17980658.05-13397496.93</f>
        <v>4583161.120000001</v>
      </c>
      <c r="DC51" s="818">
        <v>3765173.37</v>
      </c>
      <c r="DD51" s="818">
        <v>3058815.38</v>
      </c>
      <c r="DE51" s="818">
        <f>13575264.68-9733380.84</f>
        <v>3841883.84</v>
      </c>
      <c r="DF51" s="818">
        <v>3683859.63</v>
      </c>
      <c r="DG51" s="818">
        <v>3425609.09</v>
      </c>
      <c r="DH51" s="818">
        <f>10584558-6182919.29</f>
        <v>4401638.71</v>
      </c>
      <c r="DI51" s="818">
        <v>4061403.69</v>
      </c>
      <c r="DJ51" s="818">
        <v>7675617.6200000001</v>
      </c>
      <c r="DK51" s="818">
        <f>11888651-5948184.08</f>
        <v>5940466.9199999999</v>
      </c>
      <c r="DL51" s="818">
        <v>4844783.18</v>
      </c>
      <c r="DM51" s="818">
        <v>3710728.28</v>
      </c>
      <c r="DN51" s="818">
        <f>18460868-14852521.16</f>
        <v>3608346.84</v>
      </c>
      <c r="DO51" s="188">
        <v>3209793.14</v>
      </c>
      <c r="DP51" s="188">
        <v>3096133.42</v>
      </c>
      <c r="DQ51" s="188">
        <f>10528868-6771045.15</f>
        <v>3757822.8499999996</v>
      </c>
      <c r="DR51" s="188">
        <v>3415357.65</v>
      </c>
      <c r="DS51" s="188">
        <v>2946877.3</v>
      </c>
      <c r="DT51" s="188">
        <f>10269314-5179416.92</f>
        <v>5089897.08</v>
      </c>
      <c r="DU51" s="188">
        <v>4619564.9800000004</v>
      </c>
      <c r="DV51" s="188">
        <v>11395487.33</v>
      </c>
      <c r="DW51" s="188">
        <f>12656339-4646700.9</f>
        <v>8009638.0999999996</v>
      </c>
      <c r="DX51" s="188">
        <v>7690800.4699999997</v>
      </c>
      <c r="DY51" s="188">
        <f>27095926-19402192.89</f>
        <v>7693733.1099999994</v>
      </c>
      <c r="DZ51" s="188">
        <v>5523422.1399999997</v>
      </c>
      <c r="EA51" s="188">
        <v>5442618.1799999997</v>
      </c>
      <c r="EB51" s="188">
        <v>4434602.46</v>
      </c>
      <c r="EC51" s="188">
        <f>18659773-13892246.57</f>
        <v>4767526.43</v>
      </c>
      <c r="ED51" s="188">
        <v>5555927.8700000001</v>
      </c>
      <c r="EE51" s="188">
        <v>5105687.1500000004</v>
      </c>
      <c r="EF51" s="188">
        <f>14758057-8957171.23</f>
        <v>5800885.7699999996</v>
      </c>
      <c r="EG51" s="188">
        <v>5862599.79</v>
      </c>
      <c r="EH51" s="467">
        <f>SUM(DM51:DX51)</f>
        <v>60550447.440000005</v>
      </c>
      <c r="EI51" s="178"/>
      <c r="EJ51" s="64"/>
      <c r="EK51" s="17"/>
      <c r="EL51" s="17"/>
    </row>
    <row r="52" spans="1:142">
      <c r="B52" s="35"/>
      <c r="C52" s="44"/>
      <c r="D52" s="22"/>
      <c r="E52" s="286"/>
      <c r="F52" s="44"/>
      <c r="G52" s="44"/>
      <c r="H52" s="44"/>
      <c r="I52" s="44"/>
      <c r="J52" s="44"/>
      <c r="K52" s="44"/>
      <c r="L52" s="44"/>
      <c r="M52" s="44"/>
      <c r="N52" s="44"/>
      <c r="O52" s="44"/>
      <c r="P52" s="44"/>
      <c r="Q52" s="44"/>
      <c r="R52" s="44"/>
      <c r="S52" s="44"/>
      <c r="T52" s="44"/>
      <c r="U52" s="44"/>
      <c r="V52" s="44"/>
      <c r="W52" s="44"/>
      <c r="X52" s="44"/>
      <c r="Y52" s="44"/>
      <c r="Z52" s="242"/>
      <c r="AA52" s="242"/>
      <c r="AB52" s="242"/>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v>0</v>
      </c>
      <c r="BC52" s="188">
        <v>0</v>
      </c>
      <c r="BD52" s="188">
        <v>0</v>
      </c>
      <c r="BE52" s="188">
        <v>-9.3132257461547852E-9</v>
      </c>
      <c r="BF52" s="188">
        <v>0</v>
      </c>
      <c r="BG52" s="188">
        <v>0</v>
      </c>
      <c r="BH52" s="188">
        <v>0</v>
      </c>
      <c r="BI52" s="188">
        <v>-7.9162418842315674E-9</v>
      </c>
      <c r="BJ52" s="188">
        <v>-2.7939677238464355E-9</v>
      </c>
      <c r="BK52" s="188">
        <v>-3.7252902984619141E-9</v>
      </c>
      <c r="BL52" s="188">
        <v>0</v>
      </c>
      <c r="BM52" s="188">
        <v>0</v>
      </c>
      <c r="BN52" s="188">
        <v>0</v>
      </c>
      <c r="BO52" s="188">
        <v>-7.4505805969238281E-9</v>
      </c>
      <c r="BP52" s="188">
        <v>0</v>
      </c>
      <c r="BQ52" s="188">
        <v>0</v>
      </c>
      <c r="BR52" s="188">
        <v>0</v>
      </c>
      <c r="BS52" s="188">
        <v>0</v>
      </c>
      <c r="BT52" s="188">
        <v>7.4505805969238281E-9</v>
      </c>
      <c r="BU52" s="188">
        <v>3.2596290111541748E-9</v>
      </c>
      <c r="BV52" s="188">
        <v>-3.0267983675003052E-9</v>
      </c>
      <c r="BW52" s="188">
        <v>0</v>
      </c>
      <c r="BX52" s="188">
        <v>0</v>
      </c>
      <c r="BY52" s="188">
        <v>5.5879354476928711E-9</v>
      </c>
      <c r="BZ52" s="188">
        <f>+BZ51-BZ45</f>
        <v>0</v>
      </c>
      <c r="CA52" s="188">
        <f>+CA51-CA45</f>
        <v>8.8475644588470459E-9</v>
      </c>
      <c r="CB52" s="188">
        <f>+CB51-CB45</f>
        <v>0</v>
      </c>
      <c r="CC52" s="188">
        <v>0</v>
      </c>
      <c r="CD52" s="188">
        <v>-4.6566128730773926E-9</v>
      </c>
      <c r="CE52" s="188">
        <v>0</v>
      </c>
      <c r="CF52" s="188">
        <f t="shared" ref="CF52:DE52" si="61">+CF51-CF45</f>
        <v>0</v>
      </c>
      <c r="CG52" s="188">
        <f t="shared" si="61"/>
        <v>5.5879354476928711E-9</v>
      </c>
      <c r="CH52" s="188">
        <f t="shared" si="61"/>
        <v>0</v>
      </c>
      <c r="CI52" s="188">
        <f t="shared" si="61"/>
        <v>6.5192580223083496E-9</v>
      </c>
      <c r="CJ52" s="188">
        <f t="shared" si="61"/>
        <v>0</v>
      </c>
      <c r="CK52" s="188">
        <f t="shared" si="61"/>
        <v>0</v>
      </c>
      <c r="CL52" s="188">
        <f t="shared" si="61"/>
        <v>0</v>
      </c>
      <c r="CM52" s="188">
        <f t="shared" si="61"/>
        <v>0</v>
      </c>
      <c r="CN52" s="188">
        <f t="shared" si="61"/>
        <v>6.0535967350006104E-9</v>
      </c>
      <c r="CO52" s="188">
        <f t="shared" si="61"/>
        <v>-9.3132257461547852E-9</v>
      </c>
      <c r="CP52" s="188">
        <f t="shared" si="61"/>
        <v>0</v>
      </c>
      <c r="CQ52" s="188">
        <f t="shared" si="61"/>
        <v>-3.7252902984619141E-9</v>
      </c>
      <c r="CR52" s="188">
        <f t="shared" si="61"/>
        <v>-4.6566128730773926E-9</v>
      </c>
      <c r="CS52" s="188">
        <f t="shared" si="61"/>
        <v>0</v>
      </c>
      <c r="CT52" s="188">
        <f t="shared" si="61"/>
        <v>-1.2107193470001221E-8</v>
      </c>
      <c r="CU52" s="847">
        <f t="shared" si="61"/>
        <v>-7.9162418842315674E-9</v>
      </c>
      <c r="CV52" s="847">
        <f t="shared" si="61"/>
        <v>-1.3038516044616699E-8</v>
      </c>
      <c r="CW52" s="847">
        <f t="shared" si="61"/>
        <v>-1.3038516044616699E-8</v>
      </c>
      <c r="CX52" s="847">
        <f t="shared" si="61"/>
        <v>0</v>
      </c>
      <c r="CY52" s="847">
        <f t="shared" si="61"/>
        <v>-7.4505805969238281E-9</v>
      </c>
      <c r="CZ52" s="847">
        <f t="shared" si="61"/>
        <v>0</v>
      </c>
      <c r="DA52" s="847">
        <f t="shared" si="61"/>
        <v>0</v>
      </c>
      <c r="DB52" s="847">
        <f t="shared" si="61"/>
        <v>7.4505805969238281E-9</v>
      </c>
      <c r="DC52" s="847">
        <f t="shared" si="61"/>
        <v>-6.9849193096160889E-9</v>
      </c>
      <c r="DD52" s="847">
        <f t="shared" si="61"/>
        <v>0</v>
      </c>
      <c r="DE52" s="847">
        <f t="shared" si="61"/>
        <v>0</v>
      </c>
      <c r="DF52" s="847">
        <f t="shared" ref="DF52:DL52" si="62">+DF51-DF45</f>
        <v>0</v>
      </c>
      <c r="DG52" s="847">
        <f t="shared" si="62"/>
        <v>0.99999999813735485</v>
      </c>
      <c r="DH52" s="847">
        <f t="shared" si="62"/>
        <v>7.4505805969238281E-9</v>
      </c>
      <c r="DI52" s="847">
        <f t="shared" si="62"/>
        <v>-0.99999999115243554</v>
      </c>
      <c r="DJ52" s="847">
        <f t="shared" si="62"/>
        <v>0</v>
      </c>
      <c r="DK52" s="847">
        <f t="shared" si="62"/>
        <v>0</v>
      </c>
      <c r="DL52" s="847">
        <f t="shared" si="62"/>
        <v>0</v>
      </c>
      <c r="DM52" s="847">
        <f t="shared" ref="DM52:DR52" si="63">+DM51-DM45</f>
        <v>-6.0535967350006104E-9</v>
      </c>
      <c r="DN52" s="847">
        <f t="shared" si="63"/>
        <v>0</v>
      </c>
      <c r="DO52" s="847">
        <f t="shared" si="63"/>
        <v>0</v>
      </c>
      <c r="DP52" s="847">
        <f t="shared" si="63"/>
        <v>0</v>
      </c>
      <c r="DQ52" s="847">
        <f t="shared" si="63"/>
        <v>-3.7252902984619141E-9</v>
      </c>
      <c r="DR52" s="847">
        <f t="shared" si="63"/>
        <v>0</v>
      </c>
      <c r="DS52" s="847">
        <f t="shared" ref="DS52:DX52" si="64">+DS51-DS45</f>
        <v>0</v>
      </c>
      <c r="DT52" s="847">
        <f t="shared" si="64"/>
        <v>0</v>
      </c>
      <c r="DU52" s="847">
        <f t="shared" si="64"/>
        <v>0</v>
      </c>
      <c r="DV52" s="847">
        <f t="shared" si="64"/>
        <v>0</v>
      </c>
      <c r="DW52" s="847">
        <f t="shared" si="64"/>
        <v>0</v>
      </c>
      <c r="DX52" s="847">
        <f t="shared" si="64"/>
        <v>0</v>
      </c>
      <c r="DY52" s="847">
        <f t="shared" ref="DY52:ED52" si="65">+DY51-DY45</f>
        <v>0</v>
      </c>
      <c r="DZ52" s="847">
        <f t="shared" si="65"/>
        <v>-1.0244548320770264E-8</v>
      </c>
      <c r="EA52" s="847">
        <f t="shared" si="65"/>
        <v>0</v>
      </c>
      <c r="EB52" s="847">
        <f t="shared" si="65"/>
        <v>0</v>
      </c>
      <c r="EC52" s="847">
        <f t="shared" si="65"/>
        <v>0</v>
      </c>
      <c r="ED52" s="847">
        <f t="shared" si="65"/>
        <v>0</v>
      </c>
      <c r="EE52" s="847">
        <f>+EE51-EE45</f>
        <v>0</v>
      </c>
      <c r="EF52" s="847">
        <f>+EF51-EF45</f>
        <v>0</v>
      </c>
      <c r="EG52" s="847">
        <f>+EG51-EG45</f>
        <v>-1.0244548320770264E-8</v>
      </c>
      <c r="EH52" s="848">
        <f>SUM(DM52:DX52)</f>
        <v>-9.7788870334625244E-9</v>
      </c>
      <c r="EI52" s="178"/>
      <c r="EJ52" s="64"/>
      <c r="EK52" s="17"/>
      <c r="EL52" s="17"/>
    </row>
    <row r="53" spans="1:142">
      <c r="A53" s="454" t="s">
        <v>2334</v>
      </c>
      <c r="C53" s="44"/>
      <c r="D53" s="22"/>
      <c r="E53" s="286"/>
      <c r="F53" s="44"/>
      <c r="G53" s="44"/>
      <c r="H53" s="44"/>
      <c r="I53" s="44"/>
      <c r="J53" s="44"/>
      <c r="K53" s="44"/>
      <c r="L53" s="44"/>
      <c r="M53" s="44"/>
      <c r="N53" s="44"/>
      <c r="O53" s="44"/>
      <c r="P53" s="44"/>
      <c r="Q53" s="44"/>
      <c r="R53" s="44"/>
      <c r="S53" s="44"/>
      <c r="T53" s="44"/>
      <c r="U53" s="44"/>
      <c r="V53" s="44"/>
      <c r="W53" s="44"/>
      <c r="X53" s="44"/>
      <c r="Y53" s="44"/>
      <c r="Z53" s="242"/>
      <c r="AA53" s="242"/>
      <c r="AB53" s="242"/>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88"/>
      <c r="DX53" s="188"/>
      <c r="DY53" s="188"/>
      <c r="DZ53" s="188"/>
      <c r="EA53" s="188"/>
      <c r="EB53" s="188"/>
      <c r="EC53" s="188"/>
      <c r="ED53" s="188"/>
      <c r="EE53" s="188"/>
      <c r="EF53" s="188"/>
      <c r="EG53" s="188"/>
      <c r="EH53" s="452"/>
      <c r="EI53" s="178"/>
      <c r="EJ53" s="64"/>
      <c r="EK53" s="17"/>
      <c r="EL53" s="17"/>
    </row>
    <row r="54" spans="1:142">
      <c r="A54" s="846" t="s">
        <v>2332</v>
      </c>
      <c r="C54" s="44"/>
      <c r="D54" s="22"/>
      <c r="E54" s="286"/>
      <c r="F54" s="44"/>
      <c r="G54" s="44"/>
      <c r="H54" s="44"/>
      <c r="I54" s="44"/>
      <c r="J54" s="44"/>
      <c r="K54" s="44"/>
      <c r="L54" s="44"/>
      <c r="M54" s="44"/>
      <c r="N54" s="44"/>
      <c r="O54" s="44"/>
      <c r="P54" s="44"/>
      <c r="Q54" s="44"/>
      <c r="R54" s="44"/>
      <c r="S54" s="44"/>
      <c r="T54" s="44"/>
      <c r="U54" s="44"/>
      <c r="V54" s="44"/>
      <c r="W54" s="44"/>
      <c r="X54" s="44"/>
      <c r="Y54" s="44"/>
      <c r="Z54" s="242"/>
      <c r="AA54" s="242"/>
      <c r="AB54" s="242"/>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v>2803273.23</v>
      </c>
      <c r="CV54" s="188">
        <v>3521863.36</v>
      </c>
      <c r="CW54" s="188">
        <v>5493355.7599999998</v>
      </c>
      <c r="CX54" s="188">
        <v>6617945.8899999997</v>
      </c>
      <c r="CY54" s="188">
        <v>5866661.8499999996</v>
      </c>
      <c r="CZ54" s="188">
        <v>5496050.3099999996</v>
      </c>
      <c r="DA54" s="188">
        <v>5226930.1900000004</v>
      </c>
      <c r="DB54" s="188">
        <v>4583161.12</v>
      </c>
      <c r="DC54" s="188">
        <v>3765173.37</v>
      </c>
      <c r="DD54" s="188">
        <v>3058815.38</v>
      </c>
      <c r="DE54" s="188">
        <v>3841883.8480000002</v>
      </c>
      <c r="DF54" s="188">
        <v>3683859.63</v>
      </c>
      <c r="DG54" s="188">
        <v>3425608.09</v>
      </c>
      <c r="DH54" s="188">
        <v>4401638.71</v>
      </c>
      <c r="DI54" s="188">
        <v>4061404.69</v>
      </c>
      <c r="DJ54" s="188">
        <v>7675617.6200000001</v>
      </c>
      <c r="DK54" s="188">
        <v>5940466.9199999999</v>
      </c>
      <c r="DL54" s="188">
        <v>4844783.18</v>
      </c>
      <c r="DM54" s="188">
        <v>3710728.28</v>
      </c>
      <c r="DN54" s="188">
        <v>3608346.84</v>
      </c>
      <c r="DO54" s="188">
        <v>3209793.14</v>
      </c>
      <c r="DP54" s="188">
        <v>3096133.42</v>
      </c>
      <c r="DQ54" s="188">
        <v>3757822.85</v>
      </c>
      <c r="DR54" s="188">
        <v>3415357.65</v>
      </c>
      <c r="DS54" s="188">
        <v>2946877.3</v>
      </c>
      <c r="DT54" s="188">
        <v>5089897.08</v>
      </c>
      <c r="DU54" s="188">
        <v>4619564.9800000004</v>
      </c>
      <c r="DV54" s="188">
        <v>11395487.33</v>
      </c>
      <c r="DW54" s="188">
        <v>8009638.0999999996</v>
      </c>
      <c r="DX54" s="188">
        <v>7690800.4699999997</v>
      </c>
      <c r="DY54" s="188">
        <v>7693733.1100000003</v>
      </c>
      <c r="DZ54" s="188">
        <v>5523422.1399999997</v>
      </c>
      <c r="EA54" s="188">
        <v>5442618.1799999997</v>
      </c>
      <c r="EB54" s="188">
        <v>4434602.46</v>
      </c>
      <c r="EC54" s="188">
        <v>4767526.43</v>
      </c>
      <c r="ED54" s="188">
        <v>5555927.8700000001</v>
      </c>
      <c r="EE54" s="188">
        <v>5105687.1500000004</v>
      </c>
      <c r="EF54" s="188">
        <v>5800885.7699999996</v>
      </c>
      <c r="EG54" s="188">
        <v>5862599.79</v>
      </c>
      <c r="EH54" s="467">
        <f>SUM(DM54:DX54)</f>
        <v>60550447.440000005</v>
      </c>
      <c r="EI54" s="178"/>
      <c r="EJ54" s="64"/>
      <c r="EK54" s="17"/>
      <c r="EL54" s="17"/>
    </row>
    <row r="55" spans="1:142">
      <c r="C55" s="44"/>
      <c r="D55" s="22"/>
      <c r="E55" s="286"/>
      <c r="F55" s="44"/>
      <c r="G55" s="44"/>
      <c r="H55" s="44"/>
      <c r="I55" s="44"/>
      <c r="J55" s="44"/>
      <c r="K55" s="44"/>
      <c r="L55" s="44"/>
      <c r="M55" s="44"/>
      <c r="N55" s="44"/>
      <c r="O55" s="44"/>
      <c r="P55" s="44"/>
      <c r="Q55" s="44"/>
      <c r="R55" s="44"/>
      <c r="S55" s="44"/>
      <c r="T55" s="44"/>
      <c r="U55" s="44"/>
      <c r="V55" s="44"/>
      <c r="W55" s="44"/>
      <c r="X55" s="44"/>
      <c r="Y55" s="44"/>
      <c r="Z55" s="242"/>
      <c r="AA55" s="242"/>
      <c r="AB55" s="242"/>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847">
        <f t="shared" ref="CU55:DE55" si="66">+CU45-CU54</f>
        <v>7.9162418842315674E-9</v>
      </c>
      <c r="CV55" s="847">
        <f t="shared" si="66"/>
        <v>1.257285475730896E-8</v>
      </c>
      <c r="CW55" s="847">
        <f t="shared" si="66"/>
        <v>1.3038516044616699E-8</v>
      </c>
      <c r="CX55" s="847">
        <f t="shared" si="66"/>
        <v>0</v>
      </c>
      <c r="CY55" s="847">
        <f t="shared" si="66"/>
        <v>7.4505805969238281E-9</v>
      </c>
      <c r="CZ55" s="847">
        <f t="shared" si="66"/>
        <v>0</v>
      </c>
      <c r="DA55" s="847">
        <f t="shared" si="66"/>
        <v>0</v>
      </c>
      <c r="DB55" s="847">
        <f t="shared" si="66"/>
        <v>0</v>
      </c>
      <c r="DC55" s="847">
        <f t="shared" si="66"/>
        <v>6.9849193096160889E-9</v>
      </c>
      <c r="DD55" s="847">
        <f t="shared" si="66"/>
        <v>0</v>
      </c>
      <c r="DE55" s="847">
        <f t="shared" si="66"/>
        <v>-8.0000008456408978E-3</v>
      </c>
      <c r="DF55" s="847">
        <f t="shared" ref="DF55:DL55" si="67">+DF45-DF54</f>
        <v>0</v>
      </c>
      <c r="DG55" s="847">
        <f t="shared" si="67"/>
        <v>0</v>
      </c>
      <c r="DH55" s="847">
        <f t="shared" si="67"/>
        <v>-7.4505805969238281E-9</v>
      </c>
      <c r="DI55" s="847">
        <f t="shared" si="67"/>
        <v>-8.8475644588470459E-9</v>
      </c>
      <c r="DJ55" s="847">
        <f t="shared" si="67"/>
        <v>0</v>
      </c>
      <c r="DK55" s="847">
        <f t="shared" si="67"/>
        <v>0</v>
      </c>
      <c r="DL55" s="847">
        <f t="shared" si="67"/>
        <v>0</v>
      </c>
      <c r="DM55" s="847">
        <f t="shared" ref="DM55:DR55" si="68">+DM45-DM54</f>
        <v>6.0535967350006104E-9</v>
      </c>
      <c r="DN55" s="847">
        <f t="shared" si="68"/>
        <v>0</v>
      </c>
      <c r="DO55" s="847">
        <f t="shared" si="68"/>
        <v>0</v>
      </c>
      <c r="DP55" s="847">
        <f t="shared" si="68"/>
        <v>0</v>
      </c>
      <c r="DQ55" s="847">
        <f t="shared" si="68"/>
        <v>0</v>
      </c>
      <c r="DR55" s="847">
        <f t="shared" si="68"/>
        <v>0</v>
      </c>
      <c r="DS55" s="847">
        <f t="shared" ref="DS55:DX55" si="69">+DS45-DS54</f>
        <v>0</v>
      </c>
      <c r="DT55" s="847">
        <f t="shared" si="69"/>
        <v>0</v>
      </c>
      <c r="DU55" s="847">
        <f t="shared" si="69"/>
        <v>0</v>
      </c>
      <c r="DV55" s="847">
        <f t="shared" si="69"/>
        <v>0</v>
      </c>
      <c r="DW55" s="847">
        <f t="shared" si="69"/>
        <v>0</v>
      </c>
      <c r="DX55" s="847">
        <f t="shared" si="69"/>
        <v>0</v>
      </c>
      <c r="DY55" s="847">
        <f t="shared" ref="DY55:ED55" si="70">+DY45-DY54</f>
        <v>0</v>
      </c>
      <c r="DZ55" s="847">
        <f t="shared" si="70"/>
        <v>1.0244548320770264E-8</v>
      </c>
      <c r="EA55" s="847">
        <f t="shared" si="70"/>
        <v>0</v>
      </c>
      <c r="EB55" s="847">
        <f t="shared" si="70"/>
        <v>0</v>
      </c>
      <c r="EC55" s="847">
        <f t="shared" si="70"/>
        <v>0</v>
      </c>
      <c r="ED55" s="847">
        <f t="shared" si="70"/>
        <v>0</v>
      </c>
      <c r="EE55" s="847">
        <f>+EE45-EE54</f>
        <v>0</v>
      </c>
      <c r="EF55" s="847">
        <f>+EF45-EF54</f>
        <v>0</v>
      </c>
      <c r="EG55" s="847">
        <f>+EG45-EG54</f>
        <v>1.0244548320770264E-8</v>
      </c>
      <c r="EH55" s="848">
        <f>SUM(DM55:DX55)</f>
        <v>6.0535967350006104E-9</v>
      </c>
      <c r="EI55" s="178"/>
      <c r="EJ55" s="64"/>
      <c r="EK55" s="17"/>
      <c r="EL55" s="17"/>
    </row>
    <row r="56" spans="1:142">
      <c r="A56" s="454" t="s">
        <v>2333</v>
      </c>
      <c r="C56" s="44"/>
      <c r="D56" s="22"/>
      <c r="E56" s="286"/>
      <c r="F56" s="44"/>
      <c r="G56" s="44"/>
      <c r="H56" s="44"/>
      <c r="I56" s="44"/>
      <c r="J56" s="44"/>
      <c r="K56" s="44"/>
      <c r="L56" s="44"/>
      <c r="M56" s="44"/>
      <c r="N56" s="44"/>
      <c r="O56" s="44"/>
      <c r="P56" s="44"/>
      <c r="Q56" s="44"/>
      <c r="R56" s="44"/>
      <c r="S56" s="44"/>
      <c r="T56" s="44"/>
      <c r="U56" s="44"/>
      <c r="V56" s="44"/>
      <c r="W56" s="44"/>
      <c r="X56" s="44"/>
      <c r="Y56" s="44"/>
      <c r="Z56" s="242"/>
      <c r="AA56" s="242"/>
      <c r="AB56" s="242"/>
      <c r="AC56" s="188"/>
      <c r="AD56" s="188"/>
      <c r="AE56" s="188"/>
      <c r="AF56" s="188"/>
      <c r="AG56" s="188"/>
      <c r="AH56" s="188"/>
      <c r="AI56" s="188"/>
      <c r="AJ56" s="188"/>
      <c r="AK56" s="188"/>
      <c r="AL56" s="188"/>
      <c r="AM56" s="188"/>
      <c r="AN56" s="188"/>
      <c r="AO56" s="188"/>
      <c r="AP56" s="188"/>
      <c r="AQ56" s="188"/>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188"/>
      <c r="DI56" s="188"/>
      <c r="DJ56" s="188"/>
      <c r="DK56" s="188"/>
      <c r="DL56" s="188"/>
      <c r="DM56" s="188"/>
      <c r="DN56" s="188"/>
      <c r="DO56" s="188"/>
      <c r="DP56" s="188"/>
      <c r="DQ56" s="188"/>
      <c r="DR56" s="188"/>
      <c r="DS56" s="188"/>
      <c r="DT56" s="188"/>
      <c r="DU56" s="188"/>
      <c r="DV56" s="188"/>
      <c r="DW56" s="188"/>
      <c r="DX56" s="188"/>
      <c r="DY56" s="188"/>
      <c r="DZ56" s="188"/>
      <c r="EA56" s="188"/>
      <c r="EB56" s="188"/>
      <c r="EC56" s="188"/>
      <c r="ED56" s="188"/>
      <c r="EE56" s="188"/>
      <c r="EF56" s="188"/>
      <c r="EG56" s="188"/>
      <c r="EH56" s="452"/>
      <c r="EI56" s="178"/>
      <c r="EJ56" s="64"/>
      <c r="EK56" s="17"/>
      <c r="EL56" s="17"/>
    </row>
    <row r="57" spans="1:142">
      <c r="A57" s="846" t="s">
        <v>2332</v>
      </c>
      <c r="C57" s="44"/>
      <c r="D57" s="22"/>
      <c r="E57" s="286"/>
      <c r="F57" s="44"/>
      <c r="G57" s="44"/>
      <c r="H57" s="44"/>
      <c r="I57" s="44"/>
      <c r="J57" s="44"/>
      <c r="K57" s="44"/>
      <c r="L57" s="44"/>
      <c r="M57" s="44"/>
      <c r="N57" s="44"/>
      <c r="O57" s="44"/>
      <c r="P57" s="44"/>
      <c r="Q57" s="44"/>
      <c r="R57" s="44"/>
      <c r="S57" s="44"/>
      <c r="T57" s="44"/>
      <c r="U57" s="44"/>
      <c r="V57" s="44"/>
      <c r="W57" s="44"/>
      <c r="X57" s="44"/>
      <c r="Y57" s="44"/>
      <c r="Z57" s="242"/>
      <c r="AA57" s="242"/>
      <c r="AB57" s="242"/>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v>3787137.32</v>
      </c>
      <c r="CV57" s="188">
        <v>4520616.8499999996</v>
      </c>
      <c r="CW57" s="188">
        <v>6215582.5099999998</v>
      </c>
      <c r="CX57" s="188">
        <v>7735121.25</v>
      </c>
      <c r="CY57" s="188">
        <v>6933687.29</v>
      </c>
      <c r="CZ57" s="188">
        <v>6359334.7199999997</v>
      </c>
      <c r="DA57" s="188">
        <v>6143625.1100000003</v>
      </c>
      <c r="DB57" s="188">
        <v>5537220.6200000001</v>
      </c>
      <c r="DC57" s="188">
        <v>4455270.54</v>
      </c>
      <c r="DD57" s="188">
        <v>4010450.06</v>
      </c>
      <c r="DE57" s="188">
        <v>4760963.3600000003</v>
      </c>
      <c r="DF57" s="188">
        <v>4625023.7300000004</v>
      </c>
      <c r="DG57" s="188">
        <v>4330059.1100000003</v>
      </c>
      <c r="DH57" s="188">
        <v>5499298</v>
      </c>
      <c r="DI57" s="188">
        <v>4979877.92</v>
      </c>
      <c r="DJ57" s="188">
        <v>8644015.7799999993</v>
      </c>
      <c r="DK57" s="188">
        <v>6665329.96</v>
      </c>
      <c r="DL57" s="188">
        <v>5635700.3799999999</v>
      </c>
      <c r="DM57" s="188">
        <v>4431936.63</v>
      </c>
      <c r="DN57" s="188">
        <v>4209775.22</v>
      </c>
      <c r="DO57" s="188">
        <v>4717165.7</v>
      </c>
      <c r="DP57" s="188">
        <v>4027489.83</v>
      </c>
      <c r="DQ57" s="188">
        <v>4533062.68</v>
      </c>
      <c r="DR57" s="188">
        <v>3801043.91</v>
      </c>
      <c r="DS57" s="188">
        <v>3786107.05</v>
      </c>
      <c r="DT57" s="188">
        <v>6143399.8899999997</v>
      </c>
      <c r="DU57" s="188">
        <v>5076111.8499999996</v>
      </c>
      <c r="DV57" s="188">
        <v>12317707.82</v>
      </c>
      <c r="DW57" s="188">
        <v>8804136.7799999993</v>
      </c>
      <c r="DX57" s="188">
        <v>8680210.1799999997</v>
      </c>
      <c r="DY57" s="188">
        <v>8965501.6899999995</v>
      </c>
      <c r="DZ57" s="188">
        <v>6652243.8499999996</v>
      </c>
      <c r="EA57" s="188">
        <v>6700402.79</v>
      </c>
      <c r="EB57" s="188">
        <v>5672462.3200000003</v>
      </c>
      <c r="EC57" s="188">
        <v>5908975.8499999996</v>
      </c>
      <c r="ED57" s="188">
        <v>6509228.4000000004</v>
      </c>
      <c r="EE57" s="188">
        <v>6229267.5499999998</v>
      </c>
      <c r="EF57" s="188">
        <v>7186472.0599999996</v>
      </c>
      <c r="EG57" s="188">
        <v>7262771.3600000003</v>
      </c>
      <c r="EH57" s="467">
        <f>SUM(DM57:DX57)</f>
        <v>70528147.540000007</v>
      </c>
      <c r="EI57" s="178"/>
      <c r="EJ57" s="64"/>
      <c r="EK57" s="17"/>
      <c r="EL57" s="17"/>
    </row>
    <row r="58" spans="1:142">
      <c r="C58" s="44"/>
      <c r="D58" s="22"/>
      <c r="E58" s="286"/>
      <c r="F58" s="44"/>
      <c r="G58" s="44"/>
      <c r="H58" s="44"/>
      <c r="I58" s="44"/>
      <c r="J58" s="44"/>
      <c r="K58" s="44"/>
      <c r="L58" s="44"/>
      <c r="M58" s="44"/>
      <c r="N58" s="44"/>
      <c r="O58" s="44"/>
      <c r="P58" s="44"/>
      <c r="Q58" s="44"/>
      <c r="R58" s="44"/>
      <c r="S58" s="44"/>
      <c r="T58" s="44"/>
      <c r="U58" s="44"/>
      <c r="V58" s="44"/>
      <c r="W58" s="44"/>
      <c r="X58" s="44"/>
      <c r="Y58" s="44"/>
      <c r="Z58" s="242"/>
      <c r="AA58" s="242"/>
      <c r="AB58" s="242"/>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847">
        <f t="shared" ref="CU58:DE58" si="71">+CU24-CU57</f>
        <v>7.9162418842315674E-9</v>
      </c>
      <c r="CV58" s="847">
        <f t="shared" si="71"/>
        <v>1.3038516044616699E-8</v>
      </c>
      <c r="CW58" s="847">
        <f t="shared" si="71"/>
        <v>1.3038516044616699E-8</v>
      </c>
      <c r="CX58" s="847">
        <f t="shared" si="71"/>
        <v>0</v>
      </c>
      <c r="CY58" s="847">
        <f t="shared" si="71"/>
        <v>0</v>
      </c>
      <c r="CZ58" s="847">
        <f t="shared" si="71"/>
        <v>0</v>
      </c>
      <c r="DA58" s="847">
        <f t="shared" si="71"/>
        <v>0</v>
      </c>
      <c r="DB58" s="847">
        <f t="shared" si="71"/>
        <v>0</v>
      </c>
      <c r="DC58" s="847">
        <f t="shared" si="71"/>
        <v>0</v>
      </c>
      <c r="DD58" s="847">
        <f t="shared" si="71"/>
        <v>0</v>
      </c>
      <c r="DE58" s="947">
        <f t="shared" si="71"/>
        <v>-178680.27000000048</v>
      </c>
      <c r="DF58" s="847">
        <f t="shared" ref="DF58:DL58" si="72">+DF24-DF57</f>
        <v>0</v>
      </c>
      <c r="DG58" s="947">
        <f t="shared" si="72"/>
        <v>178680.27000000235</v>
      </c>
      <c r="DH58" s="847">
        <f t="shared" si="72"/>
        <v>-7.4505805969238281E-9</v>
      </c>
      <c r="DI58" s="847">
        <f t="shared" si="72"/>
        <v>-9.3132257461547852E-9</v>
      </c>
      <c r="DJ58" s="847">
        <f t="shared" si="72"/>
        <v>0</v>
      </c>
      <c r="DK58" s="847">
        <f t="shared" si="72"/>
        <v>0</v>
      </c>
      <c r="DL58" s="847">
        <f t="shared" si="72"/>
        <v>0</v>
      </c>
      <c r="DM58" s="847">
        <f t="shared" ref="DM58:DR58" si="73">+DM24-DM57</f>
        <v>0</v>
      </c>
      <c r="DN58" s="948">
        <f t="shared" si="73"/>
        <v>536338.78000000026</v>
      </c>
      <c r="DO58" s="948">
        <f t="shared" si="73"/>
        <v>-536338.7799999984</v>
      </c>
      <c r="DP58" s="847">
        <f t="shared" si="73"/>
        <v>0</v>
      </c>
      <c r="DQ58" s="847">
        <f t="shared" si="73"/>
        <v>0</v>
      </c>
      <c r="DR58" s="847">
        <f t="shared" si="73"/>
        <v>0</v>
      </c>
      <c r="DS58" s="847">
        <f t="shared" ref="DS58:DX58" si="74">+DS24-DS57</f>
        <v>0</v>
      </c>
      <c r="DT58" s="847">
        <f t="shared" si="74"/>
        <v>0</v>
      </c>
      <c r="DU58" s="847">
        <f t="shared" si="74"/>
        <v>0</v>
      </c>
      <c r="DV58" s="847">
        <f t="shared" si="74"/>
        <v>0</v>
      </c>
      <c r="DW58" s="847">
        <f t="shared" si="74"/>
        <v>0</v>
      </c>
      <c r="DX58" s="847">
        <f t="shared" si="74"/>
        <v>0</v>
      </c>
      <c r="DY58" s="847">
        <f t="shared" ref="DY58:ED58" si="75">+DY24-DY57</f>
        <v>0</v>
      </c>
      <c r="DZ58" s="847">
        <f t="shared" si="75"/>
        <v>9.3132257461547852E-9</v>
      </c>
      <c r="EA58" s="847">
        <f t="shared" si="75"/>
        <v>0</v>
      </c>
      <c r="EB58" s="847">
        <f t="shared" si="75"/>
        <v>0</v>
      </c>
      <c r="EC58" s="847">
        <f t="shared" si="75"/>
        <v>0</v>
      </c>
      <c r="ED58" s="847">
        <f t="shared" si="75"/>
        <v>0</v>
      </c>
      <c r="EE58" s="847">
        <f>+EE24-EE57</f>
        <v>0</v>
      </c>
      <c r="EF58" s="847">
        <f>+EF24-EF57</f>
        <v>0</v>
      </c>
      <c r="EG58" s="847">
        <f>+EG24-EG57</f>
        <v>1.0244548320770264E-8</v>
      </c>
      <c r="EH58" s="848">
        <f>SUM(DM58:DX58)</f>
        <v>1.862645149230957E-9</v>
      </c>
      <c r="EI58" s="178"/>
      <c r="EJ58"/>
    </row>
    <row r="59" spans="1:142">
      <c r="C59" s="44"/>
      <c r="D59" s="22"/>
      <c r="E59" s="286"/>
      <c r="F59" s="44"/>
      <c r="G59" s="44"/>
      <c r="H59" s="44"/>
      <c r="I59" s="44"/>
      <c r="J59" s="44"/>
      <c r="K59" s="44"/>
      <c r="L59" s="44"/>
      <c r="M59" s="44"/>
      <c r="N59" s="44"/>
      <c r="O59" s="44"/>
      <c r="P59" s="44"/>
      <c r="Q59" s="44"/>
      <c r="R59" s="44"/>
      <c r="S59" s="44"/>
      <c r="T59" s="44"/>
      <c r="U59" s="44"/>
      <c r="V59" s="44"/>
      <c r="W59" s="44"/>
      <c r="X59" s="44"/>
      <c r="Y59" s="44"/>
      <c r="Z59" s="242"/>
      <c r="AA59" s="242"/>
      <c r="AB59" s="242"/>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188"/>
      <c r="DI59" s="188"/>
      <c r="DJ59" s="188"/>
      <c r="DK59" s="188"/>
      <c r="DL59" s="188"/>
      <c r="DM59" s="188"/>
      <c r="DN59" s="188"/>
      <c r="DO59" s="188"/>
      <c r="DP59" s="188"/>
      <c r="DQ59" s="188"/>
      <c r="DR59" s="188"/>
      <c r="DS59" s="188"/>
      <c r="DT59" s="188"/>
      <c r="DU59" s="188"/>
      <c r="DV59" s="188"/>
      <c r="DW59" s="188"/>
      <c r="DX59" s="188"/>
      <c r="DY59" s="188"/>
      <c r="DZ59" s="188"/>
      <c r="EA59" s="188"/>
      <c r="EB59" s="188"/>
      <c r="EC59" s="188"/>
      <c r="ED59" s="188"/>
      <c r="EE59" s="188"/>
      <c r="EF59" s="188"/>
      <c r="EG59" s="188"/>
      <c r="EH59" s="242"/>
      <c r="EI59" s="178"/>
      <c r="EJ59"/>
    </row>
    <row r="60" spans="1:142">
      <c r="C60" s="44"/>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64"/>
      <c r="EK60" s="17"/>
      <c r="EL60" s="17"/>
    </row>
    <row r="61" spans="1:142">
      <c r="C61" s="44"/>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64"/>
      <c r="EK61" s="17"/>
      <c r="EL61" s="17"/>
    </row>
    <row r="62" spans="1:142">
      <c r="C62" s="44"/>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64"/>
      <c r="EK62" s="17"/>
      <c r="EL62" s="17"/>
    </row>
    <row r="63" spans="1:142">
      <c r="C63" s="44"/>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64"/>
      <c r="EK63" s="17"/>
      <c r="EL63" s="17"/>
    </row>
    <row r="64" spans="1:142">
      <c r="C64" s="44"/>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64"/>
      <c r="EK64" s="17"/>
      <c r="EL64" s="17"/>
    </row>
    <row r="65" spans="3:142">
      <c r="C65" s="44"/>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64"/>
      <c r="EK65" s="17"/>
      <c r="EL65" s="17"/>
    </row>
    <row r="66" spans="3:142">
      <c r="C66" s="44"/>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64"/>
      <c r="EK66" s="17"/>
      <c r="EL66" s="17"/>
    </row>
    <row r="67" spans="3:142">
      <c r="C67" s="44"/>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64"/>
      <c r="EK67" s="17"/>
      <c r="EL67" s="17"/>
    </row>
    <row r="68" spans="3:142">
      <c r="C68" s="44"/>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64"/>
      <c r="EK68" s="17"/>
      <c r="EL68" s="17"/>
    </row>
    <row r="69" spans="3:142">
      <c r="C69" s="44"/>
      <c r="D69" s="22"/>
      <c r="E69" s="286"/>
      <c r="F69" s="44"/>
      <c r="G69" s="44"/>
      <c r="H69" s="44"/>
      <c r="I69" s="44"/>
      <c r="J69" s="44"/>
      <c r="K69" s="44"/>
      <c r="L69" s="44"/>
      <c r="M69" s="44"/>
      <c r="N69" s="44"/>
      <c r="O69" s="44"/>
      <c r="P69" s="44"/>
      <c r="Q69" s="44"/>
      <c r="R69" s="44"/>
      <c r="S69" s="44"/>
      <c r="T69" s="44"/>
      <c r="U69" s="44"/>
      <c r="V69" s="44"/>
      <c r="W69" s="44"/>
      <c r="X69" s="44"/>
      <c r="Y69" s="44"/>
      <c r="Z69" s="242"/>
      <c r="AA69" s="242"/>
      <c r="AB69" s="242"/>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188"/>
      <c r="DV69" s="188"/>
      <c r="DW69" s="188"/>
      <c r="DX69" s="188"/>
      <c r="DY69" s="188"/>
      <c r="DZ69" s="188"/>
      <c r="EA69" s="188"/>
      <c r="EB69" s="188"/>
      <c r="EC69" s="188"/>
      <c r="ED69" s="188"/>
      <c r="EE69" s="188"/>
      <c r="EF69" s="188"/>
      <c r="EG69" s="188"/>
      <c r="EH69" s="242"/>
      <c r="EI69" s="178"/>
      <c r="EJ69" s="64"/>
      <c r="EK69" s="17"/>
      <c r="EL69" s="17"/>
    </row>
    <row r="70" spans="3:142">
      <c r="C70" s="44"/>
      <c r="D70" s="22"/>
      <c r="E70" s="286"/>
      <c r="F70" s="44"/>
      <c r="G70" s="44"/>
      <c r="H70" s="44"/>
      <c r="I70" s="44"/>
      <c r="J70" s="44"/>
      <c r="K70" s="44"/>
      <c r="L70" s="44"/>
      <c r="M70" s="44"/>
      <c r="N70" s="44"/>
      <c r="O70" s="44"/>
      <c r="P70" s="44"/>
      <c r="Q70" s="44"/>
      <c r="R70" s="44"/>
      <c r="S70" s="44"/>
      <c r="T70" s="44"/>
      <c r="U70" s="44"/>
      <c r="V70" s="44"/>
      <c r="W70" s="44"/>
      <c r="X70" s="44"/>
      <c r="Y70" s="44"/>
      <c r="Z70" s="242"/>
      <c r="AA70" s="242"/>
      <c r="AB70" s="242"/>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188"/>
      <c r="DI70" s="188"/>
      <c r="DJ70" s="188"/>
      <c r="DK70" s="188"/>
      <c r="DL70" s="188"/>
      <c r="DM70" s="188"/>
      <c r="DN70" s="188"/>
      <c r="DO70" s="188"/>
      <c r="DP70" s="188"/>
      <c r="DQ70" s="188"/>
      <c r="DR70" s="188"/>
      <c r="DS70" s="188"/>
      <c r="DT70" s="188"/>
      <c r="DU70" s="188"/>
      <c r="DV70" s="188"/>
      <c r="DW70" s="188"/>
      <c r="DX70" s="188"/>
      <c r="DY70" s="188"/>
      <c r="DZ70" s="188"/>
      <c r="EA70" s="188"/>
      <c r="EB70" s="188"/>
      <c r="EC70" s="188"/>
      <c r="ED70" s="188"/>
      <c r="EE70" s="188"/>
      <c r="EF70" s="188"/>
      <c r="EG70" s="188"/>
      <c r="EH70" s="242"/>
      <c r="EI70" s="178"/>
      <c r="EJ70" s="64"/>
      <c r="EK70" s="17"/>
      <c r="EL70" s="17"/>
    </row>
    <row r="71" spans="3:142">
      <c r="C71" s="44"/>
      <c r="D71" s="22"/>
      <c r="E71" s="286"/>
      <c r="F71" s="44"/>
      <c r="G71" s="44"/>
      <c r="H71" s="44"/>
      <c r="I71" s="44"/>
      <c r="J71" s="44"/>
      <c r="K71" s="44"/>
      <c r="L71" s="44"/>
      <c r="M71" s="44"/>
      <c r="N71" s="44"/>
      <c r="O71" s="44"/>
      <c r="P71" s="44"/>
      <c r="Q71" s="44"/>
      <c r="R71" s="44"/>
      <c r="S71" s="44"/>
      <c r="T71" s="44"/>
      <c r="U71" s="44"/>
      <c r="V71" s="44"/>
      <c r="W71" s="44"/>
      <c r="X71" s="44"/>
      <c r="Y71" s="44"/>
      <c r="Z71" s="242"/>
      <c r="AA71" s="242"/>
      <c r="AB71" s="242"/>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188"/>
      <c r="DI71" s="188"/>
      <c r="DJ71" s="188"/>
      <c r="DK71" s="188"/>
      <c r="DL71" s="188"/>
      <c r="DM71" s="188"/>
      <c r="DN71" s="188"/>
      <c r="DO71" s="188"/>
      <c r="DP71" s="188"/>
      <c r="DQ71" s="188"/>
      <c r="DR71" s="188"/>
      <c r="DS71" s="188"/>
      <c r="DT71" s="188"/>
      <c r="DU71" s="188"/>
      <c r="DV71" s="188"/>
      <c r="DW71" s="188"/>
      <c r="DX71" s="188"/>
      <c r="DY71" s="188"/>
      <c r="DZ71" s="188"/>
      <c r="EA71" s="188"/>
      <c r="EB71" s="188"/>
      <c r="EC71" s="188"/>
      <c r="ED71" s="188"/>
      <c r="EE71" s="188"/>
      <c r="EF71" s="188"/>
      <c r="EG71" s="188"/>
      <c r="EH71" s="242"/>
      <c r="EI71" s="178"/>
      <c r="EJ71" s="64"/>
      <c r="EK71" s="17"/>
      <c r="EL71" s="17"/>
    </row>
    <row r="72" spans="3:142">
      <c r="C72" s="44"/>
      <c r="D72" s="22"/>
      <c r="E72" s="286"/>
      <c r="F72" s="44"/>
      <c r="G72" s="44"/>
      <c r="H72" s="44"/>
      <c r="I72" s="44"/>
      <c r="J72" s="44"/>
      <c r="K72" s="44"/>
      <c r="L72" s="44"/>
      <c r="M72" s="44"/>
      <c r="N72" s="44"/>
      <c r="O72" s="44"/>
      <c r="P72" s="44"/>
      <c r="Q72" s="44"/>
      <c r="R72" s="44"/>
      <c r="S72" s="44"/>
      <c r="T72" s="44"/>
      <c r="U72" s="44"/>
      <c r="V72" s="44"/>
      <c r="W72" s="44"/>
      <c r="X72" s="44"/>
      <c r="Y72" s="44"/>
      <c r="Z72" s="242"/>
      <c r="AA72" s="242"/>
      <c r="AB72" s="242"/>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188"/>
      <c r="DI72" s="188"/>
      <c r="DJ72" s="188"/>
      <c r="DK72" s="188"/>
      <c r="DL72" s="188"/>
      <c r="DM72" s="188"/>
      <c r="DN72" s="188"/>
      <c r="DO72" s="188"/>
      <c r="DP72" s="188"/>
      <c r="DQ72" s="188"/>
      <c r="DR72" s="188"/>
      <c r="DS72" s="188"/>
      <c r="DT72" s="188"/>
      <c r="DU72" s="188"/>
      <c r="DV72" s="188"/>
      <c r="DW72" s="188"/>
      <c r="DX72" s="188"/>
      <c r="DY72" s="188"/>
      <c r="DZ72" s="188"/>
      <c r="EA72" s="188"/>
      <c r="EB72" s="188"/>
      <c r="EC72" s="188"/>
      <c r="ED72" s="188"/>
      <c r="EE72" s="188"/>
      <c r="EF72" s="188"/>
      <c r="EG72" s="188"/>
      <c r="EH72" s="242"/>
      <c r="EI72" s="178"/>
      <c r="EJ72" s="64"/>
      <c r="EK72" s="17"/>
      <c r="EL72" s="17"/>
    </row>
    <row r="73" spans="3:142">
      <c r="C73" s="44"/>
      <c r="D73" s="22"/>
      <c r="E73" s="286"/>
      <c r="F73" s="44"/>
      <c r="G73" s="44"/>
      <c r="H73" s="44"/>
      <c r="I73" s="44"/>
      <c r="J73" s="44"/>
      <c r="K73" s="44"/>
      <c r="L73" s="44"/>
      <c r="M73" s="44"/>
      <c r="N73" s="44"/>
      <c r="O73" s="44"/>
      <c r="P73" s="44"/>
      <c r="Q73" s="44"/>
      <c r="R73" s="44"/>
      <c r="S73" s="44"/>
      <c r="T73" s="44"/>
      <c r="U73" s="44"/>
      <c r="V73" s="44"/>
      <c r="W73" s="44"/>
      <c r="X73" s="44"/>
      <c r="Y73" s="44"/>
      <c r="Z73" s="242"/>
      <c r="AA73" s="242"/>
      <c r="AB73" s="242"/>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188"/>
      <c r="DI73" s="188"/>
      <c r="DJ73" s="188"/>
      <c r="DK73" s="188"/>
      <c r="DL73" s="188"/>
      <c r="DM73" s="188"/>
      <c r="DN73" s="188"/>
      <c r="DO73" s="188"/>
      <c r="DP73" s="188"/>
      <c r="DQ73" s="188"/>
      <c r="DR73" s="188"/>
      <c r="DS73" s="188"/>
      <c r="DT73" s="188"/>
      <c r="DU73" s="188"/>
      <c r="DV73" s="188"/>
      <c r="DW73" s="188"/>
      <c r="DX73" s="188"/>
      <c r="DY73" s="188"/>
      <c r="DZ73" s="188"/>
      <c r="EA73" s="188"/>
      <c r="EB73" s="188"/>
      <c r="EC73" s="188"/>
      <c r="ED73" s="188"/>
      <c r="EE73" s="188"/>
      <c r="EF73" s="188"/>
      <c r="EG73" s="188"/>
      <c r="EH73" s="242"/>
      <c r="EI73" s="178"/>
      <c r="EJ73" s="64"/>
      <c r="EK73" s="17"/>
      <c r="EL73" s="17"/>
    </row>
    <row r="74" spans="3:142">
      <c r="C74" s="44"/>
      <c r="D74" s="22"/>
      <c r="E74" s="286"/>
      <c r="F74" s="44"/>
      <c r="G74" s="44"/>
      <c r="H74" s="44"/>
      <c r="I74" s="44"/>
      <c r="J74" s="44"/>
      <c r="K74" s="44"/>
      <c r="L74" s="44"/>
      <c r="M74" s="44"/>
      <c r="N74" s="44"/>
      <c r="O74" s="44"/>
      <c r="P74" s="44"/>
      <c r="Q74" s="44"/>
      <c r="R74" s="44"/>
      <c r="S74" s="44"/>
      <c r="T74" s="44"/>
      <c r="U74" s="44"/>
      <c r="V74" s="44"/>
      <c r="W74" s="44"/>
      <c r="X74" s="44"/>
      <c r="Y74" s="44"/>
      <c r="Z74" s="242"/>
      <c r="AA74" s="242"/>
      <c r="AB74" s="242"/>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88"/>
      <c r="DX74" s="188"/>
      <c r="DY74" s="188"/>
      <c r="DZ74" s="188"/>
      <c r="EA74" s="188"/>
      <c r="EB74" s="188"/>
      <c r="EC74" s="188"/>
      <c r="ED74" s="188"/>
      <c r="EE74" s="188"/>
      <c r="EF74" s="188"/>
      <c r="EG74" s="188"/>
      <c r="EH74" s="242"/>
      <c r="EI74" s="178"/>
      <c r="EJ74" s="64"/>
      <c r="EK74" s="17"/>
      <c r="EL74" s="17"/>
    </row>
    <row r="75" spans="3:142">
      <c r="C75" s="44"/>
      <c r="D75" s="22"/>
      <c r="E75" s="286"/>
      <c r="F75" s="44"/>
      <c r="G75" s="44"/>
      <c r="H75" s="44"/>
      <c r="I75" s="44"/>
      <c r="J75" s="44"/>
      <c r="K75" s="44"/>
      <c r="L75" s="44"/>
      <c r="M75" s="44"/>
      <c r="N75" s="44"/>
      <c r="O75" s="44"/>
      <c r="P75" s="44"/>
      <c r="Q75" s="44"/>
      <c r="R75" s="44"/>
      <c r="S75" s="44"/>
      <c r="T75" s="44"/>
      <c r="U75" s="44"/>
      <c r="V75" s="44"/>
      <c r="W75" s="44"/>
      <c r="X75" s="44"/>
      <c r="Y75" s="44"/>
      <c r="Z75" s="242"/>
      <c r="AA75" s="242"/>
      <c r="AB75" s="242"/>
      <c r="AC75" s="18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188"/>
      <c r="DI75" s="188"/>
      <c r="DJ75" s="188"/>
      <c r="DK75" s="188"/>
      <c r="DL75" s="188"/>
      <c r="DM75" s="188"/>
      <c r="DN75" s="188"/>
      <c r="DO75" s="188"/>
      <c r="DP75" s="188"/>
      <c r="DQ75" s="188"/>
      <c r="DR75" s="188"/>
      <c r="DS75" s="188"/>
      <c r="DT75" s="188"/>
      <c r="DU75" s="188"/>
      <c r="DV75" s="188"/>
      <c r="DW75" s="188"/>
      <c r="DX75" s="188"/>
      <c r="DY75" s="188"/>
      <c r="DZ75" s="188"/>
      <c r="EA75" s="188"/>
      <c r="EB75" s="188"/>
      <c r="EC75" s="188"/>
      <c r="ED75" s="188"/>
      <c r="EE75" s="188"/>
      <c r="EF75" s="188"/>
      <c r="EG75" s="188"/>
      <c r="EH75" s="242"/>
      <c r="EI75" s="178"/>
      <c r="EJ75" s="64"/>
      <c r="EK75" s="17"/>
      <c r="EL75" s="17"/>
    </row>
    <row r="76" spans="3:142">
      <c r="C76" s="44"/>
      <c r="D76" s="22"/>
      <c r="E76" s="286"/>
      <c r="F76" s="44"/>
      <c r="G76" s="44"/>
      <c r="H76" s="44"/>
      <c r="I76" s="44"/>
      <c r="J76" s="44"/>
      <c r="K76" s="44"/>
      <c r="L76" s="44"/>
      <c r="M76" s="44"/>
      <c r="N76" s="44"/>
      <c r="O76" s="44"/>
      <c r="P76" s="44"/>
      <c r="Q76" s="44"/>
      <c r="R76" s="44"/>
      <c r="S76" s="44"/>
      <c r="T76" s="44"/>
      <c r="U76" s="44"/>
      <c r="V76" s="44"/>
      <c r="W76" s="44"/>
      <c r="X76" s="44"/>
      <c r="Y76" s="44"/>
      <c r="Z76" s="242"/>
      <c r="AA76" s="242"/>
      <c r="AB76" s="242"/>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L76" s="188"/>
      <c r="DM76" s="188"/>
      <c r="DN76" s="188"/>
      <c r="DO76" s="188"/>
      <c r="DP76" s="188"/>
      <c r="DQ76" s="188"/>
      <c r="DR76" s="188"/>
      <c r="DS76" s="188"/>
      <c r="DT76" s="188"/>
      <c r="DU76" s="188"/>
      <c r="DV76" s="188"/>
      <c r="DW76" s="188"/>
      <c r="DX76" s="188"/>
      <c r="DY76" s="188"/>
      <c r="DZ76" s="188"/>
      <c r="EA76" s="188"/>
      <c r="EB76" s="188"/>
      <c r="EC76" s="188"/>
      <c r="ED76" s="188"/>
      <c r="EE76" s="188"/>
      <c r="EF76" s="188"/>
      <c r="EG76" s="188"/>
      <c r="EH76" s="242"/>
      <c r="EI76" s="178"/>
      <c r="EJ76" s="64"/>
      <c r="EK76" s="17"/>
      <c r="EL76" s="17"/>
    </row>
    <row r="77" spans="3:142">
      <c r="C77" s="44"/>
      <c r="D77" s="22"/>
      <c r="E77" s="286"/>
      <c r="F77" s="44"/>
      <c r="G77" s="44"/>
      <c r="H77" s="44"/>
      <c r="I77" s="44"/>
      <c r="J77" s="44"/>
      <c r="K77" s="44"/>
      <c r="L77" s="44"/>
      <c r="M77" s="44"/>
      <c r="N77" s="44"/>
      <c r="O77" s="44"/>
      <c r="P77" s="44"/>
      <c r="Q77" s="44"/>
      <c r="R77" s="44"/>
      <c r="S77" s="44"/>
      <c r="T77" s="44"/>
      <c r="U77" s="44"/>
      <c r="V77" s="44"/>
      <c r="W77" s="44"/>
      <c r="X77" s="44"/>
      <c r="Y77" s="44"/>
      <c r="Z77" s="242"/>
      <c r="AA77" s="242"/>
      <c r="AB77" s="242"/>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L77" s="188"/>
      <c r="DM77" s="188"/>
      <c r="DN77" s="188"/>
      <c r="DO77" s="188"/>
      <c r="DP77" s="188"/>
      <c r="DQ77" s="188"/>
      <c r="DR77" s="188"/>
      <c r="DS77" s="188"/>
      <c r="DT77" s="188"/>
      <c r="DU77" s="188"/>
      <c r="DV77" s="188"/>
      <c r="DW77" s="188"/>
      <c r="DX77" s="188"/>
      <c r="DY77" s="188"/>
      <c r="DZ77" s="188"/>
      <c r="EA77" s="188"/>
      <c r="EB77" s="188"/>
      <c r="EC77" s="188"/>
      <c r="ED77" s="188"/>
      <c r="EE77" s="188"/>
      <c r="EF77" s="188"/>
      <c r="EG77" s="188"/>
      <c r="EH77" s="242"/>
      <c r="EI77" s="178"/>
      <c r="EJ77" s="64"/>
      <c r="EK77" s="17"/>
      <c r="EL77" s="17"/>
    </row>
    <row r="78" spans="3:142">
      <c r="C78" s="44"/>
      <c r="D78" s="22"/>
      <c r="E78" s="286"/>
      <c r="F78" s="44"/>
      <c r="G78" s="44"/>
      <c r="H78" s="44"/>
      <c r="I78" s="44"/>
      <c r="J78" s="44"/>
      <c r="K78" s="44"/>
      <c r="L78" s="44"/>
      <c r="M78" s="44"/>
      <c r="N78" s="44"/>
      <c r="O78" s="44"/>
      <c r="P78" s="44"/>
      <c r="Q78" s="44"/>
      <c r="R78" s="44"/>
      <c r="S78" s="44"/>
      <c r="T78" s="44"/>
      <c r="U78" s="44"/>
      <c r="V78" s="44"/>
      <c r="W78" s="44"/>
      <c r="X78" s="44"/>
      <c r="Y78" s="44"/>
      <c r="Z78" s="242"/>
      <c r="AA78" s="242"/>
      <c r="AB78" s="242"/>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188"/>
      <c r="DV78" s="188"/>
      <c r="DW78" s="188"/>
      <c r="DX78" s="188"/>
      <c r="DY78" s="188"/>
      <c r="DZ78" s="188"/>
      <c r="EA78" s="188"/>
      <c r="EB78" s="188"/>
      <c r="EC78" s="188"/>
      <c r="ED78" s="188"/>
      <c r="EE78" s="188"/>
      <c r="EF78" s="188"/>
      <c r="EG78" s="188"/>
      <c r="EH78" s="242"/>
      <c r="EI78" s="178"/>
      <c r="EJ78" s="64"/>
      <c r="EK78" s="17"/>
      <c r="EL78" s="17"/>
    </row>
    <row r="79" spans="3:142">
      <c r="C79" s="44"/>
      <c r="D79" s="22"/>
      <c r="E79" s="286"/>
      <c r="F79" s="44"/>
      <c r="G79" s="44"/>
      <c r="H79" s="44"/>
      <c r="I79" s="44"/>
      <c r="J79" s="44"/>
      <c r="K79" s="44"/>
      <c r="L79" s="44"/>
      <c r="M79" s="44"/>
      <c r="N79" s="44"/>
      <c r="O79" s="44"/>
      <c r="P79" s="44"/>
      <c r="Q79" s="44"/>
      <c r="R79" s="44"/>
      <c r="S79" s="44"/>
      <c r="T79" s="44"/>
      <c r="U79" s="44"/>
      <c r="V79" s="44"/>
      <c r="W79" s="44"/>
      <c r="X79" s="44"/>
      <c r="Y79" s="44"/>
      <c r="Z79" s="242"/>
      <c r="AA79" s="242"/>
      <c r="AB79" s="242"/>
      <c r="AC79" s="18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188"/>
      <c r="DI79" s="188"/>
      <c r="DJ79" s="188"/>
      <c r="DK79" s="188"/>
      <c r="DL79" s="188"/>
      <c r="DM79" s="188"/>
      <c r="DN79" s="188"/>
      <c r="DO79" s="188"/>
      <c r="DP79" s="188"/>
      <c r="DQ79" s="188"/>
      <c r="DR79" s="188"/>
      <c r="DS79" s="188"/>
      <c r="DT79" s="188"/>
      <c r="DU79" s="188"/>
      <c r="DV79" s="188"/>
      <c r="DW79" s="188"/>
      <c r="DX79" s="188"/>
      <c r="DY79" s="188"/>
      <c r="DZ79" s="188"/>
      <c r="EA79" s="188"/>
      <c r="EB79" s="188"/>
      <c r="EC79" s="188"/>
      <c r="ED79" s="188"/>
      <c r="EE79" s="188"/>
      <c r="EF79" s="188"/>
      <c r="EG79" s="188"/>
      <c r="EH79" s="242"/>
      <c r="EI79" s="178"/>
      <c r="EJ79" s="64"/>
      <c r="EK79" s="17"/>
      <c r="EL79" s="17"/>
    </row>
    <row r="80" spans="3:142">
      <c r="C80" s="44"/>
      <c r="D80" s="22"/>
      <c r="E80" s="286"/>
      <c r="F80" s="44"/>
      <c r="G80" s="44"/>
      <c r="H80" s="44"/>
      <c r="I80" s="44"/>
      <c r="J80" s="44"/>
      <c r="K80" s="44"/>
      <c r="L80" s="44"/>
      <c r="M80" s="44"/>
      <c r="N80" s="44"/>
      <c r="O80" s="44"/>
      <c r="P80" s="44"/>
      <c r="Q80" s="44"/>
      <c r="R80" s="44"/>
      <c r="S80" s="44"/>
      <c r="T80" s="44"/>
      <c r="U80" s="44"/>
      <c r="V80" s="44"/>
      <c r="W80" s="44"/>
      <c r="X80" s="44"/>
      <c r="Y80" s="44"/>
      <c r="Z80" s="242"/>
      <c r="AA80" s="242"/>
      <c r="AB80" s="242"/>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188"/>
      <c r="DI80" s="188"/>
      <c r="DJ80" s="188"/>
      <c r="DK80" s="188"/>
      <c r="DL80" s="188"/>
      <c r="DM80" s="188"/>
      <c r="DN80" s="188"/>
      <c r="DO80" s="188"/>
      <c r="DP80" s="188"/>
      <c r="DQ80" s="188"/>
      <c r="DR80" s="188"/>
      <c r="DS80" s="188"/>
      <c r="DT80" s="188"/>
      <c r="DU80" s="188"/>
      <c r="DV80" s="188"/>
      <c r="DW80" s="188"/>
      <c r="DX80" s="188"/>
      <c r="DY80" s="188"/>
      <c r="DZ80" s="188"/>
      <c r="EA80" s="188"/>
      <c r="EB80" s="188"/>
      <c r="EC80" s="188"/>
      <c r="ED80" s="188"/>
      <c r="EE80" s="188"/>
      <c r="EF80" s="188"/>
      <c r="EG80" s="188"/>
      <c r="EH80" s="242"/>
      <c r="EI80" s="178"/>
      <c r="EJ80" s="64"/>
      <c r="EK80" s="17"/>
      <c r="EL80" s="17"/>
    </row>
    <row r="81" spans="3:142">
      <c r="C81" s="44"/>
      <c r="D81" s="22"/>
      <c r="E81" s="286"/>
      <c r="F81" s="44"/>
      <c r="G81" s="44"/>
      <c r="H81" s="44"/>
      <c r="I81" s="44"/>
      <c r="J81" s="44"/>
      <c r="K81" s="44"/>
      <c r="L81" s="44"/>
      <c r="M81" s="44"/>
      <c r="N81" s="44"/>
      <c r="O81" s="44"/>
      <c r="P81" s="44"/>
      <c r="Q81" s="44"/>
      <c r="R81" s="44"/>
      <c r="S81" s="44"/>
      <c r="T81" s="44"/>
      <c r="U81" s="44"/>
      <c r="V81" s="44"/>
      <c r="W81" s="44"/>
      <c r="X81" s="44"/>
      <c r="Y81" s="44"/>
      <c r="Z81" s="242"/>
      <c r="AA81" s="242"/>
      <c r="AB81" s="242"/>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188"/>
      <c r="DI81" s="188"/>
      <c r="DJ81" s="188"/>
      <c r="DK81" s="188"/>
      <c r="DL81" s="188"/>
      <c r="DM81" s="188"/>
      <c r="DN81" s="188"/>
      <c r="DO81" s="188"/>
      <c r="DP81" s="188"/>
      <c r="DQ81" s="188"/>
      <c r="DR81" s="188"/>
      <c r="DS81" s="188"/>
      <c r="DT81" s="188"/>
      <c r="DU81" s="188"/>
      <c r="DV81" s="188"/>
      <c r="DW81" s="188"/>
      <c r="DX81" s="188"/>
      <c r="DY81" s="188"/>
      <c r="DZ81" s="188"/>
      <c r="EA81" s="188"/>
      <c r="EB81" s="188"/>
      <c r="EC81" s="188"/>
      <c r="ED81" s="188"/>
      <c r="EE81" s="188"/>
      <c r="EF81" s="188"/>
      <c r="EG81" s="188"/>
      <c r="EH81" s="242"/>
      <c r="EI81" s="178"/>
      <c r="EJ81" s="64"/>
      <c r="EK81" s="17"/>
      <c r="EL81" s="17"/>
    </row>
    <row r="82" spans="3:142">
      <c r="C82" s="44"/>
      <c r="D82" s="22"/>
      <c r="E82" s="286"/>
      <c r="F82" s="44"/>
      <c r="G82" s="44"/>
      <c r="H82" s="44"/>
      <c r="I82" s="44"/>
      <c r="J82" s="44"/>
      <c r="K82" s="44"/>
      <c r="L82" s="44"/>
      <c r="M82" s="44"/>
      <c r="N82" s="44"/>
      <c r="O82" s="44"/>
      <c r="P82" s="44"/>
      <c r="Q82" s="44"/>
      <c r="R82" s="44"/>
      <c r="S82" s="44"/>
      <c r="T82" s="44"/>
      <c r="U82" s="44"/>
      <c r="V82" s="44"/>
      <c r="W82" s="44"/>
      <c r="X82" s="44"/>
      <c r="Y82" s="44"/>
      <c r="Z82" s="242"/>
      <c r="AA82" s="242"/>
      <c r="AB82" s="242"/>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188"/>
      <c r="DV82" s="188"/>
      <c r="DW82" s="188"/>
      <c r="DX82" s="188"/>
      <c r="DY82" s="188"/>
      <c r="DZ82" s="188"/>
      <c r="EA82" s="188"/>
      <c r="EB82" s="188"/>
      <c r="EC82" s="188"/>
      <c r="ED82" s="188"/>
      <c r="EE82" s="188"/>
      <c r="EF82" s="188"/>
      <c r="EG82" s="188"/>
      <c r="EH82" s="242"/>
      <c r="EI82" s="178"/>
      <c r="EJ82" s="64"/>
      <c r="EK82" s="17"/>
      <c r="EL82" s="17"/>
    </row>
    <row r="83" spans="3:142">
      <c r="C83" s="44"/>
      <c r="D83" s="22"/>
      <c r="E83" s="286"/>
      <c r="F83" s="44"/>
      <c r="G83" s="44"/>
      <c r="H83" s="44"/>
      <c r="I83" s="44"/>
      <c r="J83" s="44"/>
      <c r="K83" s="44"/>
      <c r="L83" s="44"/>
      <c r="M83" s="44"/>
      <c r="N83" s="44"/>
      <c r="O83" s="44"/>
      <c r="P83" s="44"/>
      <c r="Q83" s="44"/>
      <c r="R83" s="44"/>
      <c r="S83" s="44"/>
      <c r="T83" s="44"/>
      <c r="U83" s="44"/>
      <c r="V83" s="44"/>
      <c r="W83" s="44"/>
      <c r="X83" s="44"/>
      <c r="Y83" s="44"/>
      <c r="Z83" s="242"/>
      <c r="AA83" s="242"/>
      <c r="AB83" s="242"/>
      <c r="AC83" s="188"/>
      <c r="AD83" s="188"/>
      <c r="AE83" s="188"/>
      <c r="AF83" s="188"/>
      <c r="AG83" s="188"/>
      <c r="AH83" s="188"/>
      <c r="AI83" s="188"/>
      <c r="AJ83" s="188"/>
      <c r="AK83" s="188"/>
      <c r="AL83" s="188"/>
      <c r="AM83" s="188"/>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188"/>
      <c r="DI83" s="188"/>
      <c r="DJ83" s="188"/>
      <c r="DK83" s="188"/>
      <c r="DL83" s="188"/>
      <c r="DM83" s="188"/>
      <c r="DN83" s="188"/>
      <c r="DO83" s="188"/>
      <c r="DP83" s="188"/>
      <c r="DQ83" s="188"/>
      <c r="DR83" s="188"/>
      <c r="DS83" s="188"/>
      <c r="DT83" s="188"/>
      <c r="DU83" s="188"/>
      <c r="DV83" s="188"/>
      <c r="DW83" s="188"/>
      <c r="DX83" s="188"/>
      <c r="DY83" s="188"/>
      <c r="DZ83" s="188"/>
      <c r="EA83" s="188"/>
      <c r="EB83" s="188"/>
      <c r="EC83" s="188"/>
      <c r="ED83" s="188"/>
      <c r="EE83" s="188"/>
      <c r="EF83" s="188"/>
      <c r="EG83" s="188"/>
      <c r="EH83" s="242"/>
      <c r="EI83" s="178"/>
      <c r="EJ83" s="64"/>
      <c r="EK83" s="17"/>
      <c r="EL83" s="17"/>
    </row>
    <row r="84" spans="3:142">
      <c r="C84" s="44"/>
      <c r="D84" s="22"/>
      <c r="E84" s="286"/>
      <c r="F84" s="44"/>
      <c r="G84" s="44"/>
      <c r="H84" s="44"/>
      <c r="I84" s="44"/>
      <c r="J84" s="44"/>
      <c r="K84" s="44"/>
      <c r="L84" s="44"/>
      <c r="M84" s="44"/>
      <c r="N84" s="44"/>
      <c r="O84" s="44"/>
      <c r="P84" s="44"/>
      <c r="Q84" s="44"/>
      <c r="R84" s="44"/>
      <c r="S84" s="44"/>
      <c r="T84" s="44"/>
      <c r="U84" s="44"/>
      <c r="V84" s="44"/>
      <c r="W84" s="44"/>
      <c r="X84" s="44"/>
      <c r="Y84" s="44"/>
      <c r="Z84" s="242"/>
      <c r="AA84" s="242"/>
      <c r="AB84" s="242"/>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188"/>
      <c r="DI84" s="188"/>
      <c r="DJ84" s="188"/>
      <c r="DK84" s="188"/>
      <c r="DL84" s="188"/>
      <c r="DM84" s="188"/>
      <c r="DN84" s="188"/>
      <c r="DO84" s="188"/>
      <c r="DP84" s="188"/>
      <c r="DQ84" s="188"/>
      <c r="DR84" s="188"/>
      <c r="DS84" s="188"/>
      <c r="DT84" s="188"/>
      <c r="DU84" s="188"/>
      <c r="DV84" s="188"/>
      <c r="DW84" s="188"/>
      <c r="DX84" s="188"/>
      <c r="DY84" s="188"/>
      <c r="DZ84" s="188"/>
      <c r="EA84" s="188"/>
      <c r="EB84" s="188"/>
      <c r="EC84" s="188"/>
      <c r="ED84" s="188"/>
      <c r="EE84" s="188"/>
      <c r="EF84" s="188"/>
      <c r="EG84" s="188"/>
      <c r="EH84" s="242"/>
      <c r="EI84" s="178"/>
      <c r="EJ84" s="64"/>
      <c r="EK84" s="17"/>
      <c r="EL84" s="17"/>
    </row>
    <row r="85" spans="3:142">
      <c r="C85" s="44"/>
      <c r="D85" s="22"/>
      <c r="E85" s="286"/>
      <c r="F85" s="44"/>
      <c r="G85" s="44"/>
      <c r="H85" s="44"/>
      <c r="I85" s="44"/>
      <c r="J85" s="44"/>
      <c r="K85" s="44"/>
      <c r="L85" s="44"/>
      <c r="M85" s="44"/>
      <c r="N85" s="44"/>
      <c r="O85" s="44"/>
      <c r="P85" s="44"/>
      <c r="Q85" s="44"/>
      <c r="R85" s="44"/>
      <c r="S85" s="44"/>
      <c r="T85" s="44"/>
      <c r="U85" s="44"/>
      <c r="V85" s="44"/>
      <c r="W85" s="44"/>
      <c r="X85" s="44"/>
      <c r="Y85" s="44"/>
      <c r="Z85" s="242"/>
      <c r="AA85" s="242"/>
      <c r="AB85" s="242"/>
      <c r="AC85" s="18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188"/>
      <c r="DI85" s="188"/>
      <c r="DJ85" s="188"/>
      <c r="DK85" s="188"/>
      <c r="DL85" s="188"/>
      <c r="DM85" s="188"/>
      <c r="DN85" s="188"/>
      <c r="DO85" s="188"/>
      <c r="DP85" s="188"/>
      <c r="DQ85" s="188"/>
      <c r="DR85" s="188"/>
      <c r="DS85" s="188"/>
      <c r="DT85" s="188"/>
      <c r="DU85" s="188"/>
      <c r="DV85" s="188"/>
      <c r="DW85" s="188"/>
      <c r="DX85" s="188"/>
      <c r="DY85" s="188"/>
      <c r="DZ85" s="188"/>
      <c r="EA85" s="188"/>
      <c r="EB85" s="188"/>
      <c r="EC85" s="188"/>
      <c r="ED85" s="188"/>
      <c r="EE85" s="188"/>
      <c r="EF85" s="188"/>
      <c r="EG85" s="188"/>
      <c r="EH85" s="242"/>
      <c r="EI85" s="178"/>
      <c r="EJ85" s="64"/>
      <c r="EK85" s="17"/>
      <c r="EL85" s="17"/>
    </row>
    <row r="86" spans="3:142">
      <c r="C86" s="44"/>
      <c r="D86" s="22"/>
      <c r="E86" s="286"/>
      <c r="F86" s="44"/>
      <c r="G86" s="44"/>
      <c r="H86" s="44"/>
      <c r="I86" s="44"/>
      <c r="J86" s="44"/>
      <c r="K86" s="44"/>
      <c r="L86" s="44"/>
      <c r="M86" s="44"/>
      <c r="N86" s="44"/>
      <c r="O86" s="44"/>
      <c r="P86" s="44"/>
      <c r="Q86" s="44"/>
      <c r="R86" s="44"/>
      <c r="S86" s="44"/>
      <c r="T86" s="44"/>
      <c r="U86" s="44"/>
      <c r="V86" s="44"/>
      <c r="W86" s="44"/>
      <c r="X86" s="44"/>
      <c r="Y86" s="44"/>
      <c r="Z86" s="242"/>
      <c r="AA86" s="242"/>
      <c r="AB86" s="242"/>
      <c r="AC86" s="18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188"/>
      <c r="DI86" s="188"/>
      <c r="DJ86" s="188"/>
      <c r="DK86" s="188"/>
      <c r="DL86" s="188"/>
      <c r="DM86" s="188"/>
      <c r="DN86" s="188"/>
      <c r="DO86" s="188"/>
      <c r="DP86" s="188"/>
      <c r="DQ86" s="188"/>
      <c r="DR86" s="188"/>
      <c r="DS86" s="188"/>
      <c r="DT86" s="188"/>
      <c r="DU86" s="188"/>
      <c r="DV86" s="188"/>
      <c r="DW86" s="188"/>
      <c r="DX86" s="188"/>
      <c r="DY86" s="188"/>
      <c r="DZ86" s="188"/>
      <c r="EA86" s="188"/>
      <c r="EB86" s="188"/>
      <c r="EC86" s="188"/>
      <c r="ED86" s="188"/>
      <c r="EE86" s="188"/>
      <c r="EF86" s="188"/>
      <c r="EG86" s="188"/>
      <c r="EH86" s="242"/>
      <c r="EI86" s="178"/>
      <c r="EJ86" s="64"/>
      <c r="EK86" s="17"/>
      <c r="EL86" s="17"/>
    </row>
    <row r="87" spans="3:142">
      <c r="C87" s="44"/>
      <c r="D87" s="22"/>
      <c r="E87" s="286"/>
      <c r="F87" s="44"/>
      <c r="G87" s="44"/>
      <c r="H87" s="44"/>
      <c r="I87" s="44"/>
      <c r="J87" s="44"/>
      <c r="K87" s="44"/>
      <c r="L87" s="44"/>
      <c r="M87" s="44"/>
      <c r="N87" s="44"/>
      <c r="O87" s="44"/>
      <c r="P87" s="44"/>
      <c r="Q87" s="44"/>
      <c r="R87" s="44"/>
      <c r="S87" s="44"/>
      <c r="T87" s="44"/>
      <c r="U87" s="44"/>
      <c r="V87" s="44"/>
      <c r="W87" s="44"/>
      <c r="X87" s="44"/>
      <c r="Y87" s="44"/>
      <c r="Z87" s="242"/>
      <c r="AA87" s="242"/>
      <c r="AB87" s="242"/>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188"/>
      <c r="DI87" s="188"/>
      <c r="DJ87" s="188"/>
      <c r="DK87" s="188"/>
      <c r="DL87" s="188"/>
      <c r="DM87" s="188"/>
      <c r="DN87" s="188"/>
      <c r="DO87" s="188"/>
      <c r="DP87" s="188"/>
      <c r="DQ87" s="188"/>
      <c r="DR87" s="188"/>
      <c r="DS87" s="188"/>
      <c r="DT87" s="188"/>
      <c r="DU87" s="188"/>
      <c r="DV87" s="188"/>
      <c r="DW87" s="188"/>
      <c r="DX87" s="188"/>
      <c r="DY87" s="188"/>
      <c r="DZ87" s="188"/>
      <c r="EA87" s="188"/>
      <c r="EB87" s="188"/>
      <c r="EC87" s="188"/>
      <c r="ED87" s="188"/>
      <c r="EE87" s="188"/>
      <c r="EF87" s="188"/>
      <c r="EG87" s="188"/>
      <c r="EH87" s="242"/>
      <c r="EI87" s="178"/>
      <c r="EJ87" s="64"/>
      <c r="EK87" s="17"/>
      <c r="EL87" s="17"/>
    </row>
    <row r="88" spans="3:142">
      <c r="C88" s="44"/>
      <c r="D88" s="22"/>
      <c r="E88" s="286"/>
      <c r="F88" s="44"/>
      <c r="G88" s="44"/>
      <c r="H88" s="44"/>
      <c r="I88" s="44"/>
      <c r="J88" s="44"/>
      <c r="K88" s="44"/>
      <c r="L88" s="44"/>
      <c r="M88" s="44"/>
      <c r="N88" s="44"/>
      <c r="O88" s="44"/>
      <c r="P88" s="44"/>
      <c r="Q88" s="44"/>
      <c r="R88" s="44"/>
      <c r="S88" s="44"/>
      <c r="T88" s="44"/>
      <c r="U88" s="44"/>
      <c r="V88" s="44"/>
      <c r="W88" s="44"/>
      <c r="X88" s="44"/>
      <c r="Y88" s="44"/>
      <c r="Z88" s="242"/>
      <c r="AA88" s="242"/>
      <c r="AB88" s="242"/>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188"/>
      <c r="DI88" s="188"/>
      <c r="DJ88" s="188"/>
      <c r="DK88" s="188"/>
      <c r="DL88" s="188"/>
      <c r="DM88" s="188"/>
      <c r="DN88" s="188"/>
      <c r="DO88" s="188"/>
      <c r="DP88" s="188"/>
      <c r="DQ88" s="188"/>
      <c r="DR88" s="188"/>
      <c r="DS88" s="188"/>
      <c r="DT88" s="188"/>
      <c r="DU88" s="188"/>
      <c r="DV88" s="188"/>
      <c r="DW88" s="188"/>
      <c r="DX88" s="188"/>
      <c r="DY88" s="188"/>
      <c r="DZ88" s="188"/>
      <c r="EA88" s="188"/>
      <c r="EB88" s="188"/>
      <c r="EC88" s="188"/>
      <c r="ED88" s="188"/>
      <c r="EE88" s="188"/>
      <c r="EF88" s="188"/>
      <c r="EG88" s="188"/>
      <c r="EH88" s="242"/>
      <c r="EI88" s="178"/>
      <c r="EJ88" s="64"/>
      <c r="EK88" s="17"/>
      <c r="EL88" s="17"/>
    </row>
    <row r="89" spans="3:142">
      <c r="C89" s="44"/>
      <c r="D89" s="22"/>
      <c r="E89" s="286"/>
      <c r="F89" s="44"/>
      <c r="G89" s="44"/>
      <c r="H89" s="44"/>
      <c r="I89" s="44"/>
      <c r="J89" s="44"/>
      <c r="K89" s="44"/>
      <c r="L89" s="44"/>
      <c r="M89" s="44"/>
      <c r="N89" s="44"/>
      <c r="O89" s="44"/>
      <c r="P89" s="44"/>
      <c r="Q89" s="44"/>
      <c r="R89" s="44"/>
      <c r="S89" s="44"/>
      <c r="T89" s="44"/>
      <c r="U89" s="44"/>
      <c r="V89" s="44"/>
      <c r="W89" s="44"/>
      <c r="X89" s="44"/>
      <c r="Y89" s="44"/>
      <c r="Z89" s="242"/>
      <c r="AA89" s="242"/>
      <c r="AB89" s="242"/>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188"/>
      <c r="DI89" s="188"/>
      <c r="DJ89" s="188"/>
      <c r="DK89" s="188"/>
      <c r="DL89" s="188"/>
      <c r="DM89" s="188"/>
      <c r="DN89" s="188"/>
      <c r="DO89" s="188"/>
      <c r="DP89" s="188"/>
      <c r="DQ89" s="188"/>
      <c r="DR89" s="188"/>
      <c r="DS89" s="188"/>
      <c r="DT89" s="188"/>
      <c r="DU89" s="188"/>
      <c r="DV89" s="188"/>
      <c r="DW89" s="188"/>
      <c r="DX89" s="188"/>
      <c r="DY89" s="188"/>
      <c r="DZ89" s="188"/>
      <c r="EA89" s="188"/>
      <c r="EB89" s="188"/>
      <c r="EC89" s="188"/>
      <c r="ED89" s="188"/>
      <c r="EE89" s="188"/>
      <c r="EF89" s="188"/>
      <c r="EG89" s="188"/>
      <c r="EH89" s="242"/>
      <c r="EI89" s="178"/>
      <c r="EJ89" s="64"/>
      <c r="EK89" s="17"/>
      <c r="EL89" s="17"/>
    </row>
    <row r="90" spans="3:142">
      <c r="C90" s="44"/>
      <c r="D90" s="22"/>
      <c r="E90" s="286"/>
      <c r="F90" s="44"/>
      <c r="G90" s="44"/>
      <c r="H90" s="44"/>
      <c r="I90" s="44"/>
      <c r="J90" s="44"/>
      <c r="K90" s="44"/>
      <c r="L90" s="44"/>
      <c r="M90" s="44"/>
      <c r="N90" s="44"/>
      <c r="O90" s="44"/>
      <c r="P90" s="44"/>
      <c r="Q90" s="44"/>
      <c r="R90" s="44"/>
      <c r="S90" s="44"/>
      <c r="T90" s="44"/>
      <c r="U90" s="44"/>
      <c r="V90" s="44"/>
      <c r="W90" s="44"/>
      <c r="X90" s="44"/>
      <c r="Y90" s="44"/>
      <c r="Z90" s="242"/>
      <c r="AA90" s="242"/>
      <c r="AB90" s="242"/>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188"/>
      <c r="DI90" s="188"/>
      <c r="DJ90" s="188"/>
      <c r="DK90" s="188"/>
      <c r="DL90" s="188"/>
      <c r="DM90" s="188"/>
      <c r="DN90" s="188"/>
      <c r="DO90" s="188"/>
      <c r="DP90" s="188"/>
      <c r="DQ90" s="188"/>
      <c r="DR90" s="188"/>
      <c r="DS90" s="188"/>
      <c r="DT90" s="188"/>
      <c r="DU90" s="188"/>
      <c r="DV90" s="188"/>
      <c r="DW90" s="188"/>
      <c r="DX90" s="188"/>
      <c r="DY90" s="188"/>
      <c r="DZ90" s="188"/>
      <c r="EA90" s="188"/>
      <c r="EB90" s="188"/>
      <c r="EC90" s="188"/>
      <c r="ED90" s="188"/>
      <c r="EE90" s="188"/>
      <c r="EF90" s="188"/>
      <c r="EG90" s="188"/>
      <c r="EH90" s="242"/>
      <c r="EI90" s="178"/>
      <c r="EJ90" s="64"/>
      <c r="EK90" s="17"/>
      <c r="EL90" s="17"/>
    </row>
    <row r="91" spans="3:142">
      <c r="C91" s="44"/>
      <c r="D91" s="22"/>
      <c r="E91" s="286"/>
      <c r="F91" s="44"/>
      <c r="G91" s="44"/>
      <c r="H91" s="44"/>
      <c r="I91" s="44"/>
      <c r="J91" s="44"/>
      <c r="K91" s="44"/>
      <c r="L91" s="44"/>
      <c r="M91" s="44"/>
      <c r="N91" s="44"/>
      <c r="O91" s="44"/>
      <c r="P91" s="44"/>
      <c r="Q91" s="44"/>
      <c r="R91" s="44"/>
      <c r="S91" s="44"/>
      <c r="T91" s="44"/>
      <c r="U91" s="44"/>
      <c r="V91" s="44"/>
      <c r="W91" s="44"/>
      <c r="X91" s="44"/>
      <c r="Y91" s="44"/>
      <c r="Z91" s="242"/>
      <c r="AA91" s="242"/>
      <c r="AB91" s="242"/>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188"/>
      <c r="DV91" s="188"/>
      <c r="DW91" s="188"/>
      <c r="DX91" s="188"/>
      <c r="DY91" s="188"/>
      <c r="DZ91" s="188"/>
      <c r="EA91" s="188"/>
      <c r="EB91" s="188"/>
      <c r="EC91" s="188"/>
      <c r="ED91" s="188"/>
      <c r="EE91" s="188"/>
      <c r="EF91" s="188"/>
      <c r="EG91" s="188"/>
      <c r="EH91" s="242"/>
      <c r="EI91" s="178"/>
      <c r="EJ91" s="64"/>
      <c r="EK91" s="17"/>
      <c r="EL91" s="17"/>
    </row>
    <row r="92" spans="3:142">
      <c r="C92" s="44"/>
      <c r="D92" s="22"/>
      <c r="E92" s="286"/>
      <c r="F92" s="44"/>
      <c r="G92" s="44"/>
      <c r="H92" s="44"/>
      <c r="I92" s="44"/>
      <c r="J92" s="44"/>
      <c r="K92" s="44"/>
      <c r="L92" s="44"/>
      <c r="M92" s="44"/>
      <c r="N92" s="44"/>
      <c r="O92" s="44"/>
      <c r="P92" s="44"/>
      <c r="Q92" s="44"/>
      <c r="R92" s="44"/>
      <c r="S92" s="44"/>
      <c r="T92" s="44"/>
      <c r="U92" s="44"/>
      <c r="V92" s="44"/>
      <c r="W92" s="44"/>
      <c r="X92" s="44"/>
      <c r="Y92" s="44"/>
      <c r="Z92" s="242"/>
      <c r="AA92" s="242"/>
      <c r="AB92" s="242"/>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188"/>
      <c r="DI92" s="188"/>
      <c r="DJ92" s="188"/>
      <c r="DK92" s="188"/>
      <c r="DL92" s="188"/>
      <c r="DM92" s="188"/>
      <c r="DN92" s="188"/>
      <c r="DO92" s="188"/>
      <c r="DP92" s="188"/>
      <c r="DQ92" s="188"/>
      <c r="DR92" s="188"/>
      <c r="DS92" s="188"/>
      <c r="DT92" s="188"/>
      <c r="DU92" s="188"/>
      <c r="DV92" s="188"/>
      <c r="DW92" s="188"/>
      <c r="DX92" s="188"/>
      <c r="DY92" s="188"/>
      <c r="DZ92" s="188"/>
      <c r="EA92" s="188"/>
      <c r="EB92" s="188"/>
      <c r="EC92" s="188"/>
      <c r="ED92" s="188"/>
      <c r="EE92" s="188"/>
      <c r="EF92" s="188"/>
      <c r="EG92" s="188"/>
      <c r="EH92" s="242"/>
      <c r="EI92" s="178"/>
      <c r="EJ92" s="64"/>
      <c r="EK92" s="17"/>
      <c r="EL92" s="17"/>
    </row>
    <row r="93" spans="3:142">
      <c r="C93" s="44"/>
      <c r="D93" s="22"/>
      <c r="E93" s="286"/>
      <c r="F93" s="44"/>
      <c r="G93" s="44"/>
      <c r="H93" s="44"/>
      <c r="I93" s="44"/>
      <c r="J93" s="44"/>
      <c r="K93" s="44"/>
      <c r="L93" s="44"/>
      <c r="M93" s="44"/>
      <c r="N93" s="44"/>
      <c r="O93" s="44"/>
      <c r="P93" s="44"/>
      <c r="Q93" s="44"/>
      <c r="R93" s="44"/>
      <c r="S93" s="44"/>
      <c r="T93" s="44"/>
      <c r="U93" s="44"/>
      <c r="V93" s="44"/>
      <c r="W93" s="44"/>
      <c r="X93" s="44"/>
      <c r="Y93" s="44"/>
      <c r="Z93" s="242"/>
      <c r="AA93" s="242"/>
      <c r="AB93" s="242"/>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188"/>
      <c r="DI93" s="188"/>
      <c r="DJ93" s="188"/>
      <c r="DK93" s="188"/>
      <c r="DL93" s="188"/>
      <c r="DM93" s="188"/>
      <c r="DN93" s="188"/>
      <c r="DO93" s="188"/>
      <c r="DP93" s="188"/>
      <c r="DQ93" s="188"/>
      <c r="DR93" s="188"/>
      <c r="DS93" s="188"/>
      <c r="DT93" s="188"/>
      <c r="DU93" s="188"/>
      <c r="DV93" s="188"/>
      <c r="DW93" s="188"/>
      <c r="DX93" s="188"/>
      <c r="DY93" s="188"/>
      <c r="DZ93" s="188"/>
      <c r="EA93" s="188"/>
      <c r="EB93" s="188"/>
      <c r="EC93" s="188"/>
      <c r="ED93" s="188"/>
      <c r="EE93" s="188"/>
      <c r="EF93" s="188"/>
      <c r="EG93" s="188"/>
      <c r="EH93" s="242"/>
      <c r="EI93" s="178"/>
      <c r="EJ93" s="64"/>
      <c r="EK93" s="17"/>
      <c r="EL93" s="17"/>
    </row>
    <row r="94" spans="3:142">
      <c r="C94" s="44"/>
      <c r="D94" s="22"/>
      <c r="E94" s="286"/>
      <c r="F94" s="44"/>
      <c r="G94" s="44"/>
      <c r="H94" s="44"/>
      <c r="I94" s="44"/>
      <c r="J94" s="44"/>
      <c r="K94" s="44"/>
      <c r="L94" s="44"/>
      <c r="M94" s="44"/>
      <c r="N94" s="44"/>
      <c r="O94" s="44"/>
      <c r="P94" s="44"/>
      <c r="Q94" s="44"/>
      <c r="R94" s="44"/>
      <c r="S94" s="44"/>
      <c r="T94" s="44"/>
      <c r="U94" s="44"/>
      <c r="V94" s="44"/>
      <c r="W94" s="44"/>
      <c r="X94" s="44"/>
      <c r="Y94" s="44"/>
      <c r="Z94" s="242"/>
      <c r="AA94" s="242"/>
      <c r="AB94" s="242"/>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188"/>
      <c r="DV94" s="188"/>
      <c r="DW94" s="188"/>
      <c r="DX94" s="188"/>
      <c r="DY94" s="188"/>
      <c r="DZ94" s="188"/>
      <c r="EA94" s="188"/>
      <c r="EB94" s="188"/>
      <c r="EC94" s="188"/>
      <c r="ED94" s="188"/>
      <c r="EE94" s="188"/>
      <c r="EF94" s="188"/>
      <c r="EG94" s="188"/>
      <c r="EH94" s="242"/>
      <c r="EI94" s="178"/>
      <c r="EJ94" s="64"/>
      <c r="EK94" s="17"/>
      <c r="EL94" s="17"/>
    </row>
    <row r="95" spans="3:142">
      <c r="C95" s="44"/>
      <c r="D95" s="22"/>
      <c r="E95" s="286"/>
      <c r="F95" s="44"/>
      <c r="G95" s="44"/>
      <c r="H95" s="44"/>
      <c r="I95" s="44"/>
      <c r="J95" s="44"/>
      <c r="K95" s="44"/>
      <c r="L95" s="44"/>
      <c r="M95" s="44"/>
      <c r="N95" s="44"/>
      <c r="O95" s="44"/>
      <c r="P95" s="44"/>
      <c r="Q95" s="44"/>
      <c r="R95" s="44"/>
      <c r="S95" s="44"/>
      <c r="T95" s="44"/>
      <c r="U95" s="44"/>
      <c r="V95" s="44"/>
      <c r="W95" s="44"/>
      <c r="X95" s="44"/>
      <c r="Y95" s="44"/>
      <c r="Z95" s="242"/>
      <c r="AA95" s="242"/>
      <c r="AB95" s="242"/>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188"/>
      <c r="DV95" s="188"/>
      <c r="DW95" s="188"/>
      <c r="DX95" s="188"/>
      <c r="DY95" s="188"/>
      <c r="DZ95" s="188"/>
      <c r="EA95" s="188"/>
      <c r="EB95" s="188"/>
      <c r="EC95" s="188"/>
      <c r="ED95" s="188"/>
      <c r="EE95" s="188"/>
      <c r="EF95" s="188"/>
      <c r="EG95" s="188"/>
      <c r="EH95" s="242"/>
      <c r="EI95" s="178"/>
      <c r="EJ95" s="64"/>
      <c r="EK95" s="17"/>
      <c r="EL95" s="17"/>
    </row>
    <row r="96" spans="3:142">
      <c r="C96" s="44"/>
      <c r="D96" s="22"/>
      <c r="E96" s="286"/>
      <c r="O96" s="44"/>
      <c r="P96" s="44"/>
      <c r="Q96" s="44"/>
      <c r="R96" s="44"/>
      <c r="S96" s="44"/>
      <c r="T96" s="44"/>
      <c r="U96" s="44"/>
      <c r="V96" s="44"/>
      <c r="W96" s="44"/>
      <c r="X96" s="44"/>
      <c r="Y96" s="44"/>
      <c r="Z96" s="242"/>
      <c r="AA96" s="242"/>
      <c r="AB96" s="242"/>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188"/>
      <c r="DI96" s="188"/>
      <c r="DJ96" s="188"/>
      <c r="DK96" s="188"/>
      <c r="DL96" s="188"/>
      <c r="DM96" s="188"/>
      <c r="DN96" s="188"/>
      <c r="DO96" s="188"/>
      <c r="DP96" s="188"/>
      <c r="DQ96" s="188"/>
      <c r="DR96" s="188"/>
      <c r="DS96" s="188"/>
      <c r="DT96" s="188"/>
      <c r="DU96" s="188"/>
      <c r="DV96" s="188"/>
      <c r="DW96" s="188"/>
      <c r="DX96" s="188"/>
      <c r="DY96" s="188"/>
      <c r="DZ96" s="188"/>
      <c r="EA96" s="188"/>
      <c r="EB96" s="188"/>
      <c r="EC96" s="188"/>
      <c r="ED96" s="188"/>
      <c r="EE96" s="188"/>
      <c r="EF96" s="188"/>
      <c r="EG96" s="188"/>
      <c r="EH96" s="64"/>
      <c r="EI96" s="178"/>
      <c r="EJ96" s="64"/>
      <c r="EK96" s="17"/>
      <c r="EL96" s="17"/>
    </row>
    <row r="97" spans="3:142">
      <c r="C97" s="44"/>
      <c r="D97" s="22"/>
      <c r="E97" s="286"/>
      <c r="O97" s="44"/>
      <c r="P97" s="44"/>
      <c r="Q97" s="44"/>
      <c r="R97" s="44"/>
      <c r="S97" s="44"/>
      <c r="T97" s="44"/>
      <c r="U97" s="44"/>
      <c r="V97" s="44"/>
      <c r="W97" s="44"/>
      <c r="X97" s="44"/>
      <c r="Y97" s="44"/>
      <c r="Z97" s="242"/>
      <c r="AA97" s="242"/>
      <c r="AB97" s="242"/>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64"/>
      <c r="EI97" s="178"/>
      <c r="EJ97" s="64"/>
      <c r="EK97" s="17"/>
      <c r="EL97" s="17"/>
    </row>
    <row r="98" spans="3:142">
      <c r="C98" s="44"/>
      <c r="D98" s="22"/>
      <c r="E98" s="286"/>
      <c r="O98" s="44"/>
      <c r="P98" s="44"/>
      <c r="Q98" s="44"/>
      <c r="R98" s="44"/>
      <c r="S98" s="44"/>
      <c r="T98" s="44"/>
      <c r="U98" s="44"/>
      <c r="V98" s="44"/>
      <c r="W98" s="44"/>
      <c r="X98" s="44"/>
      <c r="Y98" s="44"/>
      <c r="Z98" s="242"/>
      <c r="AA98" s="242"/>
      <c r="AB98" s="242"/>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188"/>
      <c r="DI98" s="188"/>
      <c r="DJ98" s="188"/>
      <c r="DK98" s="188"/>
      <c r="DL98" s="188"/>
      <c r="DM98" s="188"/>
      <c r="DN98" s="188"/>
      <c r="DO98" s="188"/>
      <c r="DP98" s="188"/>
      <c r="DQ98" s="188"/>
      <c r="DR98" s="188"/>
      <c r="DS98" s="188"/>
      <c r="DT98" s="188"/>
      <c r="DU98" s="188"/>
      <c r="DV98" s="188"/>
      <c r="DW98" s="188"/>
      <c r="DX98" s="188"/>
      <c r="DY98" s="188"/>
      <c r="DZ98" s="188"/>
      <c r="EA98" s="188"/>
      <c r="EB98" s="188"/>
      <c r="EC98" s="188"/>
      <c r="ED98" s="188"/>
      <c r="EE98" s="188"/>
      <c r="EF98" s="188"/>
      <c r="EG98" s="188"/>
      <c r="EH98" s="64"/>
      <c r="EI98" s="178"/>
      <c r="EJ98" s="64"/>
      <c r="EK98" s="17"/>
      <c r="EL98" s="17"/>
    </row>
    <row r="99" spans="3:142">
      <c r="C99" s="44"/>
      <c r="D99" s="22"/>
      <c r="E99" s="286"/>
      <c r="O99" s="44"/>
      <c r="P99" s="44"/>
      <c r="Q99" s="44"/>
      <c r="R99" s="44"/>
      <c r="S99" s="44"/>
      <c r="T99" s="44"/>
      <c r="U99" s="44"/>
      <c r="V99" s="44"/>
      <c r="W99" s="44"/>
      <c r="X99" s="44"/>
      <c r="Y99" s="44"/>
      <c r="Z99" s="242"/>
      <c r="AA99" s="242"/>
      <c r="AB99" s="242"/>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188"/>
      <c r="DV99" s="188"/>
      <c r="DW99" s="188"/>
      <c r="DX99" s="188"/>
      <c r="DY99" s="188"/>
      <c r="DZ99" s="188"/>
      <c r="EA99" s="188"/>
      <c r="EB99" s="188"/>
      <c r="EC99" s="188"/>
      <c r="ED99" s="188"/>
      <c r="EE99" s="188"/>
      <c r="EF99" s="188"/>
      <c r="EG99" s="188"/>
      <c r="EH99" s="64"/>
      <c r="EI99" s="178"/>
      <c r="EJ99" s="64"/>
      <c r="EK99" s="17"/>
      <c r="EL99" s="17"/>
    </row>
    <row r="100" spans="3:142">
      <c r="C100" s="44"/>
      <c r="D100" s="22"/>
      <c r="E100" s="286"/>
      <c r="O100" s="44"/>
      <c r="P100" s="44"/>
      <c r="Q100" s="44"/>
      <c r="R100" s="44"/>
      <c r="S100" s="44"/>
      <c r="T100" s="44"/>
      <c r="U100" s="44"/>
      <c r="V100" s="44"/>
      <c r="W100" s="44"/>
      <c r="X100" s="44"/>
      <c r="Y100" s="44"/>
      <c r="Z100" s="242"/>
      <c r="AA100" s="242"/>
      <c r="AB100" s="242"/>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8"/>
      <c r="DT100" s="188"/>
      <c r="DU100" s="188"/>
      <c r="DV100" s="188"/>
      <c r="DW100" s="188"/>
      <c r="DX100" s="188"/>
      <c r="DY100" s="188"/>
      <c r="DZ100" s="188"/>
      <c r="EA100" s="188"/>
      <c r="EB100" s="188"/>
      <c r="EC100" s="188"/>
      <c r="ED100" s="188"/>
      <c r="EE100" s="188"/>
      <c r="EF100" s="188"/>
      <c r="EG100" s="188"/>
      <c r="EH100" s="64"/>
      <c r="EI100" s="178"/>
      <c r="EJ100" s="64"/>
      <c r="EK100" s="17"/>
      <c r="EL100" s="17"/>
    </row>
    <row r="101" spans="3:142">
      <c r="C101" s="44"/>
      <c r="D101" s="22"/>
      <c r="E101" s="286"/>
      <c r="O101" s="44"/>
      <c r="P101" s="44"/>
      <c r="Q101" s="44"/>
      <c r="R101" s="44"/>
      <c r="S101" s="44"/>
      <c r="T101" s="44"/>
      <c r="U101" s="44"/>
      <c r="V101" s="44"/>
      <c r="W101" s="44"/>
      <c r="X101" s="44"/>
      <c r="Y101" s="44"/>
      <c r="Z101" s="242"/>
      <c r="AA101" s="242"/>
      <c r="AB101" s="242"/>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8"/>
      <c r="DT101" s="188"/>
      <c r="DU101" s="188"/>
      <c r="DV101" s="188"/>
      <c r="DW101" s="188"/>
      <c r="DX101" s="188"/>
      <c r="DY101" s="188"/>
      <c r="DZ101" s="188"/>
      <c r="EA101" s="188"/>
      <c r="EB101" s="188"/>
      <c r="EC101" s="188"/>
      <c r="ED101" s="188"/>
      <c r="EE101" s="188"/>
      <c r="EF101" s="188"/>
      <c r="EG101" s="188"/>
      <c r="EH101" s="64"/>
      <c r="EI101" s="178"/>
      <c r="EJ101" s="64"/>
      <c r="EK101" s="17"/>
      <c r="EL101" s="17"/>
    </row>
    <row r="102" spans="3:142">
      <c r="C102" s="44"/>
      <c r="D102" s="22"/>
      <c r="E102" s="286"/>
      <c r="O102" s="44"/>
      <c r="P102" s="44"/>
      <c r="Q102" s="44"/>
      <c r="R102" s="44"/>
      <c r="S102" s="44"/>
      <c r="T102" s="44"/>
      <c r="U102" s="44"/>
      <c r="V102" s="44"/>
      <c r="W102" s="44"/>
      <c r="X102" s="44"/>
      <c r="Y102" s="44"/>
      <c r="Z102" s="242"/>
      <c r="AA102" s="242"/>
      <c r="AB102" s="242"/>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88"/>
      <c r="DX102" s="188"/>
      <c r="DY102" s="188"/>
      <c r="DZ102" s="188"/>
      <c r="EA102" s="188"/>
      <c r="EB102" s="188"/>
      <c r="EC102" s="188"/>
      <c r="ED102" s="188"/>
      <c r="EE102" s="188"/>
      <c r="EF102" s="188"/>
      <c r="EG102" s="188"/>
      <c r="EH102" s="64"/>
      <c r="EI102" s="178"/>
    </row>
    <row r="103" spans="3:142">
      <c r="C103" s="44"/>
      <c r="D103" s="22"/>
      <c r="E103" s="286"/>
      <c r="O103" s="44"/>
      <c r="P103" s="44"/>
      <c r="Q103" s="44"/>
      <c r="R103" s="44"/>
      <c r="S103" s="44"/>
      <c r="T103" s="44"/>
      <c r="U103" s="44"/>
      <c r="V103" s="44"/>
      <c r="W103" s="44"/>
      <c r="X103" s="44"/>
      <c r="Y103" s="44"/>
      <c r="Z103" s="44"/>
      <c r="AA103" s="44"/>
      <c r="AB103" s="44"/>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187"/>
      <c r="DE103" s="187"/>
      <c r="DF103" s="187"/>
      <c r="DG103" s="187"/>
      <c r="DH103" s="187"/>
      <c r="DI103" s="187"/>
      <c r="DJ103" s="187"/>
      <c r="DK103" s="187"/>
      <c r="DL103" s="187"/>
      <c r="DM103" s="187"/>
      <c r="DN103" s="187"/>
      <c r="DO103" s="187"/>
      <c r="DP103" s="187"/>
      <c r="DQ103" s="187"/>
      <c r="DR103" s="187"/>
      <c r="DS103" s="187"/>
      <c r="DT103" s="187"/>
      <c r="DU103" s="187"/>
      <c r="DV103" s="187"/>
      <c r="DW103" s="187"/>
      <c r="DX103" s="187"/>
      <c r="DY103" s="187"/>
      <c r="DZ103" s="187"/>
      <c r="EA103" s="187"/>
      <c r="EB103" s="187"/>
      <c r="EC103" s="187"/>
      <c r="ED103" s="187"/>
      <c r="EE103" s="187"/>
      <c r="EF103" s="187"/>
      <c r="EG103" s="187"/>
    </row>
    <row r="104" spans="3:142">
      <c r="C104" s="44"/>
      <c r="D104" s="22"/>
      <c r="E104" s="286"/>
      <c r="O104" s="44"/>
      <c r="P104" s="44"/>
      <c r="Q104" s="44"/>
      <c r="R104" s="44"/>
      <c r="S104" s="44"/>
      <c r="T104" s="44"/>
      <c r="U104" s="44"/>
      <c r="V104" s="44"/>
      <c r="W104" s="44"/>
      <c r="X104" s="44"/>
      <c r="Y104" s="44"/>
      <c r="Z104" s="44"/>
      <c r="AA104" s="44"/>
      <c r="AB104" s="44"/>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187"/>
      <c r="DE104" s="187"/>
      <c r="DF104" s="187"/>
      <c r="DG104" s="187"/>
      <c r="DH104" s="187"/>
      <c r="DI104" s="187"/>
      <c r="DJ104" s="187"/>
      <c r="DK104" s="187"/>
      <c r="DL104" s="187"/>
      <c r="DM104" s="187"/>
      <c r="DN104" s="187"/>
      <c r="DO104" s="187"/>
      <c r="DP104" s="187"/>
      <c r="DQ104" s="187"/>
      <c r="DR104" s="187"/>
      <c r="DS104" s="187"/>
      <c r="DT104" s="187"/>
      <c r="DU104" s="187"/>
      <c r="DV104" s="187"/>
      <c r="DW104" s="187"/>
      <c r="DX104" s="187"/>
      <c r="DY104" s="187"/>
      <c r="DZ104" s="187"/>
      <c r="EA104" s="187"/>
      <c r="EB104" s="187"/>
      <c r="EC104" s="187"/>
      <c r="ED104" s="187"/>
      <c r="EE104" s="187"/>
      <c r="EF104" s="187"/>
      <c r="EG104" s="187"/>
    </row>
    <row r="105" spans="3:142">
      <c r="O105" s="44"/>
    </row>
    <row r="106" spans="3:142">
      <c r="O106" s="44"/>
    </row>
    <row r="107" spans="3:142">
      <c r="O107" s="44"/>
    </row>
    <row r="108" spans="3:142">
      <c r="O108" s="44"/>
    </row>
    <row r="109" spans="3:142">
      <c r="O109" s="44"/>
    </row>
    <row r="110" spans="3:142">
      <c r="O110" s="44"/>
    </row>
    <row r="111" spans="3:142">
      <c r="O111" s="44"/>
    </row>
  </sheetData>
  <mergeCells count="2">
    <mergeCell ref="EH7:EI7"/>
    <mergeCell ref="EH8:EI8"/>
  </mergeCells>
  <phoneticPr fontId="0" type="noConversion"/>
  <pageMargins left="0.1" right="0.1" top="0.5" bottom="0.5" header="0.5" footer="0.5"/>
  <pageSetup scale="30" orientation="landscape" blackAndWhite="1" r:id="rId1"/>
  <headerFooter alignWithMargins="0">
    <oddFooter>&amp;L&amp;Z&amp;F
&amp;D</oddFooter>
  </headerFooter>
  <customProperties>
    <customPr name="_pios_id" r:id="rId2"/>
    <customPr name="FPMExcelClientCellBasedFunctionStatus" r:id="rId3"/>
  </customProperties>
  <ignoredErrors>
    <ignoredError sqref="B12:C12 C9 B23:C23 B35:C36 B43:C44 D24 D35 D23 D25:D26 D11:D12 D22 D44 D46:D48 C11 C22 B25:C26 C24 C34 C45" unlockedFormula="1"/>
    <ignoredError sqref="EH35:EH36 EH12 EH23" formula="1"/>
  </ignoredErrors>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49"/>
  <sheetViews>
    <sheetView workbookViewId="0"/>
  </sheetViews>
  <sheetFormatPr defaultRowHeight="12.75"/>
  <cols>
    <col min="1" max="1" width="41" customWidth="1"/>
    <col min="2" max="2" width="13.5703125" bestFit="1" customWidth="1"/>
    <col min="3" max="3" width="17.140625" bestFit="1" customWidth="1"/>
    <col min="4" max="4" width="41" customWidth="1"/>
  </cols>
  <sheetData>
    <row r="1" spans="1:3" ht="15.75">
      <c r="A1" s="1201" t="s">
        <v>2555</v>
      </c>
      <c r="B1" s="1214"/>
      <c r="C1" s="1215"/>
    </row>
    <row r="2" spans="1:3" ht="15.75">
      <c r="A2" s="1068"/>
      <c r="B2" s="1068"/>
      <c r="C2" s="1068"/>
    </row>
    <row r="3" spans="1:3" ht="15">
      <c r="A3" s="1069"/>
      <c r="B3" s="892" t="s">
        <v>102</v>
      </c>
      <c r="C3" s="892" t="s">
        <v>1756</v>
      </c>
    </row>
    <row r="4" spans="1:3" ht="15">
      <c r="A4" s="1069" t="s">
        <v>2556</v>
      </c>
      <c r="B4" s="1070">
        <f>+Report!B160+Report!D160+Report!F160</f>
        <v>447546.38907783112</v>
      </c>
      <c r="C4" s="1070">
        <f>+'Report YE'!B160+'Report YE'!D160+'Report YE'!F160</f>
        <v>479814.22665134247</v>
      </c>
    </row>
    <row r="5" spans="1:3" ht="15">
      <c r="A5" s="1069" t="s">
        <v>2557</v>
      </c>
      <c r="B5" s="1070">
        <f>+Report!B162+Report!D162+Report!F162</f>
        <v>118847.66983609823</v>
      </c>
      <c r="C5" s="1070">
        <f>+'Report YE'!B162+'Report YE'!D162+'Report YE'!F162</f>
        <v>177018.49077179801</v>
      </c>
    </row>
    <row r="6" spans="1:3" ht="15">
      <c r="A6" s="1071"/>
      <c r="B6" s="1072">
        <f>SUM(B4:B5)</f>
        <v>566394.05891392939</v>
      </c>
      <c r="C6" s="1072">
        <f>SUM(C4:C5)</f>
        <v>656832.71742314054</v>
      </c>
    </row>
    <row r="7" spans="1:3">
      <c r="A7" s="1073"/>
      <c r="B7" s="986"/>
      <c r="C7" s="986"/>
    </row>
    <row r="8" spans="1:3" ht="15">
      <c r="A8" s="1069" t="s">
        <v>2558</v>
      </c>
      <c r="B8" s="888">
        <f>+B4/B6</f>
        <v>0.79016787346959327</v>
      </c>
      <c r="C8" s="888">
        <f>+C4/C6</f>
        <v>0.7304968432963117</v>
      </c>
    </row>
    <row r="9" spans="1:3" ht="15">
      <c r="A9" s="1069" t="s">
        <v>2559</v>
      </c>
      <c r="B9" s="886">
        <f>+B5/B6</f>
        <v>0.20983212653040664</v>
      </c>
      <c r="C9" s="886">
        <f>+C5/C6</f>
        <v>0.26950315670368824</v>
      </c>
    </row>
    <row r="10" spans="1:3" ht="15">
      <c r="A10" s="1073"/>
      <c r="B10" s="888">
        <f>SUM(B8:B9)</f>
        <v>0.99999999999999989</v>
      </c>
      <c r="C10" s="888">
        <f>SUM(C8:C9)</f>
        <v>1</v>
      </c>
    </row>
    <row r="11" spans="1:3">
      <c r="A11" s="1073"/>
      <c r="B11" s="986"/>
      <c r="C11" s="986"/>
    </row>
    <row r="12" spans="1:3" ht="15">
      <c r="A12" s="1069" t="s">
        <v>2560</v>
      </c>
      <c r="B12" s="1070">
        <f>B4+B5+Report!B166+Report!D166+Report!F166</f>
        <v>1246573.6117500772</v>
      </c>
      <c r="C12" s="1070">
        <f>C4+C5+'Report YE'!B166+'Report YE'!D166+'Report YE'!F166</f>
        <v>1388074.7908109983</v>
      </c>
    </row>
    <row r="13" spans="1:3">
      <c r="A13" s="986"/>
      <c r="B13" s="986"/>
      <c r="C13" s="986"/>
    </row>
    <row r="14" spans="1:3" ht="15">
      <c r="A14" s="1069" t="s">
        <v>2561</v>
      </c>
      <c r="B14" s="1074">
        <v>0.54700000000000004</v>
      </c>
      <c r="C14" s="1074">
        <v>0.54700000000000004</v>
      </c>
    </row>
    <row r="15" spans="1:3" ht="15">
      <c r="A15" s="1069" t="s">
        <v>2562</v>
      </c>
      <c r="B15" s="888">
        <f>Report!H166/(Report!H160+Report!H162+Report!H166)</f>
        <v>0.54700000000000004</v>
      </c>
      <c r="C15" s="888">
        <f>'Report YE'!H166/('Report YE'!H160+'Report YE'!H162+'Report YE'!H166)</f>
        <v>0.54700000000000004</v>
      </c>
    </row>
    <row r="16" spans="1:3">
      <c r="A16" s="986"/>
      <c r="B16" s="986"/>
      <c r="C16" s="986"/>
    </row>
    <row r="17" spans="1:3" ht="15">
      <c r="A17" s="1069" t="s">
        <v>2563</v>
      </c>
      <c r="B17" s="1075">
        <f>(1-(B6/B12)-B14)*B12</f>
        <v>-1696.2127911444588</v>
      </c>
      <c r="C17" s="1075">
        <f>(1-(C6/C12)-C14)*C12</f>
        <v>-28034.837185758392</v>
      </c>
    </row>
    <row r="19" spans="1:3" ht="15">
      <c r="A19" s="1076" t="s">
        <v>493</v>
      </c>
      <c r="B19" s="1077">
        <v>0</v>
      </c>
      <c r="C19" s="1077">
        <v>0</v>
      </c>
    </row>
    <row r="21" spans="1:3" ht="15.75">
      <c r="A21" s="1201" t="s">
        <v>2692</v>
      </c>
      <c r="B21" s="1202"/>
      <c r="C21" s="1203"/>
    </row>
    <row r="22" spans="1:3" ht="15">
      <c r="A22" s="1204" t="s">
        <v>2693</v>
      </c>
      <c r="B22" s="892"/>
      <c r="C22" s="1205"/>
    </row>
    <row r="23" spans="1:3" ht="15">
      <c r="A23" s="1206"/>
      <c r="B23" s="892" t="s">
        <v>2694</v>
      </c>
      <c r="C23" s="1205" t="s">
        <v>2695</v>
      </c>
    </row>
    <row r="24" spans="1:3" ht="15">
      <c r="A24" s="1207" t="str">
        <f>+Report!A160</f>
        <v>LONG TERM DEBT</v>
      </c>
      <c r="B24" s="1070">
        <f>+Report!B160+Report!D160</f>
        <v>479194.85243472212</v>
      </c>
      <c r="C24" s="1208">
        <f>+B24/$B$30</f>
        <v>0.35902122815636744</v>
      </c>
    </row>
    <row r="25" spans="1:3" ht="15">
      <c r="A25" s="1207" t="str">
        <f>+Report!A162</f>
        <v>SHORT TERM DEBT</v>
      </c>
      <c r="B25" s="1070">
        <f>+Report!B162+Report!D162</f>
        <v>127252.04135076923</v>
      </c>
      <c r="C25" s="1208">
        <f t="shared" ref="C25:C30" si="0">+B25/$B$30</f>
        <v>9.5339471905912382E-2</v>
      </c>
    </row>
    <row r="26" spans="1:3" ht="15">
      <c r="A26" s="1207" t="str">
        <f>+Report!A164</f>
        <v>CUSTOMER DEPOSITS</v>
      </c>
      <c r="B26" s="1070">
        <v>0</v>
      </c>
      <c r="C26" s="1208">
        <v>0</v>
      </c>
    </row>
    <row r="27" spans="1:3" ht="15">
      <c r="A27" s="1207" t="str">
        <f>+Report!A166</f>
        <v>COMMON EQUITY</v>
      </c>
      <c r="B27" s="1070">
        <f>+Report!B166+Report!D166</f>
        <v>728278.7849590939</v>
      </c>
      <c r="C27" s="1208">
        <f t="shared" si="0"/>
        <v>0.5456392999377202</v>
      </c>
    </row>
    <row r="28" spans="1:3" ht="15">
      <c r="A28" s="1207" t="str">
        <f>+Report!A168</f>
        <v>DEFERRED INCOME TAX</v>
      </c>
      <c r="B28" s="1070">
        <v>0</v>
      </c>
      <c r="C28" s="1208">
        <v>0</v>
      </c>
    </row>
    <row r="29" spans="1:3" ht="15">
      <c r="A29" s="1207" t="str">
        <f>+Report!A170</f>
        <v>TAX CREDITS - ZERO COST</v>
      </c>
      <c r="B29" s="1070">
        <v>0</v>
      </c>
      <c r="C29" s="1208">
        <v>0</v>
      </c>
    </row>
    <row r="30" spans="1:3" ht="15">
      <c r="A30" s="1209" t="str">
        <f>+Report!A171</f>
        <v>TOTAL</v>
      </c>
      <c r="B30" s="1210">
        <f>SUM(B24:B27)</f>
        <v>1334725.6787445853</v>
      </c>
      <c r="C30" s="1211">
        <f t="shared" si="0"/>
        <v>1</v>
      </c>
    </row>
    <row r="32" spans="1:3" ht="15.75">
      <c r="A32" s="1201" t="s">
        <v>2692</v>
      </c>
      <c r="B32" s="1202"/>
      <c r="C32" s="1203"/>
    </row>
    <row r="33" spans="1:3">
      <c r="A33" s="1204" t="s">
        <v>2696</v>
      </c>
      <c r="C33" s="1212"/>
    </row>
    <row r="34" spans="1:3" ht="15">
      <c r="A34" s="1213"/>
      <c r="B34" s="892" t="s">
        <v>2694</v>
      </c>
      <c r="C34" s="1205" t="s">
        <v>2695</v>
      </c>
    </row>
    <row r="35" spans="1:3" ht="15">
      <c r="A35" s="1207" t="str">
        <f>+Report!A160</f>
        <v>LONG TERM DEBT</v>
      </c>
      <c r="B35" s="1070">
        <f>+Report!B160+Report!D160</f>
        <v>479194.85243472212</v>
      </c>
      <c r="C35" s="1208">
        <f>+B35/$B$41</f>
        <v>0.30128968406378148</v>
      </c>
    </row>
    <row r="36" spans="1:3" ht="15">
      <c r="A36" s="1207" t="str">
        <f>+Report!A162</f>
        <v>SHORT TERM DEBT</v>
      </c>
      <c r="B36" s="1070">
        <f>+Report!B162+Report!D162</f>
        <v>127252.04135076923</v>
      </c>
      <c r="C36" s="1208">
        <f t="shared" ref="C36:C41" si="1">+B36/$B$41</f>
        <v>8.0008637697683349E-2</v>
      </c>
    </row>
    <row r="37" spans="1:3" ht="15">
      <c r="A37" s="1207" t="str">
        <f>+Report!A164</f>
        <v>CUSTOMER DEPOSITS</v>
      </c>
      <c r="B37" s="1070">
        <f>+Report!B164+Report!D164</f>
        <v>26291.87558</v>
      </c>
      <c r="C37" s="1208">
        <f t="shared" si="1"/>
        <v>1.6530792947158267E-2</v>
      </c>
    </row>
    <row r="38" spans="1:3" ht="15">
      <c r="A38" s="1207" t="str">
        <f>+Report!A166</f>
        <v>COMMON EQUITY</v>
      </c>
      <c r="B38" s="1070">
        <f>+Report!B166+Report!D166</f>
        <v>728278.7849590939</v>
      </c>
      <c r="C38" s="1208">
        <f t="shared" si="1"/>
        <v>0.45789908617720543</v>
      </c>
    </row>
    <row r="39" spans="1:3" ht="15">
      <c r="A39" s="1207" t="str">
        <f>+Report!A168</f>
        <v>DEFERRED INCOME TAX</v>
      </c>
      <c r="B39" s="1070">
        <f>+Report!B168+Report!D168</f>
        <v>229461.23662293059</v>
      </c>
      <c r="C39" s="1208">
        <f t="shared" si="1"/>
        <v>0.14427179911417168</v>
      </c>
    </row>
    <row r="40" spans="1:3" ht="15">
      <c r="A40" s="1207" t="str">
        <f>+Report!A170</f>
        <v>TAX CREDITS - ZERO COST</v>
      </c>
      <c r="B40" s="1070">
        <f>+Report!B170+Report!D170</f>
        <v>0</v>
      </c>
      <c r="C40" s="1208">
        <f t="shared" si="1"/>
        <v>0</v>
      </c>
    </row>
    <row r="41" spans="1:3" ht="15">
      <c r="A41" s="1209" t="str">
        <f>+Report!A171</f>
        <v>TOTAL</v>
      </c>
      <c r="B41" s="1210">
        <f>+Report!B171+Report!D171</f>
        <v>1590478.7909475155</v>
      </c>
      <c r="C41" s="1211">
        <f t="shared" si="1"/>
        <v>1</v>
      </c>
    </row>
    <row r="43" spans="1:3" ht="15.75">
      <c r="A43" s="1201" t="s">
        <v>2697</v>
      </c>
      <c r="B43" s="1202"/>
      <c r="C43" s="1203"/>
    </row>
    <row r="44" spans="1:3">
      <c r="A44" s="1206"/>
      <c r="C44" s="1212"/>
    </row>
    <row r="45" spans="1:3" ht="15">
      <c r="A45" s="1206"/>
      <c r="B45" s="892" t="s">
        <v>2694</v>
      </c>
      <c r="C45" s="1205" t="s">
        <v>2695</v>
      </c>
    </row>
    <row r="46" spans="1:3" ht="15">
      <c r="A46" s="1207" t="str">
        <f>+Report!A160</f>
        <v>LONG TERM DEBT</v>
      </c>
      <c r="B46" s="1070">
        <f>+Report!H160</f>
        <v>446206.09622370056</v>
      </c>
      <c r="C46" s="1208">
        <f>+B46/$B$49</f>
        <v>0.35794604668172564</v>
      </c>
    </row>
    <row r="47" spans="1:3" ht="15">
      <c r="A47" s="1207" t="str">
        <f>+Report!A162</f>
        <v>SHORT TERM DEBT</v>
      </c>
      <c r="B47" s="1070">
        <f>+Report!H162</f>
        <v>118491.7498990843</v>
      </c>
      <c r="C47" s="1208">
        <f>+B47/$B$49</f>
        <v>9.5053953318274181E-2</v>
      </c>
    </row>
    <row r="48" spans="1:3" ht="15">
      <c r="A48" s="1207" t="str">
        <f>+Report!A166</f>
        <v>COMMON EQUITY</v>
      </c>
      <c r="B48" s="1070">
        <f>+Report!H166</f>
        <v>681875.76562729245</v>
      </c>
      <c r="C48" s="1208">
        <f>+B48/$B$49</f>
        <v>0.54700000000000004</v>
      </c>
    </row>
    <row r="49" spans="1:3" ht="15">
      <c r="A49" s="1209" t="str">
        <f>+Report!A171</f>
        <v>TOTAL</v>
      </c>
      <c r="B49" s="1210">
        <f>SUM(B46:B48)</f>
        <v>1246573.6117500775</v>
      </c>
      <c r="C49" s="1211">
        <f>+B49/$B$49</f>
        <v>1</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pageSetUpPr fitToPage="1"/>
  </sheetPr>
  <dimension ref="A1:J67"/>
  <sheetViews>
    <sheetView workbookViewId="0"/>
  </sheetViews>
  <sheetFormatPr defaultColWidth="8.42578125" defaultRowHeight="12.75"/>
  <cols>
    <col min="1" max="1" width="33.28515625" customWidth="1"/>
    <col min="2" max="2" width="19.7109375" customWidth="1"/>
    <col min="3" max="3" width="20.42578125" bestFit="1" customWidth="1"/>
    <col min="4" max="4" width="19.85546875" customWidth="1"/>
    <col min="5" max="5" width="30.7109375" bestFit="1" customWidth="1"/>
    <col min="6" max="6" width="10.85546875" customWidth="1"/>
    <col min="7" max="7" width="10.7109375" customWidth="1"/>
    <col min="8" max="8" width="9.85546875" customWidth="1"/>
    <col min="9" max="9" width="8.85546875" bestFit="1" customWidth="1"/>
    <col min="10" max="10" width="20.42578125" bestFit="1" customWidth="1"/>
  </cols>
  <sheetData>
    <row r="1" spans="1:10">
      <c r="A1" s="48"/>
      <c r="B1" s="47"/>
      <c r="C1" s="47"/>
      <c r="D1" s="48"/>
      <c r="E1" s="48"/>
      <c r="F1" s="48"/>
      <c r="G1" s="48"/>
      <c r="H1" s="48"/>
      <c r="I1" s="1"/>
      <c r="J1" s="1"/>
    </row>
    <row r="3" spans="1:10" ht="13.5" thickBot="1"/>
    <row r="4" spans="1:10" ht="15">
      <c r="A4" s="1350" t="s">
        <v>51</v>
      </c>
      <c r="B4" s="1351"/>
      <c r="C4" s="1351"/>
      <c r="D4" s="1351"/>
      <c r="E4" s="1352"/>
    </row>
    <row r="5" spans="1:10" ht="15">
      <c r="A5" s="1353" t="s">
        <v>52</v>
      </c>
      <c r="B5" s="1354"/>
      <c r="C5" s="1354"/>
      <c r="D5" s="1354"/>
      <c r="E5" s="1355"/>
    </row>
    <row r="6" spans="1:10">
      <c r="A6" s="331"/>
      <c r="B6" s="218"/>
      <c r="C6" s="218"/>
      <c r="D6" s="218"/>
      <c r="E6" s="184"/>
    </row>
    <row r="7" spans="1:10">
      <c r="A7" s="331"/>
      <c r="B7" s="332"/>
      <c r="C7" s="333" t="s">
        <v>207</v>
      </c>
      <c r="D7" s="1062" t="s">
        <v>215</v>
      </c>
      <c r="E7" s="1063" t="str">
        <f>Reconcil!E172</f>
        <v>December 2021</v>
      </c>
      <c r="F7" s="1"/>
      <c r="G7" s="1"/>
    </row>
    <row r="8" spans="1:10">
      <c r="A8" s="331"/>
      <c r="B8" s="218"/>
      <c r="C8" s="218"/>
      <c r="D8" s="218"/>
      <c r="E8" s="184"/>
    </row>
    <row r="9" spans="1:10">
      <c r="A9" s="331" t="s">
        <v>53</v>
      </c>
      <c r="B9" s="218"/>
      <c r="C9" s="218"/>
      <c r="D9" s="218"/>
      <c r="E9" s="184"/>
    </row>
    <row r="10" spans="1:10">
      <c r="A10" s="331" t="s">
        <v>54</v>
      </c>
      <c r="B10" s="218"/>
      <c r="C10" s="218"/>
      <c r="D10" s="218"/>
      <c r="E10" s="184"/>
    </row>
    <row r="11" spans="1:10">
      <c r="A11" s="331"/>
      <c r="B11" s="218"/>
      <c r="C11" s="218"/>
      <c r="D11" s="218"/>
      <c r="E11" s="184"/>
    </row>
    <row r="12" spans="1:10">
      <c r="A12" s="334"/>
      <c r="B12" s="335"/>
      <c r="C12" s="335"/>
      <c r="D12" s="335"/>
      <c r="E12" s="336"/>
    </row>
    <row r="13" spans="1:10">
      <c r="A13" s="337"/>
      <c r="B13" s="333"/>
      <c r="C13" s="333"/>
      <c r="D13" s="333"/>
      <c r="E13" s="338" t="s">
        <v>308</v>
      </c>
      <c r="F13" s="1"/>
      <c r="G13" s="1"/>
    </row>
    <row r="14" spans="1:10">
      <c r="A14" s="339" t="s">
        <v>305</v>
      </c>
      <c r="B14" s="333"/>
      <c r="C14" s="340" t="s">
        <v>306</v>
      </c>
      <c r="D14" s="340" t="s">
        <v>307</v>
      </c>
      <c r="E14" s="341" t="s">
        <v>309</v>
      </c>
      <c r="F14" s="1"/>
      <c r="G14" s="1"/>
    </row>
    <row r="15" spans="1:10">
      <c r="A15" s="342"/>
      <c r="B15" s="333"/>
      <c r="C15" s="343"/>
      <c r="D15" s="343"/>
      <c r="E15" s="338"/>
      <c r="F15" s="1"/>
      <c r="G15" s="1"/>
    </row>
    <row r="16" spans="1:10">
      <c r="A16" s="337"/>
      <c r="B16" s="333"/>
      <c r="C16" s="344"/>
      <c r="D16" s="345"/>
      <c r="E16" s="346"/>
      <c r="F16" s="1"/>
      <c r="G16" s="1"/>
    </row>
    <row r="17" spans="1:7">
      <c r="A17" s="337" t="s">
        <v>55</v>
      </c>
      <c r="B17" s="333"/>
      <c r="C17" s="347">
        <f>+Report!H160</f>
        <v>446206.09622370056</v>
      </c>
      <c r="D17" s="1320">
        <f>+'Debt &amp; Cust Dep'!DR33</f>
        <v>4.07E-2</v>
      </c>
      <c r="E17" s="346">
        <f>(C17*D17)</f>
        <v>18160.588116304614</v>
      </c>
      <c r="F17" s="2"/>
      <c r="G17" s="2"/>
    </row>
    <row r="18" spans="1:7">
      <c r="A18" s="337" t="s">
        <v>56</v>
      </c>
      <c r="B18" s="333"/>
      <c r="C18" s="348"/>
      <c r="D18" s="349" t="s">
        <v>7</v>
      </c>
      <c r="E18" s="346"/>
      <c r="F18" s="2"/>
      <c r="G18" s="2"/>
    </row>
    <row r="19" spans="1:7">
      <c r="A19" s="337" t="s">
        <v>57</v>
      </c>
      <c r="B19" s="333"/>
      <c r="C19" s="347">
        <f>+Report!H162</f>
        <v>118491.7498990843</v>
      </c>
      <c r="D19" s="1320">
        <f>+'Debt &amp; Cust Dep'!DR42</f>
        <v>6.205005066866524E-3</v>
      </c>
      <c r="E19" s="346">
        <f>(C19*D19)</f>
        <v>735.24190850569903</v>
      </c>
      <c r="F19" s="2"/>
      <c r="G19" s="2"/>
    </row>
    <row r="20" spans="1:7">
      <c r="A20" s="337"/>
      <c r="B20" s="333"/>
      <c r="C20" s="348"/>
      <c r="D20" s="345"/>
      <c r="E20" s="346"/>
      <c r="F20" s="2"/>
      <c r="G20" s="2"/>
    </row>
    <row r="21" spans="1:7">
      <c r="A21" s="334" t="s">
        <v>2364</v>
      </c>
      <c r="B21" s="333"/>
      <c r="C21" s="347">
        <f>+Report!H164</f>
        <v>24832.410710402</v>
      </c>
      <c r="D21" s="1320">
        <f>+'Debt &amp; Cust Dep'!DR90</f>
        <v>2.4899999999999999E-2</v>
      </c>
      <c r="E21" s="346">
        <f>(C21*D21)</f>
        <v>618.32702668900981</v>
      </c>
      <c r="F21" s="2"/>
      <c r="G21" s="2"/>
    </row>
    <row r="22" spans="1:7">
      <c r="A22" s="337"/>
      <c r="B22" s="333"/>
      <c r="C22" s="18"/>
      <c r="D22" s="345"/>
      <c r="E22" s="350"/>
      <c r="F22" s="2"/>
      <c r="G22" s="2"/>
    </row>
    <row r="23" spans="1:7">
      <c r="A23" s="337" t="s">
        <v>58</v>
      </c>
      <c r="B23" s="333"/>
      <c r="C23" s="344">
        <f>SUM(C17:C21)</f>
        <v>589530.25683318684</v>
      </c>
      <c r="D23" s="345"/>
      <c r="E23" s="346">
        <f>SUM(E17:E21)</f>
        <v>19514.157051499322</v>
      </c>
      <c r="F23" s="2"/>
      <c r="G23" s="2"/>
    </row>
    <row r="24" spans="1:7">
      <c r="A24" s="337"/>
      <c r="B24" s="333"/>
      <c r="C24" s="344"/>
      <c r="D24" s="345"/>
      <c r="E24" s="351"/>
      <c r="F24" s="1"/>
      <c r="G24" s="1"/>
    </row>
    <row r="25" spans="1:7">
      <c r="A25" s="337" t="s">
        <v>59</v>
      </c>
      <c r="B25" s="333"/>
      <c r="C25" s="344"/>
      <c r="D25" s="345"/>
      <c r="E25" s="352">
        <f>+IncomeStmt!B43</f>
        <v>19902.551169999999</v>
      </c>
      <c r="F25" s="2"/>
      <c r="G25" s="1"/>
    </row>
    <row r="26" spans="1:7">
      <c r="A26" s="337"/>
      <c r="B26" s="333"/>
      <c r="C26" s="344"/>
      <c r="D26" s="345"/>
      <c r="E26" s="350"/>
      <c r="F26" s="1"/>
      <c r="G26" s="1"/>
    </row>
    <row r="27" spans="1:7">
      <c r="A27" s="337"/>
      <c r="B27" s="333"/>
      <c r="C27" s="344"/>
      <c r="D27" s="345"/>
      <c r="E27" s="346"/>
      <c r="F27" s="1"/>
      <c r="G27" s="1"/>
    </row>
    <row r="28" spans="1:7" ht="13.5" thickBot="1">
      <c r="A28" s="337" t="s">
        <v>310</v>
      </c>
      <c r="B28" s="333"/>
      <c r="C28" s="344"/>
      <c r="D28" s="345"/>
      <c r="E28" s="353">
        <f>E23-E25</f>
        <v>-388.394118500677</v>
      </c>
      <c r="F28" s="1"/>
      <c r="G28" s="1"/>
    </row>
    <row r="29" spans="1:7" ht="13.5" thickTop="1">
      <c r="A29" s="337"/>
      <c r="B29" s="333"/>
      <c r="C29" s="344"/>
      <c r="D29" s="345"/>
      <c r="E29" s="346"/>
      <c r="F29" s="1"/>
      <c r="G29" s="1"/>
    </row>
    <row r="30" spans="1:7">
      <c r="A30" s="337"/>
      <c r="B30" s="333"/>
      <c r="C30" s="344"/>
      <c r="D30" s="345"/>
      <c r="E30" s="346"/>
      <c r="F30" s="1"/>
      <c r="G30" s="1"/>
    </row>
    <row r="31" spans="1:7" ht="13.5" thickBot="1">
      <c r="A31" s="337" t="s">
        <v>311</v>
      </c>
      <c r="B31" s="821">
        <f>+'Input Tax Rate'!$B$36</f>
        <v>0.23792650000000001</v>
      </c>
      <c r="C31" s="344"/>
      <c r="D31" s="345"/>
      <c r="E31" s="353">
        <f>(E28*B31)</f>
        <v>-92.409253235451331</v>
      </c>
      <c r="F31" s="1"/>
      <c r="G31" s="1"/>
    </row>
    <row r="32" spans="1:7" ht="13.5" thickTop="1">
      <c r="A32" s="334"/>
      <c r="B32" s="335"/>
      <c r="C32" s="335"/>
      <c r="D32" s="335"/>
      <c r="E32" s="354"/>
    </row>
    <row r="33" spans="1:5">
      <c r="A33" s="334"/>
      <c r="B33" s="335"/>
      <c r="C33" s="335"/>
      <c r="D33" s="335"/>
      <c r="E33" s="336"/>
    </row>
    <row r="34" spans="1:5" ht="13.5" thickBot="1">
      <c r="A34" s="355"/>
      <c r="B34" s="356"/>
      <c r="C34" s="356"/>
      <c r="D34" s="356"/>
      <c r="E34" s="357"/>
    </row>
    <row r="36" spans="1:5" ht="13.5" thickBot="1"/>
    <row r="37" spans="1:5" ht="15">
      <c r="A37" s="1350" t="s">
        <v>51</v>
      </c>
      <c r="B37" s="1351"/>
      <c r="C37" s="1351"/>
      <c r="D37" s="1351"/>
      <c r="E37" s="1352"/>
    </row>
    <row r="38" spans="1:5" ht="15">
      <c r="A38" s="1353" t="s">
        <v>52</v>
      </c>
      <c r="B38" s="1354"/>
      <c r="C38" s="1354"/>
      <c r="D38" s="1354"/>
      <c r="E38" s="1355"/>
    </row>
    <row r="39" spans="1:5">
      <c r="A39" s="331"/>
      <c r="B39" s="218"/>
      <c r="C39" s="218"/>
      <c r="D39" s="218"/>
      <c r="E39" s="184"/>
    </row>
    <row r="40" spans="1:5">
      <c r="A40" s="331"/>
      <c r="B40" s="332"/>
      <c r="C40" s="333" t="s">
        <v>207</v>
      </c>
      <c r="D40" s="1062" t="s">
        <v>2553</v>
      </c>
      <c r="E40" s="1063" t="str">
        <f>Reconcil!E172</f>
        <v>December 2021</v>
      </c>
    </row>
    <row r="41" spans="1:5">
      <c r="A41" s="331"/>
      <c r="B41" s="218"/>
      <c r="C41" s="218"/>
      <c r="D41" s="218"/>
      <c r="E41" s="184"/>
    </row>
    <row r="42" spans="1:5">
      <c r="A42" s="331" t="s">
        <v>53</v>
      </c>
      <c r="B42" s="218"/>
      <c r="C42" s="218"/>
      <c r="D42" s="218"/>
      <c r="E42" s="184"/>
    </row>
    <row r="43" spans="1:5">
      <c r="A43" s="331" t="s">
        <v>2554</v>
      </c>
      <c r="B43" s="218"/>
      <c r="C43" s="218"/>
      <c r="D43" s="218"/>
      <c r="E43" s="184"/>
    </row>
    <row r="44" spans="1:5">
      <c r="A44" s="331"/>
      <c r="B44" s="218"/>
      <c r="C44" s="218"/>
      <c r="D44" s="218"/>
      <c r="E44" s="184"/>
    </row>
    <row r="45" spans="1:5">
      <c r="A45" s="334"/>
      <c r="B45" s="335"/>
      <c r="C45" s="335"/>
      <c r="D45" s="335"/>
      <c r="E45" s="336"/>
    </row>
    <row r="46" spans="1:5">
      <c r="A46" s="337"/>
      <c r="B46" s="333"/>
      <c r="C46" s="333"/>
      <c r="D46" s="333"/>
      <c r="E46" s="338" t="s">
        <v>308</v>
      </c>
    </row>
    <row r="47" spans="1:5">
      <c r="A47" s="339" t="s">
        <v>305</v>
      </c>
      <c r="B47" s="333"/>
      <c r="C47" s="340" t="s">
        <v>306</v>
      </c>
      <c r="D47" s="340" t="s">
        <v>307</v>
      </c>
      <c r="E47" s="341" t="s">
        <v>309</v>
      </c>
    </row>
    <row r="48" spans="1:5">
      <c r="A48" s="342"/>
      <c r="B48" s="333"/>
      <c r="C48" s="343"/>
      <c r="D48" s="343"/>
      <c r="E48" s="338"/>
    </row>
    <row r="49" spans="1:5">
      <c r="A49" s="337"/>
      <c r="B49" s="333"/>
      <c r="C49" s="344"/>
      <c r="D49" s="345"/>
      <c r="E49" s="346"/>
    </row>
    <row r="50" spans="1:5">
      <c r="A50" s="337" t="s">
        <v>55</v>
      </c>
      <c r="B50" s="333"/>
      <c r="C50" s="347">
        <f>+'Report YE'!H160</f>
        <v>459334.86658481992</v>
      </c>
      <c r="D50" s="1082">
        <f>+'Debt &amp; Cust Dep'!DR35</f>
        <v>3.7900000000000003E-2</v>
      </c>
      <c r="E50" s="346">
        <f>(C50*D50)</f>
        <v>17408.791443564678</v>
      </c>
    </row>
    <row r="51" spans="1:5">
      <c r="A51" s="337" t="s">
        <v>56</v>
      </c>
      <c r="B51" s="333"/>
      <c r="C51" s="348"/>
      <c r="D51" s="349" t="s">
        <v>7</v>
      </c>
      <c r="E51" s="346"/>
    </row>
    <row r="52" spans="1:5">
      <c r="A52" s="337" t="s">
        <v>57</v>
      </c>
      <c r="B52" s="333"/>
      <c r="C52" s="347">
        <f>+'Report YE'!H162</f>
        <v>169463.01365256219</v>
      </c>
      <c r="D52" s="1082">
        <f>+'Debt &amp; Cust Dep'!DR44</f>
        <v>4.2013965045351338E-3</v>
      </c>
      <c r="E52" s="346">
        <f>(C52*D52)</f>
        <v>711.98131320786445</v>
      </c>
    </row>
    <row r="53" spans="1:5">
      <c r="A53" s="337"/>
      <c r="B53" s="333"/>
      <c r="C53" s="348"/>
      <c r="D53" s="345"/>
      <c r="E53" s="346"/>
    </row>
    <row r="54" spans="1:5">
      <c r="A54" s="334" t="s">
        <v>2364</v>
      </c>
      <c r="B54" s="333"/>
      <c r="C54" s="347">
        <f>+'Report YE'!H164</f>
        <v>25886.146970270005</v>
      </c>
      <c r="D54" s="1082">
        <f>+'Debt &amp; Cust Dep'!DR92</f>
        <v>2.4199999999999999E-2</v>
      </c>
      <c r="E54" s="346">
        <f>(C54*D54)</f>
        <v>626.44475668053406</v>
      </c>
    </row>
    <row r="55" spans="1:5">
      <c r="A55" s="337"/>
      <c r="B55" s="333"/>
      <c r="C55" s="18"/>
      <c r="D55" s="345"/>
      <c r="E55" s="350"/>
    </row>
    <row r="56" spans="1:5">
      <c r="A56" s="337" t="s">
        <v>58</v>
      </c>
      <c r="B56" s="333"/>
      <c r="C56" s="344">
        <f>SUM(C50:C54)</f>
        <v>654684.02720765211</v>
      </c>
      <c r="D56" s="345"/>
      <c r="E56" s="346">
        <f>SUM(E50:E54)</f>
        <v>18747.217513453077</v>
      </c>
    </row>
    <row r="57" spans="1:5">
      <c r="A57" s="337"/>
      <c r="B57" s="333"/>
      <c r="C57" s="344"/>
      <c r="D57" s="345"/>
      <c r="E57" s="351"/>
    </row>
    <row r="58" spans="1:5">
      <c r="A58" s="337" t="s">
        <v>59</v>
      </c>
      <c r="B58" s="333"/>
      <c r="C58" s="344"/>
      <c r="D58" s="345"/>
      <c r="E58" s="352">
        <f>+IncomeStmt!B43</f>
        <v>19902.551169999999</v>
      </c>
    </row>
    <row r="59" spans="1:5">
      <c r="A59" s="337"/>
      <c r="B59" s="333"/>
      <c r="C59" s="344"/>
      <c r="D59" s="345"/>
      <c r="E59" s="350"/>
    </row>
    <row r="60" spans="1:5">
      <c r="A60" s="337"/>
      <c r="B60" s="333"/>
      <c r="C60" s="344"/>
      <c r="D60" s="345"/>
      <c r="E60" s="346"/>
    </row>
    <row r="61" spans="1:5" ht="13.5" thickBot="1">
      <c r="A61" s="337" t="s">
        <v>310</v>
      </c>
      <c r="B61" s="333"/>
      <c r="C61" s="344"/>
      <c r="D61" s="345"/>
      <c r="E61" s="353">
        <f>E56-E58</f>
        <v>-1155.3336565469217</v>
      </c>
    </row>
    <row r="62" spans="1:5" ht="13.5" thickTop="1">
      <c r="A62" s="337"/>
      <c r="B62" s="333"/>
      <c r="C62" s="344"/>
      <c r="D62" s="345"/>
      <c r="E62" s="346"/>
    </row>
    <row r="63" spans="1:5">
      <c r="A63" s="337"/>
      <c r="B63" s="333"/>
      <c r="C63" s="344"/>
      <c r="D63" s="345"/>
      <c r="E63" s="346"/>
    </row>
    <row r="64" spans="1:5" ht="13.5" thickBot="1">
      <c r="A64" s="337" t="s">
        <v>311</v>
      </c>
      <c r="B64" s="821">
        <f>+'Input Tax Rate'!$B$36</f>
        <v>0.23792650000000001</v>
      </c>
      <c r="C64" s="344"/>
      <c r="D64" s="345"/>
      <c r="E64" s="353">
        <f>(E61*B64)</f>
        <v>-274.8844932344112</v>
      </c>
    </row>
    <row r="65" spans="1:5" ht="13.5" thickTop="1">
      <c r="A65" s="334"/>
      <c r="B65" s="335"/>
      <c r="C65" s="335"/>
      <c r="D65" s="335"/>
      <c r="E65" s="354"/>
    </row>
    <row r="66" spans="1:5">
      <c r="A66" s="334"/>
      <c r="B66" s="335"/>
      <c r="C66" s="335"/>
      <c r="D66" s="335"/>
      <c r="E66" s="336"/>
    </row>
    <row r="67" spans="1:5" ht="13.5" thickBot="1">
      <c r="A67" s="355"/>
      <c r="B67" s="356"/>
      <c r="C67" s="356"/>
      <c r="D67" s="356"/>
      <c r="E67" s="357"/>
    </row>
  </sheetData>
  <mergeCells count="4">
    <mergeCell ref="A4:E4"/>
    <mergeCell ref="A5:E5"/>
    <mergeCell ref="A37:E37"/>
    <mergeCell ref="A38:E38"/>
  </mergeCells>
  <phoneticPr fontId="0" type="noConversion"/>
  <printOptions horizontalCentered="1"/>
  <pageMargins left="0.25" right="0.25" top="0.5" bottom="0.5" header="0.5" footer="0.5"/>
  <pageSetup scale="83" orientation="portrait" r:id="rId1"/>
  <headerFooter alignWithMargins="0">
    <oddFooter>&amp;R&amp;F</oddFooter>
  </headerFooter>
  <customProperties>
    <customPr name="_pios_id" r:id="rId2"/>
  </customProperties>
  <ignoredErrors>
    <ignoredError sqref="C18:D18 E25 C21 C17 C20:D20 C19" unlockedFormula="1"/>
  </ignoredErrors>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workbookViewId="0"/>
  </sheetViews>
  <sheetFormatPr defaultRowHeight="12.75"/>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BD371"/>
  <sheetViews>
    <sheetView tabSelected="1" workbookViewId="0"/>
  </sheetViews>
  <sheetFormatPr defaultColWidth="13.5703125" defaultRowHeight="12.75"/>
  <cols>
    <col min="1" max="1" width="31.140625" style="675" customWidth="1"/>
    <col min="2" max="2" width="14.140625" style="675" customWidth="1"/>
    <col min="3" max="3" width="2.28515625" style="675" customWidth="1"/>
    <col min="4" max="4" width="9.7109375" style="675" customWidth="1"/>
    <col min="5" max="5" width="2.28515625" style="675" customWidth="1"/>
    <col min="6" max="6" width="10.7109375" style="675" customWidth="1"/>
    <col min="7" max="7" width="2.28515625" style="675" customWidth="1"/>
    <col min="8" max="8" width="9.7109375" style="675" customWidth="1"/>
    <col min="9" max="9" width="2.28515625" style="675" customWidth="1"/>
    <col min="10" max="10" width="11" style="675" customWidth="1"/>
    <col min="11" max="11" width="2.28515625" style="675" customWidth="1"/>
    <col min="12" max="12" width="9.7109375" style="675" customWidth="1"/>
    <col min="13" max="13" width="4.28515625" style="675" customWidth="1"/>
    <col min="14" max="14" width="12.28515625" style="675" customWidth="1"/>
    <col min="15" max="15" width="2.28515625" style="675" customWidth="1"/>
    <col min="16" max="16" width="9.7109375" style="675" customWidth="1"/>
    <col min="17" max="17" width="2.28515625" style="675" customWidth="1"/>
    <col min="18" max="18" width="9.7109375" style="675" customWidth="1"/>
    <col min="19" max="19" width="2.28515625" style="675" customWidth="1"/>
    <col min="20" max="20" width="9.7109375" style="675" customWidth="1"/>
    <col min="21" max="21" width="2.28515625" style="675" customWidth="1"/>
    <col min="22" max="22" width="12.7109375" style="675" bestFit="1" customWidth="1"/>
    <col min="23" max="23" width="13.28515625" style="675" bestFit="1" customWidth="1"/>
    <col min="24" max="24" width="14" style="675" customWidth="1"/>
    <col min="25" max="26" width="13.5703125" style="675" customWidth="1"/>
    <col min="27" max="27" width="3" style="675" bestFit="1" customWidth="1"/>
    <col min="28" max="28" width="14" style="675" customWidth="1"/>
    <col min="29" max="30" width="13.5703125" style="675" customWidth="1"/>
    <col min="31" max="31" width="2.85546875" style="675" customWidth="1"/>
    <col min="32" max="32" width="19.28515625" style="675" bestFit="1" customWidth="1"/>
    <col min="33" max="33" width="8.85546875" style="675" bestFit="1" customWidth="1"/>
    <col min="34" max="34" width="13.5703125" style="675"/>
    <col min="35" max="35" width="31.140625" style="675" customWidth="1"/>
    <col min="36" max="36" width="14.140625" style="675" customWidth="1"/>
    <col min="37" max="37" width="2.28515625" style="675" customWidth="1"/>
    <col min="38" max="38" width="9.7109375" style="675" customWidth="1"/>
    <col min="39" max="39" width="2.28515625" style="675" customWidth="1"/>
    <col min="40" max="40" width="9.7109375" style="675" customWidth="1"/>
    <col min="41" max="41" width="2.28515625" style="675" customWidth="1"/>
    <col min="42" max="42" width="9.7109375" style="675" customWidth="1"/>
    <col min="43" max="43" width="2.28515625" style="675" customWidth="1"/>
    <col min="44" max="44" width="11" style="675" customWidth="1"/>
    <col min="45" max="45" width="2.28515625" style="675" customWidth="1"/>
    <col min="46" max="46" width="9.7109375" style="675" customWidth="1"/>
    <col min="47" max="47" width="4.28515625" style="675" customWidth="1"/>
    <col min="48" max="48" width="12.28515625" style="675" customWidth="1"/>
    <col min="49" max="49" width="2.28515625" style="675" customWidth="1"/>
    <col min="50" max="50" width="9.7109375" style="675" customWidth="1"/>
    <col min="51" max="51" width="2.28515625" style="675" customWidth="1"/>
    <col min="52" max="52" width="9.7109375" style="675" customWidth="1"/>
    <col min="53" max="53" width="2.28515625" style="675" customWidth="1"/>
    <col min="54" max="54" width="9.7109375" style="675" customWidth="1"/>
    <col min="55" max="55" width="2.28515625" style="675" customWidth="1"/>
    <col min="56" max="56" width="9.7109375" style="675" customWidth="1"/>
    <col min="57" max="16384" width="13.5703125" style="675"/>
  </cols>
  <sheetData>
    <row r="1" spans="1:56">
      <c r="A1" s="671" t="s">
        <v>208</v>
      </c>
      <c r="B1" s="672"/>
      <c r="C1" s="672"/>
      <c r="D1" s="672"/>
      <c r="E1" s="672"/>
      <c r="F1" s="672"/>
      <c r="G1" s="672"/>
      <c r="H1" s="672"/>
      <c r="I1" s="672"/>
      <c r="J1" s="672"/>
      <c r="K1" s="673"/>
      <c r="L1" s="673"/>
      <c r="M1" s="672"/>
      <c r="N1" s="672" t="s">
        <v>92</v>
      </c>
      <c r="O1" s="673"/>
      <c r="P1" s="674"/>
      <c r="Q1" s="674"/>
      <c r="R1" s="674"/>
      <c r="S1" s="674"/>
      <c r="T1" s="674"/>
      <c r="U1" s="674"/>
      <c r="V1" s="674"/>
      <c r="W1" s="674"/>
      <c r="X1" s="674"/>
      <c r="Y1" s="674"/>
      <c r="Z1" s="674"/>
      <c r="AA1" s="674"/>
      <c r="AB1" s="674"/>
      <c r="AC1" s="674"/>
      <c r="AD1" s="674"/>
      <c r="AE1" s="674"/>
      <c r="AF1" s="674"/>
      <c r="AG1" s="674"/>
      <c r="AI1" s="671"/>
      <c r="AJ1" s="672"/>
      <c r="AK1" s="672"/>
      <c r="AL1" s="672"/>
      <c r="AM1" s="672"/>
      <c r="AN1" s="672"/>
      <c r="AO1" s="672"/>
      <c r="AP1" s="672"/>
      <c r="AQ1" s="672"/>
      <c r="AR1" s="672"/>
      <c r="AS1" s="673"/>
      <c r="AT1" s="673"/>
      <c r="AU1" s="672"/>
      <c r="AV1" s="672" t="s">
        <v>92</v>
      </c>
      <c r="AW1" s="673"/>
      <c r="AX1" s="674"/>
      <c r="AY1" s="674"/>
      <c r="AZ1" s="674"/>
      <c r="BA1" s="674"/>
      <c r="BB1" s="674"/>
      <c r="BC1" s="674"/>
      <c r="BD1" s="674"/>
    </row>
    <row r="2" spans="1:56" ht="12.95" customHeight="1">
      <c r="A2" s="671" t="s">
        <v>93</v>
      </c>
      <c r="B2" s="672"/>
      <c r="C2" s="672"/>
      <c r="D2" s="672"/>
      <c r="E2" s="672"/>
      <c r="F2" s="672"/>
      <c r="G2" s="672"/>
      <c r="H2" s="672"/>
      <c r="I2" s="672"/>
      <c r="J2" s="672"/>
      <c r="K2" s="672"/>
      <c r="L2" s="672"/>
      <c r="M2" s="672"/>
      <c r="N2" s="673"/>
      <c r="O2" s="673"/>
      <c r="P2" s="674"/>
      <c r="Q2" s="674"/>
      <c r="R2" s="674"/>
      <c r="S2" s="674"/>
      <c r="T2" s="674"/>
      <c r="U2" s="674"/>
      <c r="V2" s="674"/>
      <c r="W2" s="674"/>
      <c r="X2" s="674"/>
      <c r="Y2" s="674"/>
      <c r="Z2" s="674"/>
      <c r="AA2" s="674"/>
      <c r="AB2" s="674"/>
      <c r="AC2" s="674"/>
      <c r="AD2" s="674"/>
      <c r="AE2" s="674"/>
      <c r="AF2" s="674"/>
      <c r="AG2" s="674"/>
      <c r="AI2" s="674"/>
      <c r="AJ2" s="714"/>
      <c r="AK2" s="714"/>
      <c r="AL2" s="714"/>
      <c r="AM2" s="714"/>
      <c r="AN2" s="714"/>
      <c r="AO2" s="714"/>
      <c r="AP2" s="714"/>
      <c r="AQ2" s="714"/>
      <c r="AR2" s="714"/>
      <c r="AS2" s="714"/>
      <c r="AT2" s="714"/>
      <c r="AU2" s="714"/>
      <c r="AV2" s="714"/>
      <c r="AW2" s="714"/>
      <c r="AX2" s="714"/>
      <c r="AY2" s="714"/>
      <c r="AZ2" s="714"/>
      <c r="BA2" s="714"/>
      <c r="BB2" s="714"/>
      <c r="BC2" s="714"/>
      <c r="BD2" s="714"/>
    </row>
    <row r="3" spans="1:56">
      <c r="A3" s="1067" t="str">
        <f>+Input!A2</f>
        <v>December 2021</v>
      </c>
      <c r="B3" s="672"/>
      <c r="C3" s="672"/>
      <c r="D3" s="672"/>
      <c r="E3" s="672"/>
      <c r="F3" s="672"/>
      <c r="G3" s="672"/>
      <c r="H3" s="672"/>
      <c r="I3" s="672"/>
      <c r="J3" s="672"/>
      <c r="K3" s="672"/>
      <c r="L3" s="672"/>
      <c r="M3" s="672"/>
      <c r="N3" s="673"/>
      <c r="O3" s="673"/>
      <c r="P3" s="674"/>
      <c r="Q3" s="674"/>
      <c r="R3" s="674"/>
      <c r="S3" s="674"/>
      <c r="T3" s="674"/>
      <c r="U3" s="674"/>
      <c r="V3" s="674"/>
      <c r="W3" s="674"/>
      <c r="X3" s="674"/>
      <c r="Y3" s="674"/>
      <c r="Z3" s="674"/>
      <c r="AA3" s="674"/>
      <c r="AB3" s="674"/>
      <c r="AC3" s="674"/>
      <c r="AD3" s="674"/>
      <c r="AE3" s="674"/>
      <c r="AF3" s="674"/>
      <c r="AG3" s="674"/>
      <c r="AI3" s="674"/>
      <c r="AJ3" s="714"/>
      <c r="AK3" s="714"/>
      <c r="AL3" s="714"/>
      <c r="AM3" s="714"/>
      <c r="AN3" s="714"/>
      <c r="AO3" s="714"/>
      <c r="AP3" s="714"/>
      <c r="AQ3" s="714"/>
      <c r="AR3" s="714"/>
      <c r="AS3" s="714"/>
      <c r="AT3" s="714"/>
      <c r="AU3" s="714"/>
      <c r="AV3" s="714"/>
      <c r="AW3" s="714"/>
      <c r="AX3" s="714"/>
      <c r="AY3" s="714"/>
      <c r="AZ3" s="714"/>
      <c r="BA3" s="714"/>
      <c r="BB3" s="714"/>
      <c r="BC3" s="714"/>
      <c r="BD3" s="714"/>
    </row>
    <row r="4" spans="1:56">
      <c r="A4" s="261" t="s">
        <v>1858</v>
      </c>
      <c r="B4" s="672"/>
      <c r="C4" s="672"/>
      <c r="D4" s="672"/>
      <c r="E4" s="672"/>
      <c r="F4" s="672"/>
      <c r="G4" s="672"/>
      <c r="H4" s="672"/>
      <c r="I4" s="672"/>
      <c r="J4" s="672"/>
      <c r="K4" s="672"/>
      <c r="L4" s="672"/>
      <c r="M4" s="672"/>
      <c r="N4" s="673"/>
      <c r="O4" s="673"/>
      <c r="P4" s="674"/>
      <c r="Q4" s="674"/>
      <c r="R4" s="674"/>
      <c r="S4" s="674"/>
      <c r="T4" s="674"/>
      <c r="U4" s="674"/>
      <c r="V4" s="674"/>
      <c r="W4" s="674"/>
      <c r="X4" s="674"/>
      <c r="Y4" s="674"/>
      <c r="Z4" s="674"/>
      <c r="AA4" s="674"/>
      <c r="AB4" s="674"/>
      <c r="AC4" s="674"/>
      <c r="AD4" s="674"/>
      <c r="AE4" s="674"/>
      <c r="AF4" s="674"/>
      <c r="AG4" s="674"/>
      <c r="AI4" s="674"/>
      <c r="AJ4" s="714"/>
      <c r="AK4" s="714"/>
      <c r="AL4" s="714"/>
      <c r="AM4" s="714"/>
      <c r="AN4" s="714"/>
      <c r="AO4" s="714"/>
      <c r="AP4" s="714"/>
      <c r="AQ4" s="714"/>
      <c r="AR4" s="714"/>
      <c r="AS4" s="714"/>
      <c r="AT4" s="714"/>
      <c r="AU4" s="714"/>
      <c r="AV4" s="714"/>
      <c r="AW4" s="714"/>
      <c r="AX4" s="714"/>
      <c r="AY4" s="714"/>
      <c r="AZ4" s="714"/>
      <c r="BA4" s="714"/>
      <c r="BB4" s="714"/>
      <c r="BC4" s="714"/>
      <c r="BD4" s="714"/>
    </row>
    <row r="5" spans="1:56">
      <c r="P5" s="676"/>
      <c r="AI5" s="674"/>
      <c r="AJ5" s="714"/>
      <c r="AK5" s="714"/>
      <c r="AL5" s="714"/>
      <c r="AM5" s="714"/>
      <c r="AN5" s="714"/>
      <c r="AO5" s="714"/>
      <c r="AP5" s="714"/>
      <c r="AQ5" s="714"/>
      <c r="AR5" s="714"/>
      <c r="AS5" s="714"/>
      <c r="AT5" s="714"/>
      <c r="AU5" s="714"/>
      <c r="AV5" s="714"/>
      <c r="AW5" s="714"/>
      <c r="AX5" s="714"/>
      <c r="AY5" s="714"/>
      <c r="AZ5" s="714"/>
      <c r="BA5" s="714"/>
      <c r="BB5" s="714"/>
      <c r="BC5" s="714"/>
      <c r="BD5" s="714"/>
    </row>
    <row r="6" spans="1:56">
      <c r="A6" s="677"/>
      <c r="P6" s="676"/>
      <c r="AI6" s="674"/>
      <c r="AJ6" s="714"/>
      <c r="AK6" s="714"/>
      <c r="AL6" s="714"/>
      <c r="AM6" s="714"/>
      <c r="AN6" s="714"/>
      <c r="AO6" s="714"/>
      <c r="AP6" s="714"/>
      <c r="AQ6" s="714"/>
      <c r="AR6" s="714"/>
      <c r="AS6" s="714"/>
      <c r="AT6" s="714"/>
      <c r="AU6" s="714"/>
      <c r="AV6" s="714"/>
      <c r="AW6" s="714"/>
      <c r="AX6" s="714"/>
      <c r="AY6" s="714"/>
      <c r="AZ6" s="714"/>
      <c r="BA6" s="714"/>
      <c r="BB6" s="714"/>
      <c r="BC6" s="714"/>
      <c r="BD6" s="714"/>
    </row>
    <row r="7" spans="1:56">
      <c r="A7" s="678"/>
      <c r="B7" s="678"/>
      <c r="C7" s="678"/>
      <c r="D7" s="674"/>
      <c r="E7" s="678"/>
      <c r="F7" s="679" t="s">
        <v>94</v>
      </c>
      <c r="G7" s="678"/>
      <c r="H7" s="679" t="s">
        <v>95</v>
      </c>
      <c r="I7" s="678"/>
      <c r="J7" s="679" t="s">
        <v>96</v>
      </c>
      <c r="K7" s="678"/>
      <c r="L7" s="679" t="s">
        <v>97</v>
      </c>
      <c r="M7" s="678"/>
      <c r="N7" s="679" t="s">
        <v>98</v>
      </c>
      <c r="O7" s="674"/>
      <c r="P7" s="674"/>
      <c r="Q7" s="674"/>
      <c r="R7" s="674"/>
      <c r="S7" s="674"/>
      <c r="T7" s="674"/>
      <c r="U7" s="674"/>
      <c r="V7" s="674"/>
      <c r="W7" s="674"/>
      <c r="X7" s="674"/>
      <c r="Y7" s="674"/>
      <c r="Z7" s="674"/>
      <c r="AA7" s="674"/>
      <c r="AB7" s="674"/>
      <c r="AC7" s="674"/>
      <c r="AD7" s="674"/>
      <c r="AE7" s="674"/>
      <c r="AF7" s="674"/>
      <c r="AG7" s="674"/>
      <c r="AI7" s="674"/>
      <c r="AJ7" s="714"/>
      <c r="AK7" s="714"/>
      <c r="AL7" s="714"/>
      <c r="AM7" s="714"/>
      <c r="AN7" s="714"/>
      <c r="AO7" s="714"/>
      <c r="AP7" s="714"/>
      <c r="AQ7" s="714"/>
      <c r="AR7" s="714"/>
      <c r="AS7" s="714"/>
      <c r="AT7" s="714"/>
      <c r="AU7" s="714"/>
      <c r="AV7" s="714"/>
      <c r="AW7" s="714"/>
      <c r="AX7" s="714"/>
      <c r="AY7" s="714"/>
      <c r="AZ7" s="714"/>
      <c r="BA7" s="714"/>
      <c r="BB7" s="714"/>
      <c r="BC7" s="714"/>
      <c r="BD7" s="714"/>
    </row>
    <row r="8" spans="1:56">
      <c r="A8" s="678"/>
      <c r="B8" s="678"/>
      <c r="C8" s="678"/>
      <c r="D8" s="674"/>
      <c r="E8" s="678"/>
      <c r="F8" s="679" t="s">
        <v>214</v>
      </c>
      <c r="G8" s="678"/>
      <c r="H8" s="679" t="s">
        <v>99</v>
      </c>
      <c r="I8" s="678"/>
      <c r="J8" s="679" t="s">
        <v>99</v>
      </c>
      <c r="K8" s="678"/>
      <c r="L8" s="679" t="s">
        <v>327</v>
      </c>
      <c r="M8" s="678"/>
      <c r="N8" s="679" t="s">
        <v>327</v>
      </c>
      <c r="O8" s="674"/>
      <c r="P8" s="674"/>
      <c r="Q8" s="674"/>
      <c r="R8" s="674"/>
      <c r="S8" s="674"/>
      <c r="T8" s="674"/>
      <c r="U8" s="674"/>
      <c r="V8" s="674"/>
      <c r="W8" s="674"/>
      <c r="X8" s="674"/>
      <c r="Y8" s="674"/>
      <c r="Z8" s="674"/>
      <c r="AA8" s="674"/>
      <c r="AB8" s="674"/>
      <c r="AC8" s="674"/>
      <c r="AD8" s="674"/>
      <c r="AE8" s="674"/>
      <c r="AF8" s="674"/>
      <c r="AG8" s="674"/>
      <c r="AI8" s="674"/>
      <c r="AJ8" s="714"/>
      <c r="AK8" s="714"/>
      <c r="AL8" s="714"/>
      <c r="AM8" s="714"/>
      <c r="AN8" s="714"/>
      <c r="AO8" s="714"/>
      <c r="AP8" s="714"/>
      <c r="AQ8" s="714"/>
      <c r="AR8" s="714"/>
      <c r="AS8" s="714"/>
      <c r="AT8" s="714"/>
      <c r="AU8" s="714"/>
      <c r="AV8" s="714"/>
      <c r="AW8" s="714"/>
      <c r="AX8" s="714"/>
      <c r="AY8" s="714"/>
      <c r="AZ8" s="714"/>
      <c r="BA8" s="714"/>
      <c r="BB8" s="714"/>
      <c r="BC8" s="714"/>
      <c r="BD8" s="714"/>
    </row>
    <row r="9" spans="1:56">
      <c r="A9" s="678"/>
      <c r="B9" s="678"/>
      <c r="C9" s="678"/>
      <c r="D9" s="674"/>
      <c r="E9" s="678"/>
      <c r="F9" s="680" t="s">
        <v>326</v>
      </c>
      <c r="G9" s="678"/>
      <c r="H9" s="680" t="s">
        <v>206</v>
      </c>
      <c r="I9" s="678"/>
      <c r="J9" s="680" t="s">
        <v>203</v>
      </c>
      <c r="K9" s="678"/>
      <c r="L9" s="680" t="s">
        <v>206</v>
      </c>
      <c r="M9" s="678"/>
      <c r="N9" s="680" t="s">
        <v>203</v>
      </c>
      <c r="O9" s="674"/>
      <c r="P9" s="674"/>
      <c r="Q9" s="674"/>
      <c r="R9" s="674"/>
      <c r="S9" s="674"/>
      <c r="T9" s="674"/>
      <c r="U9" s="674"/>
      <c r="V9" s="674"/>
      <c r="W9" s="674"/>
      <c r="X9" s="674"/>
      <c r="Y9" s="674"/>
      <c r="Z9" s="674"/>
      <c r="AA9" s="674"/>
      <c r="AB9" s="674"/>
      <c r="AC9" s="674"/>
      <c r="AD9" s="674"/>
      <c r="AE9" s="674"/>
      <c r="AF9" s="674"/>
      <c r="AG9" s="674"/>
      <c r="AI9" s="674"/>
      <c r="AJ9" s="714"/>
      <c r="AK9" s="714"/>
      <c r="AL9" s="714"/>
      <c r="AM9" s="714"/>
      <c r="AN9" s="714"/>
      <c r="AO9" s="714"/>
      <c r="AP9" s="714"/>
      <c r="AQ9" s="714"/>
      <c r="AR9" s="714"/>
      <c r="AS9" s="714"/>
      <c r="AT9" s="714"/>
      <c r="AU9" s="714"/>
      <c r="AV9" s="714"/>
      <c r="AW9" s="714"/>
      <c r="AX9" s="714"/>
      <c r="AY9" s="714"/>
      <c r="AZ9" s="714"/>
      <c r="BA9" s="714"/>
      <c r="BB9" s="714"/>
      <c r="BC9" s="714"/>
      <c r="BD9" s="714"/>
    </row>
    <row r="10" spans="1:56">
      <c r="A10" s="678" t="s">
        <v>103</v>
      </c>
      <c r="B10" s="678"/>
      <c r="C10" s="678"/>
      <c r="D10" s="674"/>
      <c r="E10" s="678"/>
      <c r="F10" s="678"/>
      <c r="G10" s="678"/>
      <c r="H10" s="678"/>
      <c r="I10" s="678"/>
      <c r="J10" s="678"/>
      <c r="K10" s="678"/>
      <c r="L10" s="678"/>
      <c r="M10" s="678"/>
      <c r="N10" s="678"/>
      <c r="O10" s="674"/>
      <c r="P10" s="674"/>
      <c r="Q10" s="674"/>
      <c r="R10" s="674"/>
      <c r="S10" s="674"/>
      <c r="T10" s="674"/>
      <c r="U10" s="674"/>
      <c r="V10" s="674"/>
      <c r="W10" s="674"/>
      <c r="X10" s="674"/>
      <c r="Y10" s="674"/>
      <c r="Z10" s="674"/>
      <c r="AA10" s="674"/>
      <c r="AB10" s="674"/>
      <c r="AC10" s="674"/>
      <c r="AD10" s="674"/>
      <c r="AE10" s="674"/>
      <c r="AF10" s="674"/>
      <c r="AG10" s="674"/>
      <c r="AI10" s="674"/>
      <c r="AJ10" s="714"/>
      <c r="AK10" s="714"/>
      <c r="AL10" s="714"/>
      <c r="AM10" s="714"/>
      <c r="AN10" s="714"/>
      <c r="AO10" s="714"/>
      <c r="AP10" s="714"/>
      <c r="AQ10" s="714"/>
      <c r="AR10" s="714"/>
      <c r="AS10" s="714"/>
      <c r="AT10" s="714"/>
      <c r="AU10" s="714"/>
      <c r="AV10" s="714"/>
      <c r="AW10" s="714"/>
      <c r="AX10" s="714"/>
      <c r="AY10" s="714"/>
      <c r="AZ10" s="714"/>
      <c r="BA10" s="714"/>
      <c r="BB10" s="714"/>
      <c r="BC10" s="714"/>
      <c r="BD10" s="714"/>
    </row>
    <row r="11" spans="1:56">
      <c r="A11" s="681" t="s">
        <v>104</v>
      </c>
      <c r="B11" s="681"/>
      <c r="C11" s="678"/>
      <c r="D11" s="674"/>
      <c r="E11" s="678"/>
      <c r="F11" s="678"/>
      <c r="G11" s="678"/>
      <c r="H11" s="678"/>
      <c r="I11" s="678"/>
      <c r="J11" s="678"/>
      <c r="K11" s="678"/>
      <c r="L11" s="678"/>
      <c r="M11" s="678"/>
      <c r="N11" s="678"/>
      <c r="O11" s="674"/>
      <c r="P11" s="674"/>
      <c r="Q11" s="674"/>
      <c r="R11" s="674"/>
      <c r="S11" s="674"/>
      <c r="T11" s="674"/>
      <c r="U11" s="674"/>
      <c r="V11" s="674"/>
      <c r="W11" s="674"/>
      <c r="X11" s="674"/>
      <c r="Y11" s="674"/>
      <c r="Z11" s="674"/>
      <c r="AA11" s="674"/>
      <c r="AB11" s="674"/>
      <c r="AC11" s="674"/>
      <c r="AD11" s="674"/>
      <c r="AE11" s="674"/>
      <c r="AF11" s="674"/>
      <c r="AG11" s="674"/>
      <c r="AI11" s="674"/>
      <c r="AJ11" s="714"/>
      <c r="AK11" s="714"/>
      <c r="AL11" s="714"/>
      <c r="AM11" s="714"/>
      <c r="AN11" s="714"/>
      <c r="AO11" s="714"/>
      <c r="AP11" s="714"/>
      <c r="AQ11" s="714"/>
      <c r="AR11" s="714"/>
      <c r="AS11" s="714"/>
      <c r="AT11" s="714"/>
      <c r="AU11" s="714"/>
      <c r="AV11" s="714"/>
      <c r="AW11" s="714"/>
      <c r="AX11" s="714"/>
      <c r="AY11" s="714"/>
      <c r="AZ11" s="714"/>
      <c r="BA11" s="714"/>
      <c r="BB11" s="714"/>
      <c r="BC11" s="714"/>
      <c r="BD11" s="714"/>
    </row>
    <row r="12" spans="1:56">
      <c r="A12" s="678" t="s">
        <v>0</v>
      </c>
      <c r="B12" s="678"/>
      <c r="C12" s="678"/>
      <c r="D12" s="674"/>
      <c r="E12" s="678" t="s">
        <v>105</v>
      </c>
      <c r="F12" s="682">
        <f>V106</f>
        <v>90827.397169999836</v>
      </c>
      <c r="G12" s="683" t="s">
        <v>105</v>
      </c>
      <c r="H12" s="682">
        <f>V126</f>
        <v>1006.1319359887111</v>
      </c>
      <c r="I12" s="683" t="s">
        <v>105</v>
      </c>
      <c r="J12" s="682">
        <f>F12+H12</f>
        <v>91833.529105988549</v>
      </c>
      <c r="K12" s="683" t="s">
        <v>105</v>
      </c>
      <c r="L12" s="682">
        <f>V139</f>
        <v>0</v>
      </c>
      <c r="M12" s="683" t="s">
        <v>105</v>
      </c>
      <c r="N12" s="682">
        <f>J12+L12</f>
        <v>91833.529105988549</v>
      </c>
      <c r="O12" s="674"/>
      <c r="P12" s="714"/>
      <c r="Q12" s="674"/>
      <c r="R12" s="674"/>
      <c r="S12" s="674"/>
      <c r="T12" s="674"/>
      <c r="U12" s="674"/>
      <c r="V12" s="674"/>
      <c r="W12" s="674"/>
      <c r="X12" s="674"/>
      <c r="Y12" s="674"/>
      <c r="Z12" s="674"/>
      <c r="AA12" s="674"/>
      <c r="AB12" s="674"/>
      <c r="AC12" s="674"/>
      <c r="AD12" s="674"/>
      <c r="AE12" s="674"/>
      <c r="AF12" s="674"/>
      <c r="AG12" s="674"/>
      <c r="AI12" s="674"/>
      <c r="AJ12" s="714"/>
      <c r="AK12" s="714"/>
      <c r="AL12" s="714"/>
      <c r="AM12" s="714"/>
      <c r="AN12" s="714"/>
      <c r="AO12" s="714"/>
      <c r="AP12" s="714"/>
      <c r="AQ12" s="714"/>
      <c r="AR12" s="714"/>
      <c r="AS12" s="714"/>
      <c r="AT12" s="714"/>
      <c r="AU12" s="714"/>
      <c r="AV12" s="714"/>
      <c r="AW12" s="714"/>
      <c r="AX12" s="714"/>
      <c r="AY12" s="714"/>
      <c r="AZ12" s="714"/>
      <c r="BA12" s="714"/>
      <c r="BB12" s="714"/>
      <c r="BC12" s="714"/>
      <c r="BD12" s="714"/>
    </row>
    <row r="13" spans="1:56">
      <c r="A13" s="678"/>
      <c r="B13" s="678"/>
      <c r="C13" s="678"/>
      <c r="D13" s="674"/>
      <c r="E13" s="678"/>
      <c r="F13" s="683"/>
      <c r="G13" s="683"/>
      <c r="H13" s="683"/>
      <c r="I13" s="683"/>
      <c r="J13" s="683"/>
      <c r="K13" s="683"/>
      <c r="L13" s="683"/>
      <c r="M13" s="683"/>
      <c r="N13" s="683"/>
      <c r="O13" s="674"/>
      <c r="P13" s="674"/>
      <c r="Q13" s="674"/>
      <c r="R13" s="674"/>
      <c r="S13" s="674"/>
      <c r="T13" s="674"/>
      <c r="U13" s="674"/>
      <c r="V13" s="674"/>
      <c r="W13" s="674"/>
      <c r="X13" s="674"/>
      <c r="Y13" s="674"/>
      <c r="Z13" s="674"/>
      <c r="AA13" s="674"/>
      <c r="AB13" s="674"/>
      <c r="AC13" s="674"/>
      <c r="AD13" s="674"/>
      <c r="AE13" s="674"/>
      <c r="AF13" s="674"/>
      <c r="AG13" s="674"/>
      <c r="AI13" s="674"/>
      <c r="AJ13" s="714"/>
      <c r="AK13" s="714"/>
      <c r="AL13" s="714"/>
      <c r="AM13" s="714"/>
      <c r="AN13" s="714"/>
      <c r="AO13" s="714"/>
      <c r="AP13" s="714"/>
      <c r="AQ13" s="714"/>
      <c r="AR13" s="714"/>
      <c r="AS13" s="714"/>
      <c r="AT13" s="714"/>
      <c r="AU13" s="714"/>
      <c r="AV13" s="714"/>
      <c r="AW13" s="714"/>
      <c r="AX13" s="714"/>
      <c r="AY13" s="714"/>
      <c r="AZ13" s="714"/>
      <c r="BA13" s="714"/>
      <c r="BB13" s="714"/>
      <c r="BC13" s="714"/>
      <c r="BD13" s="714"/>
    </row>
    <row r="14" spans="1:56">
      <c r="A14" s="678" t="s">
        <v>106</v>
      </c>
      <c r="B14" s="678"/>
      <c r="C14" s="678"/>
      <c r="D14" s="674"/>
      <c r="E14" s="678" t="s">
        <v>105</v>
      </c>
      <c r="F14" s="682">
        <f>T55</f>
        <v>1603790.8084269227</v>
      </c>
      <c r="G14" s="683" t="s">
        <v>105</v>
      </c>
      <c r="H14" s="682">
        <f>T77</f>
        <v>-115660.96751539856</v>
      </c>
      <c r="I14" s="683" t="s">
        <v>105</v>
      </c>
      <c r="J14" s="682">
        <f>F14+H14</f>
        <v>1488129.8409115241</v>
      </c>
      <c r="K14" s="683" t="s">
        <v>105</v>
      </c>
      <c r="L14" s="682">
        <f>T90</f>
        <v>0</v>
      </c>
      <c r="M14" s="683" t="s">
        <v>105</v>
      </c>
      <c r="N14" s="682">
        <f>J14+L14</f>
        <v>1488129.8409115241</v>
      </c>
      <c r="O14" s="674"/>
      <c r="P14" s="714"/>
      <c r="Q14" s="674"/>
      <c r="R14" s="674"/>
      <c r="S14" s="674"/>
      <c r="T14" s="674"/>
      <c r="U14" s="674"/>
      <c r="V14" s="674"/>
      <c r="W14" s="674"/>
      <c r="X14" s="674"/>
      <c r="Y14" s="674"/>
      <c r="Z14" s="674"/>
      <c r="AA14" s="674"/>
      <c r="AB14" s="674"/>
      <c r="AC14" s="674"/>
      <c r="AD14" s="674"/>
      <c r="AE14" s="674"/>
      <c r="AF14" s="674"/>
      <c r="AG14" s="674"/>
      <c r="AI14" s="674"/>
      <c r="AJ14" s="714"/>
      <c r="AK14" s="714"/>
      <c r="AL14" s="714"/>
      <c r="AM14" s="714"/>
      <c r="AN14" s="714"/>
      <c r="AO14" s="714"/>
      <c r="AP14" s="714"/>
      <c r="AQ14" s="714"/>
      <c r="AR14" s="714"/>
      <c r="AS14" s="714"/>
      <c r="AT14" s="714"/>
      <c r="AU14" s="714"/>
      <c r="AV14" s="714"/>
      <c r="AW14" s="714"/>
      <c r="AX14" s="714"/>
      <c r="AY14" s="714"/>
      <c r="AZ14" s="714"/>
      <c r="BA14" s="714"/>
      <c r="BB14" s="714"/>
      <c r="BC14" s="714"/>
      <c r="BD14" s="714"/>
    </row>
    <row r="15" spans="1:56">
      <c r="A15" s="678" t="s">
        <v>7</v>
      </c>
      <c r="B15" s="678"/>
      <c r="C15" s="678"/>
      <c r="D15" s="674"/>
      <c r="E15" s="678"/>
      <c r="F15" s="678"/>
      <c r="G15" s="678"/>
      <c r="H15" s="678"/>
      <c r="I15" s="678"/>
      <c r="J15" s="678"/>
      <c r="K15" s="678"/>
      <c r="L15" s="674"/>
      <c r="M15" s="678"/>
      <c r="N15" s="678"/>
      <c r="O15" s="674"/>
      <c r="P15" s="674"/>
      <c r="Q15" s="674"/>
      <c r="R15" s="674"/>
      <c r="S15" s="674"/>
      <c r="T15" s="674"/>
      <c r="U15" s="674"/>
      <c r="V15" s="674"/>
      <c r="W15" s="674"/>
      <c r="X15" s="674"/>
      <c r="Y15" s="674"/>
      <c r="Z15" s="674"/>
      <c r="AA15" s="674"/>
      <c r="AB15" s="674"/>
      <c r="AC15" s="674"/>
      <c r="AD15" s="674"/>
      <c r="AE15" s="674"/>
      <c r="AF15" s="674"/>
      <c r="AG15" s="674"/>
      <c r="AI15" s="674"/>
      <c r="AJ15" s="714"/>
      <c r="AK15" s="714"/>
      <c r="AL15" s="714"/>
      <c r="AM15" s="714"/>
      <c r="AN15" s="714"/>
      <c r="AO15" s="714"/>
      <c r="AP15" s="714"/>
      <c r="AQ15" s="714"/>
      <c r="AR15" s="714"/>
      <c r="AS15" s="714"/>
      <c r="AT15" s="714"/>
      <c r="AU15" s="714"/>
      <c r="AV15" s="714"/>
      <c r="AW15" s="714"/>
      <c r="AX15" s="714"/>
      <c r="AY15" s="714"/>
      <c r="AZ15" s="714"/>
      <c r="BA15" s="714"/>
      <c r="BB15" s="714"/>
      <c r="BC15" s="714"/>
      <c r="BD15" s="714"/>
    </row>
    <row r="16" spans="1:56">
      <c r="A16" s="678" t="s">
        <v>107</v>
      </c>
      <c r="B16" s="678"/>
      <c r="C16" s="678"/>
      <c r="D16" s="674"/>
      <c r="E16" s="678"/>
      <c r="F16" s="684">
        <f>ROUND(F12/F14*100,4)</f>
        <v>5.6632999999999996</v>
      </c>
      <c r="G16" s="685" t="s">
        <v>108</v>
      </c>
      <c r="H16" s="685"/>
      <c r="I16" s="685" t="s">
        <v>7</v>
      </c>
      <c r="J16" s="684">
        <f>ROUND(J12/J14*100,4)</f>
        <v>6.1711</v>
      </c>
      <c r="K16" s="685" t="s">
        <v>108</v>
      </c>
      <c r="L16" s="686"/>
      <c r="M16" s="685"/>
      <c r="N16" s="684">
        <f>ROUND(N12/N14*100,4)</f>
        <v>6.1711</v>
      </c>
      <c r="O16" s="678" t="s">
        <v>108</v>
      </c>
      <c r="P16" s="674"/>
      <c r="Q16" s="674"/>
      <c r="R16" s="674"/>
      <c r="S16" s="674"/>
      <c r="T16" s="674"/>
      <c r="U16" s="674"/>
      <c r="V16" s="674"/>
      <c r="W16" s="674"/>
      <c r="X16" s="674"/>
      <c r="Y16" s="674"/>
      <c r="Z16" s="674"/>
      <c r="AA16" s="674"/>
      <c r="AB16" s="674"/>
      <c r="AC16" s="674"/>
      <c r="AD16" s="674"/>
      <c r="AE16" s="674"/>
      <c r="AF16" s="674"/>
      <c r="AG16" s="674"/>
      <c r="AI16" s="674"/>
      <c r="AJ16" s="714"/>
      <c r="AK16" s="714"/>
      <c r="AL16" s="714"/>
      <c r="AM16" s="714"/>
      <c r="AN16" s="714"/>
      <c r="AO16" s="714"/>
      <c r="AP16" s="714"/>
      <c r="AQ16" s="714"/>
      <c r="AR16" s="714"/>
      <c r="AS16" s="714"/>
      <c r="AT16" s="714"/>
      <c r="AU16" s="714"/>
      <c r="AV16" s="714"/>
      <c r="AW16" s="714"/>
      <c r="AX16" s="714"/>
      <c r="AY16" s="714"/>
      <c r="AZ16" s="714"/>
      <c r="BA16" s="714"/>
      <c r="BB16" s="714"/>
      <c r="BC16" s="714"/>
      <c r="BD16" s="714"/>
    </row>
    <row r="17" spans="1:56">
      <c r="A17" s="678"/>
      <c r="B17" s="678"/>
      <c r="C17" s="678"/>
      <c r="D17" s="674"/>
      <c r="E17" s="678"/>
      <c r="F17" s="678"/>
      <c r="G17" s="678"/>
      <c r="H17" s="678"/>
      <c r="I17" s="678"/>
      <c r="J17" s="678"/>
      <c r="K17" s="678"/>
      <c r="L17" s="678"/>
      <c r="M17" s="678"/>
      <c r="N17" s="674"/>
      <c r="O17" s="678"/>
      <c r="P17" s="674"/>
      <c r="Q17" s="674"/>
      <c r="R17" s="674"/>
      <c r="S17" s="674"/>
      <c r="T17" s="674"/>
      <c r="U17" s="674"/>
      <c r="V17" s="674"/>
      <c r="W17" s="674"/>
      <c r="X17" s="674"/>
      <c r="Y17" s="674"/>
      <c r="Z17" s="674"/>
      <c r="AA17" s="674"/>
      <c r="AB17" s="674"/>
      <c r="AC17" s="674"/>
      <c r="AD17" s="674"/>
      <c r="AE17" s="674"/>
      <c r="AF17" s="674"/>
      <c r="AG17" s="674"/>
      <c r="AI17" s="674"/>
      <c r="AJ17" s="714"/>
      <c r="AK17" s="714"/>
      <c r="AL17" s="714"/>
      <c r="AM17" s="714"/>
      <c r="AN17" s="714"/>
      <c r="AO17" s="714"/>
      <c r="AP17" s="714"/>
      <c r="AQ17" s="714"/>
      <c r="AR17" s="714"/>
      <c r="AS17" s="714"/>
      <c r="AT17" s="714"/>
      <c r="AU17" s="714"/>
      <c r="AV17" s="714"/>
      <c r="AW17" s="714"/>
      <c r="AX17" s="714"/>
      <c r="AY17" s="714"/>
      <c r="AZ17" s="714"/>
      <c r="BA17" s="714"/>
      <c r="BB17" s="714"/>
      <c r="BC17" s="714"/>
      <c r="BD17" s="714"/>
    </row>
    <row r="18" spans="1:56">
      <c r="A18" s="678"/>
      <c r="B18" s="678"/>
      <c r="C18" s="678"/>
      <c r="D18" s="674"/>
      <c r="E18" s="678"/>
      <c r="F18" s="678"/>
      <c r="G18" s="678"/>
      <c r="H18" s="678"/>
      <c r="I18" s="678"/>
      <c r="J18" s="678"/>
      <c r="K18" s="678"/>
      <c r="L18" s="678"/>
      <c r="M18" s="678"/>
      <c r="N18" s="674"/>
      <c r="O18" s="678"/>
      <c r="P18" s="674"/>
      <c r="Q18" s="674"/>
      <c r="R18" s="674"/>
      <c r="S18" s="674"/>
      <c r="T18" s="674"/>
      <c r="U18" s="674"/>
      <c r="V18" s="674"/>
      <c r="W18" s="674"/>
      <c r="X18" s="674"/>
      <c r="Y18" s="674"/>
      <c r="Z18" s="674"/>
      <c r="AA18" s="674"/>
      <c r="AB18" s="674"/>
      <c r="AC18" s="674"/>
      <c r="AD18" s="674"/>
      <c r="AE18" s="674"/>
      <c r="AF18" s="674"/>
      <c r="AG18" s="674"/>
      <c r="AI18" s="674"/>
      <c r="AJ18" s="714"/>
      <c r="AK18" s="714"/>
      <c r="AL18" s="714"/>
      <c r="AM18" s="714"/>
      <c r="AN18" s="714"/>
      <c r="AO18" s="714"/>
      <c r="AP18" s="714"/>
      <c r="AQ18" s="714"/>
      <c r="AR18" s="714"/>
      <c r="AS18" s="714"/>
      <c r="AT18" s="714"/>
      <c r="AU18" s="714"/>
      <c r="AV18" s="714"/>
      <c r="AW18" s="714"/>
      <c r="AX18" s="714"/>
      <c r="AY18" s="714"/>
      <c r="AZ18" s="714"/>
      <c r="BA18" s="714"/>
      <c r="BB18" s="714"/>
      <c r="BC18" s="714"/>
      <c r="BD18" s="714"/>
    </row>
    <row r="19" spans="1:56" ht="13.5" thickBot="1">
      <c r="A19" s="687"/>
      <c r="B19" s="687"/>
      <c r="C19" s="687"/>
      <c r="D19" s="688"/>
      <c r="E19" s="687"/>
      <c r="F19" s="687"/>
      <c r="G19" s="687"/>
      <c r="H19" s="687"/>
      <c r="I19" s="687"/>
      <c r="J19" s="687"/>
      <c r="K19" s="687"/>
      <c r="L19" s="687"/>
      <c r="M19" s="687"/>
      <c r="N19" s="688"/>
      <c r="O19" s="678"/>
      <c r="P19" s="689"/>
      <c r="Q19" s="674"/>
      <c r="R19" s="674"/>
      <c r="S19" s="674"/>
      <c r="T19" s="674"/>
      <c r="U19" s="674"/>
      <c r="V19" s="674"/>
      <c r="W19" s="674"/>
      <c r="X19" s="674"/>
      <c r="Y19" s="674"/>
      <c r="Z19" s="674"/>
      <c r="AA19" s="674"/>
      <c r="AB19" s="674"/>
      <c r="AC19" s="674"/>
      <c r="AD19" s="674"/>
      <c r="AE19" s="674"/>
      <c r="AF19" s="674"/>
      <c r="AG19" s="674"/>
      <c r="AI19" s="674"/>
      <c r="AJ19" s="714"/>
      <c r="AK19" s="714"/>
      <c r="AL19" s="714"/>
      <c r="AM19" s="714"/>
      <c r="AN19" s="714"/>
      <c r="AO19" s="714"/>
      <c r="AP19" s="714"/>
      <c r="AQ19" s="714"/>
      <c r="AR19" s="714"/>
      <c r="AS19" s="714"/>
      <c r="AT19" s="714"/>
      <c r="AU19" s="714"/>
      <c r="AV19" s="714"/>
      <c r="AW19" s="714"/>
      <c r="AX19" s="714"/>
      <c r="AY19" s="714"/>
      <c r="AZ19" s="714"/>
      <c r="BA19" s="714"/>
      <c r="BB19" s="714"/>
      <c r="BC19" s="714"/>
      <c r="BD19" s="714"/>
    </row>
    <row r="20" spans="1:56" ht="13.5" thickTop="1">
      <c r="A20" s="678"/>
      <c r="B20" s="678"/>
      <c r="C20" s="678"/>
      <c r="D20" s="674"/>
      <c r="E20" s="678"/>
      <c r="F20" s="678"/>
      <c r="G20" s="678"/>
      <c r="H20" s="678"/>
      <c r="I20" s="678"/>
      <c r="J20" s="678"/>
      <c r="K20" s="678"/>
      <c r="L20" s="678"/>
      <c r="M20" s="678"/>
      <c r="N20" s="674"/>
      <c r="O20" s="678"/>
      <c r="P20" s="674"/>
      <c r="Q20" s="674"/>
      <c r="R20" s="674"/>
      <c r="S20" s="674"/>
      <c r="T20" s="674"/>
      <c r="U20" s="674"/>
      <c r="V20" s="674"/>
      <c r="W20" s="674"/>
      <c r="X20" s="674"/>
      <c r="Y20" s="674"/>
      <c r="Z20" s="674"/>
      <c r="AA20" s="674"/>
      <c r="AB20" s="674"/>
      <c r="AC20" s="674"/>
      <c r="AD20" s="674"/>
      <c r="AE20" s="674"/>
      <c r="AF20" s="674"/>
      <c r="AG20" s="674"/>
      <c r="AI20" s="674"/>
      <c r="AJ20" s="714"/>
      <c r="AK20" s="714"/>
      <c r="AL20" s="714"/>
      <c r="AM20" s="714"/>
      <c r="AN20" s="714"/>
      <c r="AO20" s="714"/>
      <c r="AP20" s="714"/>
      <c r="AQ20" s="714"/>
      <c r="AR20" s="714"/>
      <c r="AS20" s="714"/>
      <c r="AT20" s="714"/>
      <c r="AU20" s="714"/>
      <c r="AV20" s="714"/>
      <c r="AW20" s="714"/>
      <c r="AX20" s="714"/>
      <c r="AY20" s="714"/>
      <c r="AZ20" s="714"/>
      <c r="BA20" s="714"/>
      <c r="BB20" s="714"/>
      <c r="BC20" s="714"/>
      <c r="BD20" s="714"/>
    </row>
    <row r="21" spans="1:56">
      <c r="A21" s="678" t="s">
        <v>425</v>
      </c>
      <c r="B21" s="678"/>
      <c r="C21" s="678"/>
      <c r="D21" s="674"/>
      <c r="E21" s="678"/>
      <c r="F21" s="678"/>
      <c r="G21" s="674"/>
      <c r="H21" s="674"/>
      <c r="I21" s="690" t="s">
        <v>426</v>
      </c>
      <c r="J21" s="691"/>
      <c r="K21" s="692"/>
      <c r="L21" s="692"/>
      <c r="M21" s="678"/>
      <c r="N21" s="674"/>
      <c r="O21" s="674"/>
      <c r="P21" s="674"/>
      <c r="Q21" s="674"/>
      <c r="R21" s="674"/>
      <c r="S21" s="674"/>
      <c r="T21" s="674"/>
      <c r="U21" s="674"/>
      <c r="V21" s="674"/>
      <c r="W21" s="674"/>
      <c r="X21" s="674"/>
      <c r="Y21" s="674"/>
      <c r="Z21" s="674"/>
      <c r="AA21" s="674"/>
      <c r="AB21" s="674"/>
      <c r="AC21" s="674"/>
      <c r="AD21" s="674"/>
      <c r="AE21" s="674"/>
      <c r="AF21" s="674"/>
      <c r="AG21" s="674"/>
      <c r="AI21" s="674"/>
      <c r="AJ21" s="714"/>
      <c r="AK21" s="714"/>
      <c r="AL21" s="714"/>
      <c r="AM21" s="714"/>
      <c r="AN21" s="714"/>
      <c r="AO21" s="714"/>
      <c r="AP21" s="714"/>
      <c r="AQ21" s="714"/>
      <c r="AR21" s="714"/>
      <c r="AS21" s="714"/>
      <c r="AT21" s="714"/>
      <c r="AU21" s="714"/>
      <c r="AV21" s="714"/>
      <c r="AW21" s="714"/>
      <c r="AX21" s="714"/>
      <c r="AY21" s="714"/>
      <c r="AZ21" s="714"/>
      <c r="BA21" s="714"/>
      <c r="BB21" s="714"/>
      <c r="BC21" s="714"/>
      <c r="BD21" s="714"/>
    </row>
    <row r="22" spans="1:56">
      <c r="A22" s="678" t="s">
        <v>109</v>
      </c>
      <c r="B22" s="678"/>
      <c r="C22" s="678"/>
      <c r="D22" s="674"/>
      <c r="E22" s="678"/>
      <c r="F22" s="678"/>
      <c r="G22" s="674"/>
      <c r="H22" s="674"/>
      <c r="I22" s="674"/>
      <c r="J22" s="674"/>
      <c r="K22" s="674"/>
      <c r="L22" s="674"/>
      <c r="M22" s="678"/>
      <c r="N22" s="674"/>
      <c r="O22" s="674"/>
      <c r="P22" s="674"/>
      <c r="Q22" s="674"/>
      <c r="R22" s="674"/>
      <c r="S22" s="674"/>
      <c r="T22" s="674"/>
      <c r="U22" s="674"/>
      <c r="V22" s="674"/>
      <c r="W22" s="674"/>
      <c r="X22" s="674"/>
      <c r="Y22" s="674"/>
      <c r="Z22" s="674"/>
      <c r="AA22" s="674"/>
      <c r="AB22" s="674"/>
      <c r="AC22" s="674"/>
      <c r="AD22" s="674"/>
      <c r="AE22" s="674"/>
      <c r="AF22" s="674"/>
      <c r="AG22" s="674"/>
      <c r="AI22" s="674"/>
      <c r="AJ22" s="714"/>
      <c r="AK22" s="714"/>
      <c r="AL22" s="714"/>
      <c r="AM22" s="714"/>
      <c r="AN22" s="714"/>
      <c r="AO22" s="714"/>
      <c r="AP22" s="714"/>
      <c r="AQ22" s="714"/>
      <c r="AR22" s="714"/>
      <c r="AS22" s="714"/>
      <c r="AT22" s="714"/>
      <c r="AU22" s="714"/>
      <c r="AV22" s="714"/>
      <c r="AW22" s="714"/>
      <c r="AX22" s="714"/>
      <c r="AY22" s="714"/>
      <c r="AZ22" s="714"/>
      <c r="BA22" s="714"/>
      <c r="BB22" s="714"/>
      <c r="BC22" s="714"/>
      <c r="BD22" s="714"/>
    </row>
    <row r="23" spans="1:56">
      <c r="A23" s="681" t="s">
        <v>110</v>
      </c>
      <c r="B23" s="681"/>
      <c r="C23" s="678"/>
      <c r="D23" s="674"/>
      <c r="E23" s="678"/>
      <c r="F23" s="678"/>
      <c r="G23" s="674"/>
      <c r="H23" s="674"/>
      <c r="I23" s="674"/>
      <c r="J23" s="674"/>
      <c r="K23" s="674"/>
      <c r="L23" s="679" t="s">
        <v>99</v>
      </c>
      <c r="M23" s="693"/>
      <c r="N23" s="679" t="s">
        <v>100</v>
      </c>
      <c r="O23" s="674"/>
      <c r="P23" s="674"/>
      <c r="Q23" s="674"/>
      <c r="R23" s="674"/>
      <c r="S23" s="674"/>
      <c r="T23" s="674"/>
      <c r="U23" s="674"/>
      <c r="V23" s="674"/>
      <c r="W23" s="674"/>
      <c r="X23" s="674"/>
      <c r="Y23" s="674"/>
      <c r="Z23" s="674"/>
      <c r="AA23" s="674"/>
      <c r="AB23" s="674"/>
      <c r="AC23" s="674"/>
      <c r="AD23" s="674"/>
      <c r="AE23" s="674"/>
      <c r="AF23" s="674"/>
      <c r="AG23" s="674"/>
      <c r="AI23" s="674"/>
      <c r="AJ23" s="714"/>
      <c r="AK23" s="714"/>
      <c r="AL23" s="714"/>
      <c r="AM23" s="714"/>
      <c r="AN23" s="714"/>
      <c r="AO23" s="714"/>
      <c r="AP23" s="714"/>
      <c r="AQ23" s="714"/>
      <c r="AR23" s="714"/>
      <c r="AS23" s="714"/>
      <c r="AT23" s="714"/>
      <c r="AU23" s="714"/>
      <c r="AV23" s="714"/>
      <c r="AW23" s="714"/>
      <c r="AX23" s="714"/>
      <c r="AY23" s="714"/>
      <c r="AZ23" s="714"/>
      <c r="BA23" s="714"/>
      <c r="BB23" s="714"/>
      <c r="BC23" s="714"/>
      <c r="BD23" s="714"/>
    </row>
    <row r="24" spans="1:56">
      <c r="A24" s="674"/>
      <c r="B24" s="678" t="s">
        <v>111</v>
      </c>
      <c r="C24" s="678"/>
      <c r="D24" s="684">
        <f>N171</f>
        <v>5.3900000000000006</v>
      </c>
      <c r="E24" s="678" t="s">
        <v>108</v>
      </c>
      <c r="F24" s="674"/>
      <c r="G24" s="674"/>
      <c r="H24" s="674"/>
      <c r="I24" s="674"/>
      <c r="J24" s="674"/>
      <c r="K24" s="674"/>
      <c r="L24" s="694" t="s">
        <v>102</v>
      </c>
      <c r="M24" s="693"/>
      <c r="N24" s="694" t="s">
        <v>102</v>
      </c>
      <c r="O24" s="674"/>
      <c r="P24" s="674"/>
      <c r="Q24" s="674"/>
      <c r="R24" s="674"/>
      <c r="S24" s="674"/>
      <c r="T24" s="674"/>
      <c r="U24" s="674"/>
      <c r="V24" s="674"/>
      <c r="W24" s="674"/>
      <c r="X24" s="674"/>
      <c r="Y24" s="674"/>
      <c r="Z24" s="674"/>
      <c r="AA24" s="674"/>
      <c r="AB24" s="674"/>
      <c r="AC24" s="674"/>
      <c r="AD24" s="674"/>
      <c r="AE24" s="674"/>
      <c r="AF24" s="674"/>
      <c r="AG24" s="674"/>
      <c r="AI24" s="674"/>
      <c r="AJ24" s="714"/>
      <c r="AK24" s="714"/>
      <c r="AL24" s="714"/>
      <c r="AM24" s="714"/>
      <c r="AN24" s="714"/>
      <c r="AO24" s="714"/>
      <c r="AP24" s="714"/>
      <c r="AQ24" s="714"/>
      <c r="AR24" s="714"/>
      <c r="AS24" s="714"/>
      <c r="AT24" s="714"/>
      <c r="AU24" s="714"/>
      <c r="AV24" s="714"/>
      <c r="AW24" s="714"/>
      <c r="AX24" s="714"/>
      <c r="AY24" s="714"/>
      <c r="AZ24" s="714"/>
      <c r="BA24" s="714"/>
      <c r="BB24" s="714"/>
      <c r="BC24" s="714"/>
      <c r="BD24" s="714"/>
    </row>
    <row r="25" spans="1:56">
      <c r="A25" s="674"/>
      <c r="B25" s="678"/>
      <c r="C25" s="678"/>
      <c r="D25" s="685"/>
      <c r="E25" s="678"/>
      <c r="F25" s="674"/>
      <c r="G25" s="678" t="s">
        <v>112</v>
      </c>
      <c r="H25" s="674"/>
      <c r="I25" s="678"/>
      <c r="J25" s="678"/>
      <c r="K25" s="678"/>
      <c r="L25" s="674"/>
      <c r="M25" s="678"/>
      <c r="N25" s="674"/>
      <c r="O25" s="674"/>
      <c r="P25" s="674"/>
      <c r="Q25" s="674"/>
      <c r="R25" s="674"/>
      <c r="S25" s="674"/>
      <c r="T25" s="674"/>
      <c r="U25" s="674"/>
      <c r="V25" s="674"/>
      <c r="W25" s="674"/>
      <c r="X25" s="674"/>
      <c r="Y25" s="674"/>
      <c r="Z25" s="674"/>
      <c r="AA25" s="674"/>
      <c r="AB25" s="674"/>
      <c r="AC25" s="674"/>
      <c r="AD25" s="674"/>
      <c r="AE25" s="674"/>
      <c r="AF25" s="674"/>
      <c r="AG25" s="674"/>
      <c r="AI25" s="674"/>
      <c r="AJ25" s="714"/>
      <c r="AK25" s="714"/>
      <c r="AL25" s="714"/>
      <c r="AM25" s="714"/>
      <c r="AN25" s="714"/>
      <c r="AO25" s="714"/>
      <c r="AP25" s="714"/>
      <c r="AQ25" s="714"/>
      <c r="AR25" s="714"/>
      <c r="AS25" s="714"/>
      <c r="AT25" s="714"/>
      <c r="AU25" s="714"/>
      <c r="AV25" s="714"/>
      <c r="AW25" s="714"/>
      <c r="AX25" s="714"/>
      <c r="AY25" s="714"/>
      <c r="AZ25" s="714"/>
      <c r="BA25" s="714"/>
      <c r="BB25" s="714"/>
      <c r="BC25" s="714"/>
      <c r="BD25" s="714"/>
    </row>
    <row r="26" spans="1:56">
      <c r="A26" s="674"/>
      <c r="B26" s="678" t="s">
        <v>113</v>
      </c>
      <c r="C26" s="678"/>
      <c r="D26" s="684">
        <f>R171</f>
        <v>5.85</v>
      </c>
      <c r="E26" s="678" t="s">
        <v>108</v>
      </c>
      <c r="F26" s="674"/>
      <c r="G26" s="678" t="s">
        <v>114</v>
      </c>
      <c r="H26" s="674"/>
      <c r="I26" s="678"/>
      <c r="J26" s="678"/>
      <c r="K26" s="678"/>
      <c r="L26" s="684">
        <f>H203</f>
        <v>10.6091</v>
      </c>
      <c r="M26" s="678" t="s">
        <v>108</v>
      </c>
      <c r="N26" s="1217">
        <f>H264</f>
        <v>10.6091</v>
      </c>
      <c r="O26" s="678" t="s">
        <v>108</v>
      </c>
      <c r="P26" s="695"/>
      <c r="Q26" s="674"/>
      <c r="R26" s="686"/>
      <c r="S26" s="674"/>
      <c r="T26" s="674"/>
      <c r="U26" s="674"/>
      <c r="V26" s="674"/>
      <c r="W26" s="674"/>
      <c r="X26" s="674"/>
      <c r="Y26" s="674"/>
      <c r="Z26" s="674"/>
      <c r="AA26" s="674"/>
      <c r="AB26" s="674"/>
      <c r="AC26" s="674"/>
      <c r="AD26" s="674"/>
      <c r="AE26" s="674"/>
      <c r="AF26" s="674"/>
      <c r="AG26" s="674"/>
      <c r="AI26" s="674"/>
      <c r="AJ26" s="714"/>
      <c r="AK26" s="714"/>
      <c r="AL26" s="714"/>
      <c r="AM26" s="714"/>
      <c r="AN26" s="714"/>
      <c r="AO26" s="714"/>
      <c r="AP26" s="714"/>
      <c r="AQ26" s="714"/>
      <c r="AR26" s="714"/>
      <c r="AS26" s="714"/>
      <c r="AT26" s="714"/>
      <c r="AU26" s="714"/>
      <c r="AV26" s="714"/>
      <c r="AW26" s="714"/>
      <c r="AX26" s="714"/>
      <c r="AY26" s="714"/>
      <c r="AZ26" s="714"/>
      <c r="BA26" s="714"/>
      <c r="BB26" s="714"/>
      <c r="BC26" s="714"/>
      <c r="BD26" s="714"/>
    </row>
    <row r="27" spans="1:56">
      <c r="A27" s="674"/>
      <c r="B27" s="678"/>
      <c r="C27" s="678"/>
      <c r="D27" s="685"/>
      <c r="E27" s="678"/>
      <c r="F27" s="674"/>
      <c r="G27" s="674"/>
      <c r="H27" s="674"/>
      <c r="I27" s="674"/>
      <c r="J27" s="674"/>
      <c r="K27" s="674"/>
      <c r="L27" s="674"/>
      <c r="M27" s="678"/>
      <c r="N27" s="674"/>
      <c r="O27" s="674"/>
      <c r="P27" s="674"/>
      <c r="Q27" s="674"/>
      <c r="R27" s="674"/>
      <c r="S27" s="674"/>
      <c r="T27" s="674"/>
      <c r="U27" s="674"/>
      <c r="V27" s="674"/>
      <c r="W27" s="674"/>
      <c r="X27" s="674"/>
      <c r="Y27" s="674"/>
      <c r="Z27" s="674"/>
      <c r="AA27" s="674"/>
      <c r="AB27" s="674"/>
      <c r="AC27" s="674"/>
      <c r="AD27" s="674"/>
      <c r="AE27" s="674"/>
      <c r="AF27" s="674"/>
      <c r="AG27" s="674"/>
      <c r="AI27" s="674"/>
      <c r="AJ27" s="714"/>
      <c r="AK27" s="714"/>
      <c r="AL27" s="714"/>
      <c r="AM27" s="714"/>
      <c r="AN27" s="714"/>
      <c r="AO27" s="714"/>
      <c r="AP27" s="714"/>
      <c r="AQ27" s="714"/>
      <c r="AR27" s="714"/>
      <c r="AS27" s="714"/>
      <c r="AT27" s="714"/>
      <c r="AU27" s="714"/>
      <c r="AV27" s="714"/>
      <c r="AW27" s="714"/>
      <c r="AX27" s="714"/>
      <c r="AY27" s="714"/>
      <c r="AZ27" s="714"/>
      <c r="BA27" s="714"/>
      <c r="BB27" s="714"/>
      <c r="BC27" s="714"/>
      <c r="BD27" s="714"/>
    </row>
    <row r="28" spans="1:56">
      <c r="A28" s="674"/>
      <c r="B28" s="678" t="s">
        <v>115</v>
      </c>
      <c r="C28" s="678"/>
      <c r="D28" s="684">
        <f>V171</f>
        <v>6.35</v>
      </c>
      <c r="E28" s="678" t="s">
        <v>108</v>
      </c>
      <c r="F28" s="674"/>
      <c r="G28" s="678" t="s">
        <v>116</v>
      </c>
      <c r="H28" s="674"/>
      <c r="I28" s="678"/>
      <c r="J28" s="678"/>
      <c r="K28" s="678"/>
      <c r="L28" s="674"/>
      <c r="M28" s="678"/>
      <c r="N28" s="674"/>
      <c r="O28" s="674"/>
      <c r="P28" s="674"/>
      <c r="Q28" s="674"/>
      <c r="R28" s="674"/>
      <c r="S28" s="674"/>
      <c r="T28" s="674"/>
      <c r="U28" s="674"/>
      <c r="V28" s="674"/>
      <c r="W28" s="674"/>
      <c r="X28" s="674"/>
      <c r="Y28" s="674"/>
      <c r="Z28" s="674"/>
      <c r="AA28" s="674"/>
      <c r="AB28" s="674"/>
      <c r="AC28" s="674"/>
      <c r="AD28" s="674"/>
      <c r="AE28" s="674"/>
      <c r="AF28" s="674"/>
      <c r="AG28" s="674"/>
      <c r="AI28" s="674"/>
      <c r="AJ28" s="714"/>
      <c r="AK28" s="714"/>
      <c r="AL28" s="714"/>
      <c r="AM28" s="714"/>
      <c r="AN28" s="714"/>
      <c r="AO28" s="714"/>
      <c r="AP28" s="714"/>
      <c r="AQ28" s="714"/>
      <c r="AR28" s="714"/>
      <c r="AS28" s="714"/>
      <c r="AT28" s="714"/>
      <c r="AU28" s="714"/>
      <c r="AV28" s="714"/>
      <c r="AW28" s="714"/>
      <c r="AX28" s="714"/>
      <c r="AY28" s="714"/>
      <c r="AZ28" s="714"/>
      <c r="BA28" s="714"/>
      <c r="BB28" s="714"/>
      <c r="BC28" s="714"/>
      <c r="BD28" s="714"/>
    </row>
    <row r="29" spans="1:56">
      <c r="A29" s="678"/>
      <c r="B29" s="678"/>
      <c r="C29" s="678"/>
      <c r="D29" s="678"/>
      <c r="E29" s="678"/>
      <c r="F29" s="678"/>
      <c r="G29" s="678" t="s">
        <v>114</v>
      </c>
      <c r="H29" s="678"/>
      <c r="I29" s="678"/>
      <c r="J29" s="678"/>
      <c r="K29" s="678"/>
      <c r="L29" s="684">
        <f>H230</f>
        <v>10.192559711073891</v>
      </c>
      <c r="M29" s="678" t="s">
        <v>108</v>
      </c>
      <c r="N29" s="684">
        <f>H291</f>
        <v>10.192559711073891</v>
      </c>
      <c r="O29" s="678" t="s">
        <v>108</v>
      </c>
      <c r="P29" s="674"/>
      <c r="Q29" s="674"/>
      <c r="R29" s="674"/>
      <c r="S29" s="674"/>
      <c r="T29" s="674"/>
      <c r="U29" s="674"/>
      <c r="V29" s="674"/>
      <c r="W29" s="674"/>
      <c r="X29" s="674"/>
      <c r="Y29" s="674"/>
      <c r="Z29" s="674"/>
      <c r="AA29" s="674"/>
      <c r="AB29" s="674"/>
      <c r="AC29" s="674"/>
      <c r="AD29" s="674"/>
      <c r="AE29" s="674"/>
      <c r="AF29" s="674"/>
      <c r="AG29" s="674"/>
      <c r="AI29" s="674"/>
      <c r="AJ29" s="714"/>
      <c r="AK29" s="714"/>
      <c r="AL29" s="714"/>
      <c r="AM29" s="714"/>
      <c r="AN29" s="714"/>
      <c r="AO29" s="714"/>
      <c r="AP29" s="714"/>
      <c r="AQ29" s="714"/>
      <c r="AR29" s="714"/>
      <c r="AS29" s="714"/>
      <c r="AT29" s="714"/>
      <c r="AU29" s="714"/>
      <c r="AV29" s="714"/>
      <c r="AW29" s="714"/>
      <c r="AX29" s="714"/>
      <c r="AY29" s="714"/>
      <c r="AZ29" s="714"/>
      <c r="BA29" s="714"/>
      <c r="BB29" s="714"/>
      <c r="BC29" s="714"/>
      <c r="BD29" s="714"/>
    </row>
    <row r="30" spans="1:56">
      <c r="A30" s="678"/>
      <c r="B30" s="678"/>
      <c r="C30" s="678"/>
      <c r="D30" s="678"/>
      <c r="E30" s="678"/>
      <c r="F30" s="678"/>
      <c r="G30" s="678"/>
      <c r="H30" s="678"/>
      <c r="I30" s="678"/>
      <c r="J30" s="678"/>
      <c r="K30" s="678"/>
      <c r="L30" s="678"/>
      <c r="M30" s="678"/>
      <c r="N30" s="674"/>
      <c r="O30" s="678"/>
      <c r="P30" s="674"/>
      <c r="Q30" s="674"/>
      <c r="R30" s="674"/>
      <c r="S30" s="674"/>
      <c r="T30" s="674"/>
      <c r="U30" s="674"/>
      <c r="V30" s="674"/>
      <c r="W30" s="674"/>
      <c r="X30" s="674"/>
      <c r="Y30" s="674"/>
      <c r="Z30" s="674"/>
      <c r="AA30" s="674"/>
      <c r="AB30" s="674"/>
      <c r="AC30" s="674"/>
      <c r="AD30" s="674"/>
      <c r="AE30" s="674"/>
      <c r="AF30" s="674"/>
      <c r="AG30" s="674"/>
      <c r="AI30" s="674"/>
      <c r="AJ30" s="714"/>
      <c r="AK30" s="714"/>
      <c r="AL30" s="714"/>
      <c r="AM30" s="714"/>
      <c r="AN30" s="714"/>
      <c r="AO30" s="714"/>
      <c r="AP30" s="714"/>
      <c r="AQ30" s="714"/>
      <c r="AR30" s="714"/>
      <c r="AS30" s="714"/>
      <c r="AT30" s="714"/>
      <c r="AU30" s="714"/>
      <c r="AV30" s="714"/>
      <c r="AW30" s="714"/>
      <c r="AX30" s="714"/>
      <c r="AY30" s="714"/>
      <c r="AZ30" s="714"/>
      <c r="BA30" s="714"/>
      <c r="BB30" s="714"/>
      <c r="BC30" s="714"/>
      <c r="BD30" s="714"/>
    </row>
    <row r="31" spans="1:56">
      <c r="A31" s="678"/>
      <c r="B31" s="678"/>
      <c r="C31" s="678" t="s">
        <v>7</v>
      </c>
      <c r="D31" s="678"/>
      <c r="E31" s="678"/>
      <c r="F31" s="678"/>
      <c r="G31" s="678"/>
      <c r="H31" s="678"/>
      <c r="I31" s="678"/>
      <c r="J31" s="678"/>
      <c r="K31" s="678"/>
      <c r="L31" s="678"/>
      <c r="M31" s="678"/>
      <c r="N31" s="674"/>
      <c r="O31" s="678"/>
      <c r="P31" s="674"/>
      <c r="Q31" s="674"/>
      <c r="R31" s="674"/>
      <c r="S31" s="674"/>
      <c r="T31" s="674"/>
      <c r="U31" s="674"/>
      <c r="V31" s="674"/>
      <c r="W31" s="674"/>
      <c r="X31" s="674"/>
      <c r="Y31" s="674"/>
      <c r="Z31" s="674"/>
      <c r="AA31" s="674"/>
      <c r="AB31" s="674"/>
      <c r="AC31" s="674"/>
      <c r="AD31" s="674"/>
      <c r="AE31" s="674"/>
      <c r="AF31" s="674"/>
      <c r="AG31" s="674"/>
      <c r="AI31" s="674"/>
      <c r="AJ31" s="714"/>
      <c r="AK31" s="714"/>
      <c r="AL31" s="714"/>
      <c r="AM31" s="714"/>
      <c r="AN31" s="714"/>
      <c r="AO31" s="714"/>
      <c r="AP31" s="714"/>
      <c r="AQ31" s="714"/>
      <c r="AR31" s="714"/>
      <c r="AS31" s="714"/>
      <c r="AT31" s="714"/>
      <c r="AU31" s="714"/>
      <c r="AV31" s="714"/>
      <c r="AW31" s="714"/>
      <c r="AX31" s="714"/>
      <c r="AY31" s="714"/>
      <c r="AZ31" s="714"/>
      <c r="BA31" s="714"/>
      <c r="BB31" s="714"/>
      <c r="BC31" s="714"/>
      <c r="BD31" s="714"/>
    </row>
    <row r="32" spans="1:56">
      <c r="A32" s="696" t="s">
        <v>117</v>
      </c>
      <c r="B32" s="697"/>
      <c r="C32" s="697"/>
      <c r="D32" s="697"/>
      <c r="E32" s="697"/>
      <c r="F32" s="697"/>
      <c r="G32" s="697"/>
      <c r="H32" s="697"/>
      <c r="I32" s="697"/>
      <c r="J32" s="697"/>
      <c r="K32" s="697"/>
      <c r="L32" s="698"/>
      <c r="M32" s="678"/>
      <c r="N32" s="674"/>
      <c r="O32" s="678"/>
      <c r="P32" s="674"/>
      <c r="Q32" s="674"/>
      <c r="R32" s="674"/>
      <c r="S32" s="674"/>
      <c r="T32" s="674"/>
      <c r="U32" s="674"/>
      <c r="V32" s="674"/>
      <c r="W32" s="674"/>
      <c r="X32" s="674"/>
      <c r="Y32" s="674"/>
      <c r="Z32" s="674"/>
      <c r="AA32" s="674"/>
      <c r="AB32" s="674"/>
      <c r="AC32" s="674"/>
      <c r="AD32" s="674"/>
      <c r="AE32" s="674"/>
      <c r="AF32" s="674"/>
      <c r="AG32" s="674"/>
      <c r="AI32" s="674"/>
      <c r="AJ32" s="714"/>
      <c r="AK32" s="714"/>
      <c r="AL32" s="714"/>
      <c r="AM32" s="714"/>
      <c r="AN32" s="714"/>
      <c r="AO32" s="714"/>
      <c r="AP32" s="714"/>
      <c r="AQ32" s="714"/>
      <c r="AR32" s="714"/>
      <c r="AS32" s="714"/>
      <c r="AT32" s="714"/>
      <c r="AU32" s="714"/>
      <c r="AV32" s="714"/>
      <c r="AW32" s="714"/>
      <c r="AX32" s="714"/>
      <c r="AY32" s="714"/>
      <c r="AZ32" s="714"/>
      <c r="BA32" s="714"/>
      <c r="BB32" s="714"/>
      <c r="BC32" s="714"/>
      <c r="BD32" s="714"/>
    </row>
    <row r="33" spans="1:56">
      <c r="A33" s="699"/>
      <c r="B33" s="678"/>
      <c r="C33" s="678"/>
      <c r="D33" s="678"/>
      <c r="E33" s="678"/>
      <c r="F33" s="678"/>
      <c r="G33" s="678"/>
      <c r="H33" s="678"/>
      <c r="I33" s="678"/>
      <c r="J33" s="678"/>
      <c r="K33" s="678"/>
      <c r="L33" s="700"/>
      <c r="M33" s="678"/>
      <c r="N33" s="674"/>
      <c r="O33" s="678"/>
      <c r="P33" s="674"/>
      <c r="Q33" s="674"/>
      <c r="R33" s="674"/>
      <c r="S33" s="674"/>
      <c r="T33" s="674"/>
      <c r="U33" s="674"/>
      <c r="V33" s="674"/>
      <c r="W33" s="674"/>
      <c r="X33" s="674"/>
      <c r="Y33" s="674"/>
      <c r="Z33" s="674"/>
      <c r="AA33" s="674"/>
      <c r="AB33" s="674"/>
      <c r="AC33" s="674"/>
      <c r="AD33" s="674"/>
      <c r="AE33" s="674"/>
      <c r="AF33" s="674"/>
      <c r="AG33" s="674"/>
      <c r="AI33" s="674"/>
      <c r="AJ33" s="714"/>
      <c r="AK33" s="714"/>
      <c r="AL33" s="714"/>
      <c r="AM33" s="714"/>
      <c r="AN33" s="714"/>
      <c r="AO33" s="714"/>
      <c r="AP33" s="714"/>
      <c r="AQ33" s="714"/>
      <c r="AR33" s="714"/>
      <c r="AS33" s="714"/>
      <c r="AT33" s="714"/>
      <c r="AU33" s="714"/>
      <c r="AV33" s="714"/>
      <c r="AW33" s="714"/>
      <c r="AX33" s="714"/>
      <c r="AY33" s="714"/>
      <c r="AZ33" s="714"/>
      <c r="BA33" s="714"/>
      <c r="BB33" s="714"/>
      <c r="BC33" s="714"/>
      <c r="BD33" s="714"/>
    </row>
    <row r="34" spans="1:56">
      <c r="A34" s="699"/>
      <c r="B34" s="678" t="s">
        <v>118</v>
      </c>
      <c r="C34" s="678"/>
      <c r="D34" s="678"/>
      <c r="E34" s="678"/>
      <c r="F34" s="678"/>
      <c r="G34" s="678"/>
      <c r="H34" s="678"/>
      <c r="I34" s="678"/>
      <c r="J34" s="678"/>
      <c r="K34" s="678"/>
      <c r="L34" s="700"/>
      <c r="M34" s="678"/>
      <c r="N34" s="674"/>
      <c r="O34" s="678"/>
      <c r="P34" s="674"/>
      <c r="Q34" s="674"/>
      <c r="R34" s="674"/>
      <c r="S34" s="674"/>
      <c r="T34" s="674"/>
      <c r="U34" s="674"/>
      <c r="V34" s="674"/>
      <c r="W34" s="674"/>
      <c r="X34" s="674"/>
      <c r="Y34" s="674"/>
      <c r="Z34" s="674"/>
      <c r="AA34" s="674"/>
      <c r="AB34" s="674"/>
      <c r="AC34" s="674"/>
      <c r="AD34" s="674"/>
      <c r="AE34" s="674"/>
      <c r="AF34" s="674"/>
      <c r="AG34" s="674"/>
      <c r="AI34" s="674"/>
      <c r="AJ34" s="714"/>
      <c r="AK34" s="714"/>
      <c r="AL34" s="714"/>
      <c r="AM34" s="714"/>
      <c r="AN34" s="714"/>
      <c r="AO34" s="714"/>
      <c r="AP34" s="714"/>
      <c r="AQ34" s="714"/>
      <c r="AR34" s="714"/>
      <c r="AS34" s="714"/>
      <c r="AT34" s="714"/>
      <c r="AU34" s="714"/>
      <c r="AV34" s="714"/>
      <c r="AW34" s="714"/>
      <c r="AX34" s="714"/>
      <c r="AY34" s="714"/>
      <c r="AZ34" s="714"/>
      <c r="BA34" s="714"/>
      <c r="BB34" s="714"/>
      <c r="BC34" s="714"/>
      <c r="BD34" s="714"/>
    </row>
    <row r="35" spans="1:56">
      <c r="A35" s="699"/>
      <c r="B35" s="678" t="s">
        <v>427</v>
      </c>
      <c r="C35" s="678"/>
      <c r="D35" s="678"/>
      <c r="E35" s="678"/>
      <c r="F35" s="678"/>
      <c r="G35" s="678"/>
      <c r="H35" s="678"/>
      <c r="I35" s="678"/>
      <c r="J35" s="678"/>
      <c r="K35" s="678"/>
      <c r="L35" s="700"/>
      <c r="M35" s="678"/>
      <c r="N35" s="674"/>
      <c r="O35" s="678"/>
      <c r="P35" s="674"/>
      <c r="Q35" s="674"/>
      <c r="R35" s="674"/>
      <c r="S35" s="674"/>
      <c r="T35" s="674"/>
      <c r="U35" s="674"/>
      <c r="V35" s="674"/>
      <c r="W35" s="674"/>
      <c r="X35" s="674"/>
      <c r="Y35" s="674"/>
      <c r="Z35" s="674"/>
      <c r="AA35" s="674"/>
      <c r="AB35" s="674"/>
      <c r="AC35" s="674"/>
      <c r="AD35" s="674"/>
      <c r="AE35" s="674"/>
      <c r="AF35" s="674"/>
      <c r="AG35" s="674"/>
      <c r="AI35" s="674"/>
      <c r="AJ35" s="714"/>
      <c r="AK35" s="714"/>
      <c r="AL35" s="714"/>
      <c r="AM35" s="714"/>
      <c r="AN35" s="714"/>
      <c r="AO35" s="714"/>
      <c r="AP35" s="714"/>
      <c r="AQ35" s="714"/>
      <c r="AR35" s="714"/>
      <c r="AS35" s="714"/>
      <c r="AT35" s="714"/>
      <c r="AU35" s="714"/>
      <c r="AV35" s="714"/>
      <c r="AW35" s="714"/>
      <c r="AX35" s="714"/>
      <c r="AY35" s="714"/>
      <c r="AZ35" s="714"/>
      <c r="BA35" s="714"/>
      <c r="BB35" s="714"/>
      <c r="BC35" s="714"/>
      <c r="BD35" s="714"/>
    </row>
    <row r="36" spans="1:56">
      <c r="A36" s="699"/>
      <c r="B36" s="678" t="s">
        <v>119</v>
      </c>
      <c r="C36" s="678"/>
      <c r="D36" s="678"/>
      <c r="E36" s="678"/>
      <c r="F36" s="678"/>
      <c r="G36" s="678"/>
      <c r="H36" s="678"/>
      <c r="I36" s="678"/>
      <c r="J36" s="678"/>
      <c r="K36" s="678"/>
      <c r="L36" s="700"/>
      <c r="M36" s="678"/>
      <c r="N36" s="674"/>
      <c r="O36" s="678"/>
      <c r="P36" s="674"/>
      <c r="Q36" s="674"/>
      <c r="R36" s="674"/>
      <c r="S36" s="674"/>
      <c r="T36" s="674"/>
      <c r="U36" s="674"/>
      <c r="V36" s="674"/>
      <c r="W36" s="674"/>
      <c r="X36" s="674"/>
      <c r="Y36" s="674"/>
      <c r="Z36" s="674"/>
      <c r="AA36" s="674"/>
      <c r="AB36" s="674"/>
      <c r="AC36" s="674"/>
      <c r="AD36" s="674"/>
      <c r="AE36" s="674"/>
      <c r="AF36" s="674"/>
      <c r="AG36" s="674"/>
      <c r="AI36" s="674"/>
      <c r="AJ36" s="714"/>
      <c r="AK36" s="714"/>
      <c r="AL36" s="714"/>
      <c r="AM36" s="714"/>
      <c r="AN36" s="714"/>
      <c r="AO36" s="714"/>
      <c r="AP36" s="714"/>
      <c r="AQ36" s="714"/>
      <c r="AR36" s="714"/>
      <c r="AS36" s="714"/>
      <c r="AT36" s="714"/>
      <c r="AU36" s="714"/>
      <c r="AV36" s="714"/>
      <c r="AW36" s="714"/>
      <c r="AX36" s="714"/>
      <c r="AY36" s="714"/>
      <c r="AZ36" s="714"/>
      <c r="BA36" s="714"/>
      <c r="BB36" s="714"/>
      <c r="BC36" s="714"/>
      <c r="BD36" s="714"/>
    </row>
    <row r="37" spans="1:56">
      <c r="A37" s="699"/>
      <c r="B37" s="678" t="s">
        <v>428</v>
      </c>
      <c r="C37" s="678"/>
      <c r="D37" s="678"/>
      <c r="E37" s="678"/>
      <c r="F37" s="678"/>
      <c r="G37" s="678"/>
      <c r="H37" s="678"/>
      <c r="I37" s="678"/>
      <c r="J37" s="678"/>
      <c r="K37" s="678"/>
      <c r="L37" s="700"/>
      <c r="M37" s="678"/>
      <c r="N37" s="674"/>
      <c r="O37" s="678"/>
      <c r="P37" s="674"/>
      <c r="Q37" s="674"/>
      <c r="R37" s="674"/>
      <c r="S37" s="674"/>
      <c r="T37" s="674"/>
      <c r="U37" s="674"/>
      <c r="V37" s="674"/>
      <c r="W37" s="674"/>
      <c r="X37" s="674"/>
      <c r="Y37" s="674"/>
      <c r="Z37" s="674"/>
      <c r="AA37" s="674"/>
      <c r="AB37" s="674"/>
      <c r="AC37" s="674"/>
      <c r="AD37" s="674"/>
      <c r="AE37" s="674"/>
      <c r="AF37" s="674"/>
      <c r="AG37" s="674"/>
      <c r="AI37" s="674"/>
      <c r="AJ37" s="714"/>
      <c r="AK37" s="714"/>
      <c r="AL37" s="714"/>
      <c r="AM37" s="714"/>
      <c r="AN37" s="714"/>
      <c r="AO37" s="714"/>
      <c r="AP37" s="714"/>
      <c r="AQ37" s="714"/>
      <c r="AR37" s="714"/>
      <c r="AS37" s="714"/>
      <c r="AT37" s="714"/>
      <c r="AU37" s="714"/>
      <c r="AV37" s="714"/>
      <c r="AW37" s="714"/>
      <c r="AX37" s="714"/>
      <c r="AY37" s="714"/>
      <c r="AZ37" s="714"/>
      <c r="BA37" s="714"/>
      <c r="BB37" s="714"/>
      <c r="BC37" s="714"/>
      <c r="BD37" s="714"/>
    </row>
    <row r="38" spans="1:56">
      <c r="A38" s="699"/>
      <c r="B38" s="678"/>
      <c r="C38" s="678"/>
      <c r="D38" s="678"/>
      <c r="E38" s="678"/>
      <c r="F38" s="678"/>
      <c r="G38" s="678"/>
      <c r="H38" s="678"/>
      <c r="I38" s="678"/>
      <c r="J38" s="678"/>
      <c r="K38" s="678"/>
      <c r="L38" s="700"/>
      <c r="M38" s="678"/>
      <c r="N38" s="674"/>
      <c r="O38" s="678"/>
      <c r="P38" s="674"/>
      <c r="Q38" s="674"/>
      <c r="R38" s="674"/>
      <c r="S38" s="674"/>
      <c r="T38" s="674"/>
      <c r="U38" s="674"/>
      <c r="V38" s="674"/>
      <c r="W38" s="674"/>
      <c r="X38" s="674"/>
      <c r="Y38" s="674"/>
      <c r="Z38" s="674"/>
      <c r="AA38" s="674"/>
      <c r="AB38" s="674"/>
      <c r="AC38" s="674"/>
      <c r="AD38" s="674"/>
      <c r="AE38" s="674"/>
      <c r="AF38" s="674"/>
      <c r="AG38" s="674"/>
      <c r="AI38" s="674"/>
      <c r="AJ38" s="714"/>
      <c r="AK38" s="714"/>
      <c r="AL38" s="714"/>
      <c r="AM38" s="714"/>
      <c r="AN38" s="714"/>
      <c r="AO38" s="714"/>
      <c r="AP38" s="714"/>
      <c r="AQ38" s="714"/>
      <c r="AR38" s="714"/>
      <c r="AS38" s="714"/>
      <c r="AT38" s="714"/>
      <c r="AU38" s="714"/>
      <c r="AV38" s="714"/>
      <c r="AW38" s="714"/>
      <c r="AX38" s="714"/>
      <c r="AY38" s="714"/>
      <c r="AZ38" s="714"/>
      <c r="BA38" s="714"/>
      <c r="BB38" s="714"/>
      <c r="BC38" s="714"/>
      <c r="BD38" s="714"/>
    </row>
    <row r="39" spans="1:56">
      <c r="A39" s="155" t="s">
        <v>2689</v>
      </c>
      <c r="B39" s="678"/>
      <c r="C39" s="678"/>
      <c r="D39" s="678"/>
      <c r="E39" s="678"/>
      <c r="F39" s="678"/>
      <c r="G39" s="678"/>
      <c r="H39" s="678"/>
      <c r="I39" s="678"/>
      <c r="J39" s="678"/>
      <c r="K39" s="678"/>
      <c r="L39" s="700"/>
      <c r="M39" s="678"/>
      <c r="N39" s="674"/>
      <c r="O39" s="678"/>
      <c r="P39" s="674"/>
      <c r="Q39" s="674"/>
      <c r="R39" s="674"/>
      <c r="S39" s="674"/>
      <c r="T39" s="674"/>
      <c r="U39" s="674"/>
      <c r="V39" s="674"/>
      <c r="W39" s="674"/>
      <c r="X39" s="674"/>
      <c r="Y39" s="674"/>
      <c r="Z39" s="674"/>
      <c r="AA39" s="674"/>
      <c r="AB39" s="674"/>
      <c r="AC39" s="674"/>
      <c r="AD39" s="674"/>
      <c r="AE39" s="674"/>
      <c r="AF39" s="674"/>
      <c r="AG39" s="674"/>
      <c r="AI39" s="674"/>
      <c r="AJ39" s="714"/>
      <c r="AK39" s="714"/>
      <c r="AL39" s="714"/>
      <c r="AM39" s="714"/>
      <c r="AN39" s="714"/>
      <c r="AO39" s="714"/>
      <c r="AP39" s="714"/>
      <c r="AQ39" s="714"/>
      <c r="AR39" s="714"/>
      <c r="AS39" s="714"/>
      <c r="AT39" s="714"/>
      <c r="AU39" s="714"/>
      <c r="AV39" s="714"/>
      <c r="AW39" s="714"/>
      <c r="AX39" s="714"/>
      <c r="AY39" s="714"/>
      <c r="AZ39" s="714"/>
      <c r="BA39" s="714"/>
      <c r="BB39" s="714"/>
      <c r="BC39" s="714"/>
      <c r="BD39" s="714"/>
    </row>
    <row r="40" spans="1:56">
      <c r="A40" s="696" t="s">
        <v>424</v>
      </c>
      <c r="B40" s="697"/>
      <c r="C40" s="678"/>
      <c r="D40" s="678"/>
      <c r="E40" s="697" t="s">
        <v>120</v>
      </c>
      <c r="F40" s="697"/>
      <c r="G40" s="697"/>
      <c r="H40" s="697"/>
      <c r="I40" s="701"/>
      <c r="J40" s="674"/>
      <c r="K40" s="701"/>
      <c r="L40" s="702" t="s">
        <v>121</v>
      </c>
      <c r="M40" s="678"/>
      <c r="N40" s="674"/>
      <c r="O40" s="678"/>
      <c r="P40" s="674"/>
      <c r="Q40" s="674"/>
      <c r="R40" s="674"/>
      <c r="S40" s="674"/>
      <c r="T40" s="674"/>
      <c r="U40" s="674"/>
      <c r="V40" s="674"/>
      <c r="W40" s="674"/>
      <c r="X40" s="674"/>
      <c r="Y40" s="674"/>
      <c r="Z40" s="674"/>
      <c r="AA40" s="674"/>
      <c r="AB40" s="674"/>
      <c r="AC40" s="674"/>
      <c r="AD40" s="674"/>
      <c r="AE40" s="674"/>
      <c r="AF40" s="674"/>
      <c r="AG40" s="674"/>
      <c r="AI40" s="674"/>
      <c r="AJ40" s="714"/>
      <c r="AK40" s="714"/>
      <c r="AL40" s="714"/>
      <c r="AM40" s="714"/>
      <c r="AN40" s="714"/>
      <c r="AO40" s="714"/>
      <c r="AP40" s="714"/>
      <c r="AQ40" s="714"/>
      <c r="AR40" s="714"/>
      <c r="AS40" s="714"/>
      <c r="AT40" s="714"/>
      <c r="AU40" s="714"/>
      <c r="AV40" s="714"/>
      <c r="AW40" s="714"/>
      <c r="AX40" s="714"/>
      <c r="AY40" s="714"/>
      <c r="AZ40" s="714"/>
      <c r="BA40" s="714"/>
      <c r="BB40" s="714"/>
      <c r="BC40" s="714"/>
      <c r="BD40" s="714"/>
    </row>
    <row r="41" spans="1:56">
      <c r="A41" s="703"/>
      <c r="B41" s="681"/>
      <c r="C41" s="681"/>
      <c r="D41" s="681"/>
      <c r="E41" s="681"/>
      <c r="F41" s="681"/>
      <c r="G41" s="681"/>
      <c r="H41" s="681"/>
      <c r="I41" s="681"/>
      <c r="J41" s="681"/>
      <c r="K41" s="681"/>
      <c r="L41" s="704"/>
      <c r="M41" s="678"/>
      <c r="N41" s="705" t="s">
        <v>122</v>
      </c>
      <c r="O41" s="678"/>
      <c r="P41" s="674"/>
      <c r="Q41" s="674"/>
      <c r="R41" s="674"/>
      <c r="S41" s="674"/>
      <c r="T41" s="674"/>
      <c r="U41" s="674"/>
      <c r="V41" s="674"/>
      <c r="W41" s="674"/>
      <c r="X41" s="674"/>
      <c r="Y41" s="674"/>
      <c r="Z41" s="674"/>
      <c r="AA41" s="674"/>
      <c r="AB41" s="674"/>
      <c r="AC41" s="674"/>
      <c r="AD41" s="674"/>
      <c r="AE41" s="674"/>
      <c r="AF41" s="674"/>
      <c r="AG41" s="674"/>
      <c r="AI41" s="674"/>
      <c r="AJ41" s="714"/>
      <c r="AK41" s="714"/>
      <c r="AL41" s="714"/>
      <c r="AM41" s="714"/>
      <c r="AN41" s="714"/>
      <c r="AO41" s="714"/>
      <c r="AP41" s="714"/>
      <c r="AQ41" s="714"/>
      <c r="AR41" s="714"/>
      <c r="AS41" s="714"/>
      <c r="AT41" s="714"/>
      <c r="AU41" s="714"/>
      <c r="AV41" s="714"/>
      <c r="AW41" s="714"/>
      <c r="AX41" s="714"/>
      <c r="AY41" s="714"/>
      <c r="AZ41" s="714"/>
      <c r="BA41" s="714"/>
      <c r="BB41" s="714"/>
      <c r="BC41" s="714"/>
      <c r="BD41" s="714"/>
    </row>
    <row r="42" spans="1:56">
      <c r="AI42" s="674"/>
      <c r="AJ42" s="714"/>
      <c r="AK42" s="714"/>
      <c r="AL42" s="714"/>
      <c r="AM42" s="714"/>
      <c r="AN42" s="714"/>
      <c r="AO42" s="714"/>
      <c r="AP42" s="714"/>
      <c r="AQ42" s="714"/>
      <c r="AR42" s="714"/>
      <c r="AS42" s="714"/>
      <c r="AT42" s="714"/>
      <c r="AU42" s="714"/>
      <c r="AV42" s="714"/>
      <c r="AW42" s="714"/>
      <c r="AX42" s="714"/>
      <c r="AY42" s="714"/>
      <c r="AZ42" s="714"/>
      <c r="BA42" s="714"/>
      <c r="BB42" s="714"/>
      <c r="BC42" s="714"/>
      <c r="BD42" s="714"/>
    </row>
    <row r="43" spans="1:56">
      <c r="AI43" s="674"/>
      <c r="AJ43" s="714"/>
      <c r="AK43" s="714"/>
      <c r="AL43" s="714"/>
      <c r="AM43" s="714"/>
      <c r="AN43" s="714"/>
      <c r="AO43" s="714"/>
      <c r="AP43" s="714"/>
      <c r="AQ43" s="714"/>
      <c r="AR43" s="714"/>
      <c r="AS43" s="714"/>
      <c r="AT43" s="714"/>
      <c r="AU43" s="714"/>
      <c r="AV43" s="714"/>
      <c r="AW43" s="714"/>
      <c r="AX43" s="714"/>
      <c r="AY43" s="714"/>
      <c r="AZ43" s="714"/>
      <c r="BA43" s="714"/>
      <c r="BB43" s="714"/>
      <c r="BC43" s="714"/>
      <c r="BD43" s="714"/>
    </row>
    <row r="44" spans="1:56">
      <c r="AI44" s="674"/>
      <c r="AJ44" s="714"/>
      <c r="AK44" s="714"/>
      <c r="AL44" s="714"/>
      <c r="AM44" s="714"/>
      <c r="AN44" s="714"/>
      <c r="AO44" s="714"/>
      <c r="AP44" s="714"/>
      <c r="AQ44" s="714"/>
      <c r="AR44" s="714"/>
      <c r="AS44" s="714"/>
      <c r="AT44" s="714"/>
      <c r="AU44" s="714"/>
      <c r="AV44" s="714"/>
      <c r="AW44" s="714"/>
      <c r="AX44" s="714"/>
      <c r="AY44" s="714"/>
      <c r="AZ44" s="714"/>
      <c r="BA44" s="714"/>
      <c r="BB44" s="714"/>
      <c r="BC44" s="714"/>
      <c r="BD44" s="714"/>
    </row>
    <row r="45" spans="1:56">
      <c r="A45" s="671" t="s">
        <v>204</v>
      </c>
      <c r="B45" s="672"/>
      <c r="C45" s="672"/>
      <c r="D45" s="672"/>
      <c r="E45" s="672"/>
      <c r="F45" s="672"/>
      <c r="G45" s="673"/>
      <c r="H45" s="706"/>
      <c r="I45" s="672"/>
      <c r="J45" s="672"/>
      <c r="K45" s="672"/>
      <c r="L45" s="672"/>
      <c r="M45" s="672"/>
      <c r="N45" s="672"/>
      <c r="O45" s="672"/>
      <c r="P45" s="672"/>
      <c r="Q45" s="673"/>
      <c r="R45" s="673"/>
      <c r="S45" s="674"/>
      <c r="T45" s="705" t="s">
        <v>123</v>
      </c>
      <c r="U45" s="674"/>
      <c r="V45" s="674"/>
      <c r="W45" s="674"/>
      <c r="X45" s="674"/>
      <c r="Y45" s="674"/>
      <c r="Z45" s="674"/>
      <c r="AA45" s="674"/>
      <c r="AB45" s="674"/>
      <c r="AC45" s="674"/>
      <c r="AD45" s="674"/>
      <c r="AE45" s="674"/>
      <c r="AF45" s="674"/>
      <c r="AG45" s="674"/>
      <c r="AI45" s="674"/>
      <c r="AJ45" s="714"/>
      <c r="AK45" s="714"/>
      <c r="AL45" s="714"/>
      <c r="AM45" s="714"/>
      <c r="AN45" s="714"/>
      <c r="AO45" s="714"/>
      <c r="AP45" s="714"/>
      <c r="AQ45" s="714"/>
      <c r="AR45" s="714"/>
      <c r="AS45" s="714"/>
      <c r="AT45" s="714"/>
      <c r="AU45" s="714"/>
      <c r="AV45" s="714"/>
      <c r="AW45" s="714"/>
      <c r="AX45" s="714"/>
      <c r="AY45" s="714"/>
      <c r="AZ45" s="714"/>
      <c r="BA45" s="714"/>
      <c r="BB45" s="714"/>
      <c r="BC45" s="714"/>
      <c r="BD45" s="714"/>
    </row>
    <row r="46" spans="1:56">
      <c r="A46" s="671" t="s">
        <v>429</v>
      </c>
      <c r="B46" s="672"/>
      <c r="C46" s="672"/>
      <c r="D46" s="672"/>
      <c r="E46" s="672"/>
      <c r="F46" s="672"/>
      <c r="G46" s="672"/>
      <c r="H46" s="706"/>
      <c r="I46" s="672"/>
      <c r="J46" s="672"/>
      <c r="K46" s="672"/>
      <c r="L46" s="672"/>
      <c r="M46" s="672"/>
      <c r="N46" s="672"/>
      <c r="O46" s="672"/>
      <c r="P46" s="673"/>
      <c r="Q46" s="673"/>
      <c r="R46" s="673"/>
      <c r="S46" s="674"/>
      <c r="T46" s="672"/>
      <c r="U46" s="674"/>
      <c r="V46" s="674"/>
      <c r="W46" s="674"/>
      <c r="X46" s="674"/>
      <c r="Y46" s="674"/>
      <c r="Z46" s="674"/>
      <c r="AA46" s="674"/>
      <c r="AB46" s="674"/>
      <c r="AC46" s="674"/>
      <c r="AD46" s="674"/>
      <c r="AE46" s="674"/>
      <c r="AF46" s="674"/>
      <c r="AG46" s="674"/>
      <c r="AI46" s="674"/>
      <c r="AJ46" s="714"/>
      <c r="AK46" s="714"/>
      <c r="AL46" s="714"/>
      <c r="AM46" s="714"/>
      <c r="AN46" s="714"/>
      <c r="AO46" s="714"/>
      <c r="AP46" s="714"/>
      <c r="AQ46" s="714"/>
      <c r="AR46" s="714"/>
      <c r="AS46" s="714"/>
      <c r="AT46" s="714"/>
      <c r="AU46" s="714"/>
      <c r="AV46" s="714"/>
      <c r="AW46" s="714"/>
      <c r="AX46" s="714"/>
      <c r="AY46" s="714"/>
      <c r="AZ46" s="714"/>
      <c r="BA46" s="714"/>
      <c r="BB46" s="714"/>
      <c r="BC46" s="714"/>
      <c r="BD46" s="714"/>
    </row>
    <row r="47" spans="1:56">
      <c r="A47" s="707" t="str">
        <f>A3</f>
        <v>December 2021</v>
      </c>
      <c r="B47" s="672"/>
      <c r="C47" s="672"/>
      <c r="D47" s="672"/>
      <c r="E47" s="672"/>
      <c r="F47" s="672"/>
      <c r="G47" s="672"/>
      <c r="H47" s="671"/>
      <c r="I47" s="673"/>
      <c r="J47" s="672"/>
      <c r="K47" s="672"/>
      <c r="L47" s="672"/>
      <c r="M47" s="672"/>
      <c r="N47" s="672"/>
      <c r="O47" s="672"/>
      <c r="P47" s="672"/>
      <c r="Q47" s="673"/>
      <c r="R47" s="673"/>
      <c r="S47" s="708"/>
      <c r="T47" s="708"/>
      <c r="U47" s="708"/>
      <c r="V47" s="674"/>
      <c r="W47" s="674"/>
      <c r="X47" s="674"/>
      <c r="Y47" s="674"/>
      <c r="Z47" s="674"/>
      <c r="AA47" s="674"/>
      <c r="AB47" s="674"/>
      <c r="AC47" s="674"/>
      <c r="AD47" s="674"/>
      <c r="AE47" s="674"/>
      <c r="AF47" s="674"/>
      <c r="AG47" s="674"/>
      <c r="AI47" s="674"/>
      <c r="AJ47" s="714"/>
      <c r="AK47" s="714"/>
      <c r="AL47" s="714"/>
      <c r="AM47" s="714"/>
      <c r="AN47" s="714"/>
      <c r="AO47" s="714"/>
      <c r="AP47" s="714"/>
      <c r="AQ47" s="714"/>
      <c r="AR47" s="714"/>
      <c r="AS47" s="714"/>
      <c r="AT47" s="714"/>
      <c r="AU47" s="714"/>
      <c r="AV47" s="714"/>
      <c r="AW47" s="714"/>
      <c r="AX47" s="714"/>
      <c r="AY47" s="714"/>
      <c r="AZ47" s="714"/>
      <c r="BA47" s="714"/>
      <c r="BB47" s="714"/>
      <c r="BC47" s="714"/>
      <c r="BD47" s="714"/>
    </row>
    <row r="48" spans="1:56">
      <c r="A48" s="707" t="str">
        <f>A4</f>
        <v>(In $ Thousands)</v>
      </c>
      <c r="B48" s="672"/>
      <c r="C48" s="672"/>
      <c r="D48" s="672"/>
      <c r="E48" s="672"/>
      <c r="F48" s="672"/>
      <c r="G48" s="672"/>
      <c r="H48" s="671"/>
      <c r="I48" s="673"/>
      <c r="J48" s="672"/>
      <c r="K48" s="672"/>
      <c r="L48" s="672"/>
      <c r="M48" s="672"/>
      <c r="N48" s="672"/>
      <c r="O48" s="672"/>
      <c r="P48" s="672"/>
      <c r="Q48" s="673"/>
      <c r="R48" s="673"/>
      <c r="S48" s="708"/>
      <c r="T48" s="708"/>
      <c r="U48" s="708"/>
      <c r="V48" s="674"/>
      <c r="W48" s="674"/>
      <c r="X48" s="674"/>
      <c r="Y48" s="674"/>
      <c r="Z48" s="674"/>
      <c r="AA48" s="674"/>
      <c r="AB48" s="674"/>
      <c r="AC48" s="674"/>
      <c r="AD48" s="674"/>
      <c r="AE48" s="674"/>
      <c r="AF48" s="674"/>
      <c r="AG48" s="674"/>
      <c r="AI48" s="674"/>
      <c r="AJ48" s="714"/>
      <c r="AK48" s="714"/>
      <c r="AL48" s="714"/>
      <c r="AM48" s="714"/>
      <c r="AN48" s="714"/>
      <c r="AO48" s="714"/>
      <c r="AP48" s="714"/>
      <c r="AQ48" s="714"/>
      <c r="AR48" s="714"/>
      <c r="AS48" s="714"/>
      <c r="AT48" s="714"/>
      <c r="AU48" s="714"/>
      <c r="AV48" s="714"/>
      <c r="AW48" s="714"/>
      <c r="AX48" s="714"/>
      <c r="AY48" s="714"/>
      <c r="AZ48" s="714"/>
      <c r="BA48" s="714"/>
      <c r="BB48" s="714"/>
      <c r="BC48" s="714"/>
      <c r="BD48" s="714"/>
    </row>
    <row r="49" spans="1:56">
      <c r="A49" s="678"/>
      <c r="B49" s="678"/>
      <c r="C49" s="678"/>
      <c r="D49" s="678"/>
      <c r="E49" s="678"/>
      <c r="F49" s="678"/>
      <c r="G49" s="678"/>
      <c r="H49" s="678"/>
      <c r="I49" s="678"/>
      <c r="J49" s="678"/>
      <c r="K49" s="678"/>
      <c r="L49" s="678"/>
      <c r="M49" s="678"/>
      <c r="N49" s="678"/>
      <c r="O49" s="678"/>
      <c r="P49" s="674"/>
      <c r="Q49" s="674"/>
      <c r="R49" s="674"/>
      <c r="S49" s="674"/>
      <c r="T49" s="674"/>
      <c r="U49" s="674"/>
      <c r="V49" s="674"/>
      <c r="W49" s="674"/>
      <c r="X49" s="674"/>
      <c r="Y49" s="674"/>
      <c r="Z49" s="674"/>
      <c r="AA49" s="674"/>
      <c r="AB49" s="674"/>
      <c r="AC49" s="674"/>
      <c r="AD49" s="674"/>
      <c r="AE49" s="674"/>
      <c r="AF49" s="674"/>
      <c r="AG49" s="674"/>
      <c r="AI49" s="674"/>
      <c r="AJ49" s="714"/>
      <c r="AK49" s="714"/>
      <c r="AL49" s="714"/>
      <c r="AM49" s="714"/>
      <c r="AN49" s="714"/>
      <c r="AO49" s="714"/>
      <c r="AP49" s="714"/>
      <c r="AQ49" s="714"/>
      <c r="AR49" s="714"/>
      <c r="AS49" s="714"/>
      <c r="AT49" s="714"/>
      <c r="AU49" s="714"/>
      <c r="AV49" s="714"/>
      <c r="AW49" s="714"/>
      <c r="AX49" s="714"/>
      <c r="AY49" s="714"/>
      <c r="AZ49" s="714"/>
      <c r="BA49" s="714"/>
      <c r="BB49" s="714"/>
      <c r="BC49" s="714"/>
      <c r="BD49" s="714"/>
    </row>
    <row r="50" spans="1:56">
      <c r="B50" s="709"/>
      <c r="C50" s="709"/>
      <c r="D50" s="709"/>
      <c r="E50" s="709"/>
      <c r="F50" s="709"/>
      <c r="G50" s="709"/>
      <c r="H50" s="709"/>
      <c r="I50" s="709"/>
      <c r="J50" s="709"/>
      <c r="K50" s="709"/>
      <c r="L50" s="709"/>
      <c r="M50" s="709"/>
      <c r="N50" s="709"/>
      <c r="O50" s="709"/>
      <c r="P50" s="709"/>
      <c r="Q50" s="709"/>
      <c r="R50" s="709"/>
      <c r="S50" s="709"/>
      <c r="T50" s="709"/>
      <c r="AI50" s="674"/>
      <c r="AJ50" s="714"/>
      <c r="AK50" s="714"/>
      <c r="AL50" s="714"/>
      <c r="AM50" s="714"/>
      <c r="AN50" s="714"/>
      <c r="AO50" s="714"/>
      <c r="AP50" s="714"/>
      <c r="AQ50" s="714"/>
      <c r="AR50" s="714"/>
      <c r="AS50" s="714"/>
      <c r="AT50" s="714"/>
      <c r="AU50" s="714"/>
      <c r="AV50" s="714"/>
      <c r="AW50" s="714"/>
      <c r="AX50" s="714"/>
      <c r="AY50" s="714"/>
      <c r="AZ50" s="714"/>
      <c r="BA50" s="714"/>
      <c r="BB50" s="714"/>
      <c r="BC50" s="714"/>
      <c r="BD50" s="714"/>
    </row>
    <row r="51" spans="1:56">
      <c r="A51" s="674"/>
      <c r="B51" s="693" t="s">
        <v>94</v>
      </c>
      <c r="C51" s="674"/>
      <c r="D51" s="693" t="s">
        <v>95</v>
      </c>
      <c r="E51" s="674"/>
      <c r="F51" s="693" t="s">
        <v>96</v>
      </c>
      <c r="G51" s="674"/>
      <c r="H51" s="693" t="s">
        <v>97</v>
      </c>
      <c r="I51" s="674"/>
      <c r="J51" s="693" t="s">
        <v>98</v>
      </c>
      <c r="K51" s="674"/>
      <c r="L51" s="693" t="s">
        <v>124</v>
      </c>
      <c r="M51" s="674"/>
      <c r="N51" s="693" t="s">
        <v>125</v>
      </c>
      <c r="O51" s="674"/>
      <c r="P51" s="693" t="s">
        <v>126</v>
      </c>
      <c r="Q51" s="674"/>
      <c r="R51" s="693" t="s">
        <v>127</v>
      </c>
      <c r="S51" s="674"/>
      <c r="T51" s="693" t="s">
        <v>128</v>
      </c>
      <c r="U51" s="674"/>
      <c r="V51" s="674"/>
      <c r="W51" s="674"/>
      <c r="X51" s="674"/>
      <c r="Y51" s="674"/>
      <c r="Z51" s="674"/>
      <c r="AA51" s="674"/>
      <c r="AB51" s="674"/>
      <c r="AC51" s="674"/>
      <c r="AD51" s="674"/>
      <c r="AE51" s="674"/>
      <c r="AF51" s="674"/>
      <c r="AG51" s="674"/>
      <c r="AI51" s="674"/>
      <c r="AJ51" s="714"/>
      <c r="AK51" s="714"/>
      <c r="AL51" s="714"/>
      <c r="AM51" s="714"/>
      <c r="AN51" s="714"/>
      <c r="AO51" s="714"/>
      <c r="AP51" s="714"/>
      <c r="AQ51" s="714"/>
      <c r="AR51" s="714"/>
      <c r="AS51" s="714"/>
      <c r="AT51" s="714"/>
      <c r="AU51" s="714"/>
      <c r="AV51" s="714"/>
      <c r="AW51" s="714"/>
      <c r="AX51" s="714"/>
      <c r="AY51" s="714"/>
      <c r="AZ51" s="714"/>
      <c r="BA51" s="714"/>
      <c r="BB51" s="714"/>
      <c r="BC51" s="714"/>
      <c r="BD51" s="714"/>
    </row>
    <row r="52" spans="1:56">
      <c r="A52" s="674"/>
      <c r="B52" s="674"/>
      <c r="C52" s="674"/>
      <c r="D52" s="693" t="s">
        <v>333</v>
      </c>
      <c r="E52" s="674"/>
      <c r="F52" s="693" t="s">
        <v>328</v>
      </c>
      <c r="G52" s="674"/>
      <c r="H52" s="693" t="s">
        <v>338</v>
      </c>
      <c r="I52" s="674"/>
      <c r="J52" s="693" t="s">
        <v>339</v>
      </c>
      <c r="K52" s="674"/>
      <c r="L52" s="674"/>
      <c r="M52" s="674"/>
      <c r="N52" s="693" t="s">
        <v>337</v>
      </c>
      <c r="O52" s="674"/>
      <c r="P52" s="674"/>
      <c r="Q52" s="674"/>
      <c r="R52" s="674"/>
      <c r="S52" s="674"/>
      <c r="T52" s="674"/>
      <c r="U52" s="674"/>
      <c r="V52" s="674"/>
      <c r="W52" s="674"/>
      <c r="X52" s="674"/>
      <c r="Y52" s="674"/>
      <c r="Z52" s="674"/>
      <c r="AA52" s="674"/>
      <c r="AB52" s="674"/>
      <c r="AC52" s="674"/>
      <c r="AD52" s="674"/>
      <c r="AE52" s="674"/>
      <c r="AF52" s="674"/>
      <c r="AG52" s="674"/>
      <c r="AI52" s="674"/>
      <c r="AJ52" s="714"/>
      <c r="AK52" s="714"/>
      <c r="AL52" s="714"/>
      <c r="AM52" s="714"/>
      <c r="AN52" s="714"/>
      <c r="AO52" s="714"/>
      <c r="AP52" s="714"/>
      <c r="AQ52" s="714"/>
      <c r="AR52" s="714"/>
      <c r="AS52" s="714"/>
      <c r="AT52" s="714"/>
      <c r="AU52" s="714"/>
      <c r="AV52" s="714"/>
      <c r="AW52" s="714"/>
      <c r="AX52" s="714"/>
      <c r="AY52" s="714"/>
      <c r="AZ52" s="714"/>
      <c r="BA52" s="714"/>
      <c r="BB52" s="714"/>
      <c r="BC52" s="714"/>
      <c r="BD52" s="714"/>
    </row>
    <row r="53" spans="1:56">
      <c r="A53" s="674"/>
      <c r="B53" s="693" t="s">
        <v>331</v>
      </c>
      <c r="C53" s="674"/>
      <c r="D53" s="693" t="s">
        <v>334</v>
      </c>
      <c r="E53" s="674"/>
      <c r="F53" s="693" t="s">
        <v>329</v>
      </c>
      <c r="G53" s="674"/>
      <c r="H53" s="693" t="s">
        <v>336</v>
      </c>
      <c r="I53" s="674"/>
      <c r="J53" s="693" t="s">
        <v>331</v>
      </c>
      <c r="K53" s="674"/>
      <c r="L53" s="693" t="s">
        <v>341</v>
      </c>
      <c r="M53" s="674"/>
      <c r="N53" s="693" t="s">
        <v>343</v>
      </c>
      <c r="O53" s="674"/>
      <c r="P53" s="693" t="s">
        <v>339</v>
      </c>
      <c r="Q53" s="674"/>
      <c r="R53" s="693" t="s">
        <v>345</v>
      </c>
      <c r="S53" s="674"/>
      <c r="T53" s="693" t="s">
        <v>347</v>
      </c>
      <c r="U53" s="674"/>
      <c r="V53" s="693"/>
      <c r="W53" s="674"/>
      <c r="X53" s="674"/>
      <c r="Y53" s="674"/>
      <c r="Z53" s="674"/>
      <c r="AA53" s="674"/>
      <c r="AB53" s="674"/>
      <c r="AC53" s="674"/>
      <c r="AD53" s="674"/>
      <c r="AE53" s="674"/>
      <c r="AF53" s="674"/>
      <c r="AG53" s="674"/>
      <c r="AI53" s="674"/>
      <c r="AJ53" s="714"/>
      <c r="AK53" s="714"/>
      <c r="AL53" s="714"/>
      <c r="AM53" s="714"/>
      <c r="AN53" s="714"/>
      <c r="AO53" s="714"/>
      <c r="AP53" s="714"/>
      <c r="AQ53" s="714"/>
      <c r="AR53" s="714"/>
      <c r="AS53" s="714"/>
      <c r="AT53" s="714"/>
      <c r="AU53" s="714"/>
      <c r="AV53" s="714"/>
      <c r="AW53" s="714"/>
      <c r="AX53" s="714"/>
      <c r="AY53" s="714"/>
      <c r="AZ53" s="714"/>
      <c r="BA53" s="714"/>
      <c r="BB53" s="714"/>
      <c r="BC53" s="714"/>
      <c r="BD53" s="714"/>
    </row>
    <row r="54" spans="1:56">
      <c r="A54" s="674"/>
      <c r="B54" s="710" t="s">
        <v>332</v>
      </c>
      <c r="C54" s="674"/>
      <c r="D54" s="710" t="s">
        <v>335</v>
      </c>
      <c r="E54" s="674"/>
      <c r="F54" s="710" t="s">
        <v>330</v>
      </c>
      <c r="G54" s="674"/>
      <c r="H54" s="710" t="s">
        <v>337</v>
      </c>
      <c r="I54" s="674"/>
      <c r="J54" s="710" t="s">
        <v>340</v>
      </c>
      <c r="K54" s="674"/>
      <c r="L54" s="710" t="s">
        <v>342</v>
      </c>
      <c r="M54" s="674"/>
      <c r="N54" s="710" t="s">
        <v>344</v>
      </c>
      <c r="O54" s="674"/>
      <c r="P54" s="710" t="s">
        <v>217</v>
      </c>
      <c r="Q54" s="674"/>
      <c r="R54" s="710" t="s">
        <v>346</v>
      </c>
      <c r="S54" s="674"/>
      <c r="T54" s="710" t="s">
        <v>348</v>
      </c>
      <c r="U54" s="674"/>
      <c r="V54" s="693"/>
      <c r="W54" s="674"/>
      <c r="X54" s="674"/>
      <c r="Y54" s="674"/>
      <c r="Z54" s="674"/>
      <c r="AA54" s="674"/>
      <c r="AB54" s="674"/>
      <c r="AC54" s="674"/>
      <c r="AD54" s="674"/>
      <c r="AE54" s="674"/>
      <c r="AF54" s="674"/>
      <c r="AG54" s="674"/>
      <c r="AI54" s="674"/>
      <c r="AJ54" s="714"/>
      <c r="AK54" s="714"/>
      <c r="AL54" s="714"/>
      <c r="AM54" s="714"/>
      <c r="AN54" s="714"/>
      <c r="AO54" s="714"/>
      <c r="AP54" s="714"/>
      <c r="AQ54" s="714"/>
      <c r="AR54" s="714"/>
      <c r="AS54" s="714"/>
      <c r="AT54" s="714"/>
      <c r="AU54" s="714"/>
      <c r="AV54" s="714"/>
      <c r="AW54" s="714"/>
      <c r="AX54" s="714"/>
      <c r="AY54" s="714"/>
      <c r="AZ54" s="714"/>
      <c r="BA54" s="714"/>
      <c r="BB54" s="714"/>
      <c r="BC54" s="714"/>
      <c r="BD54" s="714"/>
    </row>
    <row r="55" spans="1:56" ht="13.9" customHeight="1">
      <c r="A55" s="674" t="s">
        <v>101</v>
      </c>
      <c r="B55" s="936">
        <f>Reconcil!C57</f>
        <v>2325440.9463230767</v>
      </c>
      <c r="C55" s="937"/>
      <c r="D55" s="936">
        <f>Reconcil!C60</f>
        <v>5031.8972399999993</v>
      </c>
      <c r="E55" s="937"/>
      <c r="F55" s="936">
        <f>-Reconcil!C63</f>
        <v>833092.27203461528</v>
      </c>
      <c r="G55" s="937"/>
      <c r="H55" s="936">
        <f>Reconcil!C149</f>
        <v>16970.398778461538</v>
      </c>
      <c r="I55" s="937"/>
      <c r="J55" s="936">
        <f>B55+D55-F55-H55</f>
        <v>1480410.1727499997</v>
      </c>
      <c r="K55" s="937"/>
      <c r="L55" s="936">
        <f>Reconcil!C58</f>
        <v>1939.5515500000001</v>
      </c>
      <c r="M55" s="937"/>
      <c r="N55" s="936">
        <f>Reconcil!C59</f>
        <v>148987.10805076922</v>
      </c>
      <c r="O55" s="937"/>
      <c r="P55" s="936">
        <f>J55+L55+N55</f>
        <v>1631336.8323507688</v>
      </c>
      <c r="Q55" s="937"/>
      <c r="R55" s="936">
        <f>Reconcil!I209</f>
        <v>-27546.023923846136</v>
      </c>
      <c r="S55" s="937"/>
      <c r="T55" s="936">
        <f>P55+R55</f>
        <v>1603790.8084269227</v>
      </c>
      <c r="U55" s="713"/>
      <c r="V55" s="712"/>
      <c r="W55" s="674"/>
      <c r="X55" s="714"/>
      <c r="Y55" s="714"/>
      <c r="Z55" s="714"/>
      <c r="AA55" s="714"/>
      <c r="AB55" s="714"/>
      <c r="AC55" s="714"/>
      <c r="AD55" s="714"/>
      <c r="AE55" s="714"/>
      <c r="AF55" s="714"/>
      <c r="AG55" s="714"/>
      <c r="AI55" s="674"/>
      <c r="AJ55" s="714"/>
      <c r="AK55" s="714"/>
      <c r="AL55" s="714"/>
      <c r="AM55" s="714"/>
      <c r="AN55" s="714"/>
      <c r="AO55" s="714"/>
      <c r="AP55" s="714"/>
      <c r="AQ55" s="714"/>
      <c r="AR55" s="714"/>
      <c r="AS55" s="714"/>
      <c r="AT55" s="714"/>
      <c r="AU55" s="714"/>
      <c r="AV55" s="714"/>
      <c r="AW55" s="714"/>
      <c r="AX55" s="714"/>
      <c r="AY55" s="714"/>
      <c r="AZ55" s="714"/>
      <c r="BA55" s="714"/>
      <c r="BB55" s="714"/>
      <c r="BC55" s="714"/>
      <c r="BD55" s="714"/>
    </row>
    <row r="56" spans="1:56">
      <c r="A56" s="674"/>
      <c r="B56" s="938"/>
      <c r="C56" s="938"/>
      <c r="D56" s="938"/>
      <c r="E56" s="938"/>
      <c r="F56" s="938"/>
      <c r="G56" s="938"/>
      <c r="H56" s="938"/>
      <c r="I56" s="938"/>
      <c r="J56" s="938"/>
      <c r="K56" s="938"/>
      <c r="L56" s="938"/>
      <c r="M56" s="938"/>
      <c r="N56" s="938"/>
      <c r="O56" s="938"/>
      <c r="P56" s="938"/>
      <c r="Q56" s="938"/>
      <c r="R56" s="938"/>
      <c r="S56" s="938"/>
      <c r="T56" s="938"/>
      <c r="U56" s="713"/>
      <c r="V56" s="712"/>
      <c r="W56" s="674"/>
      <c r="X56" s="714"/>
      <c r="Y56" s="714"/>
      <c r="Z56" s="714"/>
      <c r="AA56" s="714"/>
      <c r="AB56" s="714"/>
      <c r="AC56" s="714"/>
      <c r="AD56" s="714"/>
      <c r="AE56" s="714"/>
      <c r="AF56" s="714"/>
      <c r="AG56" s="714"/>
      <c r="AI56" s="674"/>
      <c r="AJ56" s="714"/>
      <c r="AK56" s="714"/>
      <c r="AL56" s="714"/>
      <c r="AM56" s="714"/>
      <c r="AN56" s="714"/>
      <c r="AO56" s="714"/>
      <c r="AP56" s="714"/>
      <c r="AQ56" s="714"/>
      <c r="AR56" s="714"/>
      <c r="AS56" s="714"/>
      <c r="AT56" s="714"/>
      <c r="AU56" s="714"/>
      <c r="AV56" s="714"/>
      <c r="AW56" s="714"/>
      <c r="AX56" s="714"/>
      <c r="AY56" s="714"/>
      <c r="AZ56" s="714"/>
      <c r="BA56" s="714"/>
      <c r="BB56" s="714"/>
      <c r="BC56" s="714"/>
      <c r="BD56" s="714"/>
    </row>
    <row r="57" spans="1:56">
      <c r="A57" s="715" t="s">
        <v>129</v>
      </c>
      <c r="B57" s="938"/>
      <c r="C57" s="938"/>
      <c r="D57" s="938"/>
      <c r="E57" s="938"/>
      <c r="F57" s="938"/>
      <c r="G57" s="938"/>
      <c r="H57" s="938"/>
      <c r="I57" s="938"/>
      <c r="J57" s="938"/>
      <c r="K57" s="938"/>
      <c r="L57" s="938"/>
      <c r="M57" s="938"/>
      <c r="N57" s="938"/>
      <c r="O57" s="938"/>
      <c r="P57" s="938"/>
      <c r="Q57" s="938"/>
      <c r="R57" s="938"/>
      <c r="S57" s="938"/>
      <c r="T57" s="938"/>
      <c r="U57" s="713"/>
      <c r="V57" s="712"/>
      <c r="W57" s="674"/>
      <c r="X57" s="714"/>
      <c r="Y57" s="714"/>
      <c r="Z57" s="714"/>
      <c r="AA57" s="714"/>
      <c r="AB57" s="714"/>
      <c r="AC57" s="714"/>
      <c r="AD57" s="714"/>
      <c r="AE57" s="714"/>
      <c r="AF57" s="714"/>
      <c r="AG57" s="714"/>
      <c r="AI57" s="674"/>
      <c r="AJ57" s="714"/>
      <c r="AK57" s="714"/>
      <c r="AL57" s="714"/>
      <c r="AM57" s="714"/>
      <c r="AN57" s="714"/>
      <c r="AO57" s="714"/>
      <c r="AP57" s="714"/>
      <c r="AQ57" s="714"/>
      <c r="AR57" s="714"/>
      <c r="AS57" s="714"/>
      <c r="AT57" s="714"/>
      <c r="AU57" s="714"/>
      <c r="AV57" s="714"/>
      <c r="AW57" s="714"/>
      <c r="AX57" s="714"/>
      <c r="AY57" s="714"/>
      <c r="AZ57" s="714"/>
      <c r="BA57" s="714"/>
      <c r="BB57" s="714"/>
      <c r="BC57" s="714"/>
      <c r="BD57" s="714"/>
    </row>
    <row r="58" spans="1:56">
      <c r="A58" s="674" t="s">
        <v>130</v>
      </c>
      <c r="B58" s="937"/>
      <c r="C58" s="937"/>
      <c r="D58" s="937"/>
      <c r="E58" s="937"/>
      <c r="F58" s="937"/>
      <c r="G58" s="937"/>
      <c r="H58" s="937"/>
      <c r="I58" s="937"/>
      <c r="J58" s="937"/>
      <c r="K58" s="937"/>
      <c r="L58" s="937">
        <f>-L55</f>
        <v>-1939.5515500000001</v>
      </c>
      <c r="M58" s="937"/>
      <c r="N58" s="937"/>
      <c r="O58" s="937"/>
      <c r="P58" s="937">
        <f>J58+L58+N58</f>
        <v>-1939.5515500000001</v>
      </c>
      <c r="Q58" s="937"/>
      <c r="R58" s="937"/>
      <c r="S58" s="937"/>
      <c r="T58" s="937">
        <f t="shared" ref="T58:T74" si="0">P58+R58</f>
        <v>-1939.5515500000001</v>
      </c>
      <c r="U58" s="713"/>
      <c r="V58" s="712"/>
      <c r="W58" s="716"/>
      <c r="X58" s="714"/>
      <c r="Y58" s="714"/>
      <c r="Z58" s="714"/>
      <c r="AA58" s="714"/>
      <c r="AB58" s="714"/>
      <c r="AC58" s="714"/>
      <c r="AD58" s="714"/>
      <c r="AE58" s="714"/>
      <c r="AF58" s="714"/>
      <c r="AG58" s="714"/>
      <c r="AI58" s="674"/>
      <c r="AJ58" s="714"/>
      <c r="AK58" s="714"/>
      <c r="AL58" s="714"/>
      <c r="AM58" s="714"/>
      <c r="AN58" s="714"/>
      <c r="AO58" s="714"/>
      <c r="AP58" s="714"/>
      <c r="AQ58" s="714"/>
      <c r="AR58" s="714"/>
      <c r="AS58" s="714"/>
      <c r="AT58" s="714"/>
      <c r="AU58" s="714"/>
      <c r="AV58" s="714"/>
      <c r="AW58" s="714"/>
      <c r="AX58" s="714"/>
      <c r="AY58" s="714"/>
      <c r="AZ58" s="714"/>
      <c r="BA58" s="714"/>
      <c r="BB58" s="714"/>
      <c r="BC58" s="714"/>
      <c r="BD58" s="714"/>
    </row>
    <row r="59" spans="1:56">
      <c r="A59" s="674" t="s">
        <v>131</v>
      </c>
      <c r="B59" s="937"/>
      <c r="C59" s="937"/>
      <c r="D59" s="937"/>
      <c r="E59" s="937"/>
      <c r="F59" s="937"/>
      <c r="G59" s="937"/>
      <c r="H59" s="937"/>
      <c r="I59" s="937"/>
      <c r="J59" s="937"/>
      <c r="K59" s="937"/>
      <c r="L59" s="937"/>
      <c r="M59" s="937"/>
      <c r="N59" s="937"/>
      <c r="O59" s="937"/>
      <c r="P59" s="937"/>
      <c r="Q59" s="937"/>
      <c r="R59" s="937">
        <f>-Reconcil!C76</f>
        <v>-2.95</v>
      </c>
      <c r="S59" s="937"/>
      <c r="T59" s="937">
        <f t="shared" si="0"/>
        <v>-2.95</v>
      </c>
      <c r="U59" s="713"/>
      <c r="V59" s="712"/>
      <c r="W59" s="716"/>
      <c r="X59" s="714"/>
      <c r="Y59" s="714"/>
      <c r="Z59" s="714"/>
      <c r="AA59" s="714"/>
      <c r="AB59" s="714"/>
      <c r="AC59" s="714"/>
      <c r="AD59" s="714"/>
      <c r="AE59" s="714"/>
      <c r="AF59" s="714"/>
      <c r="AG59" s="714"/>
      <c r="AI59" s="674"/>
      <c r="AJ59" s="714"/>
      <c r="AK59" s="714"/>
      <c r="AL59" s="714"/>
      <c r="AM59" s="714"/>
      <c r="AN59" s="714"/>
      <c r="AO59" s="714"/>
      <c r="AP59" s="714"/>
      <c r="AQ59" s="714"/>
      <c r="AR59" s="714"/>
      <c r="AS59" s="714"/>
      <c r="AT59" s="714"/>
      <c r="AU59" s="714"/>
      <c r="AV59" s="714"/>
      <c r="AW59" s="714"/>
      <c r="AX59" s="714"/>
      <c r="AY59" s="714"/>
      <c r="AZ59" s="714"/>
      <c r="BA59" s="714"/>
      <c r="BB59" s="714"/>
      <c r="BC59" s="714"/>
      <c r="BD59" s="714"/>
    </row>
    <row r="60" spans="1:56">
      <c r="A60" s="674" t="s">
        <v>132</v>
      </c>
      <c r="B60" s="937"/>
      <c r="C60" s="937"/>
      <c r="D60" s="937"/>
      <c r="E60" s="937"/>
      <c r="F60" s="937"/>
      <c r="G60" s="937"/>
      <c r="H60" s="937"/>
      <c r="I60" s="937"/>
      <c r="J60" s="937"/>
      <c r="K60" s="937"/>
      <c r="L60" s="937"/>
      <c r="M60" s="937"/>
      <c r="N60" s="937"/>
      <c r="O60" s="937"/>
      <c r="P60" s="937"/>
      <c r="Q60" s="937"/>
      <c r="R60" s="937">
        <f>-Reconcil!C77</f>
        <v>0</v>
      </c>
      <c r="S60" s="937"/>
      <c r="T60" s="937">
        <f t="shared" si="0"/>
        <v>0</v>
      </c>
      <c r="U60" s="713"/>
      <c r="V60" s="712"/>
      <c r="W60" s="674"/>
      <c r="X60" s="714"/>
      <c r="Y60" s="714"/>
      <c r="Z60" s="714"/>
      <c r="AA60" s="714"/>
      <c r="AB60" s="714"/>
      <c r="AC60" s="714"/>
      <c r="AD60" s="714"/>
      <c r="AE60" s="714"/>
      <c r="AF60" s="714"/>
      <c r="AG60" s="714"/>
      <c r="AI60" s="674"/>
      <c r="AJ60" s="714"/>
      <c r="AK60" s="714"/>
      <c r="AL60" s="714"/>
      <c r="AM60" s="714"/>
      <c r="AN60" s="714"/>
      <c r="AO60" s="714"/>
      <c r="AP60" s="714"/>
      <c r="AQ60" s="714"/>
      <c r="AR60" s="714"/>
      <c r="AS60" s="714"/>
      <c r="AT60" s="714"/>
      <c r="AU60" s="714"/>
      <c r="AV60" s="714"/>
      <c r="AW60" s="714"/>
      <c r="AX60" s="714"/>
      <c r="AY60" s="714"/>
      <c r="AZ60" s="714"/>
      <c r="BA60" s="714"/>
      <c r="BB60" s="714"/>
      <c r="BC60" s="714"/>
      <c r="BD60" s="714"/>
    </row>
    <row r="61" spans="1:56">
      <c r="A61" s="674" t="s">
        <v>403</v>
      </c>
      <c r="B61" s="937"/>
      <c r="C61" s="937"/>
      <c r="D61" s="937"/>
      <c r="E61" s="937"/>
      <c r="F61" s="937"/>
      <c r="G61" s="937"/>
      <c r="H61" s="937"/>
      <c r="I61" s="937"/>
      <c r="J61" s="937"/>
      <c r="K61" s="937"/>
      <c r="L61" s="937"/>
      <c r="M61" s="937"/>
      <c r="N61" s="937"/>
      <c r="O61" s="937"/>
      <c r="P61" s="937"/>
      <c r="Q61" s="937"/>
      <c r="R61" s="937">
        <f>-Reconcil!$C$81+Reconcil!$C$129</f>
        <v>-9869.4890892307703</v>
      </c>
      <c r="S61" s="937"/>
      <c r="T61" s="937">
        <f t="shared" si="0"/>
        <v>-9869.4890892307703</v>
      </c>
      <c r="U61" s="713"/>
      <c r="V61" s="712"/>
      <c r="W61" s="674"/>
      <c r="X61" s="714"/>
      <c r="Y61" s="714"/>
      <c r="Z61" s="714"/>
      <c r="AA61" s="714"/>
      <c r="AB61" s="714"/>
      <c r="AC61" s="714"/>
      <c r="AD61" s="714"/>
      <c r="AE61" s="714"/>
      <c r="AF61" s="714"/>
      <c r="AG61" s="714"/>
      <c r="AI61" s="674"/>
      <c r="AJ61" s="714"/>
      <c r="AK61" s="714"/>
      <c r="AL61" s="714"/>
      <c r="AM61" s="714"/>
      <c r="AN61" s="714"/>
      <c r="AO61" s="714"/>
      <c r="AP61" s="714"/>
      <c r="AQ61" s="714"/>
      <c r="AR61" s="714"/>
      <c r="AS61" s="714"/>
      <c r="AT61" s="714"/>
      <c r="AU61" s="714"/>
      <c r="AV61" s="714"/>
      <c r="AW61" s="714"/>
      <c r="AX61" s="714"/>
      <c r="AY61" s="714"/>
      <c r="AZ61" s="714"/>
      <c r="BA61" s="714"/>
      <c r="BB61" s="714"/>
      <c r="BC61" s="714"/>
      <c r="BD61" s="714"/>
    </row>
    <row r="62" spans="1:56">
      <c r="A62" s="953" t="s">
        <v>404</v>
      </c>
      <c r="B62" s="937"/>
      <c r="C62" s="937"/>
      <c r="D62" s="937"/>
      <c r="E62" s="937"/>
      <c r="F62" s="937"/>
      <c r="G62" s="937"/>
      <c r="H62" s="937"/>
      <c r="I62" s="937"/>
      <c r="J62" s="937"/>
      <c r="K62" s="937"/>
      <c r="L62" s="937"/>
      <c r="M62" s="937"/>
      <c r="N62" s="937"/>
      <c r="O62" s="937"/>
      <c r="P62" s="937"/>
      <c r="Q62" s="937"/>
      <c r="R62" s="937">
        <f>-Reconcil!$C$79</f>
        <v>-719.62726615384599</v>
      </c>
      <c r="S62" s="937"/>
      <c r="T62" s="937">
        <f t="shared" si="0"/>
        <v>-719.62726615384599</v>
      </c>
      <c r="U62" s="713"/>
      <c r="V62" s="712"/>
      <c r="W62" s="674"/>
      <c r="X62" s="714"/>
      <c r="Y62" s="714"/>
      <c r="Z62" s="714"/>
      <c r="AA62" s="714"/>
      <c r="AB62" s="714"/>
      <c r="AC62" s="714"/>
      <c r="AD62" s="714"/>
      <c r="AE62" s="714"/>
      <c r="AF62" s="714"/>
      <c r="AG62" s="714"/>
      <c r="AI62" s="674"/>
      <c r="AJ62" s="714"/>
      <c r="AK62" s="714"/>
      <c r="AL62" s="714"/>
      <c r="AM62" s="714"/>
      <c r="AN62" s="714"/>
      <c r="AO62" s="714"/>
      <c r="AP62" s="714"/>
      <c r="AQ62" s="714"/>
      <c r="AR62" s="714"/>
      <c r="AS62" s="714"/>
      <c r="AT62" s="714"/>
      <c r="AU62" s="714"/>
      <c r="AV62" s="714"/>
      <c r="AW62" s="714"/>
      <c r="AX62" s="714"/>
      <c r="AY62" s="714"/>
      <c r="AZ62" s="714"/>
      <c r="BA62" s="714"/>
      <c r="BB62" s="714"/>
      <c r="BC62" s="714"/>
      <c r="BD62" s="714"/>
    </row>
    <row r="63" spans="1:56">
      <c r="A63" s="674" t="s">
        <v>133</v>
      </c>
      <c r="B63" s="1170">
        <f>+-'Input Plant'!CK11/1000</f>
        <v>-1270.0059855727086</v>
      </c>
      <c r="C63" s="938"/>
      <c r="D63" s="938"/>
      <c r="E63" s="938"/>
      <c r="F63" s="1170">
        <f>+'Input Plant'!CK23/1000</f>
        <v>-391.78748325107398</v>
      </c>
      <c r="G63" s="937"/>
      <c r="H63" s="937"/>
      <c r="I63" s="937"/>
      <c r="J63" s="937">
        <f>B63+D63-F63-H63</f>
        <v>-878.21850232163456</v>
      </c>
      <c r="K63" s="937"/>
      <c r="L63" s="937"/>
      <c r="M63" s="937"/>
      <c r="N63" s="937"/>
      <c r="O63" s="937"/>
      <c r="P63" s="937">
        <f>J63+L63+N63</f>
        <v>-878.21850232163456</v>
      </c>
      <c r="Q63" s="937"/>
      <c r="R63" s="937"/>
      <c r="S63" s="937"/>
      <c r="T63" s="937">
        <f t="shared" si="0"/>
        <v>-878.21850232163456</v>
      </c>
      <c r="U63" s="713"/>
      <c r="V63" s="712"/>
      <c r="W63" s="674"/>
      <c r="X63" s="714"/>
      <c r="Y63" s="714"/>
      <c r="Z63" s="714"/>
      <c r="AA63" s="714"/>
      <c r="AB63" s="714"/>
      <c r="AC63" s="714"/>
      <c r="AD63" s="714"/>
      <c r="AE63" s="714"/>
      <c r="AF63" s="714"/>
      <c r="AG63" s="714"/>
      <c r="AI63" s="674"/>
      <c r="AJ63" s="714"/>
      <c r="AK63" s="714"/>
      <c r="AL63" s="714"/>
      <c r="AM63" s="714"/>
      <c r="AN63" s="714"/>
      <c r="AO63" s="714"/>
      <c r="AP63" s="714"/>
      <c r="AQ63" s="714"/>
      <c r="AR63" s="714"/>
      <c r="AS63" s="714"/>
      <c r="AT63" s="714"/>
      <c r="AU63" s="714"/>
      <c r="AV63" s="714"/>
      <c r="AW63" s="714"/>
      <c r="AX63" s="714"/>
      <c r="AY63" s="714"/>
      <c r="AZ63" s="714"/>
      <c r="BA63" s="714"/>
      <c r="BB63" s="714"/>
      <c r="BC63" s="714"/>
      <c r="BD63" s="714"/>
    </row>
    <row r="64" spans="1:56" ht="12" customHeight="1">
      <c r="A64" s="674" t="s">
        <v>405</v>
      </c>
      <c r="B64" s="937"/>
      <c r="C64" s="937"/>
      <c r="D64" s="937"/>
      <c r="E64" s="937"/>
      <c r="F64" s="937"/>
      <c r="G64" s="937"/>
      <c r="H64" s="937"/>
      <c r="I64" s="937"/>
      <c r="J64" s="937"/>
      <c r="K64" s="937"/>
      <c r="L64" s="937"/>
      <c r="M64" s="937"/>
      <c r="N64" s="937"/>
      <c r="O64" s="937"/>
      <c r="P64" s="937"/>
      <c r="Q64" s="937"/>
      <c r="R64" s="937">
        <f>-Reconcil!$C$92</f>
        <v>-3748.4481515384609</v>
      </c>
      <c r="S64" s="937"/>
      <c r="T64" s="937">
        <f t="shared" si="0"/>
        <v>-3748.4481515384609</v>
      </c>
      <c r="U64" s="713"/>
      <c r="V64" s="712"/>
      <c r="W64" s="674"/>
      <c r="X64" s="714"/>
      <c r="Y64" s="714"/>
      <c r="Z64" s="714"/>
      <c r="AA64" s="714"/>
      <c r="AB64" s="714"/>
      <c r="AC64" s="714"/>
      <c r="AD64" s="714"/>
      <c r="AE64" s="714"/>
      <c r="AF64" s="714"/>
      <c r="AG64" s="714"/>
      <c r="AI64" s="674"/>
      <c r="AJ64" s="714"/>
      <c r="AK64" s="714"/>
      <c r="AL64" s="714"/>
      <c r="AM64" s="714"/>
      <c r="AN64" s="714"/>
      <c r="AO64" s="714"/>
      <c r="AP64" s="714"/>
      <c r="AQ64" s="714"/>
      <c r="AR64" s="714"/>
      <c r="AS64" s="714"/>
      <c r="AT64" s="714"/>
      <c r="AU64" s="714"/>
      <c r="AV64" s="714"/>
      <c r="AW64" s="714"/>
      <c r="AX64" s="714"/>
      <c r="AY64" s="714"/>
      <c r="AZ64" s="714"/>
      <c r="BA64" s="714"/>
      <c r="BB64" s="714"/>
      <c r="BC64" s="714"/>
      <c r="BD64" s="714"/>
    </row>
    <row r="65" spans="1:56">
      <c r="A65" s="674" t="s">
        <v>134</v>
      </c>
      <c r="B65" s="937"/>
      <c r="C65" s="937"/>
      <c r="D65" s="937"/>
      <c r="E65" s="937"/>
      <c r="F65" s="937"/>
      <c r="G65" s="937"/>
      <c r="H65" s="937"/>
      <c r="I65" s="937"/>
      <c r="J65" s="937"/>
      <c r="K65" s="937"/>
      <c r="L65" s="937"/>
      <c r="M65" s="937"/>
      <c r="N65" s="937"/>
      <c r="O65" s="937"/>
      <c r="P65" s="937"/>
      <c r="Q65" s="937"/>
      <c r="R65" s="937">
        <f>IF(Reconcil!$C$100&gt;0,Reconcil!$C$100*-1,0)</f>
        <v>0</v>
      </c>
      <c r="S65" s="937"/>
      <c r="T65" s="937">
        <f t="shared" si="0"/>
        <v>0</v>
      </c>
      <c r="U65" s="713"/>
      <c r="V65" s="712"/>
      <c r="W65" s="674"/>
      <c r="X65" s="714"/>
      <c r="Y65" s="714"/>
      <c r="Z65" s="714"/>
      <c r="AA65" s="714"/>
      <c r="AB65" s="714"/>
      <c r="AC65" s="714"/>
      <c r="AD65" s="714"/>
      <c r="AE65" s="714"/>
      <c r="AF65" s="714"/>
      <c r="AG65" s="714"/>
      <c r="AI65" s="674"/>
      <c r="AJ65" s="714"/>
      <c r="AK65" s="714"/>
      <c r="AL65" s="714"/>
      <c r="AM65" s="714"/>
      <c r="AN65" s="714"/>
      <c r="AO65" s="714"/>
      <c r="AP65" s="714"/>
      <c r="AQ65" s="714"/>
      <c r="AR65" s="714"/>
      <c r="AS65" s="714"/>
      <c r="AT65" s="714"/>
      <c r="AU65" s="714"/>
      <c r="AV65" s="714"/>
      <c r="AW65" s="714"/>
      <c r="AX65" s="714"/>
      <c r="AY65" s="714"/>
      <c r="AZ65" s="714"/>
      <c r="BA65" s="714"/>
      <c r="BB65" s="714"/>
      <c r="BC65" s="714"/>
      <c r="BD65" s="714"/>
    </row>
    <row r="66" spans="1:56">
      <c r="A66" s="674" t="s">
        <v>135</v>
      </c>
      <c r="B66" s="937"/>
      <c r="C66" s="937"/>
      <c r="D66" s="937"/>
      <c r="E66" s="937"/>
      <c r="F66" s="937"/>
      <c r="G66" s="937"/>
      <c r="H66" s="937"/>
      <c r="I66" s="937"/>
      <c r="J66" s="937"/>
      <c r="K66" s="937"/>
      <c r="L66" s="937"/>
      <c r="M66" s="937"/>
      <c r="N66" s="937"/>
      <c r="O66" s="937"/>
      <c r="P66" s="937"/>
      <c r="Q66" s="937"/>
      <c r="R66" s="937">
        <f>Reconcil!$C$135</f>
        <v>2084.3020000000001</v>
      </c>
      <c r="S66" s="937"/>
      <c r="T66" s="937">
        <f t="shared" si="0"/>
        <v>2084.3020000000001</v>
      </c>
      <c r="U66" s="713"/>
      <c r="V66" s="712"/>
      <c r="W66" s="674"/>
      <c r="X66" s="714"/>
      <c r="Y66" s="714"/>
      <c r="Z66" s="714"/>
      <c r="AA66" s="714"/>
      <c r="AB66" s="714"/>
      <c r="AC66" s="714"/>
      <c r="AD66" s="714"/>
      <c r="AE66" s="714"/>
      <c r="AF66" s="714"/>
      <c r="AG66" s="714"/>
      <c r="AI66" s="674"/>
      <c r="AJ66" s="714"/>
      <c r="AK66" s="714"/>
      <c r="AL66" s="714"/>
      <c r="AM66" s="714"/>
      <c r="AN66" s="714"/>
      <c r="AO66" s="714"/>
      <c r="AP66" s="714"/>
      <c r="AQ66" s="714"/>
      <c r="AR66" s="714"/>
      <c r="AS66" s="714"/>
      <c r="AT66" s="714"/>
      <c r="AU66" s="714"/>
      <c r="AV66" s="714"/>
      <c r="AW66" s="714"/>
      <c r="AX66" s="714"/>
      <c r="AY66" s="714"/>
      <c r="AZ66" s="714"/>
      <c r="BA66" s="714"/>
      <c r="BB66" s="714"/>
      <c r="BC66" s="714"/>
      <c r="BD66" s="714"/>
    </row>
    <row r="67" spans="1:56">
      <c r="A67" s="674" t="s">
        <v>136</v>
      </c>
      <c r="B67" s="937"/>
      <c r="C67" s="937"/>
      <c r="D67" s="937"/>
      <c r="E67" s="937"/>
      <c r="F67" s="937"/>
      <c r="G67" s="937"/>
      <c r="H67" s="937"/>
      <c r="I67" s="937"/>
      <c r="J67" s="937"/>
      <c r="K67" s="937"/>
      <c r="L67" s="937"/>
      <c r="M67" s="937"/>
      <c r="N67" s="937"/>
      <c r="O67" s="937"/>
      <c r="P67" s="937"/>
      <c r="Q67" s="937"/>
      <c r="R67" s="937">
        <f>IF((Reconcil!$C$138-Reconcil!$C$96)&lt;0,(Reconcil!$C$138-Reconcil!$C$96),0)</f>
        <v>-546.88146153846151</v>
      </c>
      <c r="S67" s="937"/>
      <c r="T67" s="937">
        <f t="shared" si="0"/>
        <v>-546.88146153846151</v>
      </c>
      <c r="U67" s="713"/>
      <c r="V67" s="712"/>
      <c r="W67" s="674"/>
      <c r="X67" s="714"/>
      <c r="Y67" s="714"/>
      <c r="Z67" s="714"/>
      <c r="AA67" s="714"/>
      <c r="AB67" s="714"/>
      <c r="AC67" s="714"/>
      <c r="AD67" s="714"/>
      <c r="AE67" s="714"/>
      <c r="AF67" s="714"/>
      <c r="AG67" s="714"/>
      <c r="AI67" s="674"/>
      <c r="AJ67" s="714"/>
      <c r="AK67" s="714"/>
      <c r="AL67" s="714"/>
      <c r="AM67" s="714"/>
      <c r="AN67" s="714"/>
      <c r="AO67" s="714"/>
      <c r="AP67" s="714"/>
      <c r="AQ67" s="714"/>
      <c r="AR67" s="714"/>
      <c r="AS67" s="714"/>
      <c r="AT67" s="714"/>
      <c r="AU67" s="714"/>
      <c r="AV67" s="714"/>
      <c r="AW67" s="714"/>
      <c r="AX67" s="714"/>
      <c r="AY67" s="714"/>
      <c r="AZ67" s="714"/>
      <c r="BA67" s="714"/>
      <c r="BB67" s="714"/>
      <c r="BC67" s="714"/>
      <c r="BD67" s="714"/>
    </row>
    <row r="68" spans="1:56">
      <c r="A68" s="674" t="s">
        <v>1822</v>
      </c>
      <c r="B68" s="843"/>
      <c r="C68" s="843"/>
      <c r="D68" s="843"/>
      <c r="E68" s="843"/>
      <c r="F68" s="843"/>
      <c r="G68" s="843"/>
      <c r="H68" s="843"/>
      <c r="I68" s="843"/>
      <c r="J68" s="843"/>
      <c r="K68" s="843"/>
      <c r="L68" s="843"/>
      <c r="M68" s="843"/>
      <c r="N68" s="843"/>
      <c r="O68" s="843"/>
      <c r="P68" s="843"/>
      <c r="Q68" s="843"/>
      <c r="R68" s="843">
        <f>IF((Reconcil!$C$139-Reconcil!$C$97)&lt;0,(Reconcil!$C$139-Reconcil!$C$97),0)</f>
        <v>-2145.6032307692312</v>
      </c>
      <c r="S68" s="843"/>
      <c r="T68" s="843">
        <f>P68+R68</f>
        <v>-2145.6032307692312</v>
      </c>
      <c r="U68" s="714"/>
      <c r="V68" s="717"/>
      <c r="W68" s="674"/>
      <c r="X68" s="714"/>
      <c r="Y68" s="714"/>
      <c r="Z68" s="714"/>
      <c r="AA68" s="714"/>
      <c r="AB68" s="714"/>
      <c r="AC68" s="714"/>
      <c r="AD68" s="714"/>
      <c r="AE68" s="714"/>
      <c r="AF68" s="714"/>
      <c r="AG68" s="714"/>
      <c r="AI68" s="674"/>
      <c r="AJ68" s="714"/>
      <c r="AK68" s="714"/>
      <c r="AL68" s="714"/>
      <c r="AM68" s="714"/>
      <c r="AN68" s="714"/>
      <c r="AO68" s="714"/>
      <c r="AP68" s="714"/>
      <c r="AQ68" s="714"/>
      <c r="AR68" s="714"/>
      <c r="AS68" s="714"/>
      <c r="AT68" s="714"/>
      <c r="AU68" s="714"/>
      <c r="AV68" s="714"/>
      <c r="AW68" s="714"/>
      <c r="AX68" s="714"/>
      <c r="AY68" s="714"/>
      <c r="AZ68" s="714"/>
      <c r="BA68" s="714"/>
      <c r="BB68" s="714"/>
      <c r="BC68" s="714"/>
      <c r="BD68" s="714"/>
    </row>
    <row r="69" spans="1:56">
      <c r="A69" s="674" t="s">
        <v>137</v>
      </c>
      <c r="B69" s="937"/>
      <c r="C69" s="937"/>
      <c r="D69" s="937"/>
      <c r="E69" s="937"/>
      <c r="F69" s="937"/>
      <c r="G69" s="937"/>
      <c r="H69" s="937"/>
      <c r="I69" s="937"/>
      <c r="J69" s="937"/>
      <c r="K69" s="937"/>
      <c r="L69" s="937"/>
      <c r="M69" s="937"/>
      <c r="N69" s="937"/>
      <c r="O69" s="937"/>
      <c r="P69" s="937"/>
      <c r="Q69" s="937"/>
      <c r="R69" s="1172">
        <f>-Input!EP11/1000</f>
        <v>-3485.1328184615381</v>
      </c>
      <c r="S69" s="937"/>
      <c r="T69" s="937">
        <f t="shared" si="0"/>
        <v>-3485.1328184615381</v>
      </c>
      <c r="U69" s="713"/>
      <c r="V69" s="712"/>
      <c r="W69" s="716"/>
      <c r="X69" s="714"/>
      <c r="Y69" s="714"/>
      <c r="Z69" s="714"/>
      <c r="AA69" s="714"/>
      <c r="AB69" s="714"/>
      <c r="AC69" s="714"/>
      <c r="AD69" s="714"/>
      <c r="AE69" s="714"/>
      <c r="AF69" s="714"/>
      <c r="AG69" s="714"/>
      <c r="AI69" s="674"/>
      <c r="AJ69" s="714"/>
      <c r="AK69" s="714"/>
      <c r="AL69" s="714"/>
      <c r="AM69" s="714"/>
      <c r="AN69" s="714"/>
      <c r="AO69" s="714"/>
      <c r="AP69" s="714"/>
      <c r="AQ69" s="714"/>
      <c r="AR69" s="714"/>
      <c r="AS69" s="714"/>
      <c r="AT69" s="714"/>
      <c r="AU69" s="714"/>
      <c r="AV69" s="714"/>
      <c r="AW69" s="714"/>
      <c r="AX69" s="714"/>
      <c r="AY69" s="714"/>
      <c r="AZ69" s="714"/>
      <c r="BA69" s="714"/>
      <c r="BB69" s="714"/>
      <c r="BC69" s="714"/>
      <c r="BD69" s="714"/>
    </row>
    <row r="70" spans="1:56">
      <c r="A70" s="674" t="s">
        <v>406</v>
      </c>
      <c r="B70" s="937"/>
      <c r="C70" s="937"/>
      <c r="D70" s="937"/>
      <c r="E70" s="937"/>
      <c r="F70" s="937"/>
      <c r="G70" s="937"/>
      <c r="H70" s="937"/>
      <c r="I70" s="937"/>
      <c r="J70" s="937"/>
      <c r="K70" s="937"/>
      <c r="L70" s="937"/>
      <c r="M70" s="937"/>
      <c r="N70" s="937"/>
      <c r="O70" s="937"/>
      <c r="P70" s="937"/>
      <c r="Q70" s="937"/>
      <c r="R70" s="937">
        <f>-Reconcil!$C$99</f>
        <v>-1052.6875738461536</v>
      </c>
      <c r="S70" s="937"/>
      <c r="T70" s="937">
        <f t="shared" si="0"/>
        <v>-1052.6875738461536</v>
      </c>
      <c r="U70" s="713"/>
      <c r="V70" s="712"/>
      <c r="W70" s="674"/>
      <c r="X70" s="714"/>
      <c r="Y70" s="714"/>
      <c r="Z70" s="714"/>
      <c r="AA70" s="714"/>
      <c r="AB70" s="714"/>
      <c r="AC70" s="714"/>
      <c r="AD70" s="714"/>
      <c r="AE70" s="714"/>
      <c r="AF70" s="714"/>
      <c r="AG70" s="714"/>
      <c r="AI70" s="674"/>
      <c r="AJ70" s="714"/>
      <c r="AK70" s="714"/>
      <c r="AL70" s="714"/>
      <c r="AM70" s="714"/>
      <c r="AN70" s="714"/>
      <c r="AO70" s="714"/>
      <c r="AP70" s="714"/>
      <c r="AQ70" s="714"/>
      <c r="AR70" s="714"/>
      <c r="AS70" s="714"/>
      <c r="AT70" s="714"/>
      <c r="AU70" s="714"/>
      <c r="AV70" s="714"/>
      <c r="AW70" s="714"/>
      <c r="AX70" s="714"/>
      <c r="AY70" s="714"/>
      <c r="AZ70" s="714"/>
      <c r="BA70" s="714"/>
      <c r="BB70" s="714"/>
      <c r="BC70" s="714"/>
      <c r="BD70" s="714"/>
    </row>
    <row r="71" spans="1:56">
      <c r="A71" s="674" t="s">
        <v>407</v>
      </c>
      <c r="B71" s="937"/>
      <c r="C71" s="937"/>
      <c r="D71" s="937"/>
      <c r="E71" s="937"/>
      <c r="F71" s="937"/>
      <c r="G71" s="937"/>
      <c r="H71" s="937"/>
      <c r="I71" s="937"/>
      <c r="J71" s="937"/>
      <c r="K71" s="937"/>
      <c r="L71" s="937"/>
      <c r="M71" s="937"/>
      <c r="N71" s="937"/>
      <c r="O71" s="937"/>
      <c r="P71" s="937"/>
      <c r="Q71" s="937"/>
      <c r="R71" s="939">
        <v>0</v>
      </c>
      <c r="S71" s="937"/>
      <c r="T71" s="937">
        <f t="shared" si="0"/>
        <v>0</v>
      </c>
      <c r="U71" s="713"/>
      <c r="V71" s="712"/>
      <c r="W71" s="674"/>
      <c r="X71" s="714"/>
      <c r="Y71" s="714"/>
      <c r="Z71" s="714"/>
      <c r="AA71" s="714"/>
      <c r="AB71" s="714"/>
      <c r="AC71" s="714"/>
      <c r="AD71" s="714"/>
      <c r="AE71" s="714"/>
      <c r="AF71" s="714"/>
      <c r="AG71" s="714"/>
      <c r="AI71" s="674"/>
      <c r="AJ71" s="714"/>
      <c r="AK71" s="714"/>
      <c r="AL71" s="714"/>
      <c r="AM71" s="714"/>
      <c r="AN71" s="714"/>
      <c r="AO71" s="714"/>
      <c r="AP71" s="714"/>
      <c r="AQ71" s="714"/>
      <c r="AR71" s="714"/>
      <c r="AS71" s="714"/>
      <c r="AT71" s="714"/>
      <c r="AU71" s="714"/>
      <c r="AV71" s="714"/>
      <c r="AW71" s="714"/>
      <c r="AX71" s="714"/>
      <c r="AY71" s="714"/>
      <c r="AZ71" s="714"/>
      <c r="BA71" s="714"/>
      <c r="BB71" s="714"/>
      <c r="BC71" s="714"/>
      <c r="BD71" s="714"/>
    </row>
    <row r="72" spans="1:56">
      <c r="A72" s="674" t="s">
        <v>138</v>
      </c>
      <c r="B72" s="937"/>
      <c r="C72" s="937"/>
      <c r="D72" s="1319">
        <f>-'Input WFNG'!C254</f>
        <v>-2947</v>
      </c>
      <c r="E72" s="937"/>
      <c r="F72" s="1319">
        <f>-'Input WFNG'!E254</f>
        <v>-2932.46</v>
      </c>
      <c r="G72" s="937"/>
      <c r="H72" s="937"/>
      <c r="I72" s="937"/>
      <c r="J72" s="937">
        <f>B72+D72-F72-H72</f>
        <v>-14.539999999999964</v>
      </c>
      <c r="K72" s="937"/>
      <c r="L72" s="937"/>
      <c r="M72" s="937"/>
      <c r="N72" s="937"/>
      <c r="O72" s="937"/>
      <c r="P72" s="937">
        <f>J72+L72+N72</f>
        <v>-14.539999999999964</v>
      </c>
      <c r="Q72" s="937"/>
      <c r="R72" s="1192"/>
      <c r="S72" s="937"/>
      <c r="T72" s="937">
        <f t="shared" si="0"/>
        <v>-14.539999999999964</v>
      </c>
      <c r="U72" s="713"/>
      <c r="V72" s="712"/>
      <c r="W72" s="674"/>
      <c r="X72" s="714"/>
      <c r="Y72" s="714"/>
      <c r="Z72" s="714"/>
      <c r="AA72" s="714"/>
      <c r="AB72" s="714"/>
      <c r="AC72" s="714"/>
      <c r="AD72" s="714"/>
      <c r="AE72" s="714"/>
      <c r="AF72" s="714"/>
      <c r="AG72" s="714"/>
      <c r="AI72" s="674"/>
      <c r="AJ72" s="714"/>
      <c r="AK72" s="714"/>
      <c r="AL72" s="714"/>
      <c r="AM72" s="714"/>
      <c r="AN72" s="714"/>
      <c r="AO72" s="714"/>
      <c r="AP72" s="714"/>
      <c r="AQ72" s="714"/>
      <c r="AR72" s="714"/>
      <c r="AS72" s="714"/>
      <c r="AT72" s="714"/>
      <c r="AU72" s="714"/>
      <c r="AV72" s="714"/>
      <c r="AW72" s="714"/>
      <c r="AX72" s="714"/>
      <c r="AY72" s="714"/>
      <c r="AZ72" s="714"/>
      <c r="BA72" s="714"/>
      <c r="BB72" s="714"/>
      <c r="BC72" s="714"/>
      <c r="BD72" s="714"/>
    </row>
    <row r="73" spans="1:56">
      <c r="A73" s="674" t="s">
        <v>139</v>
      </c>
      <c r="B73" s="937"/>
      <c r="C73" s="937"/>
      <c r="D73" s="937"/>
      <c r="E73" s="937"/>
      <c r="F73" s="937"/>
      <c r="G73" s="937"/>
      <c r="H73" s="937"/>
      <c r="I73" s="937"/>
      <c r="J73" s="937"/>
      <c r="K73" s="937"/>
      <c r="L73" s="937"/>
      <c r="M73" s="937"/>
      <c r="N73" s="937"/>
      <c r="O73" s="937"/>
      <c r="P73" s="937"/>
      <c r="Q73" s="937"/>
      <c r="R73" s="937">
        <f>(-Reconcil!C88+Reconcil!C141)*0</f>
        <v>0</v>
      </c>
      <c r="S73" s="937"/>
      <c r="T73" s="937">
        <f t="shared" si="0"/>
        <v>0</v>
      </c>
      <c r="U73" s="713"/>
      <c r="V73" s="712"/>
      <c r="W73" s="674"/>
      <c r="X73" s="714"/>
      <c r="Y73" s="714"/>
      <c r="Z73" s="714"/>
      <c r="AA73" s="714"/>
      <c r="AB73" s="714"/>
      <c r="AC73" s="714"/>
      <c r="AD73" s="714"/>
      <c r="AE73" s="714"/>
      <c r="AF73" s="714"/>
      <c r="AG73" s="714"/>
      <c r="AI73" s="674"/>
      <c r="AJ73" s="714"/>
      <c r="AK73" s="714"/>
      <c r="AL73" s="714"/>
      <c r="AM73" s="714"/>
      <c r="AN73" s="714"/>
      <c r="AO73" s="714"/>
      <c r="AP73" s="714"/>
      <c r="AQ73" s="714"/>
      <c r="AR73" s="714"/>
      <c r="AS73" s="714"/>
      <c r="AT73" s="714"/>
      <c r="AU73" s="714"/>
      <c r="AV73" s="714"/>
      <c r="AW73" s="714"/>
      <c r="AX73" s="714"/>
      <c r="AY73" s="714"/>
      <c r="AZ73" s="714"/>
      <c r="BA73" s="714"/>
      <c r="BB73" s="714"/>
      <c r="BC73" s="714"/>
      <c r="BD73" s="714"/>
    </row>
    <row r="74" spans="1:56">
      <c r="A74" s="674" t="s">
        <v>534</v>
      </c>
      <c r="B74" s="1316">
        <v>-6798.5614599999999</v>
      </c>
      <c r="C74" s="940"/>
      <c r="D74" s="940"/>
      <c r="E74" s="940"/>
      <c r="F74" s="1316">
        <v>137.76913000000002</v>
      </c>
      <c r="G74" s="937"/>
      <c r="H74" s="937"/>
      <c r="I74" s="937"/>
      <c r="J74" s="937">
        <f>B74+D74-F74-H74</f>
        <v>-6936.3305899999996</v>
      </c>
      <c r="K74" s="937"/>
      <c r="L74" s="937"/>
      <c r="M74" s="937"/>
      <c r="N74" s="1316">
        <v>-9473.1743100000003</v>
      </c>
      <c r="O74" s="937"/>
      <c r="P74" s="937">
        <f>J74+L74+N74</f>
        <v>-16409.5049</v>
      </c>
      <c r="Q74" s="937"/>
      <c r="R74" s="1192"/>
      <c r="S74" s="937"/>
      <c r="T74" s="937">
        <f t="shared" si="0"/>
        <v>-16409.5049</v>
      </c>
      <c r="U74" s="713"/>
      <c r="V74" s="712"/>
      <c r="W74" s="674"/>
      <c r="X74" s="714"/>
      <c r="Y74" s="714"/>
      <c r="Z74" s="714"/>
      <c r="AA74" s="714"/>
      <c r="AB74" s="714"/>
      <c r="AC74" s="714"/>
      <c r="AD74" s="714"/>
      <c r="AE74" s="714"/>
      <c r="AF74" s="714"/>
      <c r="AG74" s="714"/>
      <c r="AI74" s="674"/>
      <c r="AJ74" s="714"/>
      <c r="AK74" s="714"/>
      <c r="AL74" s="714"/>
      <c r="AM74" s="714"/>
      <c r="AN74" s="714"/>
      <c r="AO74" s="714"/>
      <c r="AP74" s="714"/>
      <c r="AQ74" s="714"/>
      <c r="AR74" s="714"/>
      <c r="AS74" s="714"/>
      <c r="AT74" s="714"/>
      <c r="AU74" s="714"/>
      <c r="AV74" s="714"/>
      <c r="AW74" s="714"/>
      <c r="AX74" s="714"/>
      <c r="AY74" s="714"/>
      <c r="AZ74" s="714"/>
      <c r="BA74" s="714"/>
      <c r="BB74" s="714"/>
      <c r="BC74" s="714"/>
      <c r="BD74" s="714"/>
    </row>
    <row r="75" spans="1:56">
      <c r="A75" s="48" t="s">
        <v>2340</v>
      </c>
      <c r="B75" s="937"/>
      <c r="C75" s="940"/>
      <c r="D75" s="940"/>
      <c r="E75" s="940"/>
      <c r="F75" s="937"/>
      <c r="G75" s="937"/>
      <c r="H75" s="937"/>
      <c r="I75" s="937"/>
      <c r="J75" s="937"/>
      <c r="K75" s="937"/>
      <c r="L75" s="937"/>
      <c r="M75" s="937"/>
      <c r="N75" s="1171">
        <f>-'Input Plant'!CI40/1000</f>
        <v>-75782.401630769222</v>
      </c>
      <c r="O75" s="937"/>
      <c r="P75" s="937">
        <f>J75+L75+N75</f>
        <v>-75782.401630769222</v>
      </c>
      <c r="Q75" s="937"/>
      <c r="R75" s="1192"/>
      <c r="S75" s="937"/>
      <c r="T75" s="937">
        <f>P75+R75</f>
        <v>-75782.401630769222</v>
      </c>
      <c r="U75" s="713"/>
      <c r="V75" s="712"/>
      <c r="W75" s="674"/>
      <c r="X75" s="714"/>
      <c r="Y75" s="714"/>
      <c r="Z75" s="714"/>
      <c r="AA75" s="714"/>
      <c r="AB75" s="714"/>
      <c r="AC75" s="714"/>
      <c r="AD75" s="714"/>
      <c r="AE75" s="714"/>
      <c r="AF75" s="714"/>
      <c r="AG75" s="714"/>
      <c r="AI75" s="674"/>
      <c r="AJ75" s="714"/>
      <c r="AK75" s="714"/>
      <c r="AL75" s="714"/>
      <c r="AM75" s="714"/>
      <c r="AN75" s="714"/>
      <c r="AO75" s="714"/>
      <c r="AP75" s="714"/>
      <c r="AQ75" s="714"/>
      <c r="AR75" s="714"/>
      <c r="AS75" s="714"/>
      <c r="AT75" s="714"/>
      <c r="AU75" s="714"/>
      <c r="AV75" s="714"/>
      <c r="AW75" s="714"/>
      <c r="AX75" s="714"/>
      <c r="AY75" s="714"/>
      <c r="AZ75" s="714"/>
      <c r="BA75" s="714"/>
      <c r="BB75" s="714"/>
      <c r="BC75" s="714"/>
      <c r="BD75" s="714"/>
    </row>
    <row r="76" spans="1:56">
      <c r="A76" s="674" t="s">
        <v>470</v>
      </c>
      <c r="B76" s="936"/>
      <c r="C76" s="937"/>
      <c r="D76" s="936"/>
      <c r="E76" s="937"/>
      <c r="F76" s="936"/>
      <c r="G76" s="937"/>
      <c r="H76" s="936"/>
      <c r="I76" s="937"/>
      <c r="J76" s="936"/>
      <c r="K76" s="937"/>
      <c r="L76" s="936"/>
      <c r="M76" s="937"/>
      <c r="N76" s="936"/>
      <c r="O76" s="937"/>
      <c r="P76" s="936"/>
      <c r="Q76" s="937"/>
      <c r="R76" s="941">
        <f>-Reconcil!C67</f>
        <v>-1150.2333407692308</v>
      </c>
      <c r="S76" s="937"/>
      <c r="T76" s="941">
        <f>P76+R76</f>
        <v>-1150.2333407692308</v>
      </c>
      <c r="U76" s="713"/>
      <c r="V76" s="712"/>
      <c r="W76" s="674"/>
      <c r="X76" s="714"/>
      <c r="Y76" s="714"/>
      <c r="Z76" s="714"/>
      <c r="AA76" s="714"/>
      <c r="AB76" s="714"/>
      <c r="AC76" s="714"/>
      <c r="AD76" s="714"/>
      <c r="AE76" s="714"/>
      <c r="AF76" s="714"/>
      <c r="AG76" s="714"/>
      <c r="AI76" s="674"/>
      <c r="AJ76" s="714"/>
      <c r="AK76" s="714"/>
      <c r="AL76" s="714"/>
      <c r="AM76" s="714"/>
      <c r="AN76" s="714"/>
      <c r="AO76" s="714"/>
      <c r="AP76" s="714"/>
      <c r="AQ76" s="714"/>
      <c r="AR76" s="714"/>
      <c r="AS76" s="714"/>
      <c r="AT76" s="714"/>
      <c r="AU76" s="714"/>
      <c r="AV76" s="714"/>
      <c r="AW76" s="714"/>
      <c r="AX76" s="714"/>
      <c r="AY76" s="714"/>
      <c r="AZ76" s="714"/>
      <c r="BA76" s="714"/>
      <c r="BB76" s="714"/>
      <c r="BC76" s="714"/>
      <c r="BD76" s="714"/>
    </row>
    <row r="77" spans="1:56" ht="12.95" customHeight="1">
      <c r="A77" s="674" t="s">
        <v>140</v>
      </c>
      <c r="B77" s="936">
        <f>SUM(B58:B76)</f>
        <v>-8068.5674455727085</v>
      </c>
      <c r="C77" s="937"/>
      <c r="D77" s="936">
        <f>SUM(D58:D76)</f>
        <v>-2947</v>
      </c>
      <c r="E77" s="937"/>
      <c r="F77" s="936">
        <f>SUM(F58:F76)</f>
        <v>-3186.4783532510737</v>
      </c>
      <c r="G77" s="937"/>
      <c r="H77" s="936">
        <f>SUM(H58:H76)</f>
        <v>0</v>
      </c>
      <c r="I77" s="937"/>
      <c r="J77" s="936">
        <f>SUM(J58:J76)</f>
        <v>-7829.0890923216339</v>
      </c>
      <c r="K77" s="937"/>
      <c r="L77" s="936">
        <f>SUM(L58:L76)</f>
        <v>-1939.5515500000001</v>
      </c>
      <c r="M77" s="937"/>
      <c r="N77" s="936">
        <f>SUM(N58:N76)</f>
        <v>-85255.575940769224</v>
      </c>
      <c r="O77" s="937"/>
      <c r="P77" s="936">
        <f>SUM(P58:P76)</f>
        <v>-95024.216583090863</v>
      </c>
      <c r="Q77" s="937"/>
      <c r="R77" s="936">
        <f>SUM(R58:R76)</f>
        <v>-20636.750932307696</v>
      </c>
      <c r="S77" s="937"/>
      <c r="T77" s="936">
        <f>SUM(T58:T76)</f>
        <v>-115660.96751539856</v>
      </c>
      <c r="U77" s="713"/>
      <c r="V77" s="712"/>
      <c r="W77" s="674"/>
      <c r="X77" s="714"/>
      <c r="Y77" s="714"/>
      <c r="Z77" s="714"/>
      <c r="AA77" s="714"/>
      <c r="AB77" s="714"/>
      <c r="AC77" s="714"/>
      <c r="AD77" s="714"/>
      <c r="AE77" s="714"/>
      <c r="AF77" s="714"/>
      <c r="AG77" s="714"/>
      <c r="AI77" s="674"/>
      <c r="AJ77" s="714"/>
      <c r="AK77" s="714"/>
      <c r="AL77" s="714"/>
      <c r="AM77" s="714"/>
      <c r="AN77" s="714"/>
      <c r="AO77" s="714"/>
      <c r="AP77" s="714"/>
      <c r="AQ77" s="714"/>
      <c r="AR77" s="714"/>
      <c r="AS77" s="714"/>
      <c r="AT77" s="714"/>
      <c r="AU77" s="714"/>
      <c r="AV77" s="714"/>
      <c r="AW77" s="714"/>
      <c r="AX77" s="714"/>
      <c r="AY77" s="714"/>
      <c r="AZ77" s="714"/>
      <c r="BA77" s="714"/>
      <c r="BB77" s="714"/>
      <c r="BC77" s="714"/>
      <c r="BD77" s="714"/>
    </row>
    <row r="78" spans="1:56">
      <c r="A78" s="674"/>
      <c r="B78" s="712" t="s">
        <v>7</v>
      </c>
      <c r="C78" s="712"/>
      <c r="D78" s="712" t="s">
        <v>7</v>
      </c>
      <c r="E78" s="712"/>
      <c r="F78" s="712" t="s">
        <v>7</v>
      </c>
      <c r="G78" s="712"/>
      <c r="H78" s="712" t="s">
        <v>7</v>
      </c>
      <c r="I78" s="712"/>
      <c r="J78" s="712" t="s">
        <v>7</v>
      </c>
      <c r="K78" s="712"/>
      <c r="L78" s="712" t="s">
        <v>7</v>
      </c>
      <c r="M78" s="712"/>
      <c r="N78" s="712" t="s">
        <v>7</v>
      </c>
      <c r="O78" s="712"/>
      <c r="P78" s="712" t="s">
        <v>7</v>
      </c>
      <c r="Q78" s="712"/>
      <c r="R78" s="712" t="s">
        <v>7</v>
      </c>
      <c r="S78" s="712"/>
      <c r="T78" s="712" t="s">
        <v>7</v>
      </c>
      <c r="U78" s="713"/>
      <c r="V78" s="713"/>
      <c r="W78" s="674"/>
      <c r="X78" s="714"/>
      <c r="Y78" s="714"/>
      <c r="Z78" s="714"/>
      <c r="AA78" s="714"/>
      <c r="AB78" s="714"/>
      <c r="AC78" s="714"/>
      <c r="AD78" s="714"/>
      <c r="AE78" s="714"/>
      <c r="AF78" s="714"/>
      <c r="AG78" s="714"/>
      <c r="AI78" s="674"/>
      <c r="AJ78" s="714"/>
      <c r="AK78" s="714"/>
      <c r="AL78" s="714"/>
      <c r="AM78" s="714"/>
      <c r="AN78" s="714"/>
      <c r="AO78" s="714"/>
      <c r="AP78" s="714"/>
      <c r="AQ78" s="714"/>
      <c r="AR78" s="714"/>
      <c r="AS78" s="714"/>
      <c r="AT78" s="714"/>
      <c r="AU78" s="714"/>
      <c r="AV78" s="714"/>
      <c r="AW78" s="714"/>
      <c r="AX78" s="714"/>
      <c r="AY78" s="714"/>
      <c r="AZ78" s="714"/>
      <c r="BA78" s="714"/>
      <c r="BB78" s="714"/>
      <c r="BC78" s="714"/>
      <c r="BD78" s="714"/>
    </row>
    <row r="79" spans="1:56" ht="13.5" thickBot="1">
      <c r="A79" s="674" t="s">
        <v>141</v>
      </c>
      <c r="B79" s="719">
        <f>B55+B77</f>
        <v>2317372.3788775038</v>
      </c>
      <c r="C79" s="712"/>
      <c r="D79" s="719">
        <f>D55+D77</f>
        <v>2084.8972399999993</v>
      </c>
      <c r="E79" s="712"/>
      <c r="F79" s="719">
        <f>F55+F77</f>
        <v>829905.79368136416</v>
      </c>
      <c r="G79" s="712"/>
      <c r="H79" s="719">
        <f>H55+H77</f>
        <v>16970.398778461538</v>
      </c>
      <c r="I79" s="712"/>
      <c r="J79" s="719">
        <f>J55+J77</f>
        <v>1472581.083657678</v>
      </c>
      <c r="K79" s="712"/>
      <c r="L79" s="719">
        <f>L55+L77</f>
        <v>0</v>
      </c>
      <c r="M79" s="712"/>
      <c r="N79" s="719">
        <f>N55+N77</f>
        <v>63731.53211</v>
      </c>
      <c r="O79" s="712"/>
      <c r="P79" s="719">
        <f>P55+P77</f>
        <v>1536312.615767678</v>
      </c>
      <c r="Q79" s="712"/>
      <c r="R79" s="719">
        <f>R55+R77</f>
        <v>-48182.774856153832</v>
      </c>
      <c r="S79" s="712"/>
      <c r="T79" s="719">
        <f>T55+T77</f>
        <v>1488129.8409115241</v>
      </c>
      <c r="U79" s="712"/>
      <c r="V79" s="712"/>
      <c r="W79" s="674"/>
      <c r="X79" s="714"/>
      <c r="Y79" s="714"/>
      <c r="Z79" s="714"/>
      <c r="AA79" s="714"/>
      <c r="AB79" s="714"/>
      <c r="AC79" s="714"/>
      <c r="AD79" s="714"/>
      <c r="AE79" s="714"/>
      <c r="AF79" s="714"/>
      <c r="AG79" s="714"/>
      <c r="AI79" s="674"/>
      <c r="AJ79" s="714"/>
      <c r="AK79" s="714"/>
      <c r="AL79" s="714"/>
      <c r="AM79" s="714"/>
      <c r="AN79" s="714"/>
      <c r="AO79" s="714"/>
      <c r="AP79" s="714"/>
      <c r="AQ79" s="714"/>
      <c r="AR79" s="714"/>
      <c r="AS79" s="714"/>
      <c r="AT79" s="714"/>
      <c r="AU79" s="714"/>
      <c r="AV79" s="714"/>
      <c r="AW79" s="714"/>
      <c r="AX79" s="714"/>
      <c r="AY79" s="714"/>
      <c r="AZ79" s="714"/>
      <c r="BA79" s="714"/>
      <c r="BB79" s="714"/>
      <c r="BC79" s="714"/>
      <c r="BD79" s="714"/>
    </row>
    <row r="80" spans="1:56" ht="13.5" thickTop="1">
      <c r="A80" s="674"/>
      <c r="B80" s="712"/>
      <c r="C80" s="712"/>
      <c r="D80" s="712"/>
      <c r="E80" s="712"/>
      <c r="F80" s="712"/>
      <c r="G80" s="712"/>
      <c r="H80" s="712"/>
      <c r="I80" s="712"/>
      <c r="J80" s="712"/>
      <c r="K80" s="712"/>
      <c r="L80" s="712"/>
      <c r="M80" s="712"/>
      <c r="N80" s="712"/>
      <c r="O80" s="712"/>
      <c r="P80" s="712"/>
      <c r="Q80" s="712"/>
      <c r="R80" s="712"/>
      <c r="S80" s="712"/>
      <c r="T80" s="712"/>
      <c r="U80" s="713"/>
      <c r="V80" s="713"/>
      <c r="W80" s="674"/>
      <c r="X80" s="714"/>
      <c r="Y80" s="714"/>
      <c r="Z80" s="714"/>
      <c r="AA80" s="714"/>
      <c r="AB80" s="714"/>
      <c r="AC80" s="714"/>
      <c r="AD80" s="714"/>
      <c r="AE80" s="714"/>
      <c r="AF80" s="714"/>
      <c r="AG80" s="714"/>
      <c r="AI80" s="674"/>
      <c r="AJ80" s="714"/>
      <c r="AK80" s="714"/>
      <c r="AL80" s="714"/>
      <c r="AM80" s="714"/>
      <c r="AN80" s="714"/>
      <c r="AO80" s="714"/>
      <c r="AP80" s="714"/>
      <c r="AQ80" s="714"/>
      <c r="AR80" s="714"/>
      <c r="AS80" s="714"/>
      <c r="AT80" s="714"/>
      <c r="AU80" s="714"/>
      <c r="AV80" s="714"/>
      <c r="AW80" s="714"/>
      <c r="AX80" s="714"/>
      <c r="AY80" s="714"/>
      <c r="AZ80" s="714"/>
      <c r="BA80" s="714"/>
      <c r="BB80" s="714"/>
      <c r="BC80" s="714"/>
      <c r="BD80" s="714"/>
    </row>
    <row r="81" spans="1:56">
      <c r="A81" s="715" t="s">
        <v>2</v>
      </c>
      <c r="B81" s="711"/>
      <c r="C81" s="712"/>
      <c r="D81" s="711"/>
      <c r="E81" s="712"/>
      <c r="F81" s="711"/>
      <c r="G81" s="712"/>
      <c r="H81" s="711"/>
      <c r="I81" s="712"/>
      <c r="J81" s="711"/>
      <c r="K81" s="712"/>
      <c r="L81" s="711"/>
      <c r="M81" s="712"/>
      <c r="N81" s="711"/>
      <c r="O81" s="712"/>
      <c r="P81" s="711"/>
      <c r="Q81" s="712"/>
      <c r="R81" s="711"/>
      <c r="S81" s="712"/>
      <c r="T81" s="711"/>
      <c r="U81" s="713"/>
      <c r="V81" s="713"/>
      <c r="W81" s="674"/>
      <c r="X81" s="714"/>
      <c r="Y81" s="714"/>
      <c r="Z81" s="714"/>
      <c r="AA81" s="714"/>
      <c r="AB81" s="714"/>
      <c r="AC81" s="714"/>
      <c r="AD81" s="714"/>
      <c r="AE81" s="714"/>
      <c r="AF81" s="714"/>
      <c r="AG81" s="714"/>
      <c r="AI81" s="674"/>
      <c r="AJ81" s="714"/>
      <c r="AK81" s="714"/>
      <c r="AL81" s="714"/>
      <c r="AM81" s="714"/>
      <c r="AN81" s="714"/>
      <c r="AO81" s="714"/>
      <c r="AP81" s="714"/>
      <c r="AQ81" s="714"/>
      <c r="AR81" s="714"/>
      <c r="AS81" s="714"/>
      <c r="AT81" s="714"/>
      <c r="AU81" s="714"/>
      <c r="AV81" s="714"/>
      <c r="AW81" s="714"/>
      <c r="AX81" s="714"/>
      <c r="AY81" s="714"/>
      <c r="AZ81" s="714"/>
      <c r="BA81" s="714"/>
      <c r="BB81" s="714"/>
      <c r="BC81" s="714"/>
      <c r="BD81" s="714"/>
    </row>
    <row r="82" spans="1:56">
      <c r="A82" s="674" t="s">
        <v>142</v>
      </c>
      <c r="B82" s="712"/>
      <c r="C82" s="712"/>
      <c r="D82" s="712"/>
      <c r="E82" s="712"/>
      <c r="F82" s="712"/>
      <c r="G82" s="712"/>
      <c r="H82" s="712"/>
      <c r="I82" s="712"/>
      <c r="J82" s="712"/>
      <c r="K82" s="712"/>
      <c r="L82" s="712"/>
      <c r="M82" s="712"/>
      <c r="N82" s="712"/>
      <c r="O82" s="712"/>
      <c r="P82" s="712"/>
      <c r="Q82" s="712"/>
      <c r="R82" s="712"/>
      <c r="S82" s="712"/>
      <c r="T82" s="712"/>
      <c r="U82" s="713"/>
      <c r="V82" s="713"/>
      <c r="W82" s="674"/>
      <c r="X82" s="714"/>
      <c r="Y82" s="714"/>
      <c r="Z82" s="714"/>
      <c r="AA82" s="714"/>
      <c r="AB82" s="714"/>
      <c r="AC82" s="714"/>
      <c r="AD82" s="714"/>
      <c r="AE82" s="714"/>
      <c r="AF82" s="714"/>
      <c r="AG82" s="714"/>
      <c r="AI82" s="674"/>
      <c r="AJ82" s="714"/>
      <c r="AK82" s="714"/>
      <c r="AL82" s="714"/>
      <c r="AM82" s="714"/>
      <c r="AN82" s="714"/>
      <c r="AO82" s="714"/>
      <c r="AP82" s="714"/>
      <c r="AQ82" s="714"/>
      <c r="AR82" s="714"/>
      <c r="AS82" s="714"/>
      <c r="AT82" s="714"/>
      <c r="AU82" s="714"/>
      <c r="AV82" s="714"/>
      <c r="AW82" s="714"/>
      <c r="AX82" s="714"/>
      <c r="AY82" s="714"/>
      <c r="AZ82" s="714"/>
      <c r="BA82" s="714"/>
      <c r="BB82" s="714"/>
      <c r="BC82" s="714"/>
      <c r="BD82" s="714"/>
    </row>
    <row r="83" spans="1:56" ht="13.5" thickBot="1">
      <c r="A83" s="674" t="s">
        <v>2</v>
      </c>
      <c r="B83" s="719">
        <f>B79+B81</f>
        <v>2317372.3788775038</v>
      </c>
      <c r="C83" s="712"/>
      <c r="D83" s="719">
        <f>D79+D81</f>
        <v>2084.8972399999993</v>
      </c>
      <c r="E83" s="712"/>
      <c r="F83" s="719">
        <f>F79+F81</f>
        <v>829905.79368136416</v>
      </c>
      <c r="G83" s="712"/>
      <c r="H83" s="719">
        <f>H79+H81</f>
        <v>16970.398778461538</v>
      </c>
      <c r="I83" s="712"/>
      <c r="J83" s="719">
        <f>J79+J81</f>
        <v>1472581.083657678</v>
      </c>
      <c r="K83" s="712"/>
      <c r="L83" s="719">
        <f>L79+L81</f>
        <v>0</v>
      </c>
      <c r="M83" s="712"/>
      <c r="N83" s="719">
        <f>N79+N81</f>
        <v>63731.53211</v>
      </c>
      <c r="O83" s="712"/>
      <c r="P83" s="719">
        <f>P79+P81</f>
        <v>1536312.615767678</v>
      </c>
      <c r="Q83" s="712"/>
      <c r="R83" s="719">
        <f>R79+R81</f>
        <v>-48182.774856153832</v>
      </c>
      <c r="S83" s="712"/>
      <c r="T83" s="719">
        <f>T79+T81</f>
        <v>1488129.8409115241</v>
      </c>
      <c r="U83" s="713"/>
      <c r="V83" s="712"/>
      <c r="W83" s="674"/>
      <c r="X83" s="714"/>
      <c r="Y83" s="714"/>
      <c r="Z83" s="714"/>
      <c r="AA83" s="714"/>
      <c r="AB83" s="714"/>
      <c r="AC83" s="714"/>
      <c r="AD83" s="714"/>
      <c r="AE83" s="714"/>
      <c r="AF83" s="714"/>
      <c r="AG83" s="714"/>
      <c r="AI83" s="674"/>
      <c r="AJ83" s="714"/>
      <c r="AK83" s="714"/>
      <c r="AL83" s="714"/>
      <c r="AM83" s="714"/>
      <c r="AN83" s="714"/>
      <c r="AO83" s="714"/>
      <c r="AP83" s="714"/>
      <c r="AQ83" s="714"/>
      <c r="AR83" s="714"/>
      <c r="AS83" s="714"/>
      <c r="AT83" s="714"/>
      <c r="AU83" s="714"/>
      <c r="AV83" s="714"/>
      <c r="AW83" s="714"/>
      <c r="AX83" s="714"/>
      <c r="AY83" s="714"/>
      <c r="AZ83" s="714"/>
      <c r="BA83" s="714"/>
      <c r="BB83" s="714"/>
      <c r="BC83" s="714"/>
      <c r="BD83" s="714"/>
    </row>
    <row r="84" spans="1:56" ht="13.5" thickTop="1">
      <c r="A84" s="674"/>
      <c r="B84" s="712"/>
      <c r="C84" s="712"/>
      <c r="D84" s="712"/>
      <c r="E84" s="712"/>
      <c r="F84" s="712"/>
      <c r="G84" s="712"/>
      <c r="H84" s="712"/>
      <c r="I84" s="712"/>
      <c r="J84" s="712"/>
      <c r="K84" s="712"/>
      <c r="L84" s="712"/>
      <c r="M84" s="712"/>
      <c r="N84" s="712"/>
      <c r="O84" s="712"/>
      <c r="P84" s="712"/>
      <c r="Q84" s="712"/>
      <c r="R84" s="712"/>
      <c r="S84" s="712"/>
      <c r="T84" s="712"/>
      <c r="U84" s="713"/>
      <c r="V84" s="713"/>
      <c r="W84" s="674"/>
      <c r="X84" s="714"/>
      <c r="Y84" s="714"/>
      <c r="Z84" s="714"/>
      <c r="AA84" s="714"/>
      <c r="AB84" s="714"/>
      <c r="AC84" s="714"/>
      <c r="AD84" s="714"/>
      <c r="AE84" s="714"/>
      <c r="AF84" s="714"/>
      <c r="AG84" s="714"/>
      <c r="AI84" s="674"/>
      <c r="AJ84" s="714"/>
      <c r="AK84" s="714"/>
      <c r="AL84" s="714"/>
      <c r="AM84" s="714"/>
      <c r="AN84" s="714"/>
      <c r="AO84" s="714"/>
      <c r="AP84" s="714"/>
      <c r="AQ84" s="714"/>
      <c r="AR84" s="714"/>
      <c r="AS84" s="714"/>
      <c r="AT84" s="714"/>
      <c r="AU84" s="714"/>
      <c r="AV84" s="714"/>
      <c r="AW84" s="714"/>
      <c r="AX84" s="714"/>
      <c r="AY84" s="714"/>
      <c r="AZ84" s="714"/>
      <c r="BA84" s="714"/>
      <c r="BB84" s="714"/>
      <c r="BC84" s="714"/>
      <c r="BD84" s="714"/>
    </row>
    <row r="85" spans="1:56">
      <c r="A85" s="674" t="s">
        <v>143</v>
      </c>
      <c r="B85" s="712"/>
      <c r="C85" s="712"/>
      <c r="D85" s="712"/>
      <c r="E85" s="712"/>
      <c r="F85" s="712"/>
      <c r="G85" s="712"/>
      <c r="H85" s="712"/>
      <c r="I85" s="712"/>
      <c r="J85" s="712"/>
      <c r="K85" s="712"/>
      <c r="L85" s="712"/>
      <c r="M85" s="712"/>
      <c r="N85" s="712"/>
      <c r="O85" s="712"/>
      <c r="P85" s="712"/>
      <c r="Q85" s="712"/>
      <c r="R85" s="712"/>
      <c r="S85" s="712"/>
      <c r="T85" s="712"/>
      <c r="U85" s="713"/>
      <c r="V85" s="713"/>
      <c r="W85" s="674"/>
      <c r="X85" s="714"/>
      <c r="Y85" s="714"/>
      <c r="Z85" s="714"/>
      <c r="AA85" s="714"/>
      <c r="AB85" s="714"/>
      <c r="AC85" s="714"/>
      <c r="AD85" s="714"/>
      <c r="AE85" s="714"/>
      <c r="AF85" s="714"/>
      <c r="AG85" s="714"/>
      <c r="AI85" s="674"/>
      <c r="AJ85" s="714"/>
      <c r="AK85" s="714"/>
      <c r="AL85" s="714"/>
      <c r="AM85" s="714"/>
      <c r="AN85" s="714"/>
      <c r="AO85" s="714"/>
      <c r="AP85" s="714"/>
      <c r="AQ85" s="714"/>
      <c r="AR85" s="714"/>
      <c r="AS85" s="714"/>
      <c r="AT85" s="714"/>
      <c r="AU85" s="714"/>
      <c r="AV85" s="714"/>
      <c r="AW85" s="714"/>
      <c r="AX85" s="714"/>
      <c r="AY85" s="714"/>
      <c r="AZ85" s="714"/>
      <c r="BA85" s="714"/>
      <c r="BB85" s="714"/>
      <c r="BC85" s="714"/>
      <c r="BD85" s="714"/>
    </row>
    <row r="86" spans="1:56">
      <c r="A86" s="715" t="s">
        <v>144</v>
      </c>
      <c r="B86" s="712"/>
      <c r="C86" s="712"/>
      <c r="D86" s="712"/>
      <c r="E86" s="712"/>
      <c r="F86" s="712"/>
      <c r="G86" s="712"/>
      <c r="H86" s="712"/>
      <c r="I86" s="712"/>
      <c r="J86" s="712"/>
      <c r="K86" s="712"/>
      <c r="L86" s="712"/>
      <c r="M86" s="712"/>
      <c r="N86" s="712"/>
      <c r="O86" s="712"/>
      <c r="P86" s="712"/>
      <c r="Q86" s="712"/>
      <c r="R86" s="712"/>
      <c r="S86" s="712"/>
      <c r="T86" s="712"/>
      <c r="U86" s="713"/>
      <c r="V86" s="713"/>
      <c r="W86" s="674"/>
      <c r="X86" s="714"/>
      <c r="Y86" s="714"/>
      <c r="Z86" s="714"/>
      <c r="AA86" s="714"/>
      <c r="AB86" s="714"/>
      <c r="AC86" s="714"/>
      <c r="AD86" s="714"/>
      <c r="AE86" s="714"/>
      <c r="AF86" s="714"/>
      <c r="AG86" s="714"/>
      <c r="AI86" s="674"/>
      <c r="AJ86" s="714"/>
      <c r="AK86" s="714"/>
      <c r="AL86" s="714"/>
      <c r="AM86" s="714"/>
      <c r="AN86" s="714"/>
      <c r="AO86" s="714"/>
      <c r="AP86" s="714"/>
      <c r="AQ86" s="714"/>
      <c r="AR86" s="714"/>
      <c r="AS86" s="714"/>
      <c r="AT86" s="714"/>
      <c r="AU86" s="714"/>
      <c r="AV86" s="714"/>
      <c r="AW86" s="714"/>
      <c r="AX86" s="714"/>
      <c r="AY86" s="714"/>
      <c r="AZ86" s="714"/>
      <c r="BA86" s="714"/>
      <c r="BB86" s="714"/>
      <c r="BC86" s="714"/>
      <c r="BD86" s="714"/>
    </row>
    <row r="87" spans="1:56">
      <c r="A87" s="674"/>
      <c r="B87" s="712"/>
      <c r="C87" s="712"/>
      <c r="D87" s="712"/>
      <c r="E87" s="712"/>
      <c r="F87" s="712"/>
      <c r="G87" s="712"/>
      <c r="H87" s="712"/>
      <c r="I87" s="712"/>
      <c r="J87" s="712"/>
      <c r="K87" s="712"/>
      <c r="L87" s="712"/>
      <c r="M87" s="712"/>
      <c r="N87" s="712"/>
      <c r="O87" s="712"/>
      <c r="P87" s="712"/>
      <c r="Q87" s="712"/>
      <c r="R87" s="712"/>
      <c r="S87" s="712"/>
      <c r="T87" s="712"/>
      <c r="U87" s="713"/>
      <c r="V87" s="713"/>
      <c r="W87" s="674"/>
      <c r="X87" s="714"/>
      <c r="Y87" s="714"/>
      <c r="Z87" s="714"/>
      <c r="AA87" s="714"/>
      <c r="AB87" s="714"/>
      <c r="AC87" s="714"/>
      <c r="AD87" s="714"/>
      <c r="AE87" s="714"/>
      <c r="AF87" s="714"/>
      <c r="AG87" s="714"/>
      <c r="AI87" s="674"/>
      <c r="AJ87" s="714"/>
      <c r="AK87" s="714"/>
      <c r="AL87" s="714"/>
      <c r="AM87" s="714"/>
      <c r="AN87" s="714"/>
      <c r="AO87" s="714"/>
      <c r="AP87" s="714"/>
      <c r="AQ87" s="714"/>
      <c r="AR87" s="714"/>
      <c r="AS87" s="714"/>
      <c r="AT87" s="714"/>
      <c r="AU87" s="714"/>
      <c r="AV87" s="714"/>
      <c r="AW87" s="714"/>
      <c r="AX87" s="714"/>
      <c r="AY87" s="714"/>
      <c r="AZ87" s="714"/>
      <c r="BA87" s="714"/>
      <c r="BB87" s="714"/>
      <c r="BC87" s="714"/>
      <c r="BD87" s="714"/>
    </row>
    <row r="88" spans="1:56">
      <c r="A88" s="674"/>
      <c r="B88" s="712"/>
      <c r="C88" s="712"/>
      <c r="D88" s="712"/>
      <c r="E88" s="712"/>
      <c r="F88" s="712"/>
      <c r="G88" s="712"/>
      <c r="H88" s="712"/>
      <c r="I88" s="712"/>
      <c r="J88" s="712"/>
      <c r="K88" s="712"/>
      <c r="L88" s="712"/>
      <c r="M88" s="712"/>
      <c r="N88" s="712"/>
      <c r="O88" s="712"/>
      <c r="P88" s="712"/>
      <c r="Q88" s="712"/>
      <c r="R88" s="712"/>
      <c r="S88" s="712"/>
      <c r="T88" s="712">
        <f>P88+R88</f>
        <v>0</v>
      </c>
      <c r="U88" s="713"/>
      <c r="V88" s="712"/>
      <c r="W88" s="674"/>
      <c r="X88" s="714"/>
      <c r="Y88" s="714"/>
      <c r="Z88" s="714"/>
      <c r="AA88" s="714"/>
      <c r="AB88" s="714"/>
      <c r="AC88" s="714"/>
      <c r="AD88" s="714"/>
      <c r="AE88" s="714"/>
      <c r="AF88" s="714"/>
      <c r="AG88" s="714"/>
      <c r="AI88" s="674"/>
      <c r="AJ88" s="714"/>
      <c r="AK88" s="714"/>
      <c r="AL88" s="714"/>
      <c r="AM88" s="714"/>
      <c r="AN88" s="714"/>
      <c r="AO88" s="714"/>
      <c r="AP88" s="714"/>
      <c r="AQ88" s="714"/>
      <c r="AR88" s="714"/>
      <c r="AS88" s="714"/>
      <c r="AT88" s="714"/>
      <c r="AU88" s="714"/>
      <c r="AV88" s="714"/>
      <c r="AW88" s="714"/>
      <c r="AX88" s="714"/>
      <c r="AY88" s="714"/>
      <c r="AZ88" s="714"/>
      <c r="BA88" s="714"/>
      <c r="BB88" s="714"/>
      <c r="BC88" s="714"/>
      <c r="BD88" s="714"/>
    </row>
    <row r="89" spans="1:56">
      <c r="A89" s="674"/>
      <c r="B89" s="711"/>
      <c r="C89" s="712"/>
      <c r="D89" s="711"/>
      <c r="E89" s="712"/>
      <c r="F89" s="711"/>
      <c r="G89" s="712"/>
      <c r="H89" s="711"/>
      <c r="I89" s="712"/>
      <c r="J89" s="711"/>
      <c r="K89" s="712"/>
      <c r="L89" s="711"/>
      <c r="M89" s="712"/>
      <c r="N89" s="711"/>
      <c r="O89" s="712"/>
      <c r="P89" s="711"/>
      <c r="Q89" s="712"/>
      <c r="R89" s="711"/>
      <c r="S89" s="712"/>
      <c r="T89" s="711"/>
      <c r="U89" s="713"/>
      <c r="V89" s="713"/>
      <c r="W89" s="674"/>
      <c r="X89" s="714"/>
      <c r="Y89" s="714"/>
      <c r="Z89" s="714"/>
      <c r="AA89" s="714"/>
      <c r="AB89" s="714"/>
      <c r="AC89" s="714"/>
      <c r="AD89" s="714"/>
      <c r="AE89" s="714"/>
      <c r="AF89" s="714"/>
      <c r="AG89" s="714"/>
      <c r="AI89" s="674"/>
      <c r="AJ89" s="714"/>
      <c r="AK89" s="714"/>
      <c r="AL89" s="714"/>
      <c r="AM89" s="714"/>
      <c r="AN89" s="714"/>
      <c r="AO89" s="714"/>
      <c r="AP89" s="714"/>
      <c r="AQ89" s="714"/>
      <c r="AR89" s="714"/>
      <c r="AS89" s="714"/>
      <c r="AT89" s="714"/>
      <c r="AU89" s="714"/>
      <c r="AV89" s="714"/>
      <c r="AW89" s="714"/>
      <c r="AX89" s="714"/>
      <c r="AY89" s="714"/>
      <c r="AZ89" s="714"/>
      <c r="BA89" s="714"/>
      <c r="BB89" s="714"/>
      <c r="BC89" s="714"/>
      <c r="BD89" s="714"/>
    </row>
    <row r="90" spans="1:56" ht="12.95" customHeight="1">
      <c r="A90" s="674" t="s">
        <v>145</v>
      </c>
      <c r="B90" s="711">
        <f>SUM(B88:B88)</f>
        <v>0</v>
      </c>
      <c r="C90" s="712"/>
      <c r="D90" s="711">
        <f>SUM(D88:D88)</f>
        <v>0</v>
      </c>
      <c r="E90" s="712"/>
      <c r="F90" s="711">
        <f>SUM(F88:F88)</f>
        <v>0</v>
      </c>
      <c r="G90" s="712"/>
      <c r="H90" s="711">
        <f>SUM(H88:H88)</f>
        <v>0</v>
      </c>
      <c r="I90" s="712"/>
      <c r="J90" s="711">
        <f>SUM(J88:J88)</f>
        <v>0</v>
      </c>
      <c r="K90" s="712"/>
      <c r="L90" s="711">
        <f>SUM(L88:L88)</f>
        <v>0</v>
      </c>
      <c r="M90" s="712"/>
      <c r="N90" s="711">
        <f>SUM(N88:N88)</f>
        <v>0</v>
      </c>
      <c r="O90" s="712"/>
      <c r="P90" s="711">
        <f>SUM(P88:P88)</f>
        <v>0</v>
      </c>
      <c r="Q90" s="712"/>
      <c r="R90" s="711">
        <f>SUM(R88:R88)</f>
        <v>0</v>
      </c>
      <c r="S90" s="712"/>
      <c r="T90" s="711">
        <f>SUM(T88:T88)</f>
        <v>0</v>
      </c>
      <c r="U90" s="713"/>
      <c r="V90" s="712"/>
      <c r="W90" s="674"/>
      <c r="X90" s="714"/>
      <c r="Y90" s="714"/>
      <c r="Z90" s="714"/>
      <c r="AA90" s="714"/>
      <c r="AB90" s="714"/>
      <c r="AC90" s="714"/>
      <c r="AD90" s="714"/>
      <c r="AE90" s="714"/>
      <c r="AF90" s="714"/>
      <c r="AG90" s="714"/>
      <c r="AI90" s="674"/>
      <c r="AJ90" s="714"/>
      <c r="AK90" s="714"/>
      <c r="AL90" s="714"/>
      <c r="AM90" s="714"/>
      <c r="AN90" s="714"/>
      <c r="AO90" s="714"/>
      <c r="AP90" s="714"/>
      <c r="AQ90" s="714"/>
      <c r="AR90" s="714"/>
      <c r="AS90" s="714"/>
      <c r="AT90" s="714"/>
      <c r="AU90" s="714"/>
      <c r="AV90" s="714"/>
      <c r="AW90" s="714"/>
      <c r="AX90" s="714"/>
      <c r="AY90" s="714"/>
      <c r="AZ90" s="714"/>
      <c r="BA90" s="714"/>
      <c r="BB90" s="714"/>
      <c r="BC90" s="714"/>
      <c r="BD90" s="714"/>
    </row>
    <row r="91" spans="1:56">
      <c r="A91" s="674"/>
      <c r="B91" s="712"/>
      <c r="C91" s="712"/>
      <c r="D91" s="712"/>
      <c r="E91" s="712"/>
      <c r="F91" s="712"/>
      <c r="G91" s="712"/>
      <c r="H91" s="712"/>
      <c r="I91" s="712"/>
      <c r="J91" s="712"/>
      <c r="K91" s="712"/>
      <c r="L91" s="712"/>
      <c r="M91" s="712"/>
      <c r="N91" s="712"/>
      <c r="O91" s="712"/>
      <c r="P91" s="712"/>
      <c r="Q91" s="712"/>
      <c r="R91" s="712"/>
      <c r="S91" s="712"/>
      <c r="T91" s="712"/>
      <c r="U91" s="713"/>
      <c r="V91" s="713"/>
      <c r="W91" s="674"/>
      <c r="X91" s="714"/>
      <c r="Y91" s="714"/>
      <c r="Z91" s="714"/>
      <c r="AA91" s="714"/>
      <c r="AB91" s="714"/>
      <c r="AC91" s="714"/>
      <c r="AD91" s="714"/>
      <c r="AE91" s="714"/>
      <c r="AF91" s="714"/>
      <c r="AG91" s="714"/>
      <c r="AI91" s="674"/>
      <c r="AJ91" s="714"/>
      <c r="AK91" s="714"/>
      <c r="AL91" s="714"/>
      <c r="AM91" s="714"/>
      <c r="AN91" s="714"/>
      <c r="AO91" s="714"/>
      <c r="AP91" s="714"/>
      <c r="AQ91" s="714"/>
      <c r="AR91" s="714"/>
      <c r="AS91" s="714"/>
      <c r="AT91" s="714"/>
      <c r="AU91" s="714"/>
      <c r="AV91" s="714"/>
      <c r="AW91" s="714"/>
      <c r="AX91" s="714"/>
      <c r="AY91" s="714"/>
      <c r="AZ91" s="714"/>
      <c r="BA91" s="714"/>
      <c r="BB91" s="714"/>
      <c r="BC91" s="714"/>
      <c r="BD91" s="714"/>
    </row>
    <row r="92" spans="1:56" ht="13.5" thickBot="1">
      <c r="A92" s="674" t="s">
        <v>146</v>
      </c>
      <c r="B92" s="719">
        <f>B83+B90</f>
        <v>2317372.3788775038</v>
      </c>
      <c r="C92" s="712"/>
      <c r="D92" s="719">
        <f>D83+D90</f>
        <v>2084.8972399999993</v>
      </c>
      <c r="E92" s="712"/>
      <c r="F92" s="719">
        <f>F83+F90</f>
        <v>829905.79368136416</v>
      </c>
      <c r="G92" s="712"/>
      <c r="H92" s="719">
        <f>H83+H90</f>
        <v>16970.398778461538</v>
      </c>
      <c r="I92" s="712"/>
      <c r="J92" s="719">
        <f>J83+J90</f>
        <v>1472581.083657678</v>
      </c>
      <c r="K92" s="712"/>
      <c r="L92" s="719">
        <f>L83+L90</f>
        <v>0</v>
      </c>
      <c r="M92" s="712"/>
      <c r="N92" s="719">
        <f>N83+N90</f>
        <v>63731.53211</v>
      </c>
      <c r="O92" s="712"/>
      <c r="P92" s="719">
        <f>P83+P90</f>
        <v>1536312.615767678</v>
      </c>
      <c r="Q92" s="712"/>
      <c r="R92" s="719">
        <f>R83+R90</f>
        <v>-48182.774856153832</v>
      </c>
      <c r="S92" s="712"/>
      <c r="T92" s="719">
        <f>T83+T90</f>
        <v>1488129.8409115241</v>
      </c>
      <c r="U92" s="713"/>
      <c r="V92" s="712"/>
      <c r="W92" s="674"/>
      <c r="X92" s="714"/>
      <c r="Y92" s="714"/>
      <c r="Z92" s="714"/>
      <c r="AA92" s="714"/>
      <c r="AB92" s="714"/>
      <c r="AC92" s="714"/>
      <c r="AD92" s="714"/>
      <c r="AE92" s="714"/>
      <c r="AF92" s="714"/>
      <c r="AG92" s="714"/>
      <c r="AI92" s="674"/>
      <c r="AJ92" s="714"/>
      <c r="AK92" s="714"/>
      <c r="AL92" s="714"/>
      <c r="AM92" s="714"/>
      <c r="AN92" s="714"/>
      <c r="AO92" s="714"/>
      <c r="AP92" s="714"/>
      <c r="AQ92" s="714"/>
      <c r="AR92" s="714"/>
      <c r="AS92" s="714"/>
      <c r="AT92" s="714"/>
      <c r="AU92" s="714"/>
      <c r="AV92" s="714"/>
      <c r="AW92" s="714"/>
      <c r="AX92" s="714"/>
      <c r="AY92" s="714"/>
      <c r="AZ92" s="714"/>
      <c r="BA92" s="714"/>
      <c r="BB92" s="714"/>
      <c r="BC92" s="714"/>
      <c r="BD92" s="714"/>
    </row>
    <row r="93" spans="1:56" ht="13.5" thickTop="1">
      <c r="A93" s="674"/>
      <c r="B93" s="713"/>
      <c r="C93" s="713"/>
      <c r="D93" s="713"/>
      <c r="E93" s="713"/>
      <c r="F93" s="713"/>
      <c r="G93" s="713"/>
      <c r="H93" s="713"/>
      <c r="I93" s="713"/>
      <c r="J93" s="713"/>
      <c r="K93" s="713"/>
      <c r="L93" s="713"/>
      <c r="M93" s="713"/>
      <c r="N93" s="713"/>
      <c r="O93" s="713"/>
      <c r="P93" s="713"/>
      <c r="Q93" s="713"/>
      <c r="R93" s="713"/>
      <c r="S93" s="713"/>
      <c r="T93" s="713"/>
      <c r="U93" s="713"/>
      <c r="V93" s="713"/>
      <c r="W93" s="714"/>
      <c r="X93" s="714"/>
      <c r="Y93" s="714"/>
      <c r="Z93" s="714"/>
      <c r="AA93" s="714"/>
      <c r="AB93" s="714"/>
      <c r="AC93" s="714"/>
      <c r="AD93" s="714"/>
      <c r="AE93" s="714"/>
      <c r="AF93" s="714"/>
      <c r="AG93" s="714"/>
      <c r="AI93" s="674"/>
      <c r="AJ93" s="714"/>
      <c r="AK93" s="714"/>
      <c r="AL93" s="714"/>
      <c r="AM93" s="714"/>
      <c r="AN93" s="714"/>
      <c r="AO93" s="714"/>
      <c r="AP93" s="714"/>
      <c r="AQ93" s="714"/>
      <c r="AR93" s="714"/>
      <c r="AS93" s="714"/>
      <c r="AT93" s="714"/>
      <c r="AU93" s="714"/>
      <c r="AV93" s="714"/>
      <c r="AW93" s="714"/>
      <c r="AX93" s="714"/>
      <c r="AY93" s="714"/>
      <c r="AZ93" s="714"/>
      <c r="BA93" s="714"/>
      <c r="BB93" s="714"/>
      <c r="BC93" s="714"/>
      <c r="BD93" s="714"/>
    </row>
    <row r="94" spans="1:56">
      <c r="A94" s="674"/>
      <c r="B94" s="720"/>
      <c r="C94" s="713"/>
      <c r="D94" s="720"/>
      <c r="E94" s="713"/>
      <c r="F94" s="720"/>
      <c r="G94" s="713"/>
      <c r="H94" s="720"/>
      <c r="I94" s="713"/>
      <c r="J94" s="720"/>
      <c r="K94" s="720"/>
      <c r="L94" s="720"/>
      <c r="M94" s="720"/>
      <c r="N94" s="720"/>
      <c r="O94" s="720"/>
      <c r="P94" s="720"/>
      <c r="Q94" s="720"/>
      <c r="R94" s="720"/>
      <c r="S94" s="720"/>
      <c r="T94" s="720"/>
      <c r="U94" s="713"/>
      <c r="V94" s="713"/>
      <c r="W94" s="714"/>
      <c r="X94" s="714"/>
      <c r="Y94" s="714"/>
      <c r="Z94" s="714"/>
      <c r="AA94" s="714"/>
      <c r="AB94" s="714"/>
      <c r="AC94" s="714"/>
      <c r="AD94" s="714"/>
      <c r="AE94" s="714"/>
      <c r="AF94" s="714"/>
      <c r="AG94" s="714"/>
      <c r="AI94" s="674"/>
      <c r="AJ94" s="714"/>
      <c r="AK94" s="714"/>
      <c r="AL94" s="714"/>
      <c r="AM94" s="714"/>
      <c r="AN94" s="714"/>
      <c r="AO94" s="714"/>
      <c r="AP94" s="714"/>
      <c r="AQ94" s="714"/>
      <c r="AR94" s="714"/>
      <c r="AS94" s="714"/>
      <c r="AT94" s="714"/>
      <c r="AU94" s="714"/>
      <c r="AV94" s="714"/>
      <c r="AW94" s="714"/>
      <c r="AX94" s="714"/>
      <c r="AY94" s="714"/>
      <c r="AZ94" s="714"/>
      <c r="BA94" s="714"/>
      <c r="BB94" s="714"/>
      <c r="BC94" s="714"/>
      <c r="BD94" s="714"/>
    </row>
    <row r="95" spans="1:56" ht="15.75">
      <c r="A95" s="721" t="s">
        <v>204</v>
      </c>
      <c r="B95" s="722"/>
      <c r="C95" s="722"/>
      <c r="D95" s="722"/>
      <c r="E95" s="722"/>
      <c r="F95" s="723"/>
      <c r="G95" s="722"/>
      <c r="H95" s="724"/>
      <c r="I95" s="723"/>
      <c r="J95" s="723"/>
      <c r="K95" s="722"/>
      <c r="L95" s="722"/>
      <c r="M95" s="722"/>
      <c r="N95" s="722"/>
      <c r="O95" s="722"/>
      <c r="P95" s="722"/>
      <c r="Q95" s="722"/>
      <c r="R95" s="722"/>
      <c r="S95" s="722"/>
      <c r="T95" s="929" t="s">
        <v>159</v>
      </c>
      <c r="U95" s="723"/>
      <c r="V95" s="722"/>
      <c r="W95" s="714"/>
      <c r="X95" s="714"/>
      <c r="Y95" s="714"/>
      <c r="Z95" s="714"/>
      <c r="AA95" s="714"/>
      <c r="AB95" s="714"/>
      <c r="AC95" s="714"/>
      <c r="AD95" s="714"/>
      <c r="AE95" s="714"/>
      <c r="AF95" s="714"/>
      <c r="AG95" s="714"/>
      <c r="AI95" s="674"/>
      <c r="AJ95" s="714"/>
      <c r="AK95" s="714"/>
      <c r="AL95" s="714"/>
      <c r="AM95" s="714"/>
      <c r="AN95" s="714"/>
      <c r="AO95" s="714"/>
      <c r="AP95" s="714"/>
      <c r="AQ95" s="714"/>
      <c r="AR95" s="714"/>
      <c r="AS95" s="714"/>
      <c r="AT95" s="714"/>
      <c r="AU95" s="714"/>
      <c r="AV95" s="714"/>
      <c r="AW95" s="714"/>
      <c r="AX95" s="714"/>
      <c r="AY95" s="714"/>
      <c r="AZ95" s="714"/>
      <c r="BA95" s="714"/>
      <c r="BB95" s="714"/>
      <c r="BC95" s="714"/>
      <c r="BD95" s="714"/>
    </row>
    <row r="96" spans="1:56" ht="15.75">
      <c r="A96" s="725" t="s">
        <v>0</v>
      </c>
      <c r="B96" s="722"/>
      <c r="C96" s="722"/>
      <c r="D96" s="722"/>
      <c r="E96" s="722"/>
      <c r="F96" s="723"/>
      <c r="G96" s="722"/>
      <c r="H96" s="724"/>
      <c r="I96" s="723"/>
      <c r="J96" s="723"/>
      <c r="K96" s="722"/>
      <c r="L96" s="722"/>
      <c r="M96" s="722"/>
      <c r="N96" s="722"/>
      <c r="O96" s="722"/>
      <c r="P96" s="722"/>
      <c r="Q96" s="722"/>
      <c r="R96" s="722"/>
      <c r="S96" s="722"/>
      <c r="T96" s="726"/>
      <c r="U96" s="726"/>
      <c r="V96" s="726"/>
      <c r="W96" s="714"/>
      <c r="X96" s="714"/>
      <c r="Y96" s="714"/>
      <c r="Z96" s="714"/>
      <c r="AA96" s="714"/>
      <c r="AB96" s="714"/>
      <c r="AC96" s="714"/>
      <c r="AD96" s="714"/>
      <c r="AE96" s="714"/>
      <c r="AF96" s="714"/>
      <c r="AG96" s="714"/>
      <c r="AI96" s="674"/>
      <c r="AJ96" s="714"/>
      <c r="AK96" s="714"/>
      <c r="AL96" s="714"/>
      <c r="AM96" s="714"/>
      <c r="AN96" s="714"/>
      <c r="AO96" s="714"/>
      <c r="AP96" s="714"/>
      <c r="AQ96" s="714"/>
      <c r="AR96" s="714"/>
      <c r="AS96" s="714"/>
      <c r="AT96" s="714"/>
      <c r="AU96" s="714"/>
      <c r="AV96" s="714"/>
      <c r="AW96" s="714"/>
      <c r="AX96" s="714"/>
      <c r="AY96" s="714"/>
      <c r="AZ96" s="714"/>
      <c r="BA96" s="714"/>
      <c r="BB96" s="714"/>
      <c r="BC96" s="714"/>
      <c r="BD96" s="714"/>
    </row>
    <row r="97" spans="1:56" ht="15.75">
      <c r="A97" s="727" t="str">
        <f>A3</f>
        <v>December 2021</v>
      </c>
      <c r="B97" s="722"/>
      <c r="C97" s="722"/>
      <c r="D97" s="722"/>
      <c r="E97" s="722"/>
      <c r="F97" s="722"/>
      <c r="G97" s="724"/>
      <c r="H97" s="722"/>
      <c r="I97" s="723"/>
      <c r="J97" s="723"/>
      <c r="K97" s="722"/>
      <c r="L97" s="722"/>
      <c r="M97" s="722"/>
      <c r="N97" s="722"/>
      <c r="O97" s="722"/>
      <c r="P97" s="722"/>
      <c r="Q97" s="722"/>
      <c r="R97" s="722"/>
      <c r="S97" s="722"/>
      <c r="T97" s="726"/>
      <c r="U97" s="726"/>
      <c r="V97" s="726"/>
      <c r="W97" s="714"/>
      <c r="X97" s="714"/>
      <c r="Y97" s="714"/>
      <c r="Z97" s="714"/>
      <c r="AA97" s="714"/>
      <c r="AB97" s="714"/>
      <c r="AC97" s="714"/>
      <c r="AD97" s="714"/>
      <c r="AE97" s="714"/>
      <c r="AF97" s="714"/>
      <c r="AG97" s="714"/>
      <c r="AI97" s="674"/>
      <c r="AJ97" s="714"/>
      <c r="AK97" s="714"/>
      <c r="AL97" s="714"/>
      <c r="AM97" s="714"/>
      <c r="AN97" s="714"/>
      <c r="AO97" s="714"/>
      <c r="AP97" s="714"/>
      <c r="AQ97" s="714"/>
      <c r="AR97" s="714"/>
      <c r="AS97" s="714"/>
      <c r="AT97" s="714"/>
      <c r="AU97" s="714"/>
      <c r="AV97" s="714"/>
      <c r="AW97" s="714"/>
      <c r="AX97" s="714"/>
      <c r="AY97" s="714"/>
      <c r="AZ97" s="714"/>
      <c r="BA97" s="714"/>
      <c r="BB97" s="714"/>
      <c r="BC97" s="714"/>
      <c r="BD97" s="714"/>
    </row>
    <row r="98" spans="1:56" ht="15.75">
      <c r="A98" s="727" t="str">
        <f>A4</f>
        <v>(In $ Thousands)</v>
      </c>
      <c r="B98" s="722"/>
      <c r="C98" s="722"/>
      <c r="D98" s="722"/>
      <c r="E98" s="722"/>
      <c r="F98" s="722"/>
      <c r="G98" s="724"/>
      <c r="H98" s="722"/>
      <c r="I98" s="723"/>
      <c r="J98" s="723"/>
      <c r="K98" s="722"/>
      <c r="L98" s="722"/>
      <c r="M98" s="722"/>
      <c r="N98" s="722"/>
      <c r="O98" s="722"/>
      <c r="P98" s="722"/>
      <c r="Q98" s="722"/>
      <c r="R98" s="722"/>
      <c r="S98" s="722"/>
      <c r="T98" s="726"/>
      <c r="U98" s="726"/>
      <c r="V98" s="726"/>
      <c r="W98" s="714"/>
      <c r="X98" s="714"/>
      <c r="Y98" s="714"/>
      <c r="Z98" s="714"/>
      <c r="AA98" s="714"/>
      <c r="AB98" s="714"/>
      <c r="AC98" s="714"/>
      <c r="AD98" s="714"/>
      <c r="AE98" s="714"/>
      <c r="AF98" s="714"/>
      <c r="AG98" s="714"/>
      <c r="AI98" s="674"/>
      <c r="AJ98" s="714"/>
      <c r="AK98" s="714"/>
      <c r="AL98" s="714"/>
      <c r="AM98" s="714"/>
      <c r="AN98" s="714"/>
      <c r="AO98" s="714"/>
      <c r="AP98" s="714"/>
      <c r="AQ98" s="714"/>
      <c r="AR98" s="714"/>
      <c r="AS98" s="714"/>
      <c r="AT98" s="714"/>
      <c r="AU98" s="714"/>
      <c r="AV98" s="714"/>
      <c r="AW98" s="714"/>
      <c r="AX98" s="714"/>
      <c r="AY98" s="714"/>
      <c r="AZ98" s="714"/>
      <c r="BA98" s="714"/>
      <c r="BB98" s="714"/>
      <c r="BC98" s="714"/>
      <c r="BD98" s="714"/>
    </row>
    <row r="99" spans="1:56">
      <c r="A99" s="674"/>
      <c r="B99" s="713"/>
      <c r="C99" s="713"/>
      <c r="D99" s="713"/>
      <c r="E99" s="713"/>
      <c r="F99" s="713"/>
      <c r="G99" s="713"/>
      <c r="H99" s="713"/>
      <c r="I99" s="713"/>
      <c r="J99" s="713"/>
      <c r="K99" s="713"/>
      <c r="L99" s="713"/>
      <c r="M99" s="713"/>
      <c r="N99" s="713"/>
      <c r="O99" s="713"/>
      <c r="P99" s="713"/>
      <c r="Q99" s="713"/>
      <c r="R99" s="713"/>
      <c r="S99" s="713"/>
      <c r="T99" s="713"/>
      <c r="U99" s="713"/>
      <c r="V99" s="713"/>
      <c r="W99" s="714"/>
      <c r="X99" s="714"/>
      <c r="Y99" s="714"/>
      <c r="Z99" s="714"/>
      <c r="AA99" s="714"/>
      <c r="AB99" s="714"/>
      <c r="AC99" s="714"/>
      <c r="AD99" s="714"/>
      <c r="AE99" s="714"/>
      <c r="AF99" s="714"/>
      <c r="AG99" s="714"/>
      <c r="AI99" s="674"/>
      <c r="AJ99" s="714"/>
      <c r="AK99" s="714"/>
      <c r="AL99" s="714"/>
      <c r="AM99" s="714"/>
      <c r="AN99" s="714"/>
      <c r="AO99" s="714"/>
      <c r="AP99" s="714"/>
      <c r="AQ99" s="714"/>
      <c r="AR99" s="714"/>
      <c r="AS99" s="714"/>
      <c r="AT99" s="714"/>
      <c r="AU99" s="714"/>
      <c r="AV99" s="714"/>
      <c r="AW99" s="714"/>
      <c r="AX99" s="714"/>
      <c r="AY99" s="714"/>
      <c r="AZ99" s="714"/>
      <c r="BA99" s="714"/>
      <c r="BB99" s="714"/>
      <c r="BC99" s="714"/>
      <c r="BD99" s="714"/>
    </row>
    <row r="100" spans="1:56">
      <c r="A100" s="674"/>
      <c r="B100" s="713"/>
      <c r="C100" s="713"/>
      <c r="D100" s="713"/>
      <c r="E100" s="713"/>
      <c r="F100" s="713"/>
      <c r="G100" s="713"/>
      <c r="H100" s="713"/>
      <c r="I100" s="713"/>
      <c r="J100" s="713"/>
      <c r="K100" s="713"/>
      <c r="L100" s="713"/>
      <c r="M100" s="713"/>
      <c r="N100" s="713"/>
      <c r="O100" s="713"/>
      <c r="P100" s="713"/>
      <c r="Q100" s="713"/>
      <c r="R100" s="713"/>
      <c r="S100" s="713"/>
      <c r="T100" s="713"/>
      <c r="U100" s="713"/>
      <c r="V100" s="713"/>
      <c r="W100" s="714"/>
      <c r="X100" s="714"/>
      <c r="Y100" s="714"/>
      <c r="Z100" s="714"/>
      <c r="AA100" s="714"/>
      <c r="AB100" s="714"/>
      <c r="AC100" s="714"/>
      <c r="AD100" s="714"/>
      <c r="AE100" s="714"/>
      <c r="AF100" s="714"/>
      <c r="AG100" s="714"/>
      <c r="AI100" s="674"/>
      <c r="AJ100" s="714"/>
      <c r="AK100" s="714"/>
      <c r="AL100" s="714"/>
      <c r="AM100" s="714"/>
      <c r="AN100" s="714"/>
      <c r="AO100" s="714"/>
      <c r="AP100" s="714"/>
      <c r="AQ100" s="714"/>
      <c r="AR100" s="714"/>
      <c r="AS100" s="714"/>
      <c r="AT100" s="714"/>
      <c r="AU100" s="714"/>
      <c r="AV100" s="714"/>
      <c r="AW100" s="714"/>
      <c r="AX100" s="714"/>
      <c r="AY100" s="714"/>
      <c r="AZ100" s="714"/>
      <c r="BA100" s="714"/>
      <c r="BB100" s="714"/>
      <c r="BC100" s="714"/>
      <c r="BD100" s="714"/>
    </row>
    <row r="101" spans="1:56">
      <c r="A101" s="674"/>
      <c r="B101" s="713"/>
      <c r="C101" s="713"/>
      <c r="D101" s="713"/>
      <c r="E101" s="713"/>
      <c r="F101" s="713"/>
      <c r="G101" s="713"/>
      <c r="H101" s="713"/>
      <c r="I101" s="713"/>
      <c r="J101" s="713"/>
      <c r="K101" s="713"/>
      <c r="L101" s="713"/>
      <c r="M101" s="713"/>
      <c r="N101" s="713"/>
      <c r="O101" s="713"/>
      <c r="P101" s="713"/>
      <c r="Q101" s="713"/>
      <c r="R101" s="713"/>
      <c r="S101" s="713"/>
      <c r="T101" s="713"/>
      <c r="U101" s="713"/>
      <c r="V101" s="713"/>
      <c r="W101" s="714"/>
      <c r="X101" s="714"/>
      <c r="Y101" s="714"/>
      <c r="Z101" s="714"/>
      <c r="AA101" s="714"/>
      <c r="AB101" s="714"/>
      <c r="AC101" s="714"/>
      <c r="AD101" s="714"/>
      <c r="AE101" s="714"/>
      <c r="AF101" s="714"/>
      <c r="AG101" s="714"/>
      <c r="AI101" s="674"/>
      <c r="AJ101" s="714"/>
      <c r="AK101" s="714"/>
      <c r="AL101" s="714"/>
      <c r="AM101" s="714"/>
      <c r="AN101" s="714"/>
      <c r="AO101" s="714"/>
      <c r="AP101" s="714"/>
      <c r="AQ101" s="714"/>
      <c r="AR101" s="714"/>
      <c r="AS101" s="714"/>
      <c r="AT101" s="714"/>
      <c r="AU101" s="714"/>
      <c r="AV101" s="714"/>
      <c r="AW101" s="714"/>
      <c r="AX101" s="714"/>
      <c r="AY101" s="714"/>
      <c r="AZ101" s="714"/>
      <c r="BA101" s="714"/>
      <c r="BB101" s="714"/>
      <c r="BC101" s="714"/>
      <c r="BD101" s="714"/>
    </row>
    <row r="102" spans="1:56">
      <c r="A102" s="674"/>
      <c r="B102" s="728" t="s">
        <v>94</v>
      </c>
      <c r="C102" s="713"/>
      <c r="D102" s="728" t="s">
        <v>95</v>
      </c>
      <c r="E102" s="713"/>
      <c r="F102" s="728" t="s">
        <v>96</v>
      </c>
      <c r="G102" s="713"/>
      <c r="H102" s="728" t="s">
        <v>97</v>
      </c>
      <c r="I102" s="713"/>
      <c r="J102" s="728" t="s">
        <v>98</v>
      </c>
      <c r="K102" s="713"/>
      <c r="L102" s="728" t="s">
        <v>147</v>
      </c>
      <c r="M102" s="713"/>
      <c r="N102" s="728" t="s">
        <v>124</v>
      </c>
      <c r="O102" s="713"/>
      <c r="P102" s="728" t="s">
        <v>125</v>
      </c>
      <c r="Q102" s="713"/>
      <c r="R102" s="728" t="s">
        <v>126</v>
      </c>
      <c r="S102" s="713"/>
      <c r="T102" s="728" t="s">
        <v>127</v>
      </c>
      <c r="U102" s="713"/>
      <c r="V102" s="728" t="s">
        <v>128</v>
      </c>
      <c r="W102" s="714"/>
      <c r="X102" s="714"/>
      <c r="Y102" s="714"/>
      <c r="Z102" s="714"/>
      <c r="AA102" s="714"/>
      <c r="AB102" s="714"/>
      <c r="AC102" s="714"/>
      <c r="AD102" s="714"/>
      <c r="AE102" s="714"/>
      <c r="AF102" s="714"/>
      <c r="AG102" s="714"/>
      <c r="AI102" s="674"/>
      <c r="AJ102" s="714"/>
      <c r="AK102" s="714"/>
      <c r="AL102" s="714"/>
      <c r="AM102" s="714"/>
      <c r="AN102" s="714"/>
      <c r="AO102" s="714"/>
      <c r="AP102" s="714"/>
      <c r="AQ102" s="714"/>
      <c r="AR102" s="714"/>
      <c r="AS102" s="714"/>
      <c r="AT102" s="714"/>
      <c r="AU102" s="714"/>
      <c r="AV102" s="714"/>
      <c r="AW102" s="714"/>
      <c r="AX102" s="714"/>
      <c r="AY102" s="714"/>
      <c r="AZ102" s="714"/>
      <c r="BA102" s="714"/>
      <c r="BB102" s="714"/>
      <c r="BC102" s="714"/>
      <c r="BD102" s="714"/>
    </row>
    <row r="103" spans="1:56">
      <c r="A103" s="674"/>
      <c r="B103" s="713"/>
      <c r="C103" s="713"/>
      <c r="D103" s="713"/>
      <c r="E103" s="713"/>
      <c r="F103" s="713"/>
      <c r="G103" s="713"/>
      <c r="H103" s="728" t="s">
        <v>148</v>
      </c>
      <c r="I103" s="713"/>
      <c r="J103" s="713"/>
      <c r="K103" s="713"/>
      <c r="L103" s="713"/>
      <c r="M103" s="713"/>
      <c r="N103" s="728" t="s">
        <v>356</v>
      </c>
      <c r="O103" s="713"/>
      <c r="P103" s="728" t="s">
        <v>359</v>
      </c>
      <c r="Q103" s="713"/>
      <c r="R103" s="713"/>
      <c r="S103" s="713"/>
      <c r="T103" s="728" t="s">
        <v>347</v>
      </c>
      <c r="U103" s="713"/>
      <c r="V103" s="728" t="s">
        <v>339</v>
      </c>
      <c r="W103" s="714"/>
      <c r="X103" s="714"/>
      <c r="Y103" s="714"/>
      <c r="Z103" s="714"/>
      <c r="AA103" s="714"/>
      <c r="AB103" s="714"/>
      <c r="AC103" s="714"/>
      <c r="AD103" s="714"/>
      <c r="AE103" s="714"/>
      <c r="AF103" s="714"/>
      <c r="AG103" s="714"/>
      <c r="AI103" s="674"/>
      <c r="AJ103" s="714"/>
      <c r="AK103" s="714"/>
      <c r="AL103" s="714"/>
      <c r="AM103" s="714"/>
      <c r="AN103" s="714"/>
      <c r="AO103" s="714"/>
      <c r="AP103" s="714"/>
      <c r="AQ103" s="714"/>
      <c r="AR103" s="714"/>
      <c r="AS103" s="714"/>
      <c r="AT103" s="714"/>
      <c r="AU103" s="714"/>
      <c r="AV103" s="714"/>
      <c r="AW103" s="714"/>
      <c r="AX103" s="714"/>
      <c r="AY103" s="714"/>
      <c r="AZ103" s="714"/>
      <c r="BA103" s="714"/>
      <c r="BB103" s="714"/>
      <c r="BC103" s="714"/>
      <c r="BD103" s="714"/>
    </row>
    <row r="104" spans="1:56">
      <c r="A104" s="674"/>
      <c r="B104" s="1196" t="s">
        <v>349</v>
      </c>
      <c r="C104" s="938"/>
      <c r="D104" s="1196" t="s">
        <v>149</v>
      </c>
      <c r="E104" s="938"/>
      <c r="F104" s="1196" t="s">
        <v>149</v>
      </c>
      <c r="G104" s="938"/>
      <c r="H104" s="1196" t="s">
        <v>329</v>
      </c>
      <c r="I104" s="938"/>
      <c r="J104" s="1196" t="s">
        <v>352</v>
      </c>
      <c r="K104" s="938"/>
      <c r="L104" s="1196" t="s">
        <v>354</v>
      </c>
      <c r="M104" s="938"/>
      <c r="N104" s="1196" t="s">
        <v>354</v>
      </c>
      <c r="O104" s="938"/>
      <c r="P104" s="1196" t="s">
        <v>358</v>
      </c>
      <c r="Q104" s="938"/>
      <c r="R104" s="1196" t="s">
        <v>360</v>
      </c>
      <c r="S104" s="713"/>
      <c r="T104" s="728" t="s">
        <v>349</v>
      </c>
      <c r="U104" s="713"/>
      <c r="V104" s="728" t="s">
        <v>349</v>
      </c>
      <c r="W104" s="729"/>
      <c r="X104" s="714"/>
      <c r="Y104" s="714"/>
      <c r="Z104" s="714"/>
      <c r="AA104" s="714"/>
      <c r="AB104" s="714"/>
      <c r="AC104" s="714"/>
      <c r="AD104" s="714"/>
      <c r="AE104" s="714"/>
      <c r="AF104" s="714"/>
      <c r="AG104" s="714"/>
      <c r="AI104" s="674"/>
      <c r="AJ104" s="714"/>
      <c r="AK104" s="714"/>
      <c r="AL104" s="714"/>
      <c r="AM104" s="714"/>
      <c r="AN104" s="714"/>
      <c r="AO104" s="714"/>
      <c r="AP104" s="714"/>
      <c r="AQ104" s="714"/>
      <c r="AR104" s="714"/>
      <c r="AS104" s="714"/>
      <c r="AT104" s="714"/>
      <c r="AU104" s="714"/>
      <c r="AV104" s="714"/>
      <c r="AW104" s="714"/>
      <c r="AX104" s="714"/>
      <c r="AY104" s="714"/>
      <c r="AZ104" s="714"/>
      <c r="BA104" s="714"/>
      <c r="BB104" s="714"/>
      <c r="BC104" s="714"/>
      <c r="BD104" s="714"/>
    </row>
    <row r="105" spans="1:56">
      <c r="A105" s="674"/>
      <c r="B105" s="1197" t="s">
        <v>350</v>
      </c>
      <c r="C105" s="938"/>
      <c r="D105" s="1197" t="s">
        <v>351</v>
      </c>
      <c r="E105" s="938"/>
      <c r="F105" s="1197" t="s">
        <v>261</v>
      </c>
      <c r="G105" s="938"/>
      <c r="H105" s="1197" t="s">
        <v>330</v>
      </c>
      <c r="I105" s="938"/>
      <c r="J105" s="1197" t="s">
        <v>353</v>
      </c>
      <c r="K105" s="938"/>
      <c r="L105" s="1197" t="s">
        <v>355</v>
      </c>
      <c r="M105" s="938"/>
      <c r="N105" s="1197" t="s">
        <v>357</v>
      </c>
      <c r="O105" s="938"/>
      <c r="P105" s="1197" t="s">
        <v>357</v>
      </c>
      <c r="Q105" s="938"/>
      <c r="R105" s="1197" t="s">
        <v>361</v>
      </c>
      <c r="S105" s="713"/>
      <c r="T105" s="730" t="s">
        <v>362</v>
      </c>
      <c r="U105" s="713"/>
      <c r="V105" s="730" t="s">
        <v>363</v>
      </c>
      <c r="W105" s="693"/>
      <c r="X105" s="995"/>
      <c r="Y105" s="995"/>
      <c r="Z105" s="995"/>
      <c r="AA105" s="995"/>
      <c r="AB105" s="729"/>
      <c r="AC105" s="714"/>
      <c r="AD105" s="714"/>
      <c r="AE105" s="714"/>
      <c r="AF105" s="714"/>
      <c r="AG105" s="714"/>
      <c r="AI105" s="674"/>
      <c r="AJ105" s="714"/>
      <c r="AK105" s="714"/>
      <c r="AL105" s="714"/>
      <c r="AM105" s="714"/>
      <c r="AN105" s="714"/>
      <c r="AO105" s="714"/>
      <c r="AP105" s="714"/>
      <c r="AQ105" s="714"/>
      <c r="AR105" s="714"/>
      <c r="AS105" s="714"/>
      <c r="AT105" s="714"/>
      <c r="AU105" s="714"/>
      <c r="AV105" s="714"/>
      <c r="AW105" s="714"/>
      <c r="AX105" s="714"/>
      <c r="AY105" s="714"/>
      <c r="AZ105" s="714"/>
      <c r="BA105" s="714"/>
      <c r="BB105" s="714"/>
      <c r="BC105" s="714"/>
      <c r="BD105" s="714"/>
    </row>
    <row r="106" spans="1:56" ht="13.9" customHeight="1">
      <c r="A106" s="674" t="s">
        <v>101</v>
      </c>
      <c r="B106" s="936">
        <f>+IncomeStmt!$B$9</f>
        <v>517145.58792999992</v>
      </c>
      <c r="C106" s="937"/>
      <c r="D106" s="936">
        <f>+IncomeStmt!$B$10</f>
        <v>161278.81740999999</v>
      </c>
      <c r="E106" s="937"/>
      <c r="F106" s="936">
        <f>+IncomeStmt!$B$13</f>
        <v>140031.48268000002</v>
      </c>
      <c r="G106" s="937"/>
      <c r="H106" s="936">
        <f>SUM(IncomeStmt!$B$14:$B$17)</f>
        <v>55696.881180000004</v>
      </c>
      <c r="I106" s="937"/>
      <c r="J106" s="936">
        <f>+IncomeStmt!$B$18</f>
        <v>47718.677969999997</v>
      </c>
      <c r="K106" s="937"/>
      <c r="L106" s="936">
        <f>SUM(IncomeStmt!$B$19:$B$19)</f>
        <v>8238.5524800000003</v>
      </c>
      <c r="M106" s="937"/>
      <c r="N106" s="936">
        <f>SUM(IncomeStmt!$B$20:$B$20)</f>
        <v>13291.795559999999</v>
      </c>
      <c r="O106" s="937"/>
      <c r="P106" s="936">
        <f>+IncomeStmt!$B$21</f>
        <v>0</v>
      </c>
      <c r="Q106" s="937"/>
      <c r="R106" s="1318">
        <f>(SUM('Input IS ACCTS'!CJ362:CU362)+SUM('Input IS ACCTS'!CJ369:CU369))/1000</f>
        <v>61.98348</v>
      </c>
      <c r="S106" s="712"/>
      <c r="T106" s="711">
        <f>SUM(D106:R106)</f>
        <v>426318.19076000008</v>
      </c>
      <c r="U106" s="712"/>
      <c r="V106" s="711">
        <f>B106-T106</f>
        <v>90827.397169999836</v>
      </c>
      <c r="W106" s="716"/>
      <c r="X106" s="1195"/>
      <c r="Y106" s="1195"/>
      <c r="Z106" s="1195"/>
      <c r="AA106" s="1195"/>
      <c r="AB106" s="716"/>
      <c r="AC106" s="714"/>
      <c r="AD106" s="714"/>
      <c r="AE106" s="714"/>
      <c r="AF106" s="714"/>
      <c r="AG106" s="714"/>
      <c r="AI106" s="674"/>
      <c r="AJ106" s="714"/>
      <c r="AK106" s="714"/>
      <c r="AL106" s="714"/>
      <c r="AM106" s="714"/>
      <c r="AN106" s="714"/>
      <c r="AO106" s="714"/>
      <c r="AP106" s="714"/>
      <c r="AQ106" s="714"/>
      <c r="AR106" s="714"/>
      <c r="AS106" s="714"/>
      <c r="AT106" s="714"/>
      <c r="AU106" s="714"/>
      <c r="AV106" s="714"/>
      <c r="AW106" s="714"/>
      <c r="AX106" s="714"/>
      <c r="AY106" s="714"/>
      <c r="AZ106" s="714"/>
      <c r="BA106" s="714"/>
      <c r="BB106" s="714"/>
      <c r="BC106" s="714"/>
      <c r="BD106" s="714"/>
    </row>
    <row r="107" spans="1:56">
      <c r="A107" s="674"/>
      <c r="B107" s="937"/>
      <c r="C107" s="937"/>
      <c r="D107" s="937"/>
      <c r="E107" s="937"/>
      <c r="F107" s="937"/>
      <c r="G107" s="937"/>
      <c r="H107" s="937"/>
      <c r="I107" s="937"/>
      <c r="J107" s="937"/>
      <c r="K107" s="937"/>
      <c r="L107" s="937"/>
      <c r="M107" s="937"/>
      <c r="N107" s="937"/>
      <c r="O107" s="937"/>
      <c r="P107" s="937"/>
      <c r="Q107" s="937"/>
      <c r="R107" s="937"/>
      <c r="S107" s="937"/>
      <c r="T107" s="937"/>
      <c r="U107" s="937"/>
      <c r="V107" s="937"/>
      <c r="W107" s="716"/>
      <c r="X107" s="714"/>
      <c r="Y107" s="714"/>
      <c r="Z107" s="714"/>
      <c r="AA107" s="714"/>
      <c r="AB107" s="714"/>
      <c r="AC107" s="714"/>
      <c r="AD107" s="714"/>
      <c r="AE107" s="714"/>
      <c r="AF107" s="714"/>
      <c r="AG107" s="714"/>
      <c r="AI107" s="674"/>
      <c r="AJ107" s="714"/>
      <c r="AK107" s="714"/>
      <c r="AL107" s="714"/>
      <c r="AM107" s="714"/>
      <c r="AN107" s="714"/>
      <c r="AO107" s="714"/>
      <c r="AP107" s="714"/>
      <c r="AQ107" s="714"/>
      <c r="AR107" s="714"/>
      <c r="AS107" s="714"/>
      <c r="AT107" s="714"/>
      <c r="AU107" s="714"/>
      <c r="AV107" s="714"/>
      <c r="AW107" s="714"/>
      <c r="AX107" s="714"/>
      <c r="AY107" s="714"/>
      <c r="AZ107" s="714"/>
      <c r="BA107" s="714"/>
      <c r="BB107" s="714"/>
      <c r="BC107" s="714"/>
      <c r="BD107" s="714"/>
    </row>
    <row r="108" spans="1:56">
      <c r="A108" s="715" t="s">
        <v>129</v>
      </c>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716"/>
      <c r="X108" s="714"/>
      <c r="Y108" s="714"/>
      <c r="Z108" s="714"/>
      <c r="AA108" s="714"/>
      <c r="AB108" s="714"/>
      <c r="AC108" s="714"/>
      <c r="AD108" s="714"/>
      <c r="AE108" s="714"/>
      <c r="AF108" s="714"/>
      <c r="AG108" s="714"/>
      <c r="AI108" s="674"/>
      <c r="AJ108" s="714"/>
      <c r="AK108" s="714"/>
      <c r="AL108" s="714"/>
      <c r="AM108" s="714"/>
      <c r="AN108" s="714"/>
      <c r="AO108" s="714"/>
      <c r="AP108" s="714"/>
      <c r="AQ108" s="714"/>
      <c r="AR108" s="714"/>
      <c r="AS108" s="714"/>
      <c r="AT108" s="714"/>
      <c r="AU108" s="714"/>
      <c r="AV108" s="714"/>
      <c r="AW108" s="714"/>
      <c r="AX108" s="714"/>
      <c r="AY108" s="714"/>
      <c r="AZ108" s="714"/>
      <c r="BA108" s="714"/>
      <c r="BB108" s="714"/>
      <c r="BC108" s="714"/>
      <c r="BD108" s="714"/>
    </row>
    <row r="109" spans="1:56">
      <c r="A109" s="731" t="s">
        <v>537</v>
      </c>
      <c r="B109" s="1172">
        <f>-Input!EP19/1000</f>
        <v>-19628.651889999997</v>
      </c>
      <c r="C109" s="937"/>
      <c r="D109" s="937"/>
      <c r="E109" s="937"/>
      <c r="F109" s="1172">
        <f>-Input!EP15/1000</f>
        <v>-19628.651469999997</v>
      </c>
      <c r="G109" s="937"/>
      <c r="H109" s="937"/>
      <c r="I109" s="937"/>
      <c r="J109" s="937"/>
      <c r="K109" s="937"/>
      <c r="L109" s="942">
        <f>((+B109-D109-F109-H109-J109)*'Input Tax Rate'!$B$36)</f>
        <v>-9.9929130072292548E-5</v>
      </c>
      <c r="M109" s="937"/>
      <c r="N109" s="937"/>
      <c r="O109" s="937"/>
      <c r="P109" s="937"/>
      <c r="Q109" s="937"/>
      <c r="R109" s="937"/>
      <c r="S109" s="937"/>
      <c r="T109" s="937">
        <f t="shared" ref="T109:T125" si="1">SUM(D109:R109)</f>
        <v>-19628.651569929127</v>
      </c>
      <c r="U109" s="937"/>
      <c r="V109" s="1186">
        <f>B109-T109</f>
        <v>-3.2007087065721862E-4</v>
      </c>
      <c r="W109" s="1185" t="s">
        <v>535</v>
      </c>
      <c r="X109" s="716"/>
      <c r="Y109" s="714"/>
      <c r="Z109" s="714"/>
      <c r="AA109" s="714"/>
      <c r="AB109" s="716"/>
      <c r="AC109" s="714"/>
      <c r="AD109" s="714"/>
      <c r="AE109" s="714"/>
      <c r="AF109" s="714"/>
      <c r="AG109" s="714"/>
      <c r="AI109" s="67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row>
    <row r="110" spans="1:56">
      <c r="A110" s="731" t="s">
        <v>538</v>
      </c>
      <c r="B110" s="937"/>
      <c r="C110" s="937"/>
      <c r="D110" s="937"/>
      <c r="E110" s="937"/>
      <c r="F110" s="937"/>
      <c r="G110" s="937"/>
      <c r="H110" s="1170">
        <f>+-'Input Plant'!CK34/1000</f>
        <v>-41.12526429385079</v>
      </c>
      <c r="I110" s="937"/>
      <c r="J110" s="944">
        <v>0</v>
      </c>
      <c r="K110" s="937"/>
      <c r="L110" s="942">
        <f>((+B110-D110-F110-H110-J110)*'Input Tax Rate'!$B$36)</f>
        <v>9.7847901950108902</v>
      </c>
      <c r="M110" s="937"/>
      <c r="N110" s="937"/>
      <c r="O110" s="937"/>
      <c r="P110" s="937"/>
      <c r="Q110" s="937"/>
      <c r="R110" s="937"/>
      <c r="S110" s="937"/>
      <c r="T110" s="937">
        <f t="shared" si="1"/>
        <v>-31.340474098839898</v>
      </c>
      <c r="U110" s="937"/>
      <c r="V110" s="937">
        <f t="shared" ref="V110:V125" si="2">B110-T110</f>
        <v>31.340474098839898</v>
      </c>
      <c r="W110" s="716"/>
      <c r="X110" s="716"/>
      <c r="Y110" s="714"/>
      <c r="Z110" s="714"/>
      <c r="AA110" s="714"/>
      <c r="AB110" s="716"/>
      <c r="AC110" s="714"/>
      <c r="AD110" s="714"/>
      <c r="AE110" s="714"/>
      <c r="AF110" s="714"/>
      <c r="AG110" s="714"/>
      <c r="AI110" s="674"/>
      <c r="AJ110" s="714"/>
      <c r="AK110" s="714"/>
      <c r="AL110" s="714"/>
      <c r="AM110" s="714"/>
      <c r="AN110" s="714"/>
      <c r="AO110" s="714"/>
      <c r="AP110" s="714"/>
      <c r="AQ110" s="714"/>
      <c r="AR110" s="714"/>
      <c r="AS110" s="714"/>
      <c r="AT110" s="714"/>
      <c r="AU110" s="714"/>
      <c r="AV110" s="714"/>
      <c r="AW110" s="714"/>
      <c r="AX110" s="714"/>
      <c r="AY110" s="714"/>
      <c r="AZ110" s="714"/>
      <c r="BA110" s="714"/>
      <c r="BB110" s="714"/>
      <c r="BC110" s="714"/>
      <c r="BD110" s="714"/>
    </row>
    <row r="111" spans="1:56">
      <c r="A111" s="731" t="s">
        <v>486</v>
      </c>
      <c r="B111" s="937"/>
      <c r="C111" s="937"/>
      <c r="D111" s="937"/>
      <c r="E111" s="937"/>
      <c r="F111" s="937"/>
      <c r="G111" s="937"/>
      <c r="H111" s="937"/>
      <c r="I111" s="937"/>
      <c r="J111" s="937"/>
      <c r="K111" s="937"/>
      <c r="L111" s="1172">
        <f>-'Int Synch'!E31</f>
        <v>92.409253235451331</v>
      </c>
      <c r="M111" s="937"/>
      <c r="N111" s="937"/>
      <c r="O111" s="937"/>
      <c r="P111" s="937"/>
      <c r="Q111" s="937"/>
      <c r="R111" s="937"/>
      <c r="S111" s="937"/>
      <c r="T111" s="937">
        <f>SUM(D111:R111)</f>
        <v>92.409253235451331</v>
      </c>
      <c r="U111" s="937"/>
      <c r="V111" s="937">
        <f t="shared" si="2"/>
        <v>-92.409253235451331</v>
      </c>
      <c r="W111" s="716"/>
      <c r="X111" s="716"/>
      <c r="Y111" s="714"/>
      <c r="Z111" s="714"/>
      <c r="AA111" s="714"/>
      <c r="AB111" s="716"/>
      <c r="AC111" s="714"/>
      <c r="AD111" s="714"/>
      <c r="AE111" s="714"/>
      <c r="AF111" s="714"/>
      <c r="AG111" s="714"/>
      <c r="AI111" s="674"/>
      <c r="AJ111" s="714"/>
      <c r="AK111" s="714"/>
      <c r="AL111" s="714"/>
      <c r="AM111" s="714"/>
      <c r="AN111" s="714"/>
      <c r="AO111" s="714"/>
      <c r="AP111" s="714"/>
      <c r="AQ111" s="714"/>
      <c r="AR111" s="714"/>
      <c r="AS111" s="714"/>
      <c r="AT111" s="714"/>
      <c r="AU111" s="714"/>
      <c r="AV111" s="714"/>
      <c r="AW111" s="714"/>
      <c r="AX111" s="714"/>
      <c r="AY111" s="714"/>
      <c r="AZ111" s="714"/>
      <c r="BA111" s="714"/>
      <c r="BB111" s="714"/>
      <c r="BC111" s="714"/>
      <c r="BD111" s="714"/>
    </row>
    <row r="112" spans="1:56">
      <c r="A112" s="731" t="s">
        <v>485</v>
      </c>
      <c r="B112" s="937"/>
      <c r="C112" s="937"/>
      <c r="D112" s="937"/>
      <c r="E112" s="937"/>
      <c r="F112" s="937"/>
      <c r="G112" s="937"/>
      <c r="H112" s="937"/>
      <c r="I112" s="937"/>
      <c r="J112" s="937"/>
      <c r="K112" s="937"/>
      <c r="L112" s="937">
        <f>-(2099000/1000)</f>
        <v>-2099</v>
      </c>
      <c r="M112" s="937"/>
      <c r="N112" s="937"/>
      <c r="O112" s="937"/>
      <c r="P112" s="937"/>
      <c r="Q112" s="937"/>
      <c r="R112" s="937"/>
      <c r="S112" s="937"/>
      <c r="T112" s="937">
        <f t="shared" si="1"/>
        <v>-2099</v>
      </c>
      <c r="U112" s="937"/>
      <c r="V112" s="937">
        <f t="shared" si="2"/>
        <v>2099</v>
      </c>
      <c r="W112" s="716"/>
      <c r="X112" s="716"/>
      <c r="Y112" s="714"/>
      <c r="Z112" s="714"/>
      <c r="AA112" s="714"/>
      <c r="AB112" s="716"/>
      <c r="AC112" s="714"/>
      <c r="AD112" s="714"/>
      <c r="AE112" s="714"/>
      <c r="AF112" s="714"/>
      <c r="AG112" s="714"/>
      <c r="AI112" s="674"/>
      <c r="AJ112" s="714"/>
      <c r="AK112" s="714"/>
      <c r="AL112" s="714"/>
      <c r="AM112" s="714"/>
      <c r="AN112" s="714"/>
      <c r="AO112" s="714"/>
      <c r="AP112" s="714"/>
      <c r="AQ112" s="714"/>
      <c r="AR112" s="714"/>
      <c r="AS112" s="714"/>
      <c r="AT112" s="714"/>
      <c r="AU112" s="714"/>
      <c r="AV112" s="714"/>
      <c r="AW112" s="714"/>
      <c r="AX112" s="714"/>
      <c r="AY112" s="714"/>
      <c r="AZ112" s="714"/>
      <c r="BA112" s="714"/>
      <c r="BB112" s="714"/>
      <c r="BC112" s="714"/>
      <c r="BD112" s="714"/>
    </row>
    <row r="113" spans="1:56">
      <c r="A113" s="731" t="s">
        <v>539</v>
      </c>
      <c r="B113" s="1172">
        <f>+-D106+J113</f>
        <v>-161973.31740999999</v>
      </c>
      <c r="C113" s="937"/>
      <c r="D113" s="937">
        <f>-D106</f>
        <v>-161278.81740999999</v>
      </c>
      <c r="E113" s="937"/>
      <c r="F113" s="937"/>
      <c r="G113" s="937"/>
      <c r="H113" s="937"/>
      <c r="I113" s="937"/>
      <c r="J113" s="1172">
        <f>+-Input!EP46/1000</f>
        <v>-694.5</v>
      </c>
      <c r="K113" s="937"/>
      <c r="L113" s="942">
        <f>((+B113-D113-F113-H113-J113)*'Input Tax Rate'!$B$36)</f>
        <v>0</v>
      </c>
      <c r="M113" s="937"/>
      <c r="N113" s="937"/>
      <c r="O113" s="937"/>
      <c r="P113" s="937"/>
      <c r="Q113" s="937"/>
      <c r="R113" s="937"/>
      <c r="S113" s="937"/>
      <c r="T113" s="937">
        <f t="shared" si="1"/>
        <v>-161973.31740999999</v>
      </c>
      <c r="U113" s="937"/>
      <c r="V113" s="1186">
        <f>B113-T113</f>
        <v>0</v>
      </c>
      <c r="W113" s="1185" t="s">
        <v>535</v>
      </c>
      <c r="X113" s="716"/>
      <c r="Y113" s="47"/>
      <c r="Z113" s="714"/>
      <c r="AA113" s="714"/>
      <c r="AB113" s="716"/>
      <c r="AC113" s="47"/>
      <c r="AD113" s="714"/>
      <c r="AE113" s="714"/>
      <c r="AF113" s="714"/>
      <c r="AG113" s="714"/>
      <c r="AI113" s="67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row>
    <row r="114" spans="1:56">
      <c r="A114" s="731" t="s">
        <v>540</v>
      </c>
      <c r="B114" s="937"/>
      <c r="C114" s="937"/>
      <c r="D114" s="937"/>
      <c r="E114" s="937"/>
      <c r="F114" s="1170">
        <f>-Input!EP24/1000</f>
        <v>-18.620854000000001</v>
      </c>
      <c r="G114" s="937"/>
      <c r="H114" s="937"/>
      <c r="I114" s="937"/>
      <c r="J114" s="937"/>
      <c r="K114" s="937"/>
      <c r="L114" s="942">
        <f>((+B114-D114-F114-H114-J114)*'Input Tax Rate'!$B$36)</f>
        <v>4.4303946192310004</v>
      </c>
      <c r="M114" s="937"/>
      <c r="N114" s="937"/>
      <c r="O114" s="937"/>
      <c r="P114" s="937"/>
      <c r="Q114" s="937"/>
      <c r="R114" s="937"/>
      <c r="S114" s="937"/>
      <c r="T114" s="937">
        <f t="shared" si="1"/>
        <v>-14.190459380769001</v>
      </c>
      <c r="U114" s="937"/>
      <c r="V114" s="937">
        <f t="shared" si="2"/>
        <v>14.190459380769001</v>
      </c>
      <c r="W114" s="716"/>
      <c r="X114" s="829"/>
      <c r="Y114" s="716"/>
      <c r="Z114" s="714"/>
      <c r="AA114" s="714"/>
      <c r="AB114" s="829"/>
      <c r="AC114" s="716"/>
      <c r="AD114" s="714"/>
      <c r="AE114" s="714"/>
      <c r="AF114" s="714"/>
      <c r="AG114" s="714"/>
      <c r="AI114" s="674"/>
      <c r="AJ114" s="714"/>
      <c r="AK114" s="714"/>
      <c r="AL114" s="714"/>
      <c r="AM114" s="714"/>
      <c r="AN114" s="714"/>
      <c r="AO114" s="714"/>
      <c r="AP114" s="714"/>
      <c r="AQ114" s="714"/>
      <c r="AR114" s="714"/>
      <c r="AS114" s="714"/>
      <c r="AT114" s="714"/>
      <c r="AU114" s="714"/>
      <c r="AV114" s="714"/>
      <c r="AW114" s="714"/>
      <c r="AX114" s="714"/>
      <c r="AY114" s="714"/>
      <c r="AZ114" s="714"/>
      <c r="BA114" s="714"/>
      <c r="BB114" s="714"/>
      <c r="BC114" s="714"/>
      <c r="BD114" s="714"/>
    </row>
    <row r="115" spans="1:56">
      <c r="A115" s="731" t="s">
        <v>541</v>
      </c>
      <c r="B115" s="937"/>
      <c r="C115" s="937"/>
      <c r="D115" s="937"/>
      <c r="E115" s="937"/>
      <c r="F115" s="1170">
        <f>-Input!EP57/1000</f>
        <v>-69.856849999999994</v>
      </c>
      <c r="G115" s="937"/>
      <c r="H115" s="937"/>
      <c r="I115" s="937"/>
      <c r="J115" s="937"/>
      <c r="K115" s="937"/>
      <c r="L115" s="942">
        <f>((+B115-D115-F115-H115-J115)*'Input Tax Rate'!$B$36)</f>
        <v>16.620795821525</v>
      </c>
      <c r="M115" s="937"/>
      <c r="N115" s="937"/>
      <c r="O115" s="937"/>
      <c r="P115" s="937"/>
      <c r="Q115" s="937"/>
      <c r="R115" s="937"/>
      <c r="S115" s="937"/>
      <c r="T115" s="937">
        <f t="shared" si="1"/>
        <v>-53.236054178474994</v>
      </c>
      <c r="U115" s="937"/>
      <c r="V115" s="937">
        <f t="shared" si="2"/>
        <v>53.236054178474994</v>
      </c>
      <c r="X115" s="716"/>
      <c r="Y115" s="714"/>
      <c r="Z115" s="714"/>
      <c r="AA115" s="714"/>
      <c r="AB115" s="716"/>
      <c r="AC115" s="714"/>
      <c r="AD115" s="714"/>
      <c r="AE115" s="714"/>
      <c r="AF115" s="714"/>
      <c r="AG115" s="714"/>
      <c r="AI115" s="674"/>
      <c r="AJ115" s="714"/>
      <c r="AK115" s="714"/>
      <c r="AL115" s="714"/>
      <c r="AM115" s="714"/>
      <c r="AN115" s="714"/>
      <c r="AO115" s="714"/>
      <c r="AP115" s="714"/>
      <c r="AQ115" s="714"/>
      <c r="AR115" s="714"/>
      <c r="AS115" s="714"/>
      <c r="AT115" s="714"/>
      <c r="AU115" s="714"/>
      <c r="AV115" s="714"/>
      <c r="AW115" s="714"/>
      <c r="AX115" s="714"/>
      <c r="AY115" s="714"/>
      <c r="AZ115" s="714"/>
      <c r="BA115" s="714"/>
      <c r="BB115" s="714"/>
      <c r="BC115" s="714"/>
      <c r="BD115" s="714"/>
    </row>
    <row r="116" spans="1:56">
      <c r="A116" s="304" t="s">
        <v>2438</v>
      </c>
      <c r="B116" s="1170">
        <f>Input!EP34/1000</f>
        <v>-29071.52102</v>
      </c>
      <c r="C116" s="937"/>
      <c r="D116" s="937"/>
      <c r="E116" s="937"/>
      <c r="F116" s="937"/>
      <c r="G116" s="937"/>
      <c r="H116" s="937"/>
      <c r="I116" s="937"/>
      <c r="J116" s="1170">
        <f>-Input!EP29/1000</f>
        <v>-28891.917550000006</v>
      </c>
      <c r="K116" s="937"/>
      <c r="L116" s="942">
        <f>((+B116-D116-F116-H116-J116)*'Input Tax Rate'!$B$36)</f>
        <v>-42.732425004953704</v>
      </c>
      <c r="M116" s="937"/>
      <c r="N116" s="937"/>
      <c r="O116" s="937"/>
      <c r="P116" s="937"/>
      <c r="Q116" s="937"/>
      <c r="R116" s="937"/>
      <c r="S116" s="937"/>
      <c r="T116" s="937">
        <f>SUM(D116:R116)</f>
        <v>-28934.649975004959</v>
      </c>
      <c r="U116" s="937"/>
      <c r="V116" s="937">
        <f t="shared" si="2"/>
        <v>-136.8710449950413</v>
      </c>
      <c r="W116" s="716"/>
      <c r="Z116" s="714"/>
      <c r="AA116" s="714"/>
      <c r="AD116" s="714"/>
      <c r="AE116" s="714"/>
      <c r="AF116" s="714"/>
      <c r="AG116" s="714"/>
      <c r="AI116" s="674"/>
      <c r="AJ116" s="714"/>
      <c r="AK116" s="714"/>
      <c r="AL116" s="714"/>
      <c r="AM116" s="714"/>
      <c r="AN116" s="714"/>
      <c r="AO116" s="714"/>
      <c r="AP116" s="714"/>
      <c r="AQ116" s="714"/>
      <c r="AR116" s="714"/>
      <c r="AS116" s="714"/>
      <c r="AT116" s="714"/>
      <c r="AU116" s="714"/>
      <c r="AV116" s="714"/>
      <c r="AW116" s="714"/>
      <c r="AX116" s="714"/>
      <c r="AY116" s="714"/>
      <c r="AZ116" s="714"/>
      <c r="BA116" s="714"/>
      <c r="BB116" s="714"/>
      <c r="BC116" s="714"/>
      <c r="BD116" s="714"/>
    </row>
    <row r="117" spans="1:56">
      <c r="A117" s="731" t="s">
        <v>542</v>
      </c>
      <c r="B117" s="937"/>
      <c r="C117" s="937"/>
      <c r="D117" s="937"/>
      <c r="E117" s="937"/>
      <c r="F117" s="1170">
        <f>-('Input IS ACCTS'!CV507)*0.1328/1000</f>
        <v>-38.448500351999996</v>
      </c>
      <c r="G117" s="937"/>
      <c r="H117" s="937"/>
      <c r="I117" s="937"/>
      <c r="J117" s="937"/>
      <c r="K117" s="937"/>
      <c r="L117" s="942">
        <f>((+B117-D117-F117-H117-J117)*'Input Tax Rate'!$B$36)</f>
        <v>9.1479171190001285</v>
      </c>
      <c r="M117" s="937"/>
      <c r="N117" s="937"/>
      <c r="O117" s="937"/>
      <c r="P117" s="937"/>
      <c r="Q117" s="937"/>
      <c r="R117" s="937"/>
      <c r="S117" s="937"/>
      <c r="T117" s="937">
        <f t="shared" si="1"/>
        <v>-29.30058323299987</v>
      </c>
      <c r="U117" s="937"/>
      <c r="V117" s="937">
        <f>B117-T117</f>
        <v>29.30058323299987</v>
      </c>
      <c r="W117" s="716"/>
      <c r="X117" s="716"/>
      <c r="Y117" s="714"/>
      <c r="Z117" s="714"/>
      <c r="AA117" s="714"/>
      <c r="AB117" s="716"/>
      <c r="AC117" s="714"/>
      <c r="AD117" s="714"/>
      <c r="AE117" s="714"/>
      <c r="AF117" s="714"/>
      <c r="AG117" s="714"/>
      <c r="AI117" s="674"/>
      <c r="AJ117" s="714"/>
      <c r="AK117" s="714"/>
      <c r="AL117" s="714"/>
      <c r="AM117" s="714"/>
      <c r="AN117" s="714"/>
      <c r="AO117" s="714"/>
      <c r="AP117" s="714"/>
      <c r="AQ117" s="714"/>
      <c r="AR117" s="714"/>
      <c r="AS117" s="714"/>
      <c r="AT117" s="714"/>
      <c r="AU117" s="714"/>
      <c r="AV117" s="714"/>
      <c r="AW117" s="714"/>
      <c r="AX117" s="714"/>
      <c r="AY117" s="714"/>
      <c r="AZ117" s="714"/>
      <c r="BA117" s="714"/>
      <c r="BB117" s="714"/>
      <c r="BC117" s="714"/>
      <c r="BD117" s="714"/>
    </row>
    <row r="118" spans="1:56">
      <c r="A118" s="731" t="s">
        <v>543</v>
      </c>
      <c r="B118" s="937"/>
      <c r="C118" s="937"/>
      <c r="D118" s="937"/>
      <c r="E118" s="937"/>
      <c r="F118" s="1170">
        <f>-('Input IS ACCTS'!CV479)*0.031/1000</f>
        <v>-5.9299689200000003</v>
      </c>
      <c r="G118" s="937"/>
      <c r="H118" s="937"/>
      <c r="I118" s="937"/>
      <c r="J118" s="937"/>
      <c r="K118" s="937"/>
      <c r="L118" s="942">
        <f>((+B118-D118-F118-H118-J118)*'Input Tax Rate'!$B$36)</f>
        <v>1.4108967502443801</v>
      </c>
      <c r="M118" s="937"/>
      <c r="N118" s="937"/>
      <c r="O118" s="937"/>
      <c r="P118" s="937"/>
      <c r="Q118" s="937"/>
      <c r="R118" s="937"/>
      <c r="S118" s="937"/>
      <c r="T118" s="937">
        <f t="shared" si="1"/>
        <v>-4.5190721697556206</v>
      </c>
      <c r="U118" s="937"/>
      <c r="V118" s="937">
        <f>B118-T118</f>
        <v>4.5190721697556206</v>
      </c>
      <c r="W118" s="716"/>
      <c r="X118" s="716"/>
      <c r="Y118" s="714"/>
      <c r="Z118" s="714"/>
      <c r="AA118" s="714"/>
      <c r="AB118" s="716"/>
      <c r="AC118" s="714"/>
      <c r="AD118" s="714"/>
      <c r="AE118" s="714"/>
      <c r="AF118" s="714"/>
      <c r="AG118" s="714"/>
      <c r="AI118" s="674"/>
      <c r="AJ118" s="714"/>
      <c r="AK118" s="714"/>
      <c r="AL118" s="714"/>
      <c r="AM118" s="714"/>
      <c r="AN118" s="714"/>
      <c r="AO118" s="714"/>
      <c r="AP118" s="714"/>
      <c r="AQ118" s="714"/>
      <c r="AR118" s="714"/>
      <c r="AS118" s="714"/>
      <c r="AT118" s="714"/>
      <c r="AU118" s="714"/>
      <c r="AV118" s="714"/>
      <c r="AW118" s="714"/>
      <c r="AX118" s="714"/>
      <c r="AY118" s="714"/>
      <c r="AZ118" s="714"/>
      <c r="BA118" s="714"/>
      <c r="BB118" s="714"/>
      <c r="BC118" s="714"/>
      <c r="BD118" s="714"/>
    </row>
    <row r="119" spans="1:56">
      <c r="A119" s="731" t="s">
        <v>544</v>
      </c>
      <c r="B119" s="937"/>
      <c r="C119" s="937"/>
      <c r="D119" s="937"/>
      <c r="E119" s="937"/>
      <c r="F119" s="937"/>
      <c r="G119" s="937"/>
      <c r="H119" s="1170">
        <f>+-'Input WFNG'!T268/1000</f>
        <v>-44.704999999999998</v>
      </c>
      <c r="I119" s="937"/>
      <c r="J119" s="937"/>
      <c r="K119" s="937"/>
      <c r="L119" s="942">
        <f>((+B119-D119-F119-H119-J119)*'Input Tax Rate'!$B$36)</f>
        <v>10.6365041825</v>
      </c>
      <c r="M119" s="937"/>
      <c r="N119" s="937"/>
      <c r="O119" s="937"/>
      <c r="P119" s="937"/>
      <c r="Q119" s="937"/>
      <c r="R119" s="937"/>
      <c r="S119" s="937"/>
      <c r="T119" s="937">
        <f t="shared" si="1"/>
        <v>-34.068495817500001</v>
      </c>
      <c r="U119" s="937"/>
      <c r="V119" s="937">
        <f t="shared" si="2"/>
        <v>34.068495817500001</v>
      </c>
      <c r="W119" s="716"/>
      <c r="X119" s="716"/>
      <c r="Y119" s="714"/>
      <c r="Z119" s="714"/>
      <c r="AA119" s="714"/>
      <c r="AB119" s="716"/>
      <c r="AC119" s="714"/>
      <c r="AD119" s="714"/>
      <c r="AE119" s="714"/>
      <c r="AF119" s="714"/>
      <c r="AG119" s="714"/>
      <c r="AI119" s="674"/>
      <c r="AJ119" s="714"/>
      <c r="AK119" s="714"/>
      <c r="AL119" s="714"/>
      <c r="AM119" s="714"/>
      <c r="AN119" s="714"/>
      <c r="AO119" s="714"/>
      <c r="AP119" s="714"/>
      <c r="AQ119" s="714"/>
      <c r="AR119" s="714"/>
      <c r="AS119" s="714"/>
      <c r="AT119" s="714"/>
      <c r="AU119" s="714"/>
      <c r="AV119" s="714"/>
      <c r="AW119" s="714"/>
      <c r="AX119" s="714"/>
      <c r="AY119" s="714"/>
      <c r="AZ119" s="714"/>
      <c r="BA119" s="714"/>
      <c r="BB119" s="714"/>
      <c r="BC119" s="714"/>
      <c r="BD119" s="714"/>
    </row>
    <row r="120" spans="1:56">
      <c r="A120" s="731" t="s">
        <v>484</v>
      </c>
      <c r="B120" s="937"/>
      <c r="C120" s="937"/>
      <c r="D120" s="937"/>
      <c r="E120" s="937"/>
      <c r="F120" s="939"/>
      <c r="G120" s="937"/>
      <c r="H120" s="937"/>
      <c r="I120" s="937"/>
      <c r="J120" s="937"/>
      <c r="K120" s="937"/>
      <c r="L120" s="942">
        <f>((+B120-D120-F120-H120-J120)*'Input Tax Rate'!$B$36)</f>
        <v>0</v>
      </c>
      <c r="M120" s="937"/>
      <c r="N120" s="937"/>
      <c r="O120" s="937"/>
      <c r="P120" s="937"/>
      <c r="Q120" s="937"/>
      <c r="R120" s="937"/>
      <c r="S120" s="937"/>
      <c r="T120" s="937">
        <f>SUM(D120:R120)</f>
        <v>0</v>
      </c>
      <c r="U120" s="937"/>
      <c r="V120" s="937">
        <f>B120-T120</f>
        <v>0</v>
      </c>
      <c r="W120" s="716"/>
      <c r="X120" s="716"/>
      <c r="Y120" s="714"/>
      <c r="Z120" s="714"/>
      <c r="AA120" s="714"/>
      <c r="AB120" s="716"/>
      <c r="AC120" s="714"/>
      <c r="AD120" s="714"/>
      <c r="AE120" s="714"/>
      <c r="AF120" s="714"/>
      <c r="AG120" s="714"/>
      <c r="AI120" s="674"/>
      <c r="AJ120" s="714"/>
      <c r="AK120" s="714"/>
      <c r="AL120" s="714"/>
      <c r="AM120" s="714"/>
      <c r="AN120" s="714"/>
      <c r="AO120" s="714"/>
      <c r="AP120" s="714"/>
      <c r="AQ120" s="714"/>
      <c r="AR120" s="714"/>
      <c r="AS120" s="714"/>
      <c r="AT120" s="714"/>
      <c r="AU120" s="714"/>
      <c r="AV120" s="714"/>
      <c r="AW120" s="714"/>
      <c r="AX120" s="714"/>
      <c r="AY120" s="714"/>
      <c r="AZ120" s="714"/>
      <c r="BA120" s="714"/>
      <c r="BB120" s="714"/>
      <c r="BC120" s="714"/>
      <c r="BD120" s="714"/>
    </row>
    <row r="121" spans="1:56">
      <c r="A121" s="731" t="s">
        <v>536</v>
      </c>
      <c r="B121" s="1172">
        <f>-Input!EP51/1000</f>
        <v>-108.53180999999999</v>
      </c>
      <c r="C121" s="937"/>
      <c r="D121" s="937"/>
      <c r="E121" s="937"/>
      <c r="F121" s="939"/>
      <c r="G121" s="937"/>
      <c r="H121" s="937"/>
      <c r="I121" s="937"/>
      <c r="J121" s="937"/>
      <c r="K121" s="937"/>
      <c r="L121" s="942">
        <f>((+B121-D121-F121-H121-J121)*'Input Tax Rate'!$B$36)</f>
        <v>-25.822593691965</v>
      </c>
      <c r="M121" s="937"/>
      <c r="N121" s="937"/>
      <c r="O121" s="937"/>
      <c r="P121" s="937"/>
      <c r="Q121" s="937"/>
      <c r="R121" s="937"/>
      <c r="S121" s="937"/>
      <c r="T121" s="937">
        <f>SUM(D121:R121)</f>
        <v>-25.822593691965</v>
      </c>
      <c r="U121" s="937"/>
      <c r="V121" s="937">
        <f>B121-T121</f>
        <v>-82.709216308034996</v>
      </c>
      <c r="W121" s="716"/>
      <c r="X121" s="716"/>
      <c r="Y121" s="714"/>
      <c r="Z121" s="714"/>
      <c r="AA121" s="714"/>
      <c r="AB121" s="716"/>
      <c r="AC121" s="714"/>
      <c r="AD121" s="714"/>
      <c r="AE121" s="714"/>
      <c r="AF121" s="714"/>
      <c r="AG121" s="714"/>
      <c r="AI121" s="674"/>
      <c r="AJ121" s="714"/>
      <c r="AK121" s="714"/>
      <c r="AL121" s="714"/>
      <c r="AM121" s="714"/>
      <c r="AN121" s="714"/>
      <c r="AO121" s="714"/>
      <c r="AP121" s="714"/>
      <c r="AQ121" s="714"/>
      <c r="AR121" s="714"/>
      <c r="AS121" s="714"/>
      <c r="AT121" s="714"/>
      <c r="AU121" s="714"/>
      <c r="AV121" s="714"/>
      <c r="AW121" s="714"/>
      <c r="AX121" s="714"/>
      <c r="AY121" s="714"/>
      <c r="AZ121" s="714"/>
      <c r="BA121" s="714"/>
      <c r="BB121" s="714"/>
      <c r="BC121" s="714"/>
      <c r="BD121" s="714"/>
    </row>
    <row r="122" spans="1:56">
      <c r="A122" s="731" t="s">
        <v>545</v>
      </c>
      <c r="B122" s="937"/>
      <c r="C122" s="937"/>
      <c r="D122" s="937"/>
      <c r="E122" s="937"/>
      <c r="F122" s="937"/>
      <c r="G122" s="937"/>
      <c r="H122" s="937"/>
      <c r="I122" s="937"/>
      <c r="J122" s="937"/>
      <c r="K122" s="937"/>
      <c r="L122" s="942">
        <f>((+B122-D122-F122-H122-J122)*'Input Tax Rate'!$B$36)</f>
        <v>0</v>
      </c>
      <c r="M122" s="937"/>
      <c r="N122" s="937"/>
      <c r="O122" s="937"/>
      <c r="P122" s="937">
        <f>-P106</f>
        <v>0</v>
      </c>
      <c r="Q122" s="937"/>
      <c r="R122" s="937"/>
      <c r="S122" s="937"/>
      <c r="T122" s="937">
        <f t="shared" si="1"/>
        <v>0</v>
      </c>
      <c r="U122" s="937"/>
      <c r="V122" s="937">
        <f t="shared" si="2"/>
        <v>0</v>
      </c>
      <c r="W122" s="716"/>
      <c r="X122" s="716"/>
      <c r="Y122" s="714"/>
      <c r="Z122" s="714"/>
      <c r="AA122" s="714"/>
      <c r="AB122" s="716"/>
      <c r="AC122" s="714"/>
      <c r="AD122" s="714"/>
      <c r="AE122" s="714"/>
      <c r="AF122" s="714"/>
      <c r="AG122" s="714"/>
      <c r="AI122" s="674"/>
      <c r="AJ122" s="714"/>
      <c r="AK122" s="714"/>
      <c r="AL122" s="714"/>
      <c r="AM122" s="714"/>
      <c r="AN122" s="714"/>
      <c r="AO122" s="714"/>
      <c r="AP122" s="714"/>
      <c r="AQ122" s="714"/>
      <c r="AR122" s="714"/>
      <c r="AS122" s="714"/>
      <c r="AT122" s="714"/>
      <c r="AU122" s="714"/>
      <c r="AV122" s="714"/>
      <c r="AW122" s="714"/>
      <c r="AX122" s="714"/>
      <c r="AY122" s="714"/>
      <c r="AZ122" s="714"/>
      <c r="BA122" s="714"/>
      <c r="BB122" s="714"/>
      <c r="BC122" s="714"/>
      <c r="BD122" s="714"/>
    </row>
    <row r="123" spans="1:56">
      <c r="A123" s="731" t="s">
        <v>532</v>
      </c>
      <c r="B123" s="1317">
        <v>-4764.6855999999998</v>
      </c>
      <c r="C123" s="940"/>
      <c r="D123" s="940"/>
      <c r="E123" s="940"/>
      <c r="F123" s="1317">
        <v>-4795.0159999999996</v>
      </c>
      <c r="G123" s="937"/>
      <c r="H123" s="1316">
        <v>-71.212999999999965</v>
      </c>
      <c r="I123" s="937"/>
      <c r="J123" s="1316">
        <v>101.54457999999998</v>
      </c>
      <c r="K123" s="937"/>
      <c r="L123" s="942">
        <f>((+B123-D123-F123-H123-J123)*'Input Tax Rate'!$B$36)</f>
        <v>-2.8075327004516013E-4</v>
      </c>
      <c r="M123" s="937"/>
      <c r="N123" s="937"/>
      <c r="O123" s="937"/>
      <c r="P123" s="937"/>
      <c r="Q123" s="937"/>
      <c r="R123" s="937"/>
      <c r="S123" s="937"/>
      <c r="T123" s="937">
        <f>SUM(D123:R123)</f>
        <v>-4764.6847007532697</v>
      </c>
      <c r="U123" s="937"/>
      <c r="V123" s="1186">
        <f>B123-T123</f>
        <v>-8.992467301141005E-4</v>
      </c>
      <c r="W123" s="1185" t="s">
        <v>535</v>
      </c>
      <c r="X123" s="716"/>
      <c r="Y123" s="714"/>
      <c r="Z123" s="714"/>
      <c r="AA123" s="714"/>
      <c r="AB123" s="716"/>
      <c r="AC123" s="714"/>
      <c r="AD123" s="714"/>
      <c r="AE123" s="714"/>
      <c r="AF123" s="714"/>
      <c r="AG123" s="714"/>
      <c r="AI123" s="674"/>
      <c r="AJ123" s="714"/>
      <c r="AK123" s="714"/>
      <c r="AL123" s="714"/>
      <c r="AM123" s="714"/>
      <c r="AN123" s="714"/>
      <c r="AO123" s="714"/>
      <c r="AP123" s="714"/>
      <c r="AQ123" s="714"/>
      <c r="AR123" s="714"/>
      <c r="AS123" s="714"/>
      <c r="AT123" s="714"/>
      <c r="AU123" s="714"/>
      <c r="AV123" s="714"/>
      <c r="AW123" s="714"/>
      <c r="AX123" s="714"/>
      <c r="AY123" s="714"/>
      <c r="AZ123" s="714"/>
      <c r="BA123" s="714"/>
      <c r="BB123" s="714"/>
      <c r="BC123" s="714"/>
      <c r="BD123" s="714"/>
    </row>
    <row r="124" spans="1:56">
      <c r="A124" s="731" t="s">
        <v>533</v>
      </c>
      <c r="B124" s="1316">
        <v>-1243.3610000000001</v>
      </c>
      <c r="C124" s="940"/>
      <c r="D124" s="940"/>
      <c r="E124" s="940"/>
      <c r="F124" s="940"/>
      <c r="G124" s="937"/>
      <c r="H124" s="940"/>
      <c r="I124" s="937"/>
      <c r="J124" s="940"/>
      <c r="K124" s="937"/>
      <c r="L124" s="942">
        <f>((+B124-D124-F124-H124-J124)*'Input Tax Rate'!$B$36)</f>
        <v>-295.82853096650007</v>
      </c>
      <c r="M124" s="937"/>
      <c r="N124" s="937"/>
      <c r="O124" s="937"/>
      <c r="P124" s="937"/>
      <c r="Q124" s="937"/>
      <c r="R124" s="937"/>
      <c r="S124" s="937"/>
      <c r="T124" s="937">
        <f>SUM(D124:R124)</f>
        <v>-295.82853096650007</v>
      </c>
      <c r="U124" s="937"/>
      <c r="V124" s="937">
        <f>B124-T124</f>
        <v>-947.53246903350009</v>
      </c>
      <c r="W124" s="716"/>
      <c r="X124" s="716"/>
      <c r="Y124" s="714"/>
      <c r="Z124" s="714"/>
      <c r="AA124" s="714"/>
      <c r="AB124" s="716"/>
      <c r="AC124" s="714"/>
      <c r="AD124" s="714"/>
      <c r="AE124" s="714"/>
      <c r="AF124" s="714"/>
      <c r="AG124" s="714"/>
      <c r="AI124" s="674"/>
      <c r="AJ124" s="714"/>
      <c r="AK124" s="714"/>
      <c r="AL124" s="714"/>
      <c r="AM124" s="714"/>
      <c r="AN124" s="714"/>
      <c r="AO124" s="714"/>
      <c r="AP124" s="714"/>
      <c r="AQ124" s="714"/>
      <c r="AR124" s="714"/>
      <c r="AS124" s="714"/>
      <c r="AT124" s="714"/>
      <c r="AU124" s="714"/>
      <c r="AV124" s="714"/>
      <c r="AW124" s="714"/>
      <c r="AX124" s="714"/>
      <c r="AY124" s="714"/>
      <c r="AZ124" s="714"/>
      <c r="BA124" s="714"/>
      <c r="BB124" s="714"/>
      <c r="BC124" s="714"/>
      <c r="BD124" s="714"/>
    </row>
    <row r="125" spans="1:56">
      <c r="A125" s="732" t="s">
        <v>546</v>
      </c>
      <c r="B125" s="936">
        <v>0</v>
      </c>
      <c r="C125" s="937"/>
      <c r="D125" s="936"/>
      <c r="E125" s="937"/>
      <c r="F125" s="936"/>
      <c r="G125" s="937"/>
      <c r="H125" s="936"/>
      <c r="I125" s="937"/>
      <c r="J125" s="936"/>
      <c r="K125" s="937"/>
      <c r="L125" s="945">
        <f>((+B125-D125-F125-H125-J125)*'Input Tax Rate'!$B$36)</f>
        <v>0</v>
      </c>
      <c r="M125" s="937"/>
      <c r="N125" s="936"/>
      <c r="O125" s="937"/>
      <c r="P125" s="936"/>
      <c r="Q125" s="937"/>
      <c r="R125" s="936"/>
      <c r="S125" s="937"/>
      <c r="T125" s="941">
        <f t="shared" si="1"/>
        <v>0</v>
      </c>
      <c r="U125" s="937"/>
      <c r="V125" s="941">
        <f t="shared" si="2"/>
        <v>0</v>
      </c>
      <c r="W125" s="716"/>
      <c r="X125" s="716"/>
      <c r="Y125" s="714"/>
      <c r="Z125" s="714"/>
      <c r="AA125" s="714"/>
      <c r="AB125" s="716"/>
      <c r="AC125" s="714"/>
      <c r="AD125" s="714"/>
      <c r="AE125" s="714"/>
      <c r="AF125" s="714"/>
      <c r="AG125" s="714"/>
      <c r="AI125" s="674"/>
      <c r="AJ125" s="714"/>
      <c r="AK125" s="714"/>
      <c r="AL125" s="714"/>
      <c r="AM125" s="714"/>
      <c r="AN125" s="714"/>
      <c r="AO125" s="714"/>
      <c r="AP125" s="714"/>
      <c r="AQ125" s="714"/>
      <c r="AR125" s="714"/>
      <c r="AS125" s="714"/>
      <c r="AT125" s="714"/>
      <c r="AU125" s="714"/>
      <c r="AV125" s="714"/>
      <c r="AW125" s="714"/>
      <c r="AX125" s="714"/>
      <c r="AY125" s="714"/>
      <c r="AZ125" s="714"/>
      <c r="BA125" s="714"/>
      <c r="BB125" s="714"/>
      <c r="BC125" s="714"/>
      <c r="BD125" s="714"/>
    </row>
    <row r="126" spans="1:56" ht="12.95" customHeight="1">
      <c r="A126" s="674" t="s">
        <v>140</v>
      </c>
      <c r="B126" s="936">
        <f>SUM(B109:B125)</f>
        <v>-216790.06872999997</v>
      </c>
      <c r="C126" s="937"/>
      <c r="D126" s="936">
        <f>SUM(D109:D125)</f>
        <v>-161278.81740999999</v>
      </c>
      <c r="E126" s="937"/>
      <c r="F126" s="936">
        <f>SUM(F109:F125)</f>
        <v>-24556.523643271998</v>
      </c>
      <c r="G126" s="937"/>
      <c r="H126" s="936">
        <f>SUM(H109:H125)</f>
        <v>-157.04326429385077</v>
      </c>
      <c r="I126" s="937"/>
      <c r="J126" s="936">
        <f>SUM(J109:J125)</f>
        <v>-29484.872970000004</v>
      </c>
      <c r="K126" s="937"/>
      <c r="L126" s="936">
        <f>SUM(L109:L125)</f>
        <v>-2318.9433784228563</v>
      </c>
      <c r="M126" s="937"/>
      <c r="N126" s="936">
        <f>SUM(N109:N125)</f>
        <v>0</v>
      </c>
      <c r="O126" s="937"/>
      <c r="P126" s="936">
        <f>SUM(P109:P125)</f>
        <v>0</v>
      </c>
      <c r="Q126" s="937"/>
      <c r="R126" s="936">
        <f>SUM(R109:R125)</f>
        <v>0</v>
      </c>
      <c r="S126" s="937"/>
      <c r="T126" s="936">
        <f>SUM(T109:T125)</f>
        <v>-217796.20066598873</v>
      </c>
      <c r="U126" s="937"/>
      <c r="V126" s="936">
        <f>SUM(V109:V125)</f>
        <v>1006.1319359887111</v>
      </c>
      <c r="W126" s="716"/>
      <c r="X126" s="716"/>
      <c r="Y126" s="714"/>
      <c r="Z126" s="714"/>
      <c r="AA126" s="714"/>
      <c r="AB126" s="716"/>
      <c r="AC126" s="714"/>
      <c r="AD126" s="714"/>
      <c r="AE126" s="714"/>
      <c r="AF126" s="714"/>
      <c r="AG126" s="714"/>
      <c r="AI126" s="67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c r="BD126" s="714"/>
    </row>
    <row r="127" spans="1:56">
      <c r="A127" s="674"/>
      <c r="B127" s="937"/>
      <c r="C127" s="937"/>
      <c r="D127" s="937"/>
      <c r="E127" s="937"/>
      <c r="F127" s="937"/>
      <c r="G127" s="937"/>
      <c r="H127" s="937"/>
      <c r="I127" s="937"/>
      <c r="J127" s="937"/>
      <c r="K127" s="937"/>
      <c r="L127" s="937"/>
      <c r="M127" s="937"/>
      <c r="N127" s="937"/>
      <c r="O127" s="937"/>
      <c r="P127" s="937"/>
      <c r="Q127" s="937"/>
      <c r="R127" s="937"/>
      <c r="S127" s="937"/>
      <c r="T127" s="937"/>
      <c r="U127" s="937"/>
      <c r="V127" s="937"/>
      <c r="W127" s="716"/>
      <c r="X127" s="716"/>
      <c r="Y127" s="714"/>
      <c r="Z127" s="714"/>
      <c r="AA127" s="714"/>
      <c r="AB127" s="716"/>
      <c r="AC127" s="714"/>
      <c r="AD127" s="714"/>
      <c r="AE127" s="714"/>
      <c r="AF127" s="714"/>
      <c r="AG127" s="714"/>
      <c r="AI127" s="674"/>
      <c r="AJ127" s="714"/>
      <c r="AK127" s="714"/>
      <c r="AL127" s="714"/>
      <c r="AM127" s="714"/>
      <c r="AN127" s="714"/>
      <c r="AO127" s="714"/>
      <c r="AP127" s="714"/>
      <c r="AQ127" s="714"/>
      <c r="AR127" s="714"/>
      <c r="AS127" s="714"/>
      <c r="AT127" s="714"/>
      <c r="AU127" s="714"/>
      <c r="AV127" s="714"/>
      <c r="AW127" s="714"/>
      <c r="AX127" s="714"/>
      <c r="AY127" s="714"/>
      <c r="AZ127" s="714"/>
      <c r="BA127" s="714"/>
      <c r="BB127" s="714"/>
      <c r="BC127" s="714"/>
      <c r="BD127" s="714"/>
    </row>
    <row r="128" spans="1:56" ht="13.5" thickBot="1">
      <c r="A128" s="674" t="s">
        <v>141</v>
      </c>
      <c r="B128" s="946">
        <f>B106+B126</f>
        <v>300355.51919999998</v>
      </c>
      <c r="C128" s="937"/>
      <c r="D128" s="946">
        <f>D106+D126</f>
        <v>0</v>
      </c>
      <c r="E128" s="937"/>
      <c r="F128" s="946">
        <f>F106+F126</f>
        <v>115474.95903672802</v>
      </c>
      <c r="G128" s="937"/>
      <c r="H128" s="946">
        <f>H106+H126</f>
        <v>55539.83791570615</v>
      </c>
      <c r="I128" s="937"/>
      <c r="J128" s="946">
        <f>J106+J126</f>
        <v>18233.804999999993</v>
      </c>
      <c r="K128" s="937"/>
      <c r="L128" s="946">
        <f>L106+L126</f>
        <v>5919.6091015771435</v>
      </c>
      <c r="M128" s="937"/>
      <c r="N128" s="946">
        <f>N106+N126</f>
        <v>13291.795559999999</v>
      </c>
      <c r="O128" s="937"/>
      <c r="P128" s="946">
        <f>P106+P126</f>
        <v>0</v>
      </c>
      <c r="Q128" s="937"/>
      <c r="R128" s="946">
        <f>R106+R126</f>
        <v>61.98348</v>
      </c>
      <c r="S128" s="937"/>
      <c r="T128" s="946">
        <f>T106+T126</f>
        <v>208521.99009401136</v>
      </c>
      <c r="U128" s="937"/>
      <c r="V128" s="946">
        <f>V106+V126</f>
        <v>91833.529105988549</v>
      </c>
      <c r="W128" s="716"/>
      <c r="X128" s="716"/>
      <c r="Y128" s="714"/>
      <c r="Z128" s="714"/>
      <c r="AA128" s="714"/>
      <c r="AB128" s="716"/>
      <c r="AC128" s="714"/>
      <c r="AD128" s="714"/>
      <c r="AE128" s="714"/>
      <c r="AF128" s="714"/>
      <c r="AG128" s="714"/>
      <c r="AI128" s="674"/>
      <c r="AJ128" s="714"/>
      <c r="AK128" s="714"/>
      <c r="AL128" s="714"/>
      <c r="AM128" s="714"/>
      <c r="AN128" s="714"/>
      <c r="AO128" s="714"/>
      <c r="AP128" s="714"/>
      <c r="AQ128" s="714"/>
      <c r="AR128" s="714"/>
      <c r="AS128" s="714"/>
      <c r="AT128" s="714"/>
      <c r="AU128" s="714"/>
      <c r="AV128" s="714"/>
      <c r="AW128" s="714"/>
      <c r="AX128" s="714"/>
      <c r="AY128" s="714"/>
      <c r="AZ128" s="714"/>
      <c r="BA128" s="714"/>
      <c r="BB128" s="714"/>
      <c r="BC128" s="714"/>
      <c r="BD128" s="714"/>
    </row>
    <row r="129" spans="1:56" ht="13.5" thickTop="1">
      <c r="A129" s="674"/>
      <c r="B129" s="712"/>
      <c r="C129" s="712"/>
      <c r="D129" s="712"/>
      <c r="E129" s="712"/>
      <c r="F129" s="712"/>
      <c r="G129" s="712"/>
      <c r="H129" s="712"/>
      <c r="I129" s="712"/>
      <c r="J129" s="712"/>
      <c r="K129" s="712"/>
      <c r="L129" s="712"/>
      <c r="M129" s="712"/>
      <c r="N129" s="712"/>
      <c r="O129" s="712"/>
      <c r="P129" s="712"/>
      <c r="Q129" s="712"/>
      <c r="R129" s="712"/>
      <c r="S129" s="712"/>
      <c r="T129" s="712"/>
      <c r="U129" s="712"/>
      <c r="V129" s="712"/>
      <c r="W129" s="716"/>
      <c r="X129" s="716"/>
      <c r="Y129" s="714"/>
      <c r="Z129" s="714"/>
      <c r="AA129" s="714"/>
      <c r="AB129" s="716"/>
      <c r="AC129" s="733"/>
      <c r="AD129" s="714"/>
      <c r="AE129" s="714"/>
      <c r="AF129" s="714"/>
      <c r="AG129" s="714"/>
      <c r="AI129" s="674"/>
      <c r="AJ129" s="714"/>
      <c r="AK129" s="714"/>
      <c r="AL129" s="714"/>
      <c r="AM129" s="714"/>
      <c r="AN129" s="714"/>
      <c r="AO129" s="714"/>
      <c r="AP129" s="714"/>
      <c r="AQ129" s="714"/>
      <c r="AR129" s="714"/>
      <c r="AS129" s="714"/>
      <c r="AT129" s="714"/>
      <c r="AU129" s="714"/>
      <c r="AV129" s="714"/>
      <c r="AW129" s="714"/>
      <c r="AX129" s="714"/>
      <c r="AY129" s="714"/>
      <c r="AZ129" s="714"/>
      <c r="BA129" s="714"/>
      <c r="BB129" s="714"/>
      <c r="BC129" s="714"/>
      <c r="BD129" s="714"/>
    </row>
    <row r="130" spans="1:56">
      <c r="A130" s="715" t="s">
        <v>2</v>
      </c>
      <c r="B130" s="1245">
        <f>-Input!EP61/1000</f>
        <v>-3726.5816599999994</v>
      </c>
      <c r="C130" s="712"/>
      <c r="D130" s="711"/>
      <c r="E130" s="712"/>
      <c r="F130" s="711"/>
      <c r="G130" s="712"/>
      <c r="H130" s="711"/>
      <c r="I130" s="712"/>
      <c r="J130" s="711"/>
      <c r="K130" s="712"/>
      <c r="L130" s="819">
        <f>((+B130-D130-F130-H130-J130)*'Input Tax Rate'!$B$36)</f>
        <v>-886.65253132798989</v>
      </c>
      <c r="M130" s="712"/>
      <c r="N130" s="711"/>
      <c r="O130" s="712"/>
      <c r="P130" s="711"/>
      <c r="Q130" s="712"/>
      <c r="R130" s="711"/>
      <c r="S130" s="712"/>
      <c r="T130" s="711">
        <f>SUM(D130:R130)</f>
        <v>-886.65253132798989</v>
      </c>
      <c r="U130" s="712"/>
      <c r="V130" s="711">
        <f>B130-T130</f>
        <v>-2839.9291286720095</v>
      </c>
      <c r="W130" s="716"/>
      <c r="X130" s="716"/>
      <c r="Y130" s="714"/>
      <c r="Z130" s="714"/>
      <c r="AA130" s="714"/>
      <c r="AB130" s="716"/>
      <c r="AC130" s="714"/>
      <c r="AD130" s="714"/>
      <c r="AE130" s="714"/>
      <c r="AF130" s="714"/>
      <c r="AG130" s="714"/>
      <c r="AI130" s="674"/>
      <c r="AJ130" s="714"/>
      <c r="AK130" s="714"/>
      <c r="AL130" s="714"/>
      <c r="AM130" s="714"/>
      <c r="AN130" s="714"/>
      <c r="AO130" s="714"/>
      <c r="AP130" s="714"/>
      <c r="AQ130" s="714"/>
      <c r="AR130" s="714"/>
      <c r="AS130" s="714"/>
      <c r="AT130" s="714"/>
      <c r="AU130" s="714"/>
      <c r="AV130" s="714"/>
      <c r="AW130" s="714"/>
      <c r="AX130" s="714"/>
      <c r="AY130" s="714"/>
      <c r="AZ130" s="714"/>
      <c r="BA130" s="714"/>
      <c r="BB130" s="714"/>
      <c r="BC130" s="714"/>
      <c r="BD130" s="714"/>
    </row>
    <row r="131" spans="1:56">
      <c r="A131" s="674" t="s">
        <v>142</v>
      </c>
      <c r="B131" s="712"/>
      <c r="C131" s="712"/>
      <c r="D131" s="712"/>
      <c r="E131" s="712"/>
      <c r="F131" s="712"/>
      <c r="G131" s="712"/>
      <c r="H131" s="712"/>
      <c r="I131" s="712"/>
      <c r="J131" s="712"/>
      <c r="K131" s="712"/>
      <c r="L131" s="712"/>
      <c r="M131" s="712"/>
      <c r="N131" s="712"/>
      <c r="O131" s="712"/>
      <c r="P131" s="712"/>
      <c r="Q131" s="712"/>
      <c r="R131" s="712"/>
      <c r="S131" s="712"/>
      <c r="T131" s="712"/>
      <c r="U131" s="712"/>
      <c r="V131" s="712"/>
      <c r="W131" s="716"/>
      <c r="X131" s="716"/>
      <c r="Y131" s="714"/>
      <c r="Z131" s="714"/>
      <c r="AA131" s="714"/>
      <c r="AB131" s="716"/>
      <c r="AC131" s="714"/>
      <c r="AD131" s="714"/>
      <c r="AE131" s="714"/>
      <c r="AF131" s="714"/>
      <c r="AG131" s="714"/>
      <c r="AI131" s="674"/>
      <c r="AJ131" s="714"/>
      <c r="AK131" s="714"/>
      <c r="AL131" s="714"/>
      <c r="AM131" s="714"/>
      <c r="AN131" s="714"/>
      <c r="AO131" s="714"/>
      <c r="AP131" s="714"/>
      <c r="AQ131" s="714"/>
      <c r="AR131" s="714"/>
      <c r="AS131" s="714"/>
      <c r="AT131" s="714"/>
      <c r="AU131" s="714"/>
      <c r="AV131" s="714"/>
      <c r="AW131" s="714"/>
      <c r="AX131" s="714"/>
      <c r="AY131" s="714"/>
      <c r="AZ131" s="714"/>
      <c r="BA131" s="714"/>
      <c r="BB131" s="714"/>
      <c r="BC131" s="714"/>
      <c r="BD131" s="714"/>
    </row>
    <row r="132" spans="1:56" ht="13.5" thickBot="1">
      <c r="A132" s="674" t="s">
        <v>2</v>
      </c>
      <c r="B132" s="719">
        <f>B128+B130</f>
        <v>296628.93753999996</v>
      </c>
      <c r="C132" s="712"/>
      <c r="D132" s="719">
        <f>D128+D130</f>
        <v>0</v>
      </c>
      <c r="E132" s="712"/>
      <c r="F132" s="719">
        <f>F128+F130</f>
        <v>115474.95903672802</v>
      </c>
      <c r="G132" s="712"/>
      <c r="H132" s="719">
        <f>H128+H130</f>
        <v>55539.83791570615</v>
      </c>
      <c r="I132" s="712"/>
      <c r="J132" s="719">
        <f>J128+J130</f>
        <v>18233.804999999993</v>
      </c>
      <c r="K132" s="712"/>
      <c r="L132" s="719">
        <f>L128+L130</f>
        <v>5032.9565702491536</v>
      </c>
      <c r="M132" s="712"/>
      <c r="N132" s="719">
        <f>N128+N130</f>
        <v>13291.795559999999</v>
      </c>
      <c r="O132" s="712"/>
      <c r="P132" s="719">
        <f>P128+P130</f>
        <v>0</v>
      </c>
      <c r="Q132" s="712"/>
      <c r="R132" s="719">
        <f>R128+R130</f>
        <v>61.98348</v>
      </c>
      <c r="S132" s="712"/>
      <c r="T132" s="719">
        <f>T128+T130</f>
        <v>207635.33756268336</v>
      </c>
      <c r="U132" s="712"/>
      <c r="V132" s="719">
        <f>V128+V130</f>
        <v>88993.599977316539</v>
      </c>
      <c r="W132" s="716"/>
      <c r="X132" s="716"/>
      <c r="Y132" s="714"/>
      <c r="Z132" s="714"/>
      <c r="AA132" s="714"/>
      <c r="AB132" s="716"/>
      <c r="AC132" s="714"/>
      <c r="AD132" s="714"/>
      <c r="AE132" s="714"/>
      <c r="AF132" s="714"/>
      <c r="AG132" s="714"/>
      <c r="AI132" s="67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row>
    <row r="133" spans="1:56" ht="13.5" thickTop="1">
      <c r="A133" s="674"/>
      <c r="B133" s="713"/>
      <c r="C133" s="713"/>
      <c r="D133" s="713"/>
      <c r="E133" s="713"/>
      <c r="F133" s="713"/>
      <c r="G133" s="713"/>
      <c r="H133" s="713"/>
      <c r="I133" s="713"/>
      <c r="J133" s="713"/>
      <c r="K133" s="713"/>
      <c r="L133" s="713"/>
      <c r="M133" s="713"/>
      <c r="N133" s="713"/>
      <c r="O133" s="713"/>
      <c r="P133" s="713"/>
      <c r="Q133" s="713"/>
      <c r="R133" s="713"/>
      <c r="S133" s="713"/>
      <c r="T133" s="713"/>
      <c r="U133" s="713"/>
      <c r="V133" s="713"/>
      <c r="W133" s="716"/>
      <c r="X133" s="714"/>
      <c r="Y133" s="714"/>
      <c r="Z133" s="714"/>
      <c r="AA133" s="714"/>
      <c r="AB133" s="714"/>
      <c r="AC133" s="714"/>
      <c r="AD133" s="714"/>
      <c r="AE133" s="714"/>
      <c r="AF133" s="714"/>
      <c r="AG133" s="714"/>
      <c r="AI133" s="674"/>
      <c r="AJ133" s="714"/>
      <c r="AK133" s="714"/>
      <c r="AL133" s="714"/>
      <c r="AM133" s="714"/>
      <c r="AN133" s="714"/>
      <c r="AO133" s="714"/>
      <c r="AP133" s="714"/>
      <c r="AQ133" s="714"/>
      <c r="AR133" s="714"/>
      <c r="AS133" s="714"/>
      <c r="AT133" s="714"/>
      <c r="AU133" s="714"/>
      <c r="AV133" s="714"/>
      <c r="AW133" s="714"/>
      <c r="AX133" s="714"/>
      <c r="AY133" s="714"/>
      <c r="AZ133" s="714"/>
      <c r="BA133" s="714"/>
      <c r="BB133" s="714"/>
      <c r="BC133" s="714"/>
      <c r="BD133" s="714"/>
    </row>
    <row r="134" spans="1:56">
      <c r="A134" s="674" t="s">
        <v>143</v>
      </c>
      <c r="B134" s="712"/>
      <c r="C134" s="713"/>
      <c r="D134" s="713"/>
      <c r="E134" s="713"/>
      <c r="F134" s="713"/>
      <c r="G134" s="713"/>
      <c r="H134" s="713"/>
      <c r="I134" s="734"/>
      <c r="J134" s="713"/>
      <c r="K134" s="713"/>
      <c r="L134" s="713"/>
      <c r="M134" s="713"/>
      <c r="N134" s="713"/>
      <c r="O134" s="713"/>
      <c r="P134" s="713"/>
      <c r="Q134" s="713"/>
      <c r="R134" s="713"/>
      <c r="S134" s="713"/>
      <c r="T134" s="713"/>
      <c r="U134" s="713"/>
      <c r="V134" s="713"/>
      <c r="W134" s="716"/>
      <c r="X134" s="714"/>
      <c r="Y134" s="714"/>
      <c r="Z134" s="714"/>
      <c r="AA134" s="714"/>
      <c r="AB134" s="714"/>
      <c r="AC134" s="714"/>
      <c r="AD134" s="714"/>
      <c r="AE134" s="714"/>
      <c r="AF134" s="714"/>
      <c r="AG134" s="714"/>
      <c r="AI134" s="674"/>
      <c r="AJ134" s="714"/>
      <c r="AK134" s="714"/>
      <c r="AL134" s="714"/>
      <c r="AM134" s="714"/>
      <c r="AN134" s="714"/>
      <c r="AO134" s="714"/>
      <c r="AP134" s="714"/>
      <c r="AQ134" s="714"/>
      <c r="AR134" s="714"/>
      <c r="AS134" s="714"/>
      <c r="AT134" s="714"/>
      <c r="AU134" s="714"/>
      <c r="AV134" s="714"/>
      <c r="AW134" s="714"/>
      <c r="AX134" s="714"/>
      <c r="AY134" s="714"/>
      <c r="AZ134" s="714"/>
      <c r="BA134" s="714"/>
      <c r="BB134" s="714"/>
      <c r="BC134" s="714"/>
      <c r="BD134" s="714"/>
    </row>
    <row r="135" spans="1:56">
      <c r="A135" s="715" t="s">
        <v>144</v>
      </c>
      <c r="B135" s="713"/>
      <c r="C135" s="713"/>
      <c r="D135" s="713"/>
      <c r="E135" s="713"/>
      <c r="F135" s="713"/>
      <c r="G135" s="713"/>
      <c r="H135" s="713"/>
      <c r="I135" s="723"/>
      <c r="J135" s="713"/>
      <c r="K135" s="713"/>
      <c r="L135" s="713"/>
      <c r="M135" s="713"/>
      <c r="N135" s="713"/>
      <c r="O135" s="713"/>
      <c r="P135" s="713"/>
      <c r="Q135" s="713"/>
      <c r="R135" s="713"/>
      <c r="S135" s="713"/>
      <c r="T135" s="713"/>
      <c r="U135" s="713"/>
      <c r="V135" s="713"/>
      <c r="W135" s="716"/>
      <c r="X135" s="714"/>
      <c r="Y135" s="714"/>
      <c r="Z135" s="714"/>
      <c r="AA135" s="714"/>
      <c r="AB135" s="714"/>
      <c r="AC135" s="714"/>
      <c r="AD135" s="714"/>
      <c r="AE135" s="714"/>
      <c r="AF135" s="714"/>
      <c r="AG135" s="714"/>
      <c r="AI135" s="674"/>
      <c r="AJ135" s="714"/>
      <c r="AK135" s="714"/>
      <c r="AL135" s="714"/>
      <c r="AM135" s="714"/>
      <c r="AN135" s="714"/>
      <c r="AO135" s="714"/>
      <c r="AP135" s="714"/>
      <c r="AQ135" s="714"/>
      <c r="AR135" s="714"/>
      <c r="AS135" s="714"/>
      <c r="AT135" s="714"/>
      <c r="AU135" s="714"/>
      <c r="AV135" s="714"/>
      <c r="AW135" s="714"/>
      <c r="AX135" s="714"/>
      <c r="AY135" s="714"/>
      <c r="AZ135" s="714"/>
      <c r="BA135" s="714"/>
      <c r="BB135" s="714"/>
      <c r="BC135" s="714"/>
      <c r="BD135" s="714"/>
    </row>
    <row r="136" spans="1:56">
      <c r="A136" s="674"/>
      <c r="B136" s="713"/>
      <c r="C136" s="713"/>
      <c r="D136" s="713"/>
      <c r="E136" s="713"/>
      <c r="F136" s="713"/>
      <c r="G136" s="713"/>
      <c r="H136" s="713"/>
      <c r="I136" s="723"/>
      <c r="J136" s="713"/>
      <c r="K136" s="713"/>
      <c r="L136" s="713"/>
      <c r="M136" s="713"/>
      <c r="N136" s="713"/>
      <c r="O136" s="713"/>
      <c r="P136" s="713"/>
      <c r="Q136" s="713"/>
      <c r="R136" s="713"/>
      <c r="S136" s="713"/>
      <c r="T136" s="712"/>
      <c r="U136" s="712"/>
      <c r="V136" s="712"/>
      <c r="W136" s="716"/>
      <c r="X136" s="716"/>
      <c r="Y136" s="714"/>
      <c r="Z136" s="714"/>
      <c r="AA136" s="714"/>
      <c r="AB136" s="716"/>
      <c r="AC136" s="714"/>
      <c r="AD136" s="714"/>
      <c r="AE136" s="714"/>
      <c r="AF136" s="714"/>
      <c r="AG136" s="714"/>
      <c r="AI136" s="674"/>
      <c r="AJ136" s="714"/>
      <c r="AK136" s="714"/>
      <c r="AL136" s="714"/>
      <c r="AM136" s="714"/>
      <c r="AN136" s="714"/>
      <c r="AO136" s="714"/>
      <c r="AP136" s="714"/>
      <c r="AQ136" s="714"/>
      <c r="AR136" s="714"/>
      <c r="AS136" s="714"/>
      <c r="AT136" s="714"/>
      <c r="AU136" s="714"/>
      <c r="AV136" s="714"/>
      <c r="AW136" s="714"/>
      <c r="AX136" s="714"/>
      <c r="AY136" s="714"/>
      <c r="AZ136" s="714"/>
      <c r="BA136" s="714"/>
      <c r="BB136" s="714"/>
      <c r="BC136" s="714"/>
      <c r="BD136" s="714"/>
    </row>
    <row r="137" spans="1:56">
      <c r="A137" s="735" t="s">
        <v>482</v>
      </c>
      <c r="B137" s="713"/>
      <c r="C137" s="713"/>
      <c r="D137" s="713"/>
      <c r="E137" s="713"/>
      <c r="F137" s="713"/>
      <c r="G137" s="713"/>
      <c r="H137" s="713"/>
      <c r="I137" s="736"/>
      <c r="J137" s="713"/>
      <c r="K137" s="713"/>
      <c r="L137" s="737">
        <v>0</v>
      </c>
      <c r="M137" s="713"/>
      <c r="N137" s="713"/>
      <c r="O137" s="713"/>
      <c r="P137" s="713"/>
      <c r="Q137" s="713"/>
      <c r="R137" s="738"/>
      <c r="S137" s="713"/>
      <c r="T137" s="712">
        <f>SUM(D137:R137)</f>
        <v>0</v>
      </c>
      <c r="U137" s="712"/>
      <c r="V137" s="712">
        <f>B137-T137</f>
        <v>0</v>
      </c>
      <c r="W137" s="716"/>
      <c r="X137" s="716"/>
      <c r="Y137" s="714"/>
      <c r="Z137" s="714"/>
      <c r="AA137" s="714"/>
      <c r="AB137" s="716"/>
      <c r="AC137" s="714"/>
      <c r="AD137" s="714"/>
      <c r="AE137" s="714"/>
      <c r="AF137" s="714"/>
      <c r="AG137" s="714"/>
      <c r="AI137" s="674"/>
      <c r="AJ137" s="714"/>
      <c r="AK137" s="714"/>
      <c r="AL137" s="714"/>
      <c r="AM137" s="714"/>
      <c r="AN137" s="714"/>
      <c r="AO137" s="714"/>
      <c r="AP137" s="714"/>
      <c r="AQ137" s="714"/>
      <c r="AR137" s="714"/>
      <c r="AS137" s="714"/>
      <c r="AT137" s="714"/>
      <c r="AU137" s="714"/>
      <c r="AV137" s="714"/>
      <c r="AW137" s="714"/>
      <c r="AX137" s="714"/>
      <c r="AY137" s="714"/>
      <c r="AZ137" s="714"/>
      <c r="BA137" s="714"/>
      <c r="BB137" s="714"/>
      <c r="BC137" s="714"/>
      <c r="BD137" s="714"/>
    </row>
    <row r="138" spans="1:56">
      <c r="A138" s="735"/>
      <c r="B138" s="739"/>
      <c r="C138" s="713"/>
      <c r="D138" s="739"/>
      <c r="E138" s="713"/>
      <c r="F138" s="740"/>
      <c r="G138" s="713"/>
      <c r="H138" s="739"/>
      <c r="I138" s="713"/>
      <c r="J138" s="739"/>
      <c r="K138" s="713"/>
      <c r="L138" s="718"/>
      <c r="M138" s="713"/>
      <c r="N138" s="739"/>
      <c r="O138" s="713"/>
      <c r="P138" s="739"/>
      <c r="Q138" s="713"/>
      <c r="R138" s="741"/>
      <c r="S138" s="713"/>
      <c r="T138" s="718"/>
      <c r="U138" s="712"/>
      <c r="V138" s="718"/>
      <c r="W138" s="716"/>
      <c r="X138" s="714"/>
      <c r="Y138" s="714"/>
      <c r="Z138" s="714"/>
      <c r="AA138" s="714"/>
      <c r="AB138" s="714"/>
      <c r="AC138" s="714"/>
      <c r="AD138" s="714"/>
      <c r="AE138" s="714"/>
      <c r="AF138" s="714"/>
      <c r="AG138" s="714"/>
      <c r="AI138" s="674"/>
      <c r="AJ138" s="714"/>
      <c r="AK138" s="714"/>
      <c r="AL138" s="714"/>
      <c r="AM138" s="714"/>
      <c r="AN138" s="714"/>
      <c r="AO138" s="714"/>
      <c r="AP138" s="714"/>
      <c r="AQ138" s="714"/>
      <c r="AR138" s="714"/>
      <c r="AS138" s="714"/>
      <c r="AT138" s="714"/>
      <c r="AU138" s="714"/>
      <c r="AV138" s="714"/>
      <c r="AW138" s="714"/>
      <c r="AX138" s="714"/>
      <c r="AY138" s="714"/>
      <c r="AZ138" s="714"/>
      <c r="BA138" s="714"/>
      <c r="BB138" s="714"/>
      <c r="BC138" s="714"/>
      <c r="BD138" s="714"/>
    </row>
    <row r="139" spans="1:56" ht="12.95" customHeight="1">
      <c r="A139" s="674" t="s">
        <v>145</v>
      </c>
      <c r="B139" s="711">
        <f>SUM(B137:B138)</f>
        <v>0</v>
      </c>
      <c r="C139" s="712"/>
      <c r="D139" s="711"/>
      <c r="E139" s="712"/>
      <c r="F139" s="711">
        <f>SUM(F137:F138)</f>
        <v>0</v>
      </c>
      <c r="G139" s="712"/>
      <c r="H139" s="711"/>
      <c r="I139" s="712"/>
      <c r="J139" s="711"/>
      <c r="K139" s="712"/>
      <c r="L139" s="711">
        <f>SUM(L137:L138)</f>
        <v>0</v>
      </c>
      <c r="M139" s="712"/>
      <c r="N139" s="711"/>
      <c r="O139" s="712"/>
      <c r="P139" s="711"/>
      <c r="Q139" s="712"/>
      <c r="R139" s="711">
        <f>SUM(R137:R138)</f>
        <v>0</v>
      </c>
      <c r="S139" s="712"/>
      <c r="T139" s="711">
        <f>SUM(T137:T138)</f>
        <v>0</v>
      </c>
      <c r="U139" s="712"/>
      <c r="V139" s="711">
        <f>SUM(V137:V138)</f>
        <v>0</v>
      </c>
      <c r="W139" s="716"/>
      <c r="X139" s="716"/>
      <c r="Y139" s="714"/>
      <c r="Z139" s="714"/>
      <c r="AA139" s="714"/>
      <c r="AB139" s="716"/>
      <c r="AC139" s="714"/>
      <c r="AD139" s="714"/>
      <c r="AE139" s="714"/>
      <c r="AF139" s="714"/>
      <c r="AG139" s="714"/>
      <c r="AI139" s="674"/>
      <c r="AJ139" s="714"/>
      <c r="AK139" s="714"/>
      <c r="AL139" s="714"/>
      <c r="AM139" s="714"/>
      <c r="AN139" s="714"/>
      <c r="AO139" s="714"/>
      <c r="AP139" s="714"/>
      <c r="AQ139" s="714"/>
      <c r="AR139" s="714"/>
      <c r="AS139" s="714"/>
      <c r="AT139" s="714"/>
      <c r="AU139" s="714"/>
      <c r="AV139" s="714"/>
      <c r="AW139" s="714"/>
      <c r="AX139" s="714"/>
      <c r="AY139" s="714"/>
      <c r="AZ139" s="714"/>
      <c r="BA139" s="714"/>
      <c r="BB139" s="714"/>
      <c r="BC139" s="714"/>
      <c r="BD139" s="714"/>
    </row>
    <row r="140" spans="1:56">
      <c r="A140" s="674"/>
      <c r="B140" s="712"/>
      <c r="C140" s="712"/>
      <c r="D140" s="712"/>
      <c r="E140" s="712"/>
      <c r="F140" s="712"/>
      <c r="G140" s="712"/>
      <c r="H140" s="712"/>
      <c r="I140" s="712"/>
      <c r="J140" s="712"/>
      <c r="K140" s="712"/>
      <c r="L140" s="712"/>
      <c r="M140" s="712"/>
      <c r="N140" s="712"/>
      <c r="O140" s="712"/>
      <c r="P140" s="712"/>
      <c r="Q140" s="712"/>
      <c r="R140" s="712"/>
      <c r="S140" s="712"/>
      <c r="T140" s="712"/>
      <c r="U140" s="712"/>
      <c r="V140" s="712"/>
      <c r="W140" s="716"/>
      <c r="X140" s="714"/>
      <c r="Y140" s="714"/>
      <c r="Z140" s="714"/>
      <c r="AA140" s="714"/>
      <c r="AB140" s="714"/>
      <c r="AC140" s="714"/>
      <c r="AD140" s="714"/>
      <c r="AE140" s="714"/>
      <c r="AF140" s="714"/>
      <c r="AG140" s="714"/>
      <c r="AI140" s="674"/>
      <c r="AJ140" s="714"/>
      <c r="AK140" s="714"/>
      <c r="AL140" s="714"/>
      <c r="AM140" s="714"/>
      <c r="AN140" s="714"/>
      <c r="AO140" s="714"/>
      <c r="AP140" s="714"/>
      <c r="AQ140" s="714"/>
      <c r="AR140" s="714"/>
      <c r="AS140" s="714"/>
      <c r="AT140" s="714"/>
      <c r="AU140" s="714"/>
      <c r="AV140" s="714"/>
      <c r="AW140" s="714"/>
      <c r="AX140" s="714"/>
      <c r="AY140" s="714"/>
      <c r="AZ140" s="714"/>
      <c r="BA140" s="714"/>
      <c r="BB140" s="714"/>
      <c r="BC140" s="714"/>
      <c r="BD140" s="714"/>
    </row>
    <row r="141" spans="1:56" ht="13.5" thickBot="1">
      <c r="A141" s="674" t="s">
        <v>146</v>
      </c>
      <c r="B141" s="719">
        <f>B128+B139</f>
        <v>300355.51919999998</v>
      </c>
      <c r="C141" s="712"/>
      <c r="D141" s="719">
        <f>D128+D139</f>
        <v>0</v>
      </c>
      <c r="E141" s="712"/>
      <c r="F141" s="719">
        <f>F128+F139</f>
        <v>115474.95903672802</v>
      </c>
      <c r="G141" s="712"/>
      <c r="H141" s="719">
        <f>H128+H139</f>
        <v>55539.83791570615</v>
      </c>
      <c r="I141" s="712"/>
      <c r="J141" s="719">
        <f>J128+J139</f>
        <v>18233.804999999993</v>
      </c>
      <c r="K141" s="712"/>
      <c r="L141" s="719">
        <f>L128+L139</f>
        <v>5919.6091015771435</v>
      </c>
      <c r="M141" s="712"/>
      <c r="N141" s="719">
        <f>N128+N139</f>
        <v>13291.795559999999</v>
      </c>
      <c r="O141" s="712"/>
      <c r="P141" s="719">
        <f>P128+P139</f>
        <v>0</v>
      </c>
      <c r="Q141" s="712"/>
      <c r="R141" s="719">
        <f>R128+R139</f>
        <v>61.98348</v>
      </c>
      <c r="S141" s="712"/>
      <c r="T141" s="719">
        <f>T128+T139</f>
        <v>208521.99009401136</v>
      </c>
      <c r="U141" s="712"/>
      <c r="V141" s="719">
        <f>V128+V139</f>
        <v>91833.529105988549</v>
      </c>
      <c r="W141" s="716"/>
      <c r="X141" s="716"/>
      <c r="Y141" s="714"/>
      <c r="Z141" s="714"/>
      <c r="AA141" s="714"/>
      <c r="AB141" s="716"/>
      <c r="AC141" s="714"/>
      <c r="AD141" s="714"/>
      <c r="AE141" s="714"/>
      <c r="AF141" s="714"/>
      <c r="AG141" s="714"/>
      <c r="AI141" s="674"/>
      <c r="AJ141" s="714"/>
      <c r="AK141" s="714"/>
      <c r="AL141" s="714"/>
      <c r="AM141" s="714"/>
      <c r="AN141" s="714"/>
      <c r="AO141" s="714"/>
      <c r="AP141" s="714"/>
      <c r="AQ141" s="714"/>
      <c r="AR141" s="714"/>
      <c r="AS141" s="714"/>
      <c r="AT141" s="714"/>
      <c r="AU141" s="714"/>
      <c r="AV141" s="714"/>
      <c r="AW141" s="714"/>
      <c r="AX141" s="714"/>
      <c r="AY141" s="714"/>
      <c r="AZ141" s="714"/>
      <c r="BA141" s="714"/>
      <c r="BB141" s="714"/>
      <c r="BC141" s="714"/>
      <c r="BD141" s="714"/>
    </row>
    <row r="142" spans="1:56" ht="13.5" thickTop="1">
      <c r="A142" s="674"/>
      <c r="B142" s="712"/>
      <c r="C142" s="712"/>
      <c r="D142" s="712"/>
      <c r="E142" s="712"/>
      <c r="F142" s="712"/>
      <c r="G142" s="712"/>
      <c r="H142" s="712"/>
      <c r="I142" s="712"/>
      <c r="J142" s="712"/>
      <c r="K142" s="712"/>
      <c r="L142" s="712"/>
      <c r="M142" s="712"/>
      <c r="N142" s="712"/>
      <c r="O142" s="712"/>
      <c r="P142" s="712"/>
      <c r="Q142" s="712"/>
      <c r="R142" s="712"/>
      <c r="S142" s="712"/>
      <c r="T142" s="712"/>
      <c r="U142" s="712"/>
      <c r="V142" s="712"/>
      <c r="W142" s="716"/>
      <c r="X142" s="714"/>
      <c r="Y142" s="714"/>
      <c r="Z142" s="714"/>
      <c r="AA142" s="714"/>
      <c r="AB142" s="714"/>
      <c r="AC142" s="714"/>
      <c r="AD142" s="714"/>
      <c r="AE142" s="714"/>
      <c r="AF142" s="714"/>
      <c r="AG142" s="714"/>
      <c r="AI142" s="674"/>
      <c r="AJ142" s="714"/>
      <c r="AK142" s="714"/>
      <c r="AL142" s="714"/>
      <c r="AM142" s="714"/>
      <c r="AN142" s="714"/>
      <c r="AO142" s="714"/>
      <c r="AP142" s="714"/>
      <c r="AQ142" s="714"/>
      <c r="AR142" s="714"/>
      <c r="AS142" s="714"/>
      <c r="AT142" s="714"/>
      <c r="AU142" s="714"/>
      <c r="AV142" s="714"/>
      <c r="AW142" s="714"/>
      <c r="AX142" s="714"/>
      <c r="AY142" s="714"/>
      <c r="AZ142" s="714"/>
      <c r="BA142" s="714"/>
      <c r="BB142" s="714"/>
      <c r="BC142" s="714"/>
      <c r="BD142" s="714"/>
    </row>
    <row r="143" spans="1:56">
      <c r="A143" s="674" t="s">
        <v>101</v>
      </c>
      <c r="B143" s="712"/>
      <c r="C143" s="712"/>
      <c r="D143" s="712"/>
      <c r="E143" s="712"/>
      <c r="F143" s="712"/>
      <c r="G143" s="712"/>
      <c r="H143" s="712"/>
      <c r="I143" s="712"/>
      <c r="J143" s="712"/>
      <c r="K143" s="712"/>
      <c r="L143" s="712"/>
      <c r="M143" s="712"/>
      <c r="N143" s="712"/>
      <c r="O143" s="712"/>
      <c r="P143" s="712"/>
      <c r="Q143" s="712"/>
      <c r="R143" s="712"/>
      <c r="S143" s="712"/>
      <c r="T143" s="712"/>
      <c r="U143" s="712"/>
      <c r="V143" s="712"/>
      <c r="W143" s="716"/>
      <c r="X143" s="714"/>
      <c r="Y143" s="714"/>
      <c r="Z143" s="714"/>
      <c r="AA143" s="714"/>
      <c r="AB143" s="714"/>
      <c r="AC143" s="714"/>
      <c r="AD143" s="714"/>
      <c r="AE143" s="714"/>
      <c r="AF143" s="714"/>
      <c r="AG143" s="714"/>
      <c r="AI143" s="674"/>
      <c r="AJ143" s="714"/>
      <c r="AK143" s="714"/>
      <c r="AL143" s="714"/>
      <c r="AM143" s="714"/>
      <c r="AN143" s="714"/>
      <c r="AO143" s="714"/>
      <c r="AP143" s="714"/>
      <c r="AQ143" s="714"/>
      <c r="AR143" s="714"/>
      <c r="AS143" s="714"/>
      <c r="AT143" s="714"/>
      <c r="AU143" s="714"/>
      <c r="AV143" s="714"/>
      <c r="AW143" s="714"/>
      <c r="AX143" s="714"/>
      <c r="AY143" s="714"/>
      <c r="AZ143" s="714"/>
      <c r="BA143" s="714"/>
      <c r="BB143" s="714"/>
      <c r="BC143" s="714"/>
      <c r="BD143" s="714"/>
    </row>
    <row r="144" spans="1:56" ht="13.5" thickBot="1">
      <c r="A144" s="674" t="s">
        <v>158</v>
      </c>
      <c r="B144" s="742">
        <f>+IncomeStmt!$D$9</f>
        <v>50551.45953</v>
      </c>
      <c r="C144" s="712"/>
      <c r="D144" s="742">
        <f>+IncomeStmt!$D$10</f>
        <v>17167.27015</v>
      </c>
      <c r="E144" s="712"/>
      <c r="F144" s="742">
        <f>+IncomeStmt!$D$13</f>
        <v>15466.521239999996</v>
      </c>
      <c r="G144" s="712"/>
      <c r="H144" s="742">
        <f>SUM(IncomeStmt!$D$14:$D$17)</f>
        <v>4904.558500000001</v>
      </c>
      <c r="I144" s="712"/>
      <c r="J144" s="742">
        <f>+IncomeStmt!$D$18</f>
        <v>4388.5839100000003</v>
      </c>
      <c r="K144" s="712"/>
      <c r="L144" s="742">
        <f>SUM(IncomeStmt!$D$19:$D$19)</f>
        <v>3978.2824700000001</v>
      </c>
      <c r="M144" s="712"/>
      <c r="N144" s="742">
        <f>SUM(IncomeStmt!$D$20:$D$20)</f>
        <v>-2616.5281</v>
      </c>
      <c r="O144" s="712"/>
      <c r="P144" s="742">
        <f>+IncomeStmt!$D$21</f>
        <v>0</v>
      </c>
      <c r="Q144" s="712"/>
      <c r="R144" s="743">
        <v>0</v>
      </c>
      <c r="S144" s="712"/>
      <c r="T144" s="719">
        <f>SUM(D144:R144)</f>
        <v>43288.688169999994</v>
      </c>
      <c r="U144" s="712"/>
      <c r="V144" s="1173">
        <f>B144-T144</f>
        <v>7262.7713600000061</v>
      </c>
      <c r="W144" s="114" t="s">
        <v>2257</v>
      </c>
      <c r="X144" s="716"/>
      <c r="Y144" s="714"/>
      <c r="Z144" s="714"/>
      <c r="AA144" s="714"/>
      <c r="AB144" s="716"/>
      <c r="AC144" s="714"/>
      <c r="AD144" s="714"/>
      <c r="AE144" s="714"/>
      <c r="AF144" s="714"/>
      <c r="AG144" s="714"/>
      <c r="AI144" s="674"/>
      <c r="AJ144" s="714"/>
      <c r="AK144" s="714"/>
      <c r="AL144" s="714"/>
      <c r="AM144" s="714"/>
      <c r="AN144" s="714"/>
      <c r="AO144" s="714"/>
      <c r="AP144" s="714"/>
      <c r="AQ144" s="714"/>
      <c r="AR144" s="714"/>
      <c r="AS144" s="714"/>
      <c r="AT144" s="714"/>
      <c r="AU144" s="714"/>
      <c r="AV144" s="714"/>
      <c r="AW144" s="714"/>
      <c r="AX144" s="714"/>
      <c r="AY144" s="714"/>
      <c r="AZ144" s="714"/>
      <c r="BA144" s="714"/>
      <c r="BB144" s="714"/>
      <c r="BC144" s="714"/>
      <c r="BD144" s="714"/>
    </row>
    <row r="145" spans="1:56" ht="13.5" thickTop="1">
      <c r="B145" s="709"/>
      <c r="C145" s="709"/>
      <c r="D145" s="709"/>
      <c r="E145" s="709"/>
      <c r="F145" s="709"/>
      <c r="G145" s="709"/>
      <c r="H145" s="709"/>
      <c r="I145" s="709"/>
      <c r="J145" s="709"/>
      <c r="K145" s="709"/>
      <c r="L145" s="709"/>
      <c r="M145" s="709"/>
      <c r="N145" s="709"/>
      <c r="O145" s="709"/>
      <c r="P145" s="709"/>
      <c r="Q145" s="709"/>
      <c r="R145" s="709"/>
      <c r="S145" s="709"/>
      <c r="T145" s="709"/>
      <c r="U145" s="709"/>
      <c r="V145" s="709"/>
      <c r="W145" s="714"/>
      <c r="X145" s="714"/>
      <c r="Y145" s="714"/>
      <c r="Z145" s="714"/>
      <c r="AA145" s="714"/>
      <c r="AB145" s="714"/>
      <c r="AC145" s="714"/>
      <c r="AD145" s="714"/>
      <c r="AE145" s="714"/>
      <c r="AF145" s="714"/>
      <c r="AG145" s="714"/>
      <c r="AI145" s="674"/>
      <c r="AJ145" s="714"/>
      <c r="AK145" s="714"/>
      <c r="AL145" s="714"/>
      <c r="AM145" s="714"/>
      <c r="AN145" s="714"/>
      <c r="AO145" s="714"/>
      <c r="AP145" s="714"/>
      <c r="AQ145" s="714"/>
      <c r="AR145" s="714"/>
      <c r="AS145" s="714"/>
      <c r="AT145" s="714"/>
      <c r="AU145" s="714"/>
      <c r="AV145" s="714"/>
      <c r="AW145" s="714"/>
      <c r="AX145" s="714"/>
      <c r="AY145" s="714"/>
      <c r="AZ145" s="714"/>
      <c r="BA145" s="714"/>
      <c r="BB145" s="714"/>
      <c r="BC145" s="714"/>
      <c r="BD145" s="714"/>
    </row>
    <row r="146" spans="1:56">
      <c r="A146" s="48"/>
      <c r="B146" s="744"/>
      <c r="C146" s="744"/>
      <c r="D146" s="744"/>
      <c r="E146" s="744"/>
      <c r="F146" s="744"/>
      <c r="G146" s="744"/>
      <c r="H146" s="744"/>
      <c r="I146" s="744"/>
      <c r="J146" s="744"/>
      <c r="K146" s="744"/>
      <c r="L146" s="744"/>
      <c r="M146" s="744"/>
      <c r="N146" s="744"/>
      <c r="O146" s="744"/>
      <c r="P146" s="744"/>
      <c r="Q146" s="744"/>
      <c r="R146" s="744"/>
      <c r="S146" s="744"/>
      <c r="T146" s="744"/>
      <c r="U146" s="744"/>
      <c r="V146" s="744"/>
      <c r="W146" s="714"/>
      <c r="X146" s="714"/>
      <c r="Y146" s="714"/>
      <c r="Z146" s="714"/>
      <c r="AA146" s="714"/>
      <c r="AB146" s="714"/>
      <c r="AC146" s="714"/>
      <c r="AD146" s="714"/>
      <c r="AE146" s="714"/>
      <c r="AF146" s="714"/>
      <c r="AG146" s="714"/>
      <c r="AI146" s="674"/>
      <c r="AJ146" s="714"/>
      <c r="AK146" s="714"/>
      <c r="AL146" s="714"/>
      <c r="AM146" s="714"/>
      <c r="AN146" s="714"/>
      <c r="AO146" s="714"/>
      <c r="AP146" s="714"/>
      <c r="AQ146" s="714"/>
      <c r="AR146" s="714"/>
      <c r="AS146" s="714"/>
      <c r="AT146" s="714"/>
      <c r="AU146" s="714"/>
      <c r="AV146" s="714"/>
      <c r="AW146" s="714"/>
      <c r="AX146" s="714"/>
      <c r="AY146" s="714"/>
      <c r="AZ146" s="714"/>
      <c r="BA146" s="714"/>
      <c r="BB146" s="714"/>
      <c r="BC146" s="714"/>
      <c r="BD146" s="714"/>
    </row>
    <row r="147" spans="1:56">
      <c r="A147" s="674"/>
      <c r="B147" s="714"/>
      <c r="C147" s="714"/>
      <c r="D147" s="714"/>
      <c r="E147" s="714"/>
      <c r="F147" s="714"/>
      <c r="G147" s="714"/>
      <c r="H147" s="714"/>
      <c r="I147" s="714"/>
      <c r="J147" s="714"/>
      <c r="K147" s="714"/>
      <c r="L147" s="714"/>
      <c r="M147" s="714"/>
      <c r="N147" s="714"/>
      <c r="O147" s="714"/>
      <c r="P147" s="714"/>
      <c r="Q147" s="714"/>
      <c r="R147" s="714"/>
      <c r="S147" s="714"/>
      <c r="T147" s="714"/>
      <c r="U147" s="714"/>
      <c r="V147" s="714"/>
      <c r="W147" s="714"/>
      <c r="X147" s="714"/>
      <c r="Y147" s="714"/>
      <c r="Z147" s="714"/>
      <c r="AA147" s="714"/>
      <c r="AB147" s="714"/>
      <c r="AC147" s="714"/>
      <c r="AD147" s="714"/>
      <c r="AE147" s="714"/>
      <c r="AF147" s="714"/>
      <c r="AG147" s="714"/>
      <c r="AI147" s="674"/>
      <c r="AJ147" s="714"/>
      <c r="AK147" s="714"/>
      <c r="AL147" s="714"/>
      <c r="AM147" s="714"/>
      <c r="AN147" s="714"/>
      <c r="AO147" s="714"/>
      <c r="AP147" s="714"/>
      <c r="AQ147" s="714"/>
      <c r="AR147" s="714"/>
      <c r="AS147" s="714"/>
      <c r="AT147" s="714"/>
      <c r="AU147" s="714"/>
      <c r="AV147" s="714"/>
      <c r="AW147" s="714"/>
      <c r="AX147" s="714"/>
      <c r="AY147" s="714"/>
      <c r="AZ147" s="714"/>
      <c r="BA147" s="714"/>
      <c r="BB147" s="714"/>
      <c r="BC147" s="714"/>
      <c r="BD147" s="714"/>
    </row>
    <row r="148" spans="1:56" ht="15.75">
      <c r="A148" s="725" t="s">
        <v>204</v>
      </c>
      <c r="B148" s="745"/>
      <c r="C148" s="745"/>
      <c r="D148" s="745"/>
      <c r="E148" s="745"/>
      <c r="F148" s="721"/>
      <c r="G148" s="721"/>
      <c r="H148" s="745"/>
      <c r="I148" s="745"/>
      <c r="J148" s="745"/>
      <c r="K148" s="745"/>
      <c r="L148" s="745"/>
      <c r="M148" s="745"/>
      <c r="N148" s="745"/>
      <c r="O148" s="745"/>
      <c r="P148" s="745"/>
      <c r="Q148" s="745"/>
      <c r="R148" s="745"/>
      <c r="S148" s="745"/>
      <c r="T148" s="746" t="s">
        <v>160</v>
      </c>
      <c r="U148" s="747"/>
      <c r="V148" s="747"/>
      <c r="W148" s="683"/>
      <c r="X148" s="714"/>
      <c r="Y148" s="714"/>
      <c r="Z148" s="714"/>
      <c r="AA148" s="714"/>
      <c r="AB148" s="714"/>
      <c r="AC148" s="714"/>
      <c r="AD148" s="714"/>
      <c r="AE148" s="714"/>
      <c r="AF148" s="714"/>
      <c r="AG148" s="714"/>
      <c r="AI148" s="674"/>
      <c r="AJ148" s="714"/>
      <c r="AK148" s="714"/>
      <c r="AL148" s="714"/>
      <c r="AM148" s="714"/>
      <c r="AN148" s="714"/>
      <c r="AO148" s="714"/>
      <c r="AP148" s="714"/>
      <c r="AQ148" s="714"/>
      <c r="AR148" s="714"/>
      <c r="AS148" s="714"/>
      <c r="AT148" s="714"/>
      <c r="AU148" s="714"/>
      <c r="AV148" s="714"/>
      <c r="AW148" s="714"/>
      <c r="AX148" s="714"/>
      <c r="AY148" s="714"/>
      <c r="AZ148" s="714"/>
      <c r="BA148" s="714"/>
      <c r="BB148" s="714"/>
      <c r="BC148" s="714"/>
      <c r="BD148" s="714"/>
    </row>
    <row r="149" spans="1:56" ht="15.75">
      <c r="A149" s="725" t="s">
        <v>161</v>
      </c>
      <c r="B149" s="745"/>
      <c r="C149" s="745"/>
      <c r="D149" s="745"/>
      <c r="E149" s="745"/>
      <c r="F149" s="721"/>
      <c r="G149" s="721"/>
      <c r="H149" s="745"/>
      <c r="I149" s="721"/>
      <c r="J149" s="745"/>
      <c r="K149" s="745"/>
      <c r="L149" s="745"/>
      <c r="M149" s="745"/>
      <c r="N149" s="745"/>
      <c r="O149" s="745"/>
      <c r="P149" s="745"/>
      <c r="Q149" s="745"/>
      <c r="R149" s="745"/>
      <c r="S149" s="745"/>
      <c r="T149" s="746"/>
      <c r="U149" s="746"/>
      <c r="V149" s="746"/>
      <c r="W149" s="683"/>
      <c r="X149" s="714"/>
      <c r="Y149" s="714"/>
      <c r="Z149" s="714"/>
      <c r="AA149" s="714"/>
      <c r="AB149" s="714"/>
      <c r="AC149" s="714"/>
      <c r="AD149" s="714"/>
      <c r="AE149" s="714"/>
      <c r="AF149" s="714"/>
      <c r="AG149" s="714"/>
      <c r="AI149" s="674"/>
      <c r="AJ149" s="714"/>
      <c r="AK149" s="714"/>
      <c r="AL149" s="714"/>
      <c r="AM149" s="714"/>
      <c r="AN149" s="714"/>
      <c r="AO149" s="714"/>
      <c r="AP149" s="714"/>
      <c r="AQ149" s="714"/>
      <c r="AR149" s="714"/>
      <c r="AS149" s="714"/>
      <c r="AT149" s="714"/>
      <c r="AU149" s="714"/>
      <c r="AV149" s="714"/>
      <c r="AW149" s="714"/>
      <c r="AX149" s="714"/>
      <c r="AY149" s="714"/>
      <c r="AZ149" s="714"/>
      <c r="BA149" s="714"/>
      <c r="BB149" s="714"/>
      <c r="BC149" s="714"/>
      <c r="BD149" s="714"/>
    </row>
    <row r="150" spans="1:56" ht="15.75">
      <c r="A150" s="725" t="s">
        <v>162</v>
      </c>
      <c r="B150" s="745"/>
      <c r="C150" s="745"/>
      <c r="D150" s="745"/>
      <c r="E150" s="745"/>
      <c r="F150" s="745"/>
      <c r="G150" s="721"/>
      <c r="H150" s="721"/>
      <c r="I150" s="721"/>
      <c r="J150" s="745"/>
      <c r="K150" s="745"/>
      <c r="L150" s="745"/>
      <c r="M150" s="745"/>
      <c r="N150" s="745"/>
      <c r="O150" s="745"/>
      <c r="P150" s="745"/>
      <c r="Q150" s="745"/>
      <c r="R150" s="745"/>
      <c r="S150" s="745"/>
      <c r="T150" s="746"/>
      <c r="U150" s="746"/>
      <c r="V150" s="746"/>
      <c r="W150" s="683"/>
      <c r="X150" s="714"/>
      <c r="Y150" s="714"/>
      <c r="Z150" s="714"/>
      <c r="AA150" s="714"/>
      <c r="AB150" s="714"/>
      <c r="AC150" s="714"/>
      <c r="AD150" s="714"/>
      <c r="AE150" s="714"/>
      <c r="AF150" s="714"/>
      <c r="AG150" s="714"/>
      <c r="AI150" s="674"/>
      <c r="AJ150" s="714"/>
      <c r="AK150" s="714"/>
      <c r="AL150" s="714"/>
      <c r="AM150" s="714"/>
      <c r="AN150" s="714"/>
      <c r="AO150" s="714"/>
      <c r="AP150" s="714"/>
      <c r="AQ150" s="714"/>
      <c r="AR150" s="714"/>
      <c r="AS150" s="714"/>
      <c r="AT150" s="714"/>
      <c r="AU150" s="714"/>
      <c r="AV150" s="714"/>
      <c r="AW150" s="714"/>
      <c r="AX150" s="714"/>
      <c r="AY150" s="714"/>
      <c r="AZ150" s="714"/>
      <c r="BA150" s="714"/>
      <c r="BB150" s="714"/>
      <c r="BC150" s="714"/>
      <c r="BD150" s="714"/>
    </row>
    <row r="151" spans="1:56" ht="15.75">
      <c r="A151" s="727" t="str">
        <f>A3</f>
        <v>December 2021</v>
      </c>
      <c r="B151" s="745"/>
      <c r="C151" s="745"/>
      <c r="D151" s="745"/>
      <c r="E151" s="745"/>
      <c r="F151" s="721"/>
      <c r="G151" s="721"/>
      <c r="H151" s="745"/>
      <c r="I151" s="721"/>
      <c r="J151" s="745"/>
      <c r="K151" s="745"/>
      <c r="L151" s="745"/>
      <c r="M151" s="745"/>
      <c r="N151" s="745"/>
      <c r="O151" s="745"/>
      <c r="P151" s="745"/>
      <c r="Q151" s="745"/>
      <c r="R151" s="745"/>
      <c r="S151" s="745"/>
      <c r="T151" s="746"/>
      <c r="U151" s="746"/>
      <c r="V151" s="746"/>
      <c r="W151" s="683"/>
      <c r="X151" s="714"/>
      <c r="Y151" s="714"/>
      <c r="Z151" s="714"/>
      <c r="AA151" s="714"/>
      <c r="AB151" s="714"/>
      <c r="AC151" s="714"/>
      <c r="AD151" s="714"/>
      <c r="AE151" s="714"/>
      <c r="AF151" s="714"/>
      <c r="AG151" s="714"/>
      <c r="AI151" s="674"/>
      <c r="AJ151" s="714"/>
      <c r="AK151" s="714"/>
      <c r="AL151" s="714"/>
      <c r="AM151" s="714"/>
      <c r="AN151" s="714"/>
      <c r="AO151" s="714"/>
      <c r="AP151" s="714"/>
      <c r="AQ151" s="714"/>
      <c r="AR151" s="714"/>
      <c r="AS151" s="714"/>
      <c r="AT151" s="714"/>
      <c r="AU151" s="714"/>
      <c r="AV151" s="714"/>
      <c r="AW151" s="714"/>
      <c r="AX151" s="714"/>
      <c r="AY151" s="714"/>
      <c r="AZ151" s="714"/>
      <c r="BA151" s="714"/>
      <c r="BB151" s="714"/>
      <c r="BC151" s="714"/>
      <c r="BD151" s="714"/>
    </row>
    <row r="152" spans="1:56" ht="15.75">
      <c r="A152" s="727" t="str">
        <f>A4</f>
        <v>(In $ Thousands)</v>
      </c>
      <c r="B152" s="745"/>
      <c r="C152" s="745"/>
      <c r="D152" s="745"/>
      <c r="E152" s="745"/>
      <c r="F152" s="721"/>
      <c r="G152" s="721"/>
      <c r="H152" s="745"/>
      <c r="I152" s="721"/>
      <c r="J152" s="745"/>
      <c r="K152" s="745"/>
      <c r="L152" s="745"/>
      <c r="M152" s="745"/>
      <c r="N152" s="745"/>
      <c r="O152" s="745"/>
      <c r="P152" s="745"/>
      <c r="Q152" s="745"/>
      <c r="R152" s="745"/>
      <c r="S152" s="745"/>
      <c r="T152" s="746"/>
      <c r="U152" s="746"/>
      <c r="V152" s="746"/>
      <c r="W152" s="683"/>
      <c r="X152" s="714"/>
      <c r="Y152" s="714"/>
      <c r="Z152" s="714"/>
      <c r="AA152" s="714"/>
      <c r="AB152" s="714"/>
      <c r="AC152" s="714"/>
      <c r="AD152" s="714"/>
      <c r="AE152" s="714"/>
      <c r="AF152" s="714"/>
      <c r="AG152" s="714"/>
      <c r="AI152" s="674"/>
      <c r="AJ152" s="714"/>
      <c r="AK152" s="714"/>
      <c r="AL152" s="714"/>
      <c r="AM152" s="714"/>
      <c r="AN152" s="714"/>
      <c r="AO152" s="714"/>
      <c r="AP152" s="714"/>
      <c r="AQ152" s="714"/>
      <c r="AR152" s="714"/>
      <c r="AS152" s="714"/>
      <c r="AT152" s="714"/>
      <c r="AU152" s="714"/>
      <c r="AV152" s="714"/>
      <c r="AW152" s="714"/>
      <c r="AX152" s="714"/>
      <c r="AY152" s="714"/>
      <c r="AZ152" s="714"/>
      <c r="BA152" s="714"/>
      <c r="BB152" s="714"/>
      <c r="BC152" s="714"/>
      <c r="BD152" s="714"/>
    </row>
    <row r="153" spans="1:56">
      <c r="A153" s="674"/>
      <c r="B153" s="714"/>
      <c r="C153" s="714"/>
      <c r="D153" s="714"/>
      <c r="E153" s="714"/>
      <c r="F153" s="714"/>
      <c r="G153" s="714"/>
      <c r="H153" s="714"/>
      <c r="I153" s="714"/>
      <c r="J153" s="714"/>
      <c r="K153" s="714"/>
      <c r="L153" s="714"/>
      <c r="M153" s="714"/>
      <c r="N153" s="714"/>
      <c r="O153" s="714"/>
      <c r="P153" s="714"/>
      <c r="Q153" s="714"/>
      <c r="R153" s="714"/>
      <c r="S153" s="714"/>
      <c r="T153" s="714"/>
      <c r="U153" s="714"/>
      <c r="V153" s="714"/>
      <c r="W153" s="683"/>
      <c r="X153" s="714"/>
      <c r="Y153" s="714"/>
      <c r="Z153" s="714"/>
      <c r="AA153" s="714"/>
      <c r="AB153" s="714"/>
      <c r="AC153" s="714"/>
      <c r="AD153" s="714"/>
      <c r="AE153" s="714"/>
      <c r="AF153" s="714"/>
      <c r="AG153" s="714"/>
      <c r="AI153" s="674"/>
      <c r="AJ153" s="714"/>
      <c r="AK153" s="714"/>
      <c r="AL153" s="714"/>
      <c r="AM153" s="714"/>
      <c r="AN153" s="714"/>
      <c r="AO153" s="714"/>
      <c r="AP153" s="714"/>
      <c r="AQ153" s="714"/>
      <c r="AR153" s="714"/>
      <c r="AS153" s="714"/>
      <c r="AT153" s="714"/>
      <c r="AU153" s="714"/>
      <c r="AV153" s="714"/>
      <c r="AW153" s="714"/>
      <c r="AX153" s="714"/>
      <c r="AY153" s="714"/>
      <c r="AZ153" s="714"/>
      <c r="BA153" s="714"/>
      <c r="BB153" s="714"/>
      <c r="BC153" s="714"/>
      <c r="BD153" s="714"/>
    </row>
    <row r="154" spans="1:56">
      <c r="A154" s="674"/>
      <c r="B154" s="714"/>
      <c r="C154" s="714"/>
      <c r="D154" s="714"/>
      <c r="E154" s="714"/>
      <c r="F154" s="714"/>
      <c r="G154" s="714"/>
      <c r="H154" s="714"/>
      <c r="I154" s="714"/>
      <c r="J154" s="714"/>
      <c r="K154" s="714"/>
      <c r="L154" s="714"/>
      <c r="M154" s="714"/>
      <c r="N154" s="714"/>
      <c r="O154" s="714"/>
      <c r="P154" s="714"/>
      <c r="Q154" s="714"/>
      <c r="R154" s="714"/>
      <c r="S154" s="714"/>
      <c r="T154" s="714"/>
      <c r="U154" s="714"/>
      <c r="V154" s="714"/>
      <c r="W154" s="683"/>
      <c r="X154" s="714"/>
      <c r="Y154" s="714"/>
      <c r="Z154" s="714"/>
      <c r="AA154" s="714"/>
      <c r="AB154" s="714"/>
      <c r="AC154" s="714"/>
      <c r="AD154" s="714"/>
      <c r="AE154" s="714"/>
      <c r="AF154" s="714"/>
      <c r="AG154" s="714"/>
      <c r="AI154" s="674"/>
      <c r="AJ154" s="714"/>
      <c r="AK154" s="714"/>
      <c r="AL154" s="714"/>
      <c r="AM154" s="714"/>
      <c r="AN154" s="714"/>
      <c r="AO154" s="714"/>
      <c r="AP154" s="714"/>
      <c r="AQ154" s="714"/>
      <c r="AR154" s="714"/>
      <c r="AS154" s="714"/>
      <c r="AT154" s="714"/>
      <c r="AU154" s="714"/>
      <c r="AV154" s="714"/>
      <c r="AW154" s="714"/>
      <c r="AX154" s="714"/>
      <c r="AY154" s="714"/>
      <c r="AZ154" s="714"/>
      <c r="BA154" s="714"/>
      <c r="BB154" s="714"/>
      <c r="BC154" s="714"/>
      <c r="BD154" s="714"/>
    </row>
    <row r="155" spans="1:56">
      <c r="A155" s="674"/>
      <c r="B155" s="714"/>
      <c r="C155" s="714"/>
      <c r="D155" s="714"/>
      <c r="E155" s="714"/>
      <c r="F155" s="714"/>
      <c r="G155" s="714"/>
      <c r="H155" s="714"/>
      <c r="I155" s="714"/>
      <c r="J155" s="714"/>
      <c r="K155" s="714"/>
      <c r="L155" s="714"/>
      <c r="M155" s="714"/>
      <c r="N155" s="714"/>
      <c r="O155" s="714"/>
      <c r="P155" s="714"/>
      <c r="Q155" s="714"/>
      <c r="R155" s="714"/>
      <c r="S155" s="714"/>
      <c r="T155" s="714"/>
      <c r="U155" s="714"/>
      <c r="V155" s="714"/>
      <c r="W155" s="683"/>
      <c r="X155" s="714"/>
      <c r="Y155" s="714"/>
      <c r="Z155" s="714"/>
      <c r="AA155" s="714"/>
      <c r="AB155" s="714"/>
      <c r="AC155" s="714"/>
      <c r="AD155" s="714"/>
      <c r="AE155" s="714"/>
      <c r="AF155" s="714"/>
      <c r="AG155" s="714"/>
      <c r="AI155" s="674"/>
      <c r="AJ155" s="714"/>
      <c r="AK155" s="714"/>
      <c r="AL155" s="714"/>
      <c r="AM155" s="714"/>
      <c r="AN155" s="714"/>
      <c r="AO155" s="714"/>
      <c r="AP155" s="714"/>
      <c r="AQ155" s="714"/>
      <c r="AR155" s="714"/>
      <c r="AS155" s="714"/>
      <c r="AT155" s="714"/>
      <c r="AU155" s="714"/>
      <c r="AV155" s="714"/>
      <c r="AW155" s="714"/>
      <c r="AX155" s="714"/>
      <c r="AY155" s="714"/>
      <c r="AZ155" s="714"/>
      <c r="BA155" s="714"/>
      <c r="BB155" s="714"/>
      <c r="BC155" s="714"/>
      <c r="BD155" s="714"/>
    </row>
    <row r="156" spans="1:56">
      <c r="A156" s="748"/>
      <c r="B156" s="749"/>
      <c r="C156" s="749"/>
      <c r="D156" s="749"/>
      <c r="E156" s="749"/>
      <c r="F156" s="749"/>
      <c r="G156" s="749"/>
      <c r="H156" s="749"/>
      <c r="I156" s="749"/>
      <c r="J156" s="749"/>
      <c r="K156" s="749"/>
      <c r="L156" s="750" t="s">
        <v>163</v>
      </c>
      <c r="M156" s="750"/>
      <c r="N156" s="750"/>
      <c r="O156" s="749"/>
      <c r="P156" s="750" t="s">
        <v>164</v>
      </c>
      <c r="Q156" s="750"/>
      <c r="R156" s="750"/>
      <c r="S156" s="749"/>
      <c r="T156" s="750" t="s">
        <v>165</v>
      </c>
      <c r="U156" s="750"/>
      <c r="V156" s="750"/>
      <c r="W156" s="683"/>
      <c r="X156" s="714"/>
      <c r="Y156" s="714"/>
      <c r="Z156" s="714"/>
      <c r="AA156" s="714"/>
      <c r="AB156" s="714"/>
      <c r="AC156" s="714"/>
      <c r="AD156" s="714"/>
      <c r="AE156" s="714"/>
      <c r="AF156" s="714"/>
      <c r="AG156" s="714"/>
      <c r="AI156" s="674"/>
      <c r="AJ156" s="714"/>
      <c r="AK156" s="714"/>
      <c r="AL156" s="714"/>
      <c r="AM156" s="714"/>
      <c r="AN156" s="714"/>
      <c r="AO156" s="714"/>
      <c r="AP156" s="714"/>
      <c r="AQ156" s="714"/>
      <c r="AR156" s="714"/>
      <c r="AS156" s="714"/>
      <c r="AT156" s="714"/>
      <c r="AU156" s="714"/>
      <c r="AV156" s="714"/>
      <c r="AW156" s="714"/>
      <c r="AX156" s="714"/>
      <c r="AY156" s="714"/>
      <c r="AZ156" s="714"/>
      <c r="BA156" s="714"/>
      <c r="BB156" s="714"/>
      <c r="BC156" s="714"/>
      <c r="BD156" s="714"/>
    </row>
    <row r="157" spans="1:56" ht="13.9" customHeight="1">
      <c r="A157" s="748"/>
      <c r="B157" s="749"/>
      <c r="C157" s="749"/>
      <c r="D157" s="749"/>
      <c r="E157" s="749"/>
      <c r="F157" s="749"/>
      <c r="G157" s="749"/>
      <c r="H157" s="749"/>
      <c r="I157" s="749"/>
      <c r="J157" s="749"/>
      <c r="K157" s="749"/>
      <c r="L157" s="751" t="s">
        <v>166</v>
      </c>
      <c r="M157" s="749"/>
      <c r="N157" s="751" t="s">
        <v>167</v>
      </c>
      <c r="O157" s="749"/>
      <c r="P157" s="751" t="s">
        <v>166</v>
      </c>
      <c r="Q157" s="749"/>
      <c r="R157" s="751" t="s">
        <v>167</v>
      </c>
      <c r="S157" s="749"/>
      <c r="T157" s="751" t="s">
        <v>166</v>
      </c>
      <c r="U157" s="749"/>
      <c r="V157" s="751" t="s">
        <v>167</v>
      </c>
      <c r="W157" s="683"/>
      <c r="X157" s="714"/>
      <c r="Y157" s="714"/>
      <c r="Z157" s="714"/>
      <c r="AA157" s="714"/>
      <c r="AB157" s="714"/>
      <c r="AC157" s="714"/>
      <c r="AD157" s="714"/>
      <c r="AE157" s="714"/>
      <c r="AF157" s="714"/>
      <c r="AG157" s="714"/>
      <c r="AI157" s="674"/>
      <c r="AJ157" s="714"/>
      <c r="AK157" s="714"/>
      <c r="AL157" s="714"/>
      <c r="AM157" s="714"/>
      <c r="AN157" s="714"/>
      <c r="AO157" s="714"/>
      <c r="AP157" s="714"/>
      <c r="AQ157" s="714"/>
      <c r="AR157" s="714"/>
      <c r="AS157" s="714"/>
      <c r="AT157" s="714"/>
      <c r="AU157" s="714"/>
      <c r="AV157" s="714"/>
      <c r="AW157" s="714"/>
      <c r="AX157" s="714"/>
      <c r="AY157" s="714"/>
      <c r="AZ157" s="714"/>
      <c r="BA157" s="714"/>
      <c r="BB157" s="714"/>
      <c r="BC157" s="714"/>
      <c r="BD157" s="714"/>
    </row>
    <row r="158" spans="1:56" ht="13.9" customHeight="1">
      <c r="A158" s="748"/>
      <c r="B158" s="749"/>
      <c r="C158" s="749"/>
      <c r="D158" s="750" t="s">
        <v>61</v>
      </c>
      <c r="E158" s="750"/>
      <c r="F158" s="750"/>
      <c r="G158" s="749"/>
      <c r="H158" s="749"/>
      <c r="I158" s="749"/>
      <c r="J158" s="751" t="s">
        <v>168</v>
      </c>
      <c r="K158" s="749"/>
      <c r="L158" s="751" t="s">
        <v>169</v>
      </c>
      <c r="M158" s="749"/>
      <c r="N158" s="751" t="s">
        <v>166</v>
      </c>
      <c r="O158" s="749"/>
      <c r="P158" s="751" t="s">
        <v>169</v>
      </c>
      <c r="Q158" s="749"/>
      <c r="R158" s="751" t="s">
        <v>166</v>
      </c>
      <c r="S158" s="749"/>
      <c r="T158" s="751" t="s">
        <v>169</v>
      </c>
      <c r="U158" s="749"/>
      <c r="V158" s="751" t="s">
        <v>166</v>
      </c>
      <c r="W158" s="683"/>
      <c r="X158" s="714"/>
      <c r="Y158" s="714"/>
      <c r="Z158" s="714"/>
      <c r="AA158" s="714"/>
      <c r="AB158" s="714"/>
      <c r="AC158" s="714"/>
      <c r="AD158" s="714"/>
      <c r="AE158" s="714"/>
      <c r="AF158" s="714"/>
      <c r="AG158" s="714"/>
      <c r="AI158" s="674"/>
      <c r="AJ158" s="714"/>
      <c r="AK158" s="714"/>
      <c r="AL158" s="714"/>
      <c r="AM158" s="714"/>
      <c r="AN158" s="714"/>
      <c r="AO158" s="714"/>
      <c r="AP158" s="714"/>
      <c r="AQ158" s="714"/>
      <c r="AR158" s="714"/>
      <c r="AS158" s="714"/>
      <c r="AT158" s="714"/>
      <c r="AU158" s="714"/>
      <c r="AV158" s="714"/>
      <c r="AW158" s="714"/>
      <c r="AX158" s="714"/>
      <c r="AY158" s="714"/>
      <c r="AZ158" s="714"/>
      <c r="BA158" s="714"/>
      <c r="BB158" s="714"/>
      <c r="BC158" s="714"/>
      <c r="BD158" s="714"/>
    </row>
    <row r="159" spans="1:56" ht="13.9" customHeight="1">
      <c r="A159" s="752" t="s">
        <v>3</v>
      </c>
      <c r="B159" s="753" t="s">
        <v>101</v>
      </c>
      <c r="C159" s="749"/>
      <c r="D159" s="753" t="s">
        <v>170</v>
      </c>
      <c r="E159" s="749"/>
      <c r="F159" s="753" t="s">
        <v>171</v>
      </c>
      <c r="G159" s="749"/>
      <c r="H159" s="753" t="s">
        <v>172</v>
      </c>
      <c r="I159" s="749"/>
      <c r="J159" s="753" t="s">
        <v>173</v>
      </c>
      <c r="K159" s="749"/>
      <c r="L159" s="753" t="s">
        <v>173</v>
      </c>
      <c r="M159" s="749"/>
      <c r="N159" s="753" t="s">
        <v>173</v>
      </c>
      <c r="O159" s="749"/>
      <c r="P159" s="753" t="s">
        <v>173</v>
      </c>
      <c r="Q159" s="749"/>
      <c r="R159" s="753" t="s">
        <v>173</v>
      </c>
      <c r="S159" s="749"/>
      <c r="T159" s="753" t="s">
        <v>173</v>
      </c>
      <c r="U159" s="749"/>
      <c r="V159" s="753" t="s">
        <v>173</v>
      </c>
      <c r="W159" s="683"/>
      <c r="X159" s="714"/>
      <c r="Y159" s="714"/>
      <c r="Z159" s="714"/>
      <c r="AA159" s="714"/>
      <c r="AB159" s="714"/>
      <c r="AC159" s="714"/>
      <c r="AD159" s="714"/>
      <c r="AE159" s="714"/>
      <c r="AF159" s="714"/>
      <c r="AG159" s="714"/>
      <c r="AI159" s="674"/>
      <c r="AJ159" s="714"/>
      <c r="AK159" s="714"/>
      <c r="AL159" s="714"/>
      <c r="AM159" s="714"/>
      <c r="AN159" s="714"/>
      <c r="AO159" s="714"/>
      <c r="AP159" s="714"/>
      <c r="AQ159" s="714"/>
      <c r="AR159" s="714"/>
      <c r="AS159" s="714"/>
      <c r="AT159" s="714"/>
      <c r="AU159" s="714"/>
      <c r="AV159" s="714"/>
      <c r="AW159" s="714"/>
      <c r="AX159" s="714"/>
      <c r="AY159" s="714"/>
      <c r="AZ159" s="714"/>
      <c r="BA159" s="714"/>
      <c r="BB159" s="714"/>
      <c r="BC159" s="714"/>
      <c r="BD159" s="714"/>
    </row>
    <row r="160" spans="1:56" ht="13.9" customHeight="1">
      <c r="A160" s="748" t="s">
        <v>174</v>
      </c>
      <c r="B160" s="1198">
        <f>Reconcil!C120+Reconcil!C121</f>
        <v>483360.36676769238</v>
      </c>
      <c r="C160" s="1198"/>
      <c r="D160" s="1198">
        <f>+Reconcil!D43</f>
        <v>-4165.5143329702842</v>
      </c>
      <c r="E160" s="1198"/>
      <c r="F160" s="1198">
        <f>ROUND(Reconcil!$K$43*'Cap Str 54.7%'!C24,9)+ROUND(Reconcil!$J$43*'Cap Str 54.7%'!C35,9)</f>
        <v>-31648.463356890999</v>
      </c>
      <c r="G160" s="754"/>
      <c r="H160" s="1078">
        <f>B160+D160+F160+('Cap Str 54.7%'!B17*'Cap Str 54.7%'!B8)</f>
        <v>446206.09622370056</v>
      </c>
      <c r="I160" s="749"/>
      <c r="J160" s="1189">
        <f>ROUND(H160/$H$171,4)</f>
        <v>0.29980000000000001</v>
      </c>
      <c r="K160" s="749"/>
      <c r="L160" s="756">
        <f>'Int Synch'!D17*100</f>
        <v>4.07</v>
      </c>
      <c r="M160" s="749"/>
      <c r="N160" s="756">
        <f>ROUND(L160*J160,2)</f>
        <v>1.22</v>
      </c>
      <c r="O160" s="749"/>
      <c r="P160" s="756">
        <f>L160</f>
        <v>4.07</v>
      </c>
      <c r="Q160" s="749"/>
      <c r="R160" s="756">
        <f>ROUND(P160*J160,2)</f>
        <v>1.22</v>
      </c>
      <c r="S160" s="749"/>
      <c r="T160" s="756">
        <f>L160</f>
        <v>4.07</v>
      </c>
      <c r="U160" s="749"/>
      <c r="V160" s="756">
        <f>ROUND(T160*J160,2)</f>
        <v>1.22</v>
      </c>
      <c r="W160" s="683"/>
      <c r="X160" s="714"/>
      <c r="Y160" s="714"/>
      <c r="Z160" s="714"/>
      <c r="AA160" s="714"/>
      <c r="AB160" s="714"/>
      <c r="AC160" s="714"/>
      <c r="AD160" s="714"/>
      <c r="AE160" s="714"/>
      <c r="AF160" s="714"/>
      <c r="AG160" s="714"/>
      <c r="AI160" s="674"/>
      <c r="AJ160" s="714"/>
      <c r="AK160" s="714"/>
      <c r="AL160" s="714"/>
      <c r="AM160" s="714"/>
      <c r="AN160" s="714"/>
      <c r="AO160" s="714"/>
      <c r="AP160" s="714"/>
      <c r="AQ160" s="714"/>
      <c r="AR160" s="714"/>
      <c r="AS160" s="714"/>
      <c r="AT160" s="714"/>
      <c r="AU160" s="714"/>
      <c r="AV160" s="714"/>
      <c r="AW160" s="714"/>
      <c r="AX160" s="714"/>
      <c r="AY160" s="714"/>
      <c r="AZ160" s="714"/>
      <c r="BA160" s="714"/>
      <c r="BB160" s="714"/>
      <c r="BC160" s="714"/>
      <c r="BD160" s="714"/>
    </row>
    <row r="161" spans="1:56" ht="6" customHeight="1">
      <c r="A161" s="748"/>
      <c r="B161" s="1198"/>
      <c r="C161" s="1198"/>
      <c r="D161" s="1198"/>
      <c r="E161" s="1198"/>
      <c r="F161" s="1198"/>
      <c r="G161" s="754"/>
      <c r="H161" s="754"/>
      <c r="I161" s="749"/>
      <c r="J161" s="1190"/>
      <c r="K161" s="749"/>
      <c r="L161" s="749"/>
      <c r="M161" s="749"/>
      <c r="N161" s="749"/>
      <c r="O161" s="749"/>
      <c r="P161" s="756"/>
      <c r="Q161" s="749"/>
      <c r="R161" s="756"/>
      <c r="S161" s="749"/>
      <c r="T161" s="756"/>
      <c r="U161" s="749"/>
      <c r="V161" s="756"/>
      <c r="W161" s="683"/>
      <c r="X161" s="714"/>
      <c r="Y161" s="714"/>
      <c r="Z161" s="714"/>
      <c r="AA161" s="714"/>
      <c r="AB161" s="714"/>
      <c r="AC161" s="714"/>
      <c r="AD161" s="714"/>
      <c r="AE161" s="714"/>
      <c r="AF161" s="714"/>
      <c r="AG161" s="714"/>
      <c r="AI161" s="674"/>
      <c r="AJ161" s="714"/>
      <c r="AK161" s="714"/>
      <c r="AL161" s="714"/>
      <c r="AM161" s="714"/>
      <c r="AN161" s="714"/>
      <c r="AO161" s="714"/>
      <c r="AP161" s="714"/>
      <c r="AQ161" s="714"/>
      <c r="AR161" s="714"/>
      <c r="AS161" s="714"/>
      <c r="AT161" s="714"/>
      <c r="AU161" s="714"/>
      <c r="AV161" s="714"/>
      <c r="AW161" s="714"/>
      <c r="AX161" s="714"/>
      <c r="AY161" s="714"/>
      <c r="AZ161" s="714"/>
      <c r="BA161" s="714"/>
      <c r="BB161" s="714"/>
      <c r="BC161" s="714"/>
      <c r="BD161" s="714"/>
    </row>
    <row r="162" spans="1:56" ht="13.9" customHeight="1">
      <c r="A162" s="748" t="s">
        <v>175</v>
      </c>
      <c r="B162" s="1198">
        <f>Reconcil!C127</f>
        <v>129944.52604307693</v>
      </c>
      <c r="C162" s="1198"/>
      <c r="D162" s="1198">
        <f>Reconcil!E43</f>
        <v>-2692.484692307693</v>
      </c>
      <c r="E162" s="1198"/>
      <c r="F162" s="1198">
        <f>ROUND(Reconcil!$K$43*'Cap Str 54.7%'!C25,9)+ROUND(Reconcil!$J$43*'Cap Str 54.7%'!C36,9)</f>
        <v>-8404.3715146710001</v>
      </c>
      <c r="G162" s="754"/>
      <c r="H162" s="1078">
        <f>B162+D162+F162+('Cap Str 54.7%'!B17*'Cap Str 54.7%'!B9)</f>
        <v>118491.7498990843</v>
      </c>
      <c r="I162" s="749"/>
      <c r="J162" s="930">
        <f>ROUND(H162/$H$171,4)+0.0001</f>
        <v>7.9700000000000007E-2</v>
      </c>
      <c r="K162" s="749"/>
      <c r="L162" s="756">
        <f>'Int Synch'!D19*100</f>
        <v>0.62050050668665235</v>
      </c>
      <c r="M162" s="749"/>
      <c r="N162" s="756">
        <f>ROUND(L162*J162,2)</f>
        <v>0.05</v>
      </c>
      <c r="O162" s="749"/>
      <c r="P162" s="756">
        <f>L162</f>
        <v>0.62050050668665235</v>
      </c>
      <c r="Q162" s="749"/>
      <c r="R162" s="756">
        <f>ROUND(P162*J162,2)</f>
        <v>0.05</v>
      </c>
      <c r="S162" s="749"/>
      <c r="T162" s="756">
        <f>L162</f>
        <v>0.62050050668665235</v>
      </c>
      <c r="U162" s="749"/>
      <c r="V162" s="756">
        <f>ROUND(T162*J162,2)</f>
        <v>0.05</v>
      </c>
      <c r="W162" s="683"/>
      <c r="X162" s="714"/>
      <c r="Y162" s="714"/>
      <c r="Z162" s="714"/>
      <c r="AA162" s="714"/>
      <c r="AB162" s="714"/>
      <c r="AC162" s="714"/>
      <c r="AD162" s="714"/>
      <c r="AE162" s="714"/>
      <c r="AF162" s="714"/>
      <c r="AG162" s="714"/>
      <c r="AI162" s="674"/>
      <c r="AJ162" s="714"/>
      <c r="AK162" s="714"/>
      <c r="AL162" s="714"/>
      <c r="AM162" s="714"/>
      <c r="AN162" s="714"/>
      <c r="AO162" s="714"/>
      <c r="AP162" s="714"/>
      <c r="AQ162" s="714"/>
      <c r="AR162" s="714"/>
      <c r="AS162" s="714"/>
      <c r="AT162" s="714"/>
      <c r="AU162" s="714"/>
      <c r="AV162" s="714"/>
      <c r="AW162" s="714"/>
      <c r="AX162" s="714"/>
      <c r="AY162" s="714"/>
      <c r="AZ162" s="714"/>
      <c r="BA162" s="714"/>
      <c r="BB162" s="714"/>
      <c r="BC162" s="714"/>
      <c r="BD162" s="714"/>
    </row>
    <row r="163" spans="1:56" ht="6" customHeight="1">
      <c r="A163" s="748"/>
      <c r="B163" s="1198"/>
      <c r="C163" s="1198"/>
      <c r="D163" s="1198"/>
      <c r="E163" s="1198"/>
      <c r="F163" s="1198"/>
      <c r="G163" s="754"/>
      <c r="H163" s="754"/>
      <c r="I163" s="749"/>
      <c r="J163" s="1190"/>
      <c r="K163" s="749"/>
      <c r="L163" s="756"/>
      <c r="M163" s="749"/>
      <c r="N163" s="756"/>
      <c r="O163" s="749"/>
      <c r="P163" s="756"/>
      <c r="Q163" s="749"/>
      <c r="R163" s="756"/>
      <c r="S163" s="749"/>
      <c r="T163" s="756"/>
      <c r="U163" s="749"/>
      <c r="V163" s="756"/>
      <c r="W163" s="683"/>
      <c r="X163" s="714"/>
      <c r="Y163" s="714"/>
      <c r="Z163" s="714"/>
      <c r="AA163" s="714"/>
      <c r="AB163" s="714"/>
      <c r="AC163" s="714"/>
      <c r="AD163" s="714"/>
      <c r="AE163" s="714"/>
      <c r="AF163" s="714"/>
      <c r="AG163" s="714"/>
      <c r="AI163" s="674"/>
      <c r="AJ163" s="714"/>
      <c r="AK163" s="714"/>
      <c r="AL163" s="714"/>
      <c r="AM163" s="714"/>
      <c r="AN163" s="714"/>
      <c r="AO163" s="714"/>
      <c r="AP163" s="714"/>
      <c r="AQ163" s="714"/>
      <c r="AR163" s="714"/>
      <c r="AS163" s="714"/>
      <c r="AT163" s="714"/>
      <c r="AU163" s="714"/>
      <c r="AV163" s="714"/>
      <c r="AW163" s="714"/>
      <c r="AX163" s="714"/>
      <c r="AY163" s="714"/>
      <c r="AZ163" s="714"/>
      <c r="BA163" s="714"/>
      <c r="BB163" s="714"/>
      <c r="BC163" s="714"/>
      <c r="BD163" s="714"/>
    </row>
    <row r="164" spans="1:56" ht="13.9" customHeight="1">
      <c r="A164" s="157" t="s">
        <v>17</v>
      </c>
      <c r="B164" s="1198">
        <f>Reconcil!C131+Reconcil!C150+Reconcil!C137</f>
        <v>26291.87558</v>
      </c>
      <c r="C164" s="1198"/>
      <c r="D164" s="1198"/>
      <c r="E164" s="1198"/>
      <c r="F164" s="1198">
        <f>ROUND(Reconcil!$J$43*'Cap Str 54.7%'!C37,9)</f>
        <v>-1459.464869598</v>
      </c>
      <c r="G164" s="754"/>
      <c r="H164" s="754">
        <f>B164+D164+F164</f>
        <v>24832.410710402</v>
      </c>
      <c r="I164" s="749"/>
      <c r="J164" s="1189">
        <f>ROUND(H164/$H$171,4)</f>
        <v>1.67E-2</v>
      </c>
      <c r="K164" s="749"/>
      <c r="L164" s="756">
        <f>'Int Synch'!D21*100</f>
        <v>2.4899999999999998</v>
      </c>
      <c r="M164" s="749"/>
      <c r="N164" s="756">
        <f>ROUND(L164*J164,2)</f>
        <v>0.04</v>
      </c>
      <c r="O164" s="749"/>
      <c r="P164" s="756">
        <f>L164</f>
        <v>2.4899999999999998</v>
      </c>
      <c r="Q164" s="749"/>
      <c r="R164" s="756">
        <f>ROUND(P164*J164,2)</f>
        <v>0.04</v>
      </c>
      <c r="S164" s="749"/>
      <c r="T164" s="756">
        <f>L164</f>
        <v>2.4899999999999998</v>
      </c>
      <c r="U164" s="749"/>
      <c r="V164" s="756">
        <f>ROUND(T164*J164,2)</f>
        <v>0.04</v>
      </c>
      <c r="W164" s="683"/>
      <c r="X164" s="714"/>
      <c r="Y164" s="714"/>
      <c r="Z164" s="714"/>
      <c r="AA164" s="714"/>
      <c r="AB164" s="714"/>
      <c r="AC164" s="714"/>
      <c r="AD164" s="714"/>
      <c r="AE164" s="714"/>
      <c r="AF164" s="714"/>
      <c r="AG164" s="714"/>
      <c r="AI164" s="674"/>
      <c r="AJ164" s="714"/>
      <c r="AK164" s="714"/>
      <c r="AL164" s="714"/>
      <c r="AM164" s="714"/>
      <c r="AN164" s="714"/>
      <c r="AO164" s="714"/>
      <c r="AP164" s="714"/>
      <c r="AQ164" s="714"/>
      <c r="AR164" s="714"/>
      <c r="AS164" s="714"/>
      <c r="AT164" s="714"/>
      <c r="AU164" s="714"/>
      <c r="AV164" s="714"/>
      <c r="AW164" s="714"/>
      <c r="AX164" s="714"/>
      <c r="AY164" s="714"/>
      <c r="AZ164" s="714"/>
      <c r="BA164" s="714"/>
      <c r="BB164" s="714"/>
      <c r="BC164" s="714"/>
      <c r="BD164" s="714"/>
    </row>
    <row r="165" spans="1:56" ht="6" customHeight="1">
      <c r="A165" s="748"/>
      <c r="B165" s="1198"/>
      <c r="C165" s="1198"/>
      <c r="D165" s="1198"/>
      <c r="E165" s="1198"/>
      <c r="F165" s="1198"/>
      <c r="G165" s="754"/>
      <c r="H165" s="754"/>
      <c r="I165" s="749"/>
      <c r="J165" s="1190"/>
      <c r="K165" s="749"/>
      <c r="L165" s="756"/>
      <c r="M165" s="749"/>
      <c r="N165" s="756"/>
      <c r="O165" s="749"/>
      <c r="P165" s="756"/>
      <c r="Q165" s="749"/>
      <c r="R165" s="756"/>
      <c r="S165" s="749"/>
      <c r="T165" s="756"/>
      <c r="U165" s="749"/>
      <c r="V165" s="756"/>
      <c r="W165" s="683"/>
      <c r="X165" s="714"/>
      <c r="Y165" s="714"/>
      <c r="Z165" s="714"/>
      <c r="AA165" s="714"/>
      <c r="AB165" s="714"/>
      <c r="AC165" s="714"/>
      <c r="AD165" s="714"/>
      <c r="AE165" s="714"/>
      <c r="AF165" s="714"/>
      <c r="AG165" s="714"/>
      <c r="AI165" s="674"/>
      <c r="AJ165" s="714"/>
      <c r="AK165" s="714"/>
      <c r="AL165" s="714"/>
      <c r="AM165" s="714"/>
      <c r="AN165" s="714"/>
      <c r="AO165" s="714"/>
      <c r="AP165" s="714"/>
      <c r="AQ165" s="714"/>
      <c r="AR165" s="714"/>
      <c r="AS165" s="714"/>
      <c r="AT165" s="714"/>
      <c r="AU165" s="714"/>
      <c r="AV165" s="714"/>
      <c r="AW165" s="714"/>
      <c r="AX165" s="714"/>
      <c r="AY165" s="714"/>
      <c r="AZ165" s="714"/>
      <c r="BA165" s="714"/>
      <c r="BB165" s="714"/>
      <c r="BC165" s="714"/>
      <c r="BD165" s="714"/>
    </row>
    <row r="166" spans="1:56" ht="13.9" customHeight="1">
      <c r="A166" s="748" t="s">
        <v>176</v>
      </c>
      <c r="B166" s="1198">
        <f>Reconcil!C117</f>
        <v>729635.69981307676</v>
      </c>
      <c r="C166" s="1198"/>
      <c r="D166" s="1198">
        <f>Reconcil!G43</f>
        <v>-1356.9148539828523</v>
      </c>
      <c r="E166" s="1198"/>
      <c r="F166" s="1198">
        <f>ROUND(Reconcil!$K$43*'Cap Str 54.7%'!C27,9)+ROUND(Reconcil!$J$43*'Cap Str 54.7%'!C38,9)</f>
        <v>-48099.232122945999</v>
      </c>
      <c r="G166" s="754"/>
      <c r="H166" s="1078">
        <f>B166+D166+F166-'Cap Str 54.7%'!B17</f>
        <v>681875.76562729245</v>
      </c>
      <c r="I166" s="749"/>
      <c r="J166" s="1189">
        <f>ROUND(H166/$H$171,4)</f>
        <v>0.4582</v>
      </c>
      <c r="K166" s="749"/>
      <c r="L166" s="1187">
        <f>+P166-1</f>
        <v>8.9</v>
      </c>
      <c r="M166" s="749"/>
      <c r="N166" s="756">
        <f>ROUND(L166*J166,2)</f>
        <v>4.08</v>
      </c>
      <c r="O166" s="749"/>
      <c r="P166" s="759">
        <v>9.9</v>
      </c>
      <c r="Q166" s="749"/>
      <c r="R166" s="756">
        <f>ROUND(P166*J166,2)</f>
        <v>4.54</v>
      </c>
      <c r="S166" s="749"/>
      <c r="T166" s="1187">
        <f>+P166+1.1</f>
        <v>11</v>
      </c>
      <c r="U166" s="749"/>
      <c r="V166" s="756">
        <f>ROUND(T166*J166,2)</f>
        <v>5.04</v>
      </c>
      <c r="W166" s="683"/>
      <c r="X166" s="714"/>
      <c r="Y166" s="714"/>
      <c r="Z166" s="714"/>
      <c r="AA166" s="714"/>
      <c r="AB166" s="714"/>
      <c r="AC166" s="714"/>
      <c r="AD166" s="714"/>
      <c r="AE166" s="714"/>
      <c r="AF166" s="714"/>
      <c r="AG166" s="714"/>
      <c r="AI166" s="674"/>
      <c r="AJ166" s="714"/>
      <c r="AK166" s="714"/>
      <c r="AL166" s="714"/>
      <c r="AM166" s="714"/>
      <c r="AN166" s="714"/>
      <c r="AO166" s="714"/>
      <c r="AP166" s="714"/>
      <c r="AQ166" s="714"/>
      <c r="AR166" s="714"/>
      <c r="AS166" s="714"/>
      <c r="AT166" s="714"/>
      <c r="AU166" s="714"/>
      <c r="AV166" s="714"/>
      <c r="AW166" s="714"/>
      <c r="AX166" s="714"/>
      <c r="AY166" s="714"/>
      <c r="AZ166" s="714"/>
      <c r="BA166" s="714"/>
      <c r="BB166" s="714"/>
      <c r="BC166" s="714"/>
      <c r="BD166" s="714"/>
    </row>
    <row r="167" spans="1:56" ht="6" customHeight="1">
      <c r="A167" s="748"/>
      <c r="B167" s="1198"/>
      <c r="C167" s="1198"/>
      <c r="D167" s="1198"/>
      <c r="E167" s="1198"/>
      <c r="F167" s="1198"/>
      <c r="G167" s="754"/>
      <c r="H167" s="754"/>
      <c r="I167" s="749"/>
      <c r="J167" s="1190"/>
      <c r="K167" s="749"/>
      <c r="L167" s="756"/>
      <c r="M167" s="749"/>
      <c r="N167" s="756"/>
      <c r="O167" s="749"/>
      <c r="P167" s="756"/>
      <c r="Q167" s="749"/>
      <c r="R167" s="756"/>
      <c r="S167" s="749"/>
      <c r="T167" s="756"/>
      <c r="U167" s="749"/>
      <c r="V167" s="756"/>
      <c r="W167" s="683"/>
      <c r="X167" s="714"/>
      <c r="Y167" s="714"/>
      <c r="Z167" s="714"/>
      <c r="AA167" s="714"/>
      <c r="AB167" s="714"/>
      <c r="AC167" s="714"/>
      <c r="AD167" s="714"/>
      <c r="AE167" s="714"/>
      <c r="AF167" s="714"/>
      <c r="AG167" s="714"/>
      <c r="AI167" s="674"/>
      <c r="AJ167" s="714"/>
      <c r="AK167" s="714"/>
      <c r="AL167" s="714"/>
      <c r="AM167" s="714"/>
      <c r="AN167" s="714"/>
      <c r="AO167" s="714"/>
      <c r="AP167" s="714"/>
      <c r="AQ167" s="714"/>
      <c r="AR167" s="714"/>
      <c r="AS167" s="714"/>
      <c r="AT167" s="714"/>
      <c r="AU167" s="714"/>
      <c r="AV167" s="714"/>
      <c r="AW167" s="714"/>
      <c r="AX167" s="714"/>
      <c r="AY167" s="714"/>
      <c r="AZ167" s="714"/>
      <c r="BA167" s="714"/>
      <c r="BB167" s="714"/>
      <c r="BC167" s="714"/>
      <c r="BD167" s="714"/>
    </row>
    <row r="168" spans="1:56" ht="13.9" customHeight="1">
      <c r="A168" s="748" t="s">
        <v>177</v>
      </c>
      <c r="B168" s="1198">
        <f>Reconcil!C146++Reconcil!C147+Reconcil!C148-Reconcil!C93</f>
        <v>234558.34022307702</v>
      </c>
      <c r="C168" s="1198"/>
      <c r="D168" s="1198">
        <f>Reconcil!H43</f>
        <v>-5097.1036001464363</v>
      </c>
      <c r="E168" s="1198"/>
      <c r="F168" s="1198">
        <f>ROUND(Reconcil!$J$43*'Cap Str 54.7%'!C39,9)</f>
        <v>-12737.418171886</v>
      </c>
      <c r="G168" s="754"/>
      <c r="H168" s="754">
        <f>B168+D168+F168</f>
        <v>216723.81845104459</v>
      </c>
      <c r="I168" s="749"/>
      <c r="J168" s="1189">
        <f>ROUND(H168/$H$171,4)</f>
        <v>0.14560000000000001</v>
      </c>
      <c r="K168" s="749"/>
      <c r="L168" s="756"/>
      <c r="M168" s="749"/>
      <c r="N168" s="756"/>
      <c r="O168" s="749"/>
      <c r="P168" s="756"/>
      <c r="Q168" s="749"/>
      <c r="R168" s="756"/>
      <c r="S168" s="749"/>
      <c r="T168" s="756"/>
      <c r="U168" s="749"/>
      <c r="V168" s="756"/>
      <c r="W168" s="683"/>
      <c r="X168" s="714"/>
      <c r="Y168" s="714"/>
      <c r="Z168" s="714"/>
      <c r="AA168" s="714"/>
      <c r="AB168" s="714"/>
      <c r="AC168" s="714"/>
      <c r="AD168" s="714"/>
      <c r="AE168" s="714"/>
      <c r="AF168" s="714"/>
      <c r="AG168" s="714"/>
      <c r="AI168" s="674"/>
      <c r="AJ168" s="714"/>
      <c r="AK168" s="714"/>
      <c r="AL168" s="714"/>
      <c r="AM168" s="714"/>
      <c r="AN168" s="714"/>
      <c r="AO168" s="714"/>
      <c r="AP168" s="714"/>
      <c r="AQ168" s="714"/>
      <c r="AR168" s="714"/>
      <c r="AS168" s="714"/>
      <c r="AT168" s="714"/>
      <c r="AU168" s="714"/>
      <c r="AV168" s="714"/>
      <c r="AW168" s="714"/>
      <c r="AX168" s="714"/>
      <c r="AY168" s="714"/>
      <c r="AZ168" s="714"/>
      <c r="BA168" s="714"/>
      <c r="BB168" s="714"/>
      <c r="BC168" s="714"/>
      <c r="BD168" s="714"/>
    </row>
    <row r="169" spans="1:56" ht="6" customHeight="1">
      <c r="A169" s="748"/>
      <c r="B169" s="1198"/>
      <c r="C169" s="1198"/>
      <c r="D169" s="1198"/>
      <c r="E169" s="1198"/>
      <c r="F169" s="1198"/>
      <c r="G169" s="754"/>
      <c r="H169" s="754"/>
      <c r="I169" s="749"/>
      <c r="J169" s="1190"/>
      <c r="K169" s="749"/>
      <c r="L169" s="756"/>
      <c r="M169" s="749"/>
      <c r="N169" s="756"/>
      <c r="O169" s="749"/>
      <c r="P169" s="756"/>
      <c r="Q169" s="749"/>
      <c r="R169" s="756"/>
      <c r="S169" s="749"/>
      <c r="T169" s="756"/>
      <c r="U169" s="749"/>
      <c r="V169" s="756"/>
      <c r="W169" s="683"/>
      <c r="X169" s="714"/>
      <c r="Y169" s="714"/>
      <c r="Z169" s="714"/>
      <c r="AA169" s="714"/>
      <c r="AB169" s="714"/>
      <c r="AC169" s="714"/>
      <c r="AD169" s="714"/>
      <c r="AE169" s="714"/>
      <c r="AF169" s="714"/>
      <c r="AG169" s="714"/>
      <c r="AI169" s="674"/>
      <c r="AJ169" s="714"/>
      <c r="AK169" s="714"/>
      <c r="AL169" s="714"/>
      <c r="AM169" s="714"/>
      <c r="AN169" s="714"/>
      <c r="AO169" s="714"/>
      <c r="AP169" s="714"/>
      <c r="AQ169" s="714"/>
      <c r="AR169" s="714"/>
      <c r="AS169" s="714"/>
      <c r="AT169" s="714"/>
      <c r="AU169" s="714"/>
      <c r="AV169" s="714"/>
      <c r="AW169" s="714"/>
      <c r="AX169" s="714"/>
      <c r="AY169" s="714"/>
      <c r="AZ169" s="714"/>
      <c r="BA169" s="714"/>
      <c r="BB169" s="714"/>
      <c r="BC169" s="714"/>
      <c r="BD169" s="714"/>
    </row>
    <row r="170" spans="1:56" ht="13.9" customHeight="1">
      <c r="A170" s="748" t="s">
        <v>178</v>
      </c>
      <c r="B170" s="761">
        <v>0</v>
      </c>
      <c r="C170" s="754"/>
      <c r="D170" s="761">
        <v>0</v>
      </c>
      <c r="E170" s="754"/>
      <c r="F170" s="1216">
        <f>ROUND(Reconcil!$K$43*'Cap Str 54.7%'!C29,9)+ROUND(Reconcil!$J$43*'Cap Str 54.7%'!C40,9)</f>
        <v>0</v>
      </c>
      <c r="G170" s="754"/>
      <c r="H170" s="761">
        <f>B170+D170+F170</f>
        <v>0</v>
      </c>
      <c r="I170" s="749"/>
      <c r="J170" s="1191">
        <f>ROUND(H170/$H$171,4)</f>
        <v>0</v>
      </c>
      <c r="K170" s="749"/>
      <c r="L170" s="756"/>
      <c r="M170" s="749"/>
      <c r="N170" s="763"/>
      <c r="O170" s="749"/>
      <c r="P170" s="756"/>
      <c r="Q170" s="749"/>
      <c r="R170" s="763"/>
      <c r="S170" s="749"/>
      <c r="T170" s="756"/>
      <c r="U170" s="749"/>
      <c r="V170" s="763"/>
      <c r="W170" s="683"/>
      <c r="X170" s="714"/>
      <c r="Y170" s="714"/>
      <c r="Z170" s="714"/>
      <c r="AA170" s="714"/>
      <c r="AB170" s="714"/>
      <c r="AC170" s="714"/>
      <c r="AD170" s="714"/>
      <c r="AE170" s="714"/>
      <c r="AF170" s="714"/>
      <c r="AG170" s="714"/>
      <c r="AI170" s="674"/>
      <c r="AJ170" s="714"/>
      <c r="AK170" s="714"/>
      <c r="AL170" s="714"/>
      <c r="AM170" s="714"/>
      <c r="AN170" s="714"/>
      <c r="AO170" s="714"/>
      <c r="AP170" s="714"/>
      <c r="AQ170" s="714"/>
      <c r="AR170" s="714"/>
      <c r="AS170" s="714"/>
      <c r="AT170" s="714"/>
      <c r="AU170" s="714"/>
      <c r="AV170" s="714"/>
      <c r="AW170" s="714"/>
      <c r="AX170" s="714"/>
      <c r="AY170" s="714"/>
      <c r="AZ170" s="714"/>
      <c r="BA170" s="714"/>
      <c r="BB170" s="714"/>
      <c r="BC170" s="714"/>
      <c r="BD170" s="714"/>
    </row>
    <row r="171" spans="1:56" ht="15.95" customHeight="1" thickBot="1">
      <c r="A171" s="748" t="s">
        <v>1</v>
      </c>
      <c r="B171" s="764">
        <f>SUM(B160:B170)</f>
        <v>1603790.8084269229</v>
      </c>
      <c r="C171" s="749"/>
      <c r="D171" s="764">
        <f>SUM(D160:D170)</f>
        <v>-13312.017479407266</v>
      </c>
      <c r="E171" s="749"/>
      <c r="F171" s="764">
        <f>ROUND((Reconcil!K43+Reconcil!J43),9)</f>
        <v>-102348.950035991</v>
      </c>
      <c r="G171" s="749"/>
      <c r="H171" s="764">
        <f>T92</f>
        <v>1488129.8409115241</v>
      </c>
      <c r="I171" s="749"/>
      <c r="J171" s="1188">
        <f>SUM(J160:J170)</f>
        <v>1</v>
      </c>
      <c r="K171" s="749"/>
      <c r="L171" s="756"/>
      <c r="M171" s="756"/>
      <c r="N171" s="765">
        <f>SUM(N160:N166)</f>
        <v>5.3900000000000006</v>
      </c>
      <c r="O171" s="756"/>
      <c r="P171" s="756"/>
      <c r="Q171" s="756"/>
      <c r="R171" s="765">
        <f>SUM(R160:R166)</f>
        <v>5.85</v>
      </c>
      <c r="S171" s="756"/>
      <c r="T171" s="756"/>
      <c r="U171" s="756"/>
      <c r="V171" s="765">
        <f>SUM(V160:V166)</f>
        <v>6.35</v>
      </c>
      <c r="W171" s="683"/>
      <c r="X171" s="714"/>
      <c r="Y171" s="714"/>
      <c r="Z171" s="714"/>
      <c r="AA171" s="714"/>
      <c r="AB171" s="714"/>
      <c r="AC171" s="714"/>
      <c r="AD171" s="714"/>
      <c r="AE171" s="714"/>
      <c r="AF171" s="714"/>
      <c r="AG171" s="714"/>
      <c r="AI171" s="674"/>
      <c r="AJ171" s="714"/>
      <c r="AK171" s="714"/>
      <c r="AL171" s="714"/>
      <c r="AM171" s="714"/>
      <c r="AN171" s="714"/>
      <c r="AO171" s="714"/>
      <c r="AP171" s="714"/>
      <c r="AQ171" s="714"/>
      <c r="AR171" s="714"/>
      <c r="AS171" s="714"/>
      <c r="AT171" s="714"/>
      <c r="AU171" s="714"/>
      <c r="AV171" s="714"/>
      <c r="AW171" s="714"/>
      <c r="AX171" s="714"/>
      <c r="AY171" s="714"/>
      <c r="AZ171" s="714"/>
      <c r="BA171" s="714"/>
      <c r="BB171" s="714"/>
      <c r="BC171" s="714"/>
      <c r="BD171" s="714"/>
    </row>
    <row r="172" spans="1:56" ht="9" customHeight="1" thickTop="1">
      <c r="A172" s="748"/>
      <c r="B172" s="749"/>
      <c r="C172" s="749"/>
      <c r="D172" s="749"/>
      <c r="E172" s="749"/>
      <c r="F172" s="749"/>
      <c r="G172" s="749"/>
      <c r="H172" s="749"/>
      <c r="I172" s="749"/>
      <c r="J172" s="749"/>
      <c r="K172" s="749"/>
      <c r="L172" s="749"/>
      <c r="M172" s="749"/>
      <c r="N172" s="749"/>
      <c r="O172" s="749"/>
      <c r="P172" s="749"/>
      <c r="Q172" s="749"/>
      <c r="R172" s="749"/>
      <c r="S172" s="749"/>
      <c r="T172" s="749"/>
      <c r="U172" s="749"/>
      <c r="V172" s="749"/>
      <c r="W172" s="683"/>
      <c r="X172" s="714"/>
      <c r="Y172" s="714"/>
      <c r="Z172" s="714"/>
      <c r="AA172" s="714"/>
      <c r="AB172" s="714"/>
      <c r="AC172" s="714"/>
      <c r="AD172" s="714"/>
      <c r="AE172" s="714"/>
      <c r="AF172" s="714"/>
      <c r="AG172" s="714"/>
      <c r="AI172" s="674"/>
      <c r="AJ172" s="714"/>
      <c r="AK172" s="714"/>
      <c r="AL172" s="714"/>
      <c r="AM172" s="714"/>
      <c r="AN172" s="714"/>
      <c r="AO172" s="714"/>
      <c r="AP172" s="714"/>
      <c r="AQ172" s="714"/>
      <c r="AR172" s="714"/>
      <c r="AS172" s="714"/>
      <c r="AT172" s="714"/>
      <c r="AU172" s="714"/>
      <c r="AV172" s="714"/>
      <c r="AW172" s="714"/>
      <c r="AX172" s="714"/>
      <c r="AY172" s="714"/>
      <c r="AZ172" s="714"/>
      <c r="BA172" s="714"/>
      <c r="BB172" s="714"/>
      <c r="BC172" s="714"/>
      <c r="BD172" s="714"/>
    </row>
    <row r="173" spans="1:56">
      <c r="A173" s="748"/>
      <c r="B173" s="1246">
        <f>+B171-T55</f>
        <v>0</v>
      </c>
      <c r="C173" s="1247"/>
      <c r="D173" s="1246">
        <f>+D171-SUM(Reconcil!D43:I43)</f>
        <v>0</v>
      </c>
      <c r="E173" s="1247"/>
      <c r="F173" s="1246">
        <f>+F171-Reconcil!J43-Reconcil!K43</f>
        <v>2.7648638933897018E-10</v>
      </c>
      <c r="G173" s="1247"/>
      <c r="H173" s="1246">
        <f>H171-T92</f>
        <v>0</v>
      </c>
      <c r="I173" s="1247"/>
      <c r="J173" s="1246">
        <f>100%-SUM(J160:J170)</f>
        <v>0</v>
      </c>
      <c r="K173" s="749"/>
      <c r="L173" s="749"/>
      <c r="M173" s="749"/>
      <c r="N173" s="749"/>
      <c r="O173" s="749"/>
      <c r="P173" s="749"/>
      <c r="Q173" s="749"/>
      <c r="R173" s="749"/>
      <c r="S173" s="749"/>
      <c r="T173" s="749"/>
      <c r="U173" s="749"/>
      <c r="V173" s="749"/>
      <c r="W173" s="714"/>
      <c r="X173" s="714"/>
      <c r="Y173" s="714"/>
      <c r="Z173" s="714"/>
      <c r="AA173" s="714"/>
      <c r="AB173" s="714"/>
      <c r="AC173" s="714"/>
      <c r="AD173" s="714"/>
      <c r="AE173" s="714"/>
      <c r="AF173" s="714"/>
      <c r="AG173" s="714"/>
      <c r="AI173" s="674"/>
      <c r="AJ173" s="714"/>
      <c r="AK173" s="714"/>
      <c r="AL173" s="714"/>
      <c r="AM173" s="714"/>
      <c r="AN173" s="714"/>
      <c r="AO173" s="714"/>
      <c r="AP173" s="714"/>
      <c r="AQ173" s="714"/>
      <c r="AR173" s="714"/>
      <c r="AS173" s="714"/>
      <c r="AT173" s="714"/>
      <c r="AU173" s="714"/>
      <c r="AV173" s="714"/>
      <c r="AW173" s="714"/>
      <c r="AX173" s="714"/>
      <c r="AY173" s="714"/>
      <c r="AZ173" s="714"/>
      <c r="BA173" s="714"/>
      <c r="BB173" s="714"/>
      <c r="BC173" s="714"/>
      <c r="BD173" s="714"/>
    </row>
    <row r="174" spans="1:56">
      <c r="A174" s="748"/>
      <c r="B174" s="1247"/>
      <c r="C174" s="1247"/>
      <c r="D174" s="1247"/>
      <c r="E174" s="1247"/>
      <c r="F174" s="1246">
        <f>+F171-SUM(F160:F170)</f>
        <v>1.0040821507573128E-9</v>
      </c>
      <c r="G174" s="1247"/>
      <c r="H174" s="1247"/>
      <c r="I174" s="1247"/>
      <c r="J174" s="1247"/>
      <c r="K174" s="749"/>
      <c r="L174" s="749"/>
      <c r="M174" s="749"/>
      <c r="N174" s="749"/>
      <c r="O174" s="749"/>
      <c r="P174" s="749"/>
      <c r="Q174" s="749"/>
      <c r="R174" s="749"/>
      <c r="S174" s="749"/>
      <c r="T174" s="749"/>
      <c r="U174" s="749"/>
      <c r="V174" s="749"/>
      <c r="W174" s="714"/>
      <c r="X174" s="714"/>
      <c r="Y174" s="714"/>
      <c r="Z174" s="714"/>
      <c r="AA174" s="714"/>
      <c r="AB174" s="714"/>
      <c r="AC174" s="714"/>
      <c r="AD174" s="714"/>
      <c r="AE174" s="714"/>
      <c r="AF174" s="714"/>
      <c r="AG174" s="714"/>
      <c r="AI174" s="674"/>
      <c r="AJ174" s="714"/>
      <c r="AK174" s="714"/>
      <c r="AL174" s="714"/>
      <c r="AM174" s="714"/>
      <c r="AN174" s="714"/>
      <c r="AO174" s="714"/>
      <c r="AP174" s="714"/>
      <c r="AQ174" s="714"/>
      <c r="AR174" s="714"/>
      <c r="AS174" s="714"/>
      <c r="AT174" s="714"/>
      <c r="AU174" s="714"/>
      <c r="AV174" s="714"/>
      <c r="AW174" s="714"/>
      <c r="AX174" s="714"/>
      <c r="AY174" s="714"/>
      <c r="AZ174" s="714"/>
      <c r="BA174" s="714"/>
      <c r="BB174" s="714"/>
      <c r="BC174" s="714"/>
      <c r="BD174" s="714"/>
    </row>
    <row r="175" spans="1:56">
      <c r="A175" s="748"/>
      <c r="B175" s="749"/>
      <c r="C175" s="749"/>
      <c r="D175" s="749"/>
      <c r="E175" s="749"/>
      <c r="F175" s="749"/>
      <c r="G175" s="749"/>
      <c r="H175" s="749"/>
      <c r="I175" s="749"/>
      <c r="J175" s="749"/>
      <c r="K175" s="749"/>
      <c r="L175" s="749"/>
      <c r="M175" s="749"/>
      <c r="N175" s="749"/>
      <c r="O175" s="749"/>
      <c r="P175" s="749"/>
      <c r="Q175" s="749"/>
      <c r="R175" s="749"/>
      <c r="S175" s="749"/>
      <c r="T175" s="749"/>
      <c r="U175" s="749"/>
      <c r="V175" s="749"/>
      <c r="W175" s="714"/>
      <c r="X175" s="714"/>
      <c r="Y175" s="714"/>
      <c r="Z175" s="714"/>
      <c r="AA175" s="714"/>
      <c r="AB175" s="714"/>
      <c r="AC175" s="714"/>
      <c r="AD175" s="714"/>
      <c r="AE175" s="714"/>
      <c r="AF175" s="714"/>
      <c r="AG175" s="714"/>
      <c r="AI175" s="748"/>
      <c r="AJ175" s="749"/>
      <c r="AK175" s="749"/>
      <c r="AL175" s="749"/>
      <c r="AM175" s="749"/>
      <c r="AN175" s="749"/>
      <c r="AO175" s="749"/>
      <c r="AP175" s="749"/>
      <c r="AQ175" s="749"/>
      <c r="AR175" s="749"/>
      <c r="AS175" s="749"/>
      <c r="AT175" s="749"/>
      <c r="AU175" s="749"/>
      <c r="AV175" s="749"/>
      <c r="AW175" s="749"/>
      <c r="AX175" s="749"/>
      <c r="AY175" s="749"/>
      <c r="AZ175" s="749"/>
      <c r="BA175" s="749"/>
      <c r="BB175" s="749"/>
      <c r="BC175" s="749"/>
      <c r="BD175" s="749"/>
    </row>
    <row r="176" spans="1:56" ht="15">
      <c r="A176" s="766" t="s">
        <v>204</v>
      </c>
      <c r="B176" s="767"/>
      <c r="C176" s="673"/>
      <c r="D176" s="706"/>
      <c r="E176" s="767"/>
      <c r="F176" s="767"/>
      <c r="G176" s="767"/>
      <c r="H176" s="767"/>
      <c r="I176" s="768"/>
      <c r="J176" s="706"/>
      <c r="K176" s="767"/>
      <c r="L176" s="769" t="s">
        <v>179</v>
      </c>
      <c r="M176" s="747"/>
      <c r="N176" s="770"/>
      <c r="O176" s="770"/>
      <c r="P176" s="733"/>
      <c r="Q176" s="714"/>
      <c r="R176" s="714"/>
      <c r="S176" s="714"/>
      <c r="T176" s="714"/>
      <c r="U176" s="714"/>
      <c r="V176" s="714"/>
      <c r="W176" s="714"/>
      <c r="X176" s="714"/>
      <c r="Y176" s="714"/>
      <c r="Z176" s="714"/>
      <c r="AA176" s="714"/>
      <c r="AB176" s="714"/>
      <c r="AC176" s="714"/>
      <c r="AD176" s="714"/>
      <c r="AE176" s="714"/>
      <c r="AF176" s="714"/>
      <c r="AG176" s="714"/>
      <c r="AI176" s="748"/>
      <c r="AJ176" s="749"/>
      <c r="AK176" s="749"/>
      <c r="AL176" s="749"/>
      <c r="AM176" s="749"/>
      <c r="AN176" s="749"/>
      <c r="AO176" s="749"/>
      <c r="AP176" s="749"/>
      <c r="AQ176" s="749"/>
      <c r="AR176" s="749"/>
      <c r="AS176" s="749"/>
      <c r="AT176" s="749"/>
      <c r="AU176" s="749"/>
      <c r="AV176" s="749"/>
      <c r="AW176" s="749"/>
      <c r="AX176" s="749"/>
      <c r="AY176" s="749"/>
      <c r="AZ176" s="749"/>
      <c r="BA176" s="749"/>
      <c r="BB176" s="749"/>
      <c r="BC176" s="749"/>
      <c r="BD176" s="749"/>
    </row>
    <row r="177" spans="1:56" ht="15">
      <c r="A177" s="671" t="s">
        <v>180</v>
      </c>
      <c r="B177" s="767"/>
      <c r="C177" s="767"/>
      <c r="D177" s="767"/>
      <c r="E177" s="767"/>
      <c r="F177" s="767"/>
      <c r="G177" s="767"/>
      <c r="H177" s="767"/>
      <c r="I177" s="767"/>
      <c r="J177" s="767"/>
      <c r="K177" s="767"/>
      <c r="L177" s="769"/>
      <c r="M177" s="746"/>
      <c r="N177" s="770"/>
      <c r="O177" s="770"/>
      <c r="P177" s="714"/>
      <c r="Q177" s="714"/>
      <c r="R177" s="733"/>
      <c r="S177" s="714"/>
      <c r="T177" s="714"/>
      <c r="U177" s="714"/>
      <c r="V177" s="714"/>
      <c r="W177" s="714"/>
      <c r="X177" s="714"/>
      <c r="Y177" s="714"/>
      <c r="Z177" s="714"/>
      <c r="AA177" s="714"/>
      <c r="AB177" s="714"/>
      <c r="AC177" s="714"/>
      <c r="AD177" s="714"/>
      <c r="AE177" s="714"/>
      <c r="AF177" s="714"/>
      <c r="AG177" s="714"/>
      <c r="AI177" s="748"/>
      <c r="AJ177" s="749"/>
      <c r="AK177" s="749"/>
      <c r="AL177" s="749"/>
      <c r="AM177" s="749"/>
      <c r="AN177" s="749"/>
      <c r="AO177" s="749"/>
      <c r="AP177" s="749"/>
      <c r="AQ177" s="749"/>
      <c r="AR177" s="749"/>
      <c r="AS177" s="749"/>
      <c r="AT177" s="749"/>
      <c r="AU177" s="749"/>
      <c r="AV177" s="749"/>
      <c r="AW177" s="749"/>
      <c r="AX177" s="749"/>
      <c r="AY177" s="749"/>
      <c r="AZ177" s="749"/>
      <c r="BA177" s="749"/>
      <c r="BB177" s="749"/>
      <c r="BC177" s="749"/>
      <c r="BD177" s="749"/>
    </row>
    <row r="178" spans="1:56" ht="15">
      <c r="A178" s="671" t="s">
        <v>162</v>
      </c>
      <c r="B178" s="767"/>
      <c r="C178" s="767"/>
      <c r="D178" s="767"/>
      <c r="E178" s="767"/>
      <c r="F178" s="767"/>
      <c r="G178" s="767"/>
      <c r="H178" s="767"/>
      <c r="I178" s="767"/>
      <c r="J178" s="767"/>
      <c r="K178" s="767"/>
      <c r="L178" s="769"/>
      <c r="M178" s="746"/>
      <c r="N178" s="770"/>
      <c r="O178" s="770"/>
      <c r="P178" s="733"/>
      <c r="Q178" s="714"/>
      <c r="R178" s="714"/>
      <c r="S178" s="714"/>
      <c r="T178" s="714"/>
      <c r="U178" s="714"/>
      <c r="V178" s="714"/>
      <c r="W178" s="714"/>
      <c r="X178" s="714"/>
      <c r="Y178" s="714"/>
      <c r="Z178" s="714"/>
      <c r="AA178" s="714"/>
      <c r="AB178" s="714"/>
      <c r="AC178" s="714"/>
      <c r="AD178" s="714"/>
      <c r="AE178" s="714"/>
      <c r="AF178" s="714"/>
      <c r="AG178" s="714"/>
      <c r="AI178" s="748"/>
      <c r="AJ178" s="749"/>
      <c r="AK178" s="749"/>
      <c r="AL178" s="749"/>
      <c r="AM178" s="749"/>
      <c r="AN178" s="749"/>
      <c r="AO178" s="749"/>
      <c r="AP178" s="749"/>
      <c r="AQ178" s="749"/>
      <c r="AR178" s="749"/>
      <c r="AS178" s="749"/>
      <c r="AT178" s="749"/>
      <c r="AU178" s="749"/>
      <c r="AV178" s="749"/>
      <c r="AW178" s="749"/>
      <c r="AX178" s="749"/>
      <c r="AY178" s="749"/>
      <c r="AZ178" s="749"/>
      <c r="BA178" s="749"/>
      <c r="BB178" s="749"/>
      <c r="BC178" s="749"/>
      <c r="BD178" s="749"/>
    </row>
    <row r="179" spans="1:56" ht="15">
      <c r="A179" s="707" t="str">
        <f>A3</f>
        <v>December 2021</v>
      </c>
      <c r="B179" s="767"/>
      <c r="C179" s="767"/>
      <c r="D179" s="767"/>
      <c r="E179" s="767"/>
      <c r="F179" s="767"/>
      <c r="G179" s="767"/>
      <c r="H179" s="767"/>
      <c r="I179" s="767"/>
      <c r="J179" s="767"/>
      <c r="K179" s="767"/>
      <c r="L179" s="769"/>
      <c r="M179" s="746"/>
      <c r="N179" s="714"/>
      <c r="O179" s="714"/>
      <c r="P179" s="771"/>
      <c r="Q179" s="714"/>
      <c r="R179" s="771"/>
      <c r="S179" s="714"/>
      <c r="T179" s="771"/>
      <c r="U179" s="714"/>
      <c r="V179" s="771"/>
      <c r="W179" s="714"/>
      <c r="X179" s="714"/>
      <c r="Y179" s="714"/>
      <c r="Z179" s="714"/>
      <c r="AA179" s="714"/>
      <c r="AB179" s="714"/>
      <c r="AC179" s="714"/>
      <c r="AD179" s="714"/>
      <c r="AE179" s="714"/>
      <c r="AF179" s="714"/>
      <c r="AG179" s="714"/>
      <c r="AI179" s="748"/>
      <c r="AJ179" s="749"/>
      <c r="AK179" s="749"/>
      <c r="AL179" s="749"/>
      <c r="AM179" s="749"/>
      <c r="AN179" s="749"/>
      <c r="AO179" s="749"/>
      <c r="AP179" s="749"/>
      <c r="AQ179" s="749"/>
      <c r="AR179" s="749"/>
      <c r="AS179" s="749"/>
      <c r="AT179" s="749"/>
      <c r="AU179" s="749"/>
      <c r="AV179" s="749"/>
      <c r="AW179" s="749"/>
      <c r="AX179" s="749"/>
      <c r="AY179" s="749"/>
      <c r="AZ179" s="749"/>
      <c r="BA179" s="749"/>
      <c r="BB179" s="749"/>
      <c r="BC179" s="749"/>
      <c r="BD179" s="749"/>
    </row>
    <row r="180" spans="1:56" ht="15">
      <c r="A180" s="707" t="str">
        <f>A4</f>
        <v>(In $ Thousands)</v>
      </c>
      <c r="B180" s="767"/>
      <c r="C180" s="767"/>
      <c r="D180" s="767"/>
      <c r="E180" s="767"/>
      <c r="F180" s="767"/>
      <c r="G180" s="767"/>
      <c r="H180" s="767"/>
      <c r="I180" s="767"/>
      <c r="J180" s="767"/>
      <c r="K180" s="767"/>
      <c r="L180" s="769"/>
      <c r="M180" s="746"/>
      <c r="N180" s="714"/>
      <c r="O180" s="714"/>
      <c r="P180" s="771"/>
      <c r="Q180" s="714"/>
      <c r="R180" s="771"/>
      <c r="S180" s="714"/>
      <c r="T180" s="771"/>
      <c r="U180" s="714"/>
      <c r="V180" s="771"/>
      <c r="W180" s="714"/>
      <c r="X180" s="714"/>
      <c r="Y180" s="714"/>
      <c r="Z180" s="714"/>
      <c r="AA180" s="714"/>
      <c r="AB180" s="714"/>
      <c r="AC180" s="714"/>
      <c r="AD180" s="714"/>
      <c r="AE180" s="714"/>
      <c r="AF180" s="714"/>
      <c r="AG180" s="714"/>
      <c r="AI180" s="748"/>
      <c r="AJ180" s="749"/>
      <c r="AK180" s="749"/>
      <c r="AL180" s="749"/>
      <c r="AM180" s="749"/>
      <c r="AN180" s="749"/>
      <c r="AO180" s="749"/>
      <c r="AP180" s="749"/>
      <c r="AQ180" s="749"/>
      <c r="AR180" s="749"/>
      <c r="AS180" s="749"/>
      <c r="AT180" s="749"/>
      <c r="AU180" s="749"/>
      <c r="AV180" s="749"/>
      <c r="AW180" s="749"/>
      <c r="AX180" s="749"/>
      <c r="AY180" s="749"/>
      <c r="AZ180" s="749"/>
      <c r="BA180" s="749"/>
      <c r="BB180" s="749"/>
      <c r="BC180" s="749"/>
      <c r="BD180" s="749"/>
    </row>
    <row r="181" spans="1:56">
      <c r="A181" s="674"/>
      <c r="B181" s="714"/>
      <c r="C181" s="714"/>
      <c r="D181" s="714"/>
      <c r="E181" s="714"/>
      <c r="F181" s="714"/>
      <c r="G181" s="714"/>
      <c r="H181" s="714"/>
      <c r="I181" s="714"/>
      <c r="J181" s="714"/>
      <c r="K181" s="714"/>
      <c r="L181" s="714"/>
      <c r="M181" s="714"/>
      <c r="N181" s="772"/>
      <c r="O181" s="714"/>
      <c r="P181" s="771"/>
      <c r="Q181" s="714"/>
      <c r="R181" s="771"/>
      <c r="S181" s="714"/>
      <c r="T181" s="771"/>
      <c r="U181" s="714"/>
      <c r="V181" s="771"/>
      <c r="W181" s="714"/>
      <c r="X181" s="714"/>
      <c r="Y181" s="714"/>
      <c r="Z181" s="714"/>
      <c r="AA181" s="714"/>
      <c r="AB181" s="714"/>
      <c r="AC181" s="714"/>
      <c r="AD181" s="714"/>
      <c r="AE181" s="714"/>
      <c r="AF181" s="714"/>
      <c r="AG181" s="714"/>
      <c r="AI181" s="748"/>
      <c r="AJ181" s="749"/>
      <c r="AK181" s="749"/>
      <c r="AL181" s="749"/>
      <c r="AM181" s="749"/>
      <c r="AN181" s="749"/>
      <c r="AO181" s="749"/>
      <c r="AP181" s="749"/>
      <c r="AQ181" s="749"/>
      <c r="AR181" s="749"/>
      <c r="AS181" s="749"/>
      <c r="AT181" s="749"/>
      <c r="AU181" s="749"/>
      <c r="AV181" s="749"/>
      <c r="AW181" s="749"/>
      <c r="AX181" s="749"/>
      <c r="AY181" s="749"/>
      <c r="AZ181" s="749"/>
      <c r="BA181" s="749"/>
      <c r="BB181" s="749"/>
      <c r="BC181" s="749"/>
      <c r="BD181" s="749"/>
    </row>
    <row r="182" spans="1:56">
      <c r="A182" s="674"/>
      <c r="B182" s="714"/>
      <c r="C182" s="714"/>
      <c r="D182" s="714"/>
      <c r="E182" s="714"/>
      <c r="F182" s="714"/>
      <c r="G182" s="714"/>
      <c r="H182" s="714"/>
      <c r="I182" s="714"/>
      <c r="J182" s="714"/>
      <c r="K182" s="714"/>
      <c r="L182" s="714"/>
      <c r="M182" s="714"/>
      <c r="N182" s="714"/>
      <c r="O182" s="714"/>
      <c r="P182" s="771"/>
      <c r="Q182" s="714"/>
      <c r="R182" s="771"/>
      <c r="S182" s="714"/>
      <c r="T182" s="771"/>
      <c r="U182" s="714"/>
      <c r="V182" s="771"/>
      <c r="W182" s="714"/>
      <c r="X182" s="714"/>
      <c r="Y182" s="714"/>
      <c r="Z182" s="714"/>
      <c r="AA182" s="714"/>
      <c r="AB182" s="714"/>
      <c r="AC182" s="714"/>
      <c r="AD182" s="714"/>
      <c r="AE182" s="714"/>
      <c r="AF182" s="714"/>
      <c r="AG182" s="714"/>
      <c r="AI182" s="748"/>
      <c r="AJ182" s="749"/>
      <c r="AK182" s="749"/>
      <c r="AL182" s="749"/>
      <c r="AM182" s="749"/>
      <c r="AN182" s="749"/>
      <c r="AO182" s="749"/>
      <c r="AP182" s="749"/>
      <c r="AQ182" s="749"/>
      <c r="AR182" s="749"/>
      <c r="AS182" s="749"/>
      <c r="AT182" s="749"/>
      <c r="AU182" s="749"/>
      <c r="AV182" s="749"/>
      <c r="AW182" s="749"/>
      <c r="AX182" s="749"/>
      <c r="AY182" s="749"/>
      <c r="AZ182" s="749"/>
      <c r="BA182" s="749"/>
      <c r="BB182" s="749"/>
      <c r="BC182" s="749"/>
      <c r="BD182" s="749"/>
    </row>
    <row r="183" spans="1:56">
      <c r="A183" s="674"/>
      <c r="B183" s="714"/>
      <c r="C183" s="714"/>
      <c r="D183" s="714"/>
      <c r="E183" s="714"/>
      <c r="F183" s="714"/>
      <c r="G183" s="714"/>
      <c r="H183" s="714"/>
      <c r="I183" s="714"/>
      <c r="J183" s="714"/>
      <c r="K183" s="714"/>
      <c r="L183" s="714"/>
      <c r="M183" s="714"/>
      <c r="N183" s="714"/>
      <c r="O183" s="714"/>
      <c r="P183" s="771"/>
      <c r="Q183" s="714"/>
      <c r="R183" s="771"/>
      <c r="S183" s="714"/>
      <c r="T183" s="771"/>
      <c r="U183" s="714"/>
      <c r="V183" s="771"/>
      <c r="W183" s="714"/>
      <c r="X183" s="714"/>
      <c r="Y183" s="714"/>
      <c r="Z183" s="714"/>
      <c r="AA183" s="714"/>
      <c r="AB183" s="714"/>
      <c r="AC183" s="714"/>
      <c r="AD183" s="714"/>
      <c r="AE183" s="714"/>
      <c r="AF183" s="714"/>
      <c r="AG183" s="714"/>
      <c r="AI183" s="748"/>
      <c r="AJ183" s="749"/>
      <c r="AK183" s="749"/>
      <c r="AL183" s="749"/>
      <c r="AM183" s="749"/>
      <c r="AN183" s="749"/>
      <c r="AO183" s="749"/>
      <c r="AP183" s="749"/>
      <c r="AQ183" s="749"/>
      <c r="AR183" s="749"/>
      <c r="AS183" s="749"/>
      <c r="AT183" s="749"/>
      <c r="AU183" s="749"/>
      <c r="AV183" s="749"/>
      <c r="AW183" s="749"/>
      <c r="AX183" s="749"/>
      <c r="AY183" s="749"/>
      <c r="AZ183" s="749"/>
      <c r="BA183" s="749"/>
      <c r="BB183" s="749"/>
      <c r="BC183" s="749"/>
      <c r="BD183" s="749"/>
    </row>
    <row r="184" spans="1:56" ht="12.95" customHeight="1">
      <c r="A184" s="674"/>
      <c r="B184" s="714"/>
      <c r="C184" s="714"/>
      <c r="D184" s="714"/>
      <c r="E184" s="714"/>
      <c r="F184" s="714"/>
      <c r="G184" s="714"/>
      <c r="H184" s="714"/>
      <c r="I184" s="714"/>
      <c r="J184" s="714"/>
      <c r="K184" s="714"/>
      <c r="L184" s="714"/>
      <c r="M184" s="714"/>
      <c r="N184" s="683"/>
      <c r="O184" s="683"/>
      <c r="P184" s="771"/>
      <c r="Q184" s="714"/>
      <c r="R184" s="771"/>
      <c r="S184" s="714"/>
      <c r="T184" s="771"/>
      <c r="U184" s="714"/>
      <c r="V184" s="771"/>
      <c r="W184" s="714"/>
      <c r="X184" s="714"/>
      <c r="Y184" s="714"/>
      <c r="Z184" s="714"/>
      <c r="AA184" s="714"/>
      <c r="AB184" s="714"/>
      <c r="AC184" s="714"/>
      <c r="AD184" s="714"/>
      <c r="AE184" s="714"/>
      <c r="AF184" s="714"/>
      <c r="AG184" s="714"/>
      <c r="AI184" s="748"/>
      <c r="AJ184" s="749"/>
      <c r="AK184" s="749"/>
      <c r="AL184" s="749"/>
      <c r="AM184" s="749"/>
      <c r="AN184" s="749"/>
      <c r="AO184" s="749"/>
      <c r="AP184" s="749"/>
      <c r="AQ184" s="749"/>
      <c r="AR184" s="749"/>
      <c r="AS184" s="749"/>
      <c r="AT184" s="749"/>
      <c r="AU184" s="749"/>
      <c r="AV184" s="749"/>
      <c r="AW184" s="749"/>
      <c r="AX184" s="749"/>
      <c r="AY184" s="749"/>
      <c r="AZ184" s="749"/>
      <c r="BA184" s="749"/>
      <c r="BB184" s="749"/>
      <c r="BC184" s="749"/>
      <c r="BD184" s="749"/>
    </row>
    <row r="185" spans="1:56" ht="12.95" customHeight="1">
      <c r="A185" s="773" t="s">
        <v>181</v>
      </c>
      <c r="B185" s="683"/>
      <c r="C185" s="683"/>
      <c r="D185" s="683"/>
      <c r="E185" s="683"/>
      <c r="F185" s="683"/>
      <c r="G185" s="683"/>
      <c r="H185" s="683"/>
      <c r="I185" s="683"/>
      <c r="J185" s="683"/>
      <c r="K185" s="683"/>
      <c r="L185" s="683"/>
      <c r="M185" s="683"/>
      <c r="N185" s="683"/>
      <c r="O185" s="683"/>
      <c r="P185" s="771"/>
      <c r="Q185" s="714"/>
      <c r="R185" s="771"/>
      <c r="S185" s="714"/>
      <c r="T185" s="771"/>
      <c r="U185" s="714"/>
      <c r="V185" s="771"/>
      <c r="W185" s="714"/>
      <c r="X185" s="714"/>
      <c r="Y185" s="714"/>
      <c r="Z185" s="714"/>
      <c r="AA185" s="714"/>
      <c r="AB185" s="714"/>
      <c r="AC185" s="714"/>
      <c r="AD185" s="714"/>
      <c r="AE185" s="714"/>
      <c r="AF185" s="714"/>
      <c r="AG185" s="714"/>
      <c r="AI185" s="748"/>
      <c r="AJ185" s="749"/>
      <c r="AK185" s="749"/>
      <c r="AL185" s="749"/>
      <c r="AM185" s="749"/>
      <c r="AN185" s="749"/>
      <c r="AO185" s="749"/>
      <c r="AP185" s="749"/>
      <c r="AQ185" s="749"/>
      <c r="AR185" s="749"/>
      <c r="AS185" s="749"/>
      <c r="AT185" s="749"/>
      <c r="AU185" s="749"/>
      <c r="AV185" s="749"/>
      <c r="AW185" s="749"/>
      <c r="AX185" s="749"/>
      <c r="AY185" s="749"/>
      <c r="AZ185" s="749"/>
      <c r="BA185" s="749"/>
      <c r="BB185" s="749"/>
      <c r="BC185" s="749"/>
      <c r="BD185" s="749"/>
    </row>
    <row r="186" spans="1:56" ht="12.95" customHeight="1">
      <c r="A186" s="773" t="s">
        <v>182</v>
      </c>
      <c r="B186" s="683"/>
      <c r="C186" s="683"/>
      <c r="D186" s="683"/>
      <c r="E186" s="683"/>
      <c r="F186" s="683"/>
      <c r="G186" s="683"/>
      <c r="H186" s="683"/>
      <c r="I186" s="683"/>
      <c r="J186" s="683"/>
      <c r="K186" s="683"/>
      <c r="L186" s="683"/>
      <c r="M186" s="683"/>
      <c r="N186" s="683"/>
      <c r="O186" s="683"/>
      <c r="P186" s="771"/>
      <c r="Q186" s="714"/>
      <c r="R186" s="771"/>
      <c r="S186" s="714"/>
      <c r="T186" s="771"/>
      <c r="U186" s="714"/>
      <c r="V186" s="771"/>
      <c r="W186" s="714"/>
      <c r="X186" s="714"/>
      <c r="Y186" s="714"/>
      <c r="Z186" s="714"/>
      <c r="AA186" s="714"/>
      <c r="AB186" s="714"/>
      <c r="AC186" s="714"/>
      <c r="AD186" s="714"/>
      <c r="AE186" s="714"/>
      <c r="AF186" s="714"/>
      <c r="AG186" s="714"/>
      <c r="AI186" s="748"/>
      <c r="AJ186" s="749"/>
      <c r="AK186" s="749"/>
      <c r="AL186" s="749"/>
      <c r="AM186" s="749"/>
      <c r="AN186" s="749"/>
      <c r="AO186" s="749"/>
      <c r="AP186" s="749"/>
      <c r="AQ186" s="749"/>
      <c r="AR186" s="749"/>
      <c r="AS186" s="749"/>
      <c r="AT186" s="749"/>
      <c r="AU186" s="749"/>
      <c r="AV186" s="749"/>
      <c r="AW186" s="749"/>
      <c r="AX186" s="749"/>
      <c r="AY186" s="749"/>
      <c r="AZ186" s="749"/>
      <c r="BA186" s="749"/>
      <c r="BB186" s="749"/>
      <c r="BC186" s="749"/>
      <c r="BD186" s="749"/>
    </row>
    <row r="187" spans="1:56" ht="12.95" customHeight="1">
      <c r="A187" s="678"/>
      <c r="B187" s="683"/>
      <c r="C187" s="683"/>
      <c r="D187" s="683"/>
      <c r="E187" s="683"/>
      <c r="F187" s="683"/>
      <c r="G187" s="683"/>
      <c r="H187" s="683"/>
      <c r="I187" s="683"/>
      <c r="J187" s="683"/>
      <c r="K187" s="683"/>
      <c r="L187" s="683"/>
      <c r="M187" s="683"/>
      <c r="N187" s="683"/>
      <c r="O187" s="683"/>
      <c r="P187" s="771"/>
      <c r="Q187" s="714"/>
      <c r="R187" s="771"/>
      <c r="S187" s="714"/>
      <c r="T187" s="771"/>
      <c r="U187" s="714"/>
      <c r="V187" s="771"/>
      <c r="W187" s="714"/>
      <c r="X187" s="714"/>
      <c r="Y187" s="714"/>
      <c r="Z187" s="714"/>
      <c r="AA187" s="714"/>
      <c r="AB187" s="714"/>
      <c r="AC187" s="714"/>
      <c r="AD187" s="714"/>
      <c r="AE187" s="714"/>
      <c r="AF187" s="714"/>
      <c r="AG187" s="714"/>
      <c r="AI187" s="748"/>
      <c r="AJ187" s="749"/>
      <c r="AK187" s="749"/>
      <c r="AL187" s="749"/>
      <c r="AM187" s="749"/>
      <c r="AN187" s="749"/>
      <c r="AO187" s="749"/>
      <c r="AP187" s="749"/>
      <c r="AQ187" s="749"/>
      <c r="AR187" s="749"/>
      <c r="AS187" s="749"/>
      <c r="AT187" s="749"/>
      <c r="AU187" s="749"/>
      <c r="AV187" s="749"/>
      <c r="AW187" s="749"/>
      <c r="AX187" s="749"/>
      <c r="AY187" s="749"/>
      <c r="AZ187" s="749"/>
      <c r="BA187" s="749"/>
      <c r="BB187" s="749"/>
      <c r="BC187" s="749"/>
      <c r="BD187" s="749"/>
    </row>
    <row r="188" spans="1:56" ht="12.95" customHeight="1">
      <c r="A188" s="678"/>
      <c r="B188" s="683"/>
      <c r="C188" s="683"/>
      <c r="D188" s="683"/>
      <c r="E188" s="683"/>
      <c r="F188" s="683"/>
      <c r="G188" s="683"/>
      <c r="H188" s="683"/>
      <c r="I188" s="683"/>
      <c r="J188" s="683"/>
      <c r="K188" s="683"/>
      <c r="L188" s="683"/>
      <c r="M188" s="683"/>
      <c r="N188" s="683"/>
      <c r="O188" s="683"/>
      <c r="P188" s="771"/>
      <c r="Q188" s="714"/>
      <c r="R188" s="771"/>
      <c r="S188" s="714"/>
      <c r="T188" s="771"/>
      <c r="U188" s="714"/>
      <c r="V188" s="771"/>
      <c r="W188" s="714"/>
      <c r="X188" s="714"/>
      <c r="Y188" s="714"/>
      <c r="Z188" s="714"/>
      <c r="AA188" s="714"/>
      <c r="AB188" s="714"/>
      <c r="AC188" s="714"/>
      <c r="AD188" s="714"/>
      <c r="AE188" s="714"/>
      <c r="AF188" s="714"/>
      <c r="AG188" s="714"/>
      <c r="AI188" s="748"/>
      <c r="AJ188" s="749"/>
      <c r="AK188" s="749"/>
      <c r="AL188" s="749"/>
      <c r="AM188" s="749"/>
      <c r="AN188" s="749"/>
      <c r="AO188" s="749"/>
      <c r="AP188" s="749"/>
      <c r="AQ188" s="749"/>
      <c r="AR188" s="749"/>
      <c r="AS188" s="749"/>
      <c r="AT188" s="749"/>
      <c r="AU188" s="749"/>
      <c r="AV188" s="749"/>
      <c r="AW188" s="749"/>
      <c r="AX188" s="749"/>
      <c r="AY188" s="749"/>
      <c r="AZ188" s="749"/>
      <c r="BA188" s="749"/>
      <c r="BB188" s="749"/>
      <c r="BC188" s="749"/>
      <c r="BD188" s="749"/>
    </row>
    <row r="189" spans="1:56" ht="12.95" customHeight="1">
      <c r="A189" s="678" t="s">
        <v>183</v>
      </c>
      <c r="B189" s="683"/>
      <c r="C189" s="683"/>
      <c r="D189" s="683"/>
      <c r="E189" s="683"/>
      <c r="F189" s="683"/>
      <c r="G189" s="683"/>
      <c r="H189" s="684">
        <f>J16</f>
        <v>6.1711</v>
      </c>
      <c r="I189" s="683" t="s">
        <v>108</v>
      </c>
      <c r="J189" s="683" t="s">
        <v>184</v>
      </c>
      <c r="K189" s="683"/>
      <c r="L189" s="683"/>
      <c r="M189" s="683"/>
      <c r="N189" s="683"/>
      <c r="O189" s="683"/>
      <c r="P189" s="771"/>
      <c r="Q189" s="714"/>
      <c r="R189" s="771"/>
      <c r="S189" s="714"/>
      <c r="T189" s="771"/>
      <c r="U189" s="714"/>
      <c r="V189" s="771"/>
      <c r="W189" s="714"/>
      <c r="X189" s="714"/>
      <c r="Y189" s="714"/>
      <c r="Z189" s="714"/>
      <c r="AA189" s="714"/>
      <c r="AB189" s="714"/>
      <c r="AC189" s="714"/>
      <c r="AD189" s="714"/>
      <c r="AE189" s="714"/>
      <c r="AF189" s="714"/>
      <c r="AG189" s="714"/>
      <c r="AI189" s="748"/>
      <c r="AJ189" s="749"/>
      <c r="AK189" s="749"/>
      <c r="AL189" s="749"/>
      <c r="AM189" s="749"/>
      <c r="AN189" s="749"/>
      <c r="AO189" s="749"/>
      <c r="AP189" s="749"/>
      <c r="AQ189" s="749"/>
      <c r="AR189" s="749"/>
      <c r="AS189" s="749"/>
      <c r="AT189" s="749"/>
      <c r="AU189" s="749"/>
      <c r="AV189" s="749"/>
      <c r="AW189" s="749"/>
      <c r="AX189" s="749"/>
      <c r="AY189" s="749"/>
      <c r="AZ189" s="749"/>
      <c r="BA189" s="749"/>
      <c r="BB189" s="749"/>
      <c r="BC189" s="749"/>
      <c r="BD189" s="749"/>
    </row>
    <row r="190" spans="1:56" ht="12.95" customHeight="1">
      <c r="A190" s="678" t="s">
        <v>185</v>
      </c>
      <c r="B190" s="683"/>
      <c r="C190" s="683"/>
      <c r="D190" s="683"/>
      <c r="E190" s="683"/>
      <c r="F190" s="683"/>
      <c r="G190" s="683"/>
      <c r="H190" s="683"/>
      <c r="I190" s="683"/>
      <c r="J190" s="683"/>
      <c r="K190" s="683"/>
      <c r="L190" s="683"/>
      <c r="M190" s="683"/>
      <c r="N190" s="683"/>
      <c r="O190" s="683"/>
      <c r="P190" s="771"/>
      <c r="Q190" s="714"/>
      <c r="R190" s="771"/>
      <c r="S190" s="714"/>
      <c r="T190" s="771"/>
      <c r="U190" s="714"/>
      <c r="V190" s="771"/>
      <c r="W190" s="714"/>
      <c r="X190" s="714"/>
      <c r="Y190" s="714"/>
      <c r="Z190" s="714"/>
      <c r="AA190" s="714"/>
      <c r="AB190" s="714"/>
      <c r="AC190" s="714"/>
      <c r="AD190" s="714"/>
      <c r="AE190" s="714"/>
      <c r="AF190" s="714"/>
      <c r="AG190" s="714"/>
      <c r="AI190" s="748"/>
      <c r="AJ190" s="749"/>
      <c r="AK190" s="749"/>
      <c r="AL190" s="749"/>
      <c r="AM190" s="749"/>
      <c r="AN190" s="749"/>
      <c r="AO190" s="749"/>
      <c r="AP190" s="749"/>
      <c r="AQ190" s="749"/>
      <c r="AR190" s="749"/>
      <c r="AS190" s="749"/>
      <c r="AT190" s="749"/>
      <c r="AU190" s="749"/>
      <c r="AV190" s="749"/>
      <c r="AW190" s="749"/>
      <c r="AX190" s="749"/>
      <c r="AY190" s="749"/>
      <c r="AZ190" s="749"/>
      <c r="BA190" s="749"/>
      <c r="BB190" s="749"/>
      <c r="BC190" s="749"/>
      <c r="BD190" s="749"/>
    </row>
    <row r="191" spans="1:56" ht="12.95" customHeight="1">
      <c r="A191" s="678" t="s">
        <v>186</v>
      </c>
      <c r="B191" s="683"/>
      <c r="C191" s="683"/>
      <c r="D191" s="683"/>
      <c r="E191" s="683"/>
      <c r="F191" s="683"/>
      <c r="G191" s="683"/>
      <c r="H191" s="683"/>
      <c r="I191" s="683"/>
      <c r="J191" s="683"/>
      <c r="K191" s="683"/>
      <c r="L191" s="683"/>
      <c r="M191" s="683"/>
      <c r="N191" s="683"/>
      <c r="O191" s="683"/>
      <c r="P191" s="714"/>
      <c r="Q191" s="714"/>
      <c r="R191" s="714"/>
      <c r="S191" s="714"/>
      <c r="T191" s="714"/>
      <c r="U191" s="714"/>
      <c r="V191" s="714"/>
      <c r="W191" s="714"/>
      <c r="X191" s="714"/>
      <c r="Y191" s="714"/>
      <c r="Z191" s="714"/>
      <c r="AA191" s="714"/>
      <c r="AB191" s="714"/>
      <c r="AC191" s="714"/>
      <c r="AD191" s="714"/>
      <c r="AE191" s="714"/>
      <c r="AF191" s="714"/>
      <c r="AG191" s="714"/>
      <c r="AI191" s="748"/>
      <c r="AJ191" s="749"/>
      <c r="AK191" s="749"/>
      <c r="AL191" s="749"/>
      <c r="AM191" s="749"/>
      <c r="AN191" s="749"/>
      <c r="AO191" s="749"/>
      <c r="AP191" s="749"/>
      <c r="AQ191" s="749"/>
      <c r="AR191" s="749"/>
      <c r="AS191" s="749"/>
      <c r="AT191" s="749"/>
      <c r="AU191" s="749"/>
      <c r="AV191" s="749"/>
      <c r="AW191" s="749"/>
      <c r="AX191" s="749"/>
      <c r="AY191" s="749"/>
      <c r="AZ191" s="749"/>
      <c r="BA191" s="749"/>
      <c r="BB191" s="749"/>
      <c r="BC191" s="749"/>
      <c r="BD191" s="749"/>
    </row>
    <row r="192" spans="1:56" ht="12.95" customHeight="1">
      <c r="A192" s="678" t="s">
        <v>174</v>
      </c>
      <c r="B192" s="683"/>
      <c r="C192" s="683"/>
      <c r="D192" s="683"/>
      <c r="E192" s="683"/>
      <c r="F192" s="683"/>
      <c r="G192" s="683"/>
      <c r="H192" s="774">
        <f>-R160</f>
        <v>-1.22</v>
      </c>
      <c r="I192" s="683" t="s">
        <v>108</v>
      </c>
      <c r="J192" s="683"/>
      <c r="K192" s="683"/>
      <c r="L192" s="683"/>
      <c r="M192" s="683"/>
      <c r="N192" s="683"/>
      <c r="O192" s="683"/>
      <c r="P192" s="714"/>
      <c r="Q192" s="714"/>
      <c r="R192" s="714"/>
      <c r="S192" s="714"/>
      <c r="T192" s="714"/>
      <c r="U192" s="714"/>
      <c r="V192" s="714"/>
      <c r="W192" s="714"/>
      <c r="X192" s="714"/>
      <c r="Y192" s="714"/>
      <c r="Z192" s="714"/>
      <c r="AA192" s="714"/>
      <c r="AB192" s="714"/>
      <c r="AC192" s="714"/>
      <c r="AD192" s="714"/>
      <c r="AE192" s="714"/>
      <c r="AF192" s="714"/>
      <c r="AG192" s="714"/>
      <c r="AI192" s="748"/>
      <c r="AJ192" s="749"/>
      <c r="AK192" s="749"/>
      <c r="AL192" s="749"/>
      <c r="AM192" s="749"/>
      <c r="AN192" s="749"/>
      <c r="AO192" s="749"/>
      <c r="AP192" s="749"/>
      <c r="AQ192" s="749"/>
      <c r="AR192" s="749"/>
      <c r="AS192" s="749"/>
      <c r="AT192" s="749"/>
      <c r="AU192" s="749"/>
      <c r="AV192" s="749"/>
      <c r="AW192" s="749"/>
      <c r="AX192" s="749"/>
      <c r="AY192" s="749"/>
      <c r="AZ192" s="749"/>
      <c r="BA192" s="749"/>
      <c r="BB192" s="749"/>
      <c r="BC192" s="749"/>
      <c r="BD192" s="749"/>
    </row>
    <row r="193" spans="1:56" ht="12.95" customHeight="1">
      <c r="A193" s="678" t="s">
        <v>175</v>
      </c>
      <c r="B193" s="683"/>
      <c r="C193" s="683"/>
      <c r="D193" s="683"/>
      <c r="E193" s="683"/>
      <c r="F193" s="683"/>
      <c r="G193" s="683"/>
      <c r="H193" s="774">
        <f>-R162</f>
        <v>-0.05</v>
      </c>
      <c r="I193" s="683" t="s">
        <v>108</v>
      </c>
      <c r="J193" s="683"/>
      <c r="K193" s="683"/>
      <c r="L193" s="683"/>
      <c r="M193" s="683"/>
      <c r="N193" s="683"/>
      <c r="O193" s="683"/>
      <c r="P193" s="714"/>
      <c r="Q193" s="714"/>
      <c r="R193" s="714"/>
      <c r="S193" s="714"/>
      <c r="T193" s="714"/>
      <c r="U193" s="714"/>
      <c r="V193" s="714"/>
      <c r="W193" s="714"/>
      <c r="X193" s="714"/>
      <c r="Y193" s="714"/>
      <c r="Z193" s="714"/>
      <c r="AA193" s="714"/>
      <c r="AB193" s="714"/>
      <c r="AC193" s="714"/>
      <c r="AD193" s="714"/>
      <c r="AE193" s="714"/>
      <c r="AF193" s="714"/>
      <c r="AG193" s="714"/>
      <c r="AI193" s="748"/>
      <c r="AJ193" s="749"/>
      <c r="AK193" s="749"/>
      <c r="AL193" s="749"/>
      <c r="AM193" s="749"/>
      <c r="AN193" s="749"/>
      <c r="AO193" s="749"/>
      <c r="AP193" s="749"/>
      <c r="AQ193" s="749"/>
      <c r="AR193" s="749"/>
      <c r="AS193" s="749"/>
      <c r="AT193" s="749"/>
      <c r="AU193" s="749"/>
      <c r="AV193" s="749"/>
      <c r="AW193" s="749"/>
      <c r="AX193" s="749"/>
      <c r="AY193" s="749"/>
      <c r="AZ193" s="749"/>
      <c r="BA193" s="749"/>
      <c r="BB193" s="749"/>
      <c r="BC193" s="749"/>
      <c r="BD193" s="749"/>
    </row>
    <row r="194" spans="1:56" ht="12.95" customHeight="1">
      <c r="A194" s="678" t="s">
        <v>187</v>
      </c>
      <c r="B194" s="683"/>
      <c r="C194" s="683"/>
      <c r="D194" s="683"/>
      <c r="E194" s="683"/>
      <c r="F194" s="683"/>
      <c r="G194" s="683"/>
      <c r="H194" s="775">
        <v>0</v>
      </c>
      <c r="I194" s="683" t="s">
        <v>108</v>
      </c>
      <c r="J194" s="683"/>
      <c r="K194" s="683"/>
      <c r="L194" s="683"/>
      <c r="M194" s="683"/>
      <c r="N194" s="683"/>
      <c r="O194" s="683"/>
      <c r="P194" s="714"/>
      <c r="Q194" s="714"/>
      <c r="R194" s="714"/>
      <c r="S194" s="714"/>
      <c r="T194" s="714"/>
      <c r="U194" s="714"/>
      <c r="V194" s="714"/>
      <c r="W194" s="714"/>
      <c r="X194" s="714"/>
      <c r="Y194" s="714"/>
      <c r="Z194" s="714"/>
      <c r="AA194" s="714"/>
      <c r="AB194" s="714"/>
      <c r="AC194" s="714"/>
      <c r="AD194" s="714"/>
      <c r="AE194" s="714"/>
      <c r="AF194" s="714"/>
      <c r="AG194" s="714"/>
      <c r="AI194" s="748"/>
      <c r="AJ194" s="749"/>
      <c r="AK194" s="749"/>
      <c r="AL194" s="749"/>
      <c r="AM194" s="749"/>
      <c r="AN194" s="749"/>
      <c r="AO194" s="749"/>
      <c r="AP194" s="749"/>
      <c r="AQ194" s="749"/>
      <c r="AR194" s="749"/>
      <c r="AS194" s="749"/>
      <c r="AT194" s="749"/>
      <c r="AU194" s="749"/>
      <c r="AV194" s="749"/>
      <c r="AW194" s="749"/>
      <c r="AX194" s="749"/>
      <c r="AY194" s="749"/>
      <c r="AZ194" s="749"/>
      <c r="BA194" s="749"/>
      <c r="BB194" s="749"/>
      <c r="BC194" s="749"/>
      <c r="BD194" s="749"/>
    </row>
    <row r="195" spans="1:56" ht="12.95" customHeight="1">
      <c r="A195" s="678" t="s">
        <v>17</v>
      </c>
      <c r="B195" s="683"/>
      <c r="C195" s="683"/>
      <c r="D195" s="683"/>
      <c r="E195" s="683"/>
      <c r="F195" s="683"/>
      <c r="G195" s="683"/>
      <c r="H195" s="774">
        <f>-R164</f>
        <v>-0.04</v>
      </c>
      <c r="I195" s="683" t="s">
        <v>108</v>
      </c>
      <c r="J195" s="683"/>
      <c r="K195" s="683"/>
      <c r="L195" s="683"/>
      <c r="M195" s="683"/>
      <c r="N195" s="683"/>
      <c r="O195" s="683"/>
      <c r="P195" s="714"/>
      <c r="Q195" s="714"/>
      <c r="R195" s="714"/>
      <c r="S195" s="714"/>
      <c r="T195" s="714"/>
      <c r="U195" s="714"/>
      <c r="V195" s="714"/>
      <c r="W195" s="714"/>
      <c r="X195" s="714"/>
      <c r="Y195" s="714"/>
      <c r="Z195" s="714"/>
      <c r="AA195" s="714"/>
      <c r="AB195" s="714"/>
      <c r="AC195" s="714"/>
      <c r="AD195" s="714"/>
      <c r="AE195" s="714"/>
      <c r="AF195" s="714"/>
      <c r="AG195" s="714"/>
      <c r="AI195" s="748"/>
      <c r="AJ195" s="749"/>
      <c r="AK195" s="749"/>
      <c r="AL195" s="749"/>
      <c r="AM195" s="749"/>
      <c r="AN195" s="749"/>
      <c r="AO195" s="749"/>
      <c r="AP195" s="749"/>
      <c r="AQ195" s="749"/>
      <c r="AR195" s="749"/>
      <c r="AS195" s="749"/>
      <c r="AT195" s="749"/>
      <c r="AU195" s="749"/>
      <c r="AV195" s="749"/>
      <c r="AW195" s="749"/>
      <c r="AX195" s="749"/>
      <c r="AY195" s="749"/>
      <c r="AZ195" s="749"/>
      <c r="BA195" s="749"/>
      <c r="BB195" s="749"/>
      <c r="BC195" s="749"/>
      <c r="BD195" s="749"/>
    </row>
    <row r="196" spans="1:56" ht="12.95" customHeight="1">
      <c r="A196" s="678" t="s">
        <v>188</v>
      </c>
      <c r="B196" s="683"/>
      <c r="C196" s="683"/>
      <c r="D196" s="683"/>
      <c r="E196" s="683"/>
      <c r="F196" s="683"/>
      <c r="G196" s="683"/>
      <c r="H196" s="775">
        <v>0</v>
      </c>
      <c r="I196" s="683" t="s">
        <v>108</v>
      </c>
      <c r="J196" s="683"/>
      <c r="K196" s="683"/>
      <c r="L196" s="683"/>
      <c r="M196" s="683"/>
      <c r="N196" s="683"/>
      <c r="O196" s="683"/>
      <c r="P196" s="714"/>
      <c r="Q196" s="714"/>
      <c r="R196" s="714"/>
      <c r="S196" s="714"/>
      <c r="T196" s="714"/>
      <c r="U196" s="714"/>
      <c r="V196" s="714"/>
      <c r="W196" s="714"/>
      <c r="X196" s="714"/>
      <c r="Y196" s="714"/>
      <c r="Z196" s="714"/>
      <c r="AA196" s="714"/>
      <c r="AB196" s="714"/>
      <c r="AC196" s="714"/>
      <c r="AD196" s="714"/>
      <c r="AE196" s="714"/>
      <c r="AF196" s="714"/>
      <c r="AG196" s="714"/>
      <c r="AI196" s="748"/>
      <c r="AJ196" s="749"/>
      <c r="AK196" s="749"/>
      <c r="AL196" s="749"/>
      <c r="AM196" s="749"/>
      <c r="AN196" s="749"/>
      <c r="AO196" s="749"/>
      <c r="AP196" s="749"/>
      <c r="AQ196" s="749"/>
      <c r="AR196" s="749"/>
      <c r="AS196" s="749"/>
      <c r="AT196" s="749"/>
      <c r="AU196" s="749"/>
      <c r="AV196" s="749"/>
      <c r="AW196" s="749"/>
      <c r="AX196" s="749"/>
      <c r="AY196" s="749"/>
      <c r="AZ196" s="749"/>
      <c r="BA196" s="749"/>
      <c r="BB196" s="749"/>
      <c r="BC196" s="749"/>
      <c r="BD196" s="749"/>
    </row>
    <row r="197" spans="1:56" ht="12.95" customHeight="1">
      <c r="A197" s="678" t="s">
        <v>189</v>
      </c>
      <c r="B197" s="683"/>
      <c r="C197" s="683"/>
      <c r="D197" s="683"/>
      <c r="E197" s="683"/>
      <c r="F197" s="683"/>
      <c r="G197" s="683"/>
      <c r="H197" s="776">
        <f>SUM(H192:H196)</f>
        <v>-1.31</v>
      </c>
      <c r="I197" s="683" t="s">
        <v>108</v>
      </c>
      <c r="J197" s="683"/>
      <c r="K197" s="683"/>
      <c r="L197" s="683"/>
      <c r="M197" s="683"/>
      <c r="N197" s="683"/>
      <c r="O197" s="683"/>
      <c r="P197" s="714"/>
      <c r="Q197" s="714"/>
      <c r="R197" s="714"/>
      <c r="S197" s="714"/>
      <c r="T197" s="714"/>
      <c r="U197" s="714"/>
      <c r="V197" s="714"/>
      <c r="W197" s="714"/>
      <c r="X197" s="714"/>
      <c r="Y197" s="714"/>
      <c r="Z197" s="714"/>
      <c r="AA197" s="714"/>
      <c r="AB197" s="714"/>
      <c r="AC197" s="714"/>
      <c r="AD197" s="714"/>
      <c r="AE197" s="714"/>
      <c r="AF197" s="714"/>
      <c r="AG197" s="714"/>
      <c r="AI197" s="748"/>
      <c r="AJ197" s="749"/>
      <c r="AK197" s="749"/>
      <c r="AL197" s="749"/>
      <c r="AM197" s="749"/>
      <c r="AN197" s="749"/>
      <c r="AO197" s="749"/>
      <c r="AP197" s="749"/>
      <c r="AQ197" s="749"/>
      <c r="AR197" s="749"/>
      <c r="AS197" s="749"/>
      <c r="AT197" s="749"/>
      <c r="AU197" s="749"/>
      <c r="AV197" s="749"/>
      <c r="AW197" s="749"/>
      <c r="AX197" s="749"/>
      <c r="AY197" s="749"/>
      <c r="AZ197" s="749"/>
      <c r="BA197" s="749"/>
      <c r="BB197" s="749"/>
      <c r="BC197" s="749"/>
      <c r="BD197" s="749"/>
    </row>
    <row r="198" spans="1:56" ht="12.95" customHeight="1">
      <c r="A198" s="678"/>
      <c r="B198" s="683"/>
      <c r="C198" s="683"/>
      <c r="D198" s="683"/>
      <c r="E198" s="683"/>
      <c r="F198" s="683"/>
      <c r="G198" s="683"/>
      <c r="H198" s="683"/>
      <c r="I198" s="683"/>
      <c r="J198" s="683"/>
      <c r="K198" s="683"/>
      <c r="L198" s="683"/>
      <c r="M198" s="683"/>
      <c r="N198" s="683"/>
      <c r="O198" s="683"/>
      <c r="P198" s="714"/>
      <c r="Q198" s="714"/>
      <c r="R198" s="714"/>
      <c r="S198" s="714"/>
      <c r="T198" s="714"/>
      <c r="U198" s="714"/>
      <c r="V198" s="714"/>
      <c r="W198" s="714"/>
      <c r="X198" s="714"/>
      <c r="Y198" s="714"/>
      <c r="Z198" s="714"/>
      <c r="AA198" s="714"/>
      <c r="AB198" s="714"/>
      <c r="AC198" s="714"/>
      <c r="AD198" s="714"/>
      <c r="AE198" s="714"/>
      <c r="AF198" s="714"/>
      <c r="AG198" s="714"/>
      <c r="AI198" s="748"/>
      <c r="AJ198" s="749"/>
      <c r="AK198" s="749"/>
      <c r="AL198" s="749"/>
      <c r="AM198" s="749"/>
      <c r="AN198" s="749"/>
      <c r="AO198" s="749"/>
      <c r="AP198" s="749"/>
      <c r="AQ198" s="749"/>
      <c r="AR198" s="749"/>
      <c r="AS198" s="749"/>
      <c r="AT198" s="749"/>
      <c r="AU198" s="749"/>
      <c r="AV198" s="749"/>
      <c r="AW198" s="749"/>
      <c r="AX198" s="749"/>
      <c r="AY198" s="749"/>
      <c r="AZ198" s="749"/>
      <c r="BA198" s="749"/>
      <c r="BB198" s="749"/>
      <c r="BC198" s="749"/>
      <c r="BD198" s="749"/>
    </row>
    <row r="199" spans="1:56" ht="12.95" customHeight="1">
      <c r="A199" s="678" t="s">
        <v>1</v>
      </c>
      <c r="B199" s="683"/>
      <c r="C199" s="683"/>
      <c r="D199" s="683"/>
      <c r="E199" s="683"/>
      <c r="F199" s="683"/>
      <c r="G199" s="683"/>
      <c r="H199" s="774">
        <f>ROUND(H189+H197,4)</f>
        <v>4.8611000000000004</v>
      </c>
      <c r="I199" s="683" t="s">
        <v>108</v>
      </c>
      <c r="J199" s="683"/>
      <c r="K199" s="683"/>
      <c r="L199" s="683"/>
      <c r="M199" s="683"/>
      <c r="N199" s="683"/>
      <c r="O199" s="683"/>
      <c r="P199" s="714"/>
      <c r="Q199" s="714"/>
      <c r="R199" s="714"/>
      <c r="S199" s="714"/>
      <c r="T199" s="714"/>
      <c r="U199" s="714"/>
      <c r="V199" s="714"/>
      <c r="W199" s="714"/>
      <c r="X199" s="714"/>
      <c r="Y199" s="714"/>
      <c r="Z199" s="714"/>
      <c r="AA199" s="714"/>
      <c r="AB199" s="714"/>
      <c r="AC199" s="714"/>
      <c r="AD199" s="714"/>
      <c r="AE199" s="714"/>
      <c r="AF199" s="714"/>
      <c r="AG199" s="714"/>
      <c r="AI199" s="748"/>
      <c r="AJ199" s="749"/>
      <c r="AK199" s="749"/>
      <c r="AL199" s="749"/>
      <c r="AM199" s="749"/>
      <c r="AN199" s="749"/>
      <c r="AO199" s="749"/>
      <c r="AP199" s="749"/>
      <c r="AQ199" s="749"/>
      <c r="AR199" s="749"/>
      <c r="AS199" s="749"/>
      <c r="AT199" s="749"/>
      <c r="AU199" s="749"/>
      <c r="AV199" s="749"/>
      <c r="AW199" s="749"/>
      <c r="AX199" s="749"/>
      <c r="AY199" s="749"/>
      <c r="AZ199" s="749"/>
      <c r="BA199" s="749"/>
      <c r="BB199" s="749"/>
      <c r="BC199" s="749"/>
      <c r="BD199" s="749"/>
    </row>
    <row r="200" spans="1:56" ht="12.95" customHeight="1">
      <c r="A200" s="678"/>
      <c r="B200" s="683"/>
      <c r="C200" s="683"/>
      <c r="D200" s="683"/>
      <c r="E200" s="683"/>
      <c r="F200" s="683"/>
      <c r="G200" s="683"/>
      <c r="H200" s="683"/>
      <c r="I200" s="683"/>
      <c r="J200" s="683"/>
      <c r="K200" s="683"/>
      <c r="L200" s="683"/>
      <c r="M200" s="683"/>
      <c r="N200" s="683"/>
      <c r="O200" s="683"/>
      <c r="P200" s="714"/>
      <c r="Q200" s="714"/>
      <c r="R200" s="714"/>
      <c r="S200" s="714"/>
      <c r="T200" s="714"/>
      <c r="U200" s="714"/>
      <c r="V200" s="714"/>
      <c r="W200" s="714"/>
      <c r="X200" s="714"/>
      <c r="Y200" s="714"/>
      <c r="Z200" s="714"/>
      <c r="AA200" s="714"/>
      <c r="AB200" s="714"/>
      <c r="AC200" s="714"/>
      <c r="AD200" s="714"/>
      <c r="AE200" s="714"/>
      <c r="AF200" s="714"/>
      <c r="AG200" s="714"/>
      <c r="AI200" s="748"/>
      <c r="AJ200" s="749"/>
      <c r="AK200" s="749"/>
      <c r="AL200" s="749"/>
      <c r="AM200" s="749"/>
      <c r="AN200" s="749"/>
      <c r="AO200" s="749"/>
      <c r="AP200" s="749"/>
      <c r="AQ200" s="749"/>
      <c r="AR200" s="749"/>
      <c r="AS200" s="749"/>
      <c r="AT200" s="749"/>
      <c r="AU200" s="749"/>
      <c r="AV200" s="749"/>
      <c r="AW200" s="749"/>
      <c r="AX200" s="749"/>
      <c r="AY200" s="749"/>
      <c r="AZ200" s="749"/>
      <c r="BA200" s="749"/>
      <c r="BB200" s="749"/>
      <c r="BC200" s="749"/>
      <c r="BD200" s="749"/>
    </row>
    <row r="201" spans="1:56" ht="12.95" customHeight="1">
      <c r="A201" s="678" t="s">
        <v>190</v>
      </c>
      <c r="B201" s="683"/>
      <c r="C201" s="683"/>
      <c r="D201" s="683"/>
      <c r="E201" s="683"/>
      <c r="F201" s="683"/>
      <c r="G201" s="683"/>
      <c r="H201" s="777">
        <f>ROUND(J166*100,4)</f>
        <v>45.82</v>
      </c>
      <c r="I201" s="683" t="s">
        <v>108</v>
      </c>
      <c r="J201" s="683"/>
      <c r="K201" s="683"/>
      <c r="L201" s="683"/>
      <c r="M201" s="683"/>
      <c r="N201" s="683"/>
      <c r="O201" s="683"/>
      <c r="P201" s="714"/>
      <c r="Q201" s="714"/>
      <c r="R201" s="714"/>
      <c r="S201" s="714"/>
      <c r="T201" s="714"/>
      <c r="U201" s="714"/>
      <c r="V201" s="714"/>
      <c r="W201" s="714"/>
      <c r="X201" s="714"/>
      <c r="Y201" s="714"/>
      <c r="Z201" s="714"/>
      <c r="AA201" s="714"/>
      <c r="AB201" s="714"/>
      <c r="AC201" s="714"/>
      <c r="AD201" s="714"/>
      <c r="AE201" s="714"/>
      <c r="AF201" s="714"/>
      <c r="AG201" s="714"/>
      <c r="AI201" s="748"/>
      <c r="AJ201" s="749"/>
      <c r="AK201" s="749"/>
      <c r="AL201" s="749"/>
      <c r="AM201" s="749"/>
      <c r="AN201" s="749"/>
      <c r="AO201" s="749"/>
      <c r="AP201" s="749"/>
      <c r="AQ201" s="749"/>
      <c r="AR201" s="749"/>
      <c r="AS201" s="749"/>
      <c r="AT201" s="749"/>
      <c r="AU201" s="749"/>
      <c r="AV201" s="749"/>
      <c r="AW201" s="749"/>
      <c r="AX201" s="749"/>
      <c r="AY201" s="749"/>
      <c r="AZ201" s="749"/>
      <c r="BA201" s="749"/>
      <c r="BB201" s="749"/>
      <c r="BC201" s="749"/>
      <c r="BD201" s="749"/>
    </row>
    <row r="202" spans="1:56" ht="12.95" customHeight="1">
      <c r="A202" s="678"/>
      <c r="B202" s="683"/>
      <c r="C202" s="683"/>
      <c r="D202" s="683"/>
      <c r="E202" s="683"/>
      <c r="F202" s="683"/>
      <c r="G202" s="683"/>
      <c r="H202" s="683"/>
      <c r="I202" s="683"/>
      <c r="J202" s="683"/>
      <c r="K202" s="683"/>
      <c r="L202" s="683"/>
      <c r="M202" s="683"/>
      <c r="N202" s="683"/>
      <c r="O202" s="683"/>
      <c r="P202" s="714"/>
      <c r="Q202" s="714"/>
      <c r="R202" s="714"/>
      <c r="S202" s="714"/>
      <c r="T202" s="714"/>
      <c r="U202" s="714"/>
      <c r="V202" s="714"/>
      <c r="W202" s="714"/>
      <c r="X202" s="714"/>
      <c r="Y202" s="714"/>
      <c r="Z202" s="714"/>
      <c r="AA202" s="714"/>
      <c r="AB202" s="714"/>
      <c r="AC202" s="714"/>
      <c r="AD202" s="714"/>
      <c r="AE202" s="714"/>
      <c r="AF202" s="714"/>
      <c r="AG202" s="714"/>
      <c r="AI202" s="748"/>
      <c r="AJ202" s="749"/>
      <c r="AK202" s="749"/>
      <c r="AL202" s="749"/>
      <c r="AM202" s="749"/>
      <c r="AN202" s="749"/>
      <c r="AO202" s="749"/>
      <c r="AP202" s="749"/>
      <c r="AQ202" s="749"/>
      <c r="AR202" s="749"/>
      <c r="AS202" s="749"/>
      <c r="AT202" s="749"/>
      <c r="AU202" s="749"/>
      <c r="AV202" s="749"/>
      <c r="AW202" s="749"/>
      <c r="AX202" s="749"/>
      <c r="AY202" s="749"/>
      <c r="AZ202" s="749"/>
      <c r="BA202" s="749"/>
      <c r="BB202" s="749"/>
      <c r="BC202" s="749"/>
      <c r="BD202" s="749"/>
    </row>
    <row r="203" spans="1:56" ht="12.95" customHeight="1" thickBot="1">
      <c r="A203" s="678" t="s">
        <v>191</v>
      </c>
      <c r="B203" s="683"/>
      <c r="C203" s="683"/>
      <c r="D203" s="683"/>
      <c r="E203" s="683"/>
      <c r="F203" s="683"/>
      <c r="G203" s="683"/>
      <c r="H203" s="778">
        <f>ROUND((H199)/(H201/100),4)</f>
        <v>10.6091</v>
      </c>
      <c r="I203" s="683" t="s">
        <v>108</v>
      </c>
      <c r="J203" s="683"/>
      <c r="K203" s="683"/>
      <c r="L203" s="683"/>
      <c r="M203" s="683"/>
      <c r="N203" s="683"/>
      <c r="O203" s="683"/>
      <c r="P203" s="714"/>
      <c r="Q203" s="714"/>
      <c r="R203" s="714"/>
      <c r="S203" s="714"/>
      <c r="T203" s="714"/>
      <c r="U203" s="714"/>
      <c r="V203" s="714"/>
      <c r="W203" s="714"/>
      <c r="X203" s="714"/>
      <c r="Y203" s="714"/>
      <c r="Z203" s="714"/>
      <c r="AA203" s="714"/>
      <c r="AB203" s="714"/>
      <c r="AC203" s="714"/>
      <c r="AD203" s="714"/>
      <c r="AE203" s="714"/>
      <c r="AF203" s="714"/>
      <c r="AG203" s="714"/>
      <c r="AI203" s="748"/>
      <c r="AJ203" s="749"/>
      <c r="AK203" s="749"/>
      <c r="AL203" s="749"/>
      <c r="AM203" s="749"/>
      <c r="AN203" s="749"/>
      <c r="AO203" s="749"/>
      <c r="AP203" s="749"/>
      <c r="AQ203" s="749"/>
      <c r="AR203" s="749"/>
      <c r="AS203" s="749"/>
      <c r="AT203" s="749"/>
      <c r="AU203" s="749"/>
      <c r="AV203" s="749"/>
      <c r="AW203" s="749"/>
      <c r="AX203" s="749"/>
      <c r="AY203" s="749"/>
      <c r="AZ203" s="749"/>
      <c r="BA203" s="749"/>
      <c r="BB203" s="749"/>
      <c r="BC203" s="749"/>
      <c r="BD203" s="749"/>
    </row>
    <row r="204" spans="1:56" ht="12.95" customHeight="1" thickTop="1">
      <c r="A204" s="678"/>
      <c r="B204" s="683"/>
      <c r="C204" s="683"/>
      <c r="D204" s="683"/>
      <c r="E204" s="683"/>
      <c r="F204" s="683"/>
      <c r="G204" s="683"/>
      <c r="H204" s="683"/>
      <c r="I204" s="683"/>
      <c r="J204" s="683"/>
      <c r="K204" s="683"/>
      <c r="L204" s="683"/>
      <c r="M204" s="683"/>
      <c r="N204" s="683"/>
      <c r="O204" s="683"/>
      <c r="P204" s="714"/>
      <c r="Q204" s="714"/>
      <c r="R204" s="714"/>
      <c r="S204" s="714"/>
      <c r="T204" s="714"/>
      <c r="U204" s="714"/>
      <c r="V204" s="714"/>
      <c r="W204" s="714"/>
      <c r="X204" s="714"/>
      <c r="Y204" s="714"/>
      <c r="Z204" s="714"/>
      <c r="AA204" s="714"/>
      <c r="AB204" s="714"/>
      <c r="AC204" s="714"/>
      <c r="AD204" s="714"/>
      <c r="AE204" s="714"/>
      <c r="AF204" s="714"/>
      <c r="AG204" s="714"/>
      <c r="AI204" s="748"/>
      <c r="AJ204" s="749"/>
      <c r="AK204" s="749"/>
      <c r="AL204" s="749"/>
      <c r="AM204" s="749"/>
      <c r="AN204" s="749"/>
      <c r="AO204" s="749"/>
      <c r="AP204" s="749"/>
      <c r="AQ204" s="749"/>
      <c r="AR204" s="749"/>
      <c r="AS204" s="749"/>
      <c r="AT204" s="749"/>
      <c r="AU204" s="749"/>
      <c r="AV204" s="749"/>
      <c r="AW204" s="749"/>
      <c r="AX204" s="749"/>
      <c r="AY204" s="749"/>
      <c r="AZ204" s="749"/>
      <c r="BA204" s="749"/>
      <c r="BB204" s="749"/>
      <c r="BC204" s="749"/>
      <c r="BD204" s="749"/>
    </row>
    <row r="205" spans="1:56">
      <c r="A205" s="678"/>
      <c r="B205" s="683"/>
      <c r="C205" s="683"/>
      <c r="D205" s="683"/>
      <c r="E205" s="683"/>
      <c r="F205" s="683"/>
      <c r="G205" s="683"/>
      <c r="H205" s="683"/>
      <c r="I205" s="683"/>
      <c r="J205" s="683"/>
      <c r="K205" s="683"/>
      <c r="L205" s="683"/>
      <c r="M205" s="683"/>
      <c r="N205" s="683"/>
      <c r="O205" s="683"/>
      <c r="P205" s="714"/>
      <c r="Q205" s="714"/>
      <c r="R205" s="714"/>
      <c r="S205" s="714"/>
      <c r="T205" s="714"/>
      <c r="U205" s="714"/>
      <c r="V205" s="714"/>
      <c r="W205" s="714"/>
      <c r="X205" s="714"/>
      <c r="Y205" s="714"/>
      <c r="Z205" s="714"/>
      <c r="AA205" s="714"/>
      <c r="AB205" s="714"/>
      <c r="AC205" s="714"/>
      <c r="AD205" s="714"/>
      <c r="AE205" s="714"/>
      <c r="AF205" s="714"/>
      <c r="AG205" s="714"/>
      <c r="AI205" s="748"/>
      <c r="AJ205" s="749"/>
      <c r="AK205" s="749"/>
      <c r="AL205" s="749"/>
      <c r="AM205" s="749"/>
      <c r="AN205" s="749"/>
      <c r="AO205" s="749"/>
      <c r="AP205" s="749"/>
      <c r="AQ205" s="749"/>
      <c r="AR205" s="749"/>
      <c r="AS205" s="749"/>
      <c r="AT205" s="749"/>
      <c r="AU205" s="749"/>
      <c r="AV205" s="749"/>
      <c r="AW205" s="749"/>
      <c r="AX205" s="749"/>
      <c r="AY205" s="749"/>
      <c r="AZ205" s="749"/>
      <c r="BA205" s="749"/>
      <c r="BB205" s="749"/>
      <c r="BC205" s="749"/>
      <c r="BD205" s="749"/>
    </row>
    <row r="206" spans="1:56" ht="12.95" customHeight="1">
      <c r="A206" s="678"/>
      <c r="B206" s="683"/>
      <c r="C206" s="683"/>
      <c r="D206" s="683"/>
      <c r="E206" s="683"/>
      <c r="F206" s="683"/>
      <c r="G206" s="683"/>
      <c r="H206" s="683"/>
      <c r="I206" s="683"/>
      <c r="J206" s="683"/>
      <c r="K206" s="683"/>
      <c r="L206" s="683"/>
      <c r="M206" s="683"/>
      <c r="N206" s="683"/>
      <c r="O206" s="683"/>
      <c r="P206" s="714"/>
      <c r="Q206" s="714"/>
      <c r="R206" s="714"/>
      <c r="S206" s="714"/>
      <c r="T206" s="714"/>
      <c r="U206" s="714"/>
      <c r="V206" s="714"/>
      <c r="W206" s="714"/>
      <c r="X206" s="714"/>
      <c r="Y206" s="714"/>
      <c r="Z206" s="714"/>
      <c r="AA206" s="714"/>
      <c r="AB206" s="714"/>
      <c r="AC206" s="714"/>
      <c r="AD206" s="714"/>
      <c r="AE206" s="714"/>
      <c r="AF206" s="714"/>
      <c r="AG206" s="714"/>
      <c r="AI206" s="748"/>
      <c r="AJ206" s="749"/>
      <c r="AK206" s="749"/>
      <c r="AL206" s="749"/>
      <c r="AM206" s="749"/>
      <c r="AN206" s="749"/>
      <c r="AO206" s="749"/>
      <c r="AP206" s="749"/>
      <c r="AQ206" s="749"/>
      <c r="AR206" s="749"/>
      <c r="AS206" s="749"/>
      <c r="AT206" s="749"/>
      <c r="AU206" s="749"/>
      <c r="AV206" s="749"/>
      <c r="AW206" s="749"/>
      <c r="AX206" s="749"/>
      <c r="AY206" s="749"/>
      <c r="AZ206" s="749"/>
      <c r="BA206" s="749"/>
      <c r="BB206" s="749"/>
      <c r="BC206" s="749"/>
      <c r="BD206" s="749"/>
    </row>
    <row r="207" spans="1:56" ht="12.95" customHeight="1">
      <c r="A207" s="678"/>
      <c r="B207" s="683"/>
      <c r="C207" s="683"/>
      <c r="D207" s="683"/>
      <c r="E207" s="683"/>
      <c r="F207" s="683"/>
      <c r="G207" s="683"/>
      <c r="H207" s="683"/>
      <c r="I207" s="683"/>
      <c r="J207" s="683"/>
      <c r="K207" s="683"/>
      <c r="L207" s="683"/>
      <c r="M207" s="683"/>
      <c r="N207" s="683"/>
      <c r="O207" s="683"/>
      <c r="P207" s="714"/>
      <c r="Q207" s="714"/>
      <c r="R207" s="714"/>
      <c r="S207" s="714"/>
      <c r="T207" s="714"/>
      <c r="U207" s="714"/>
      <c r="V207" s="714"/>
      <c r="W207" s="714"/>
      <c r="X207" s="714"/>
      <c r="Y207" s="714"/>
      <c r="Z207" s="714"/>
      <c r="AA207" s="714"/>
      <c r="AB207" s="714"/>
      <c r="AC207" s="714"/>
      <c r="AD207" s="714"/>
      <c r="AE207" s="714"/>
      <c r="AF207" s="714"/>
      <c r="AG207" s="714"/>
      <c r="AI207" s="748"/>
      <c r="AJ207" s="749"/>
      <c r="AK207" s="749"/>
      <c r="AL207" s="749"/>
      <c r="AM207" s="749"/>
      <c r="AN207" s="749"/>
      <c r="AO207" s="749"/>
      <c r="AP207" s="749"/>
      <c r="AQ207" s="749"/>
      <c r="AR207" s="749"/>
      <c r="AS207" s="749"/>
      <c r="AT207" s="749"/>
      <c r="AU207" s="749"/>
      <c r="AV207" s="749"/>
      <c r="AW207" s="749"/>
      <c r="AX207" s="749"/>
      <c r="AY207" s="749"/>
      <c r="AZ207" s="749"/>
      <c r="BA207" s="749"/>
      <c r="BB207" s="749"/>
      <c r="BC207" s="749"/>
      <c r="BD207" s="749"/>
    </row>
    <row r="208" spans="1:56" ht="12.95" customHeight="1">
      <c r="A208" s="773" t="s">
        <v>192</v>
      </c>
      <c r="B208" s="683"/>
      <c r="C208" s="683"/>
      <c r="D208" s="683"/>
      <c r="E208" s="683"/>
      <c r="F208" s="683"/>
      <c r="G208" s="683"/>
      <c r="H208" s="683"/>
      <c r="I208" s="683"/>
      <c r="J208" s="683"/>
      <c r="K208" s="683"/>
      <c r="L208" s="683"/>
      <c r="M208" s="683"/>
      <c r="N208" s="683"/>
      <c r="O208" s="683"/>
      <c r="P208" s="714"/>
      <c r="Q208" s="714"/>
      <c r="R208" s="714"/>
      <c r="S208" s="714"/>
      <c r="T208" s="714"/>
      <c r="U208" s="714"/>
      <c r="V208" s="714"/>
      <c r="W208" s="714"/>
      <c r="X208" s="714"/>
      <c r="Y208" s="714"/>
      <c r="Z208" s="714"/>
      <c r="AA208" s="714"/>
      <c r="AB208" s="714"/>
      <c r="AC208" s="714"/>
      <c r="AD208" s="714"/>
      <c r="AE208" s="714"/>
      <c r="AF208" s="714"/>
      <c r="AG208" s="714"/>
      <c r="AI208" s="748"/>
      <c r="AJ208" s="749"/>
      <c r="AK208" s="749"/>
      <c r="AL208" s="749"/>
      <c r="AM208" s="749"/>
      <c r="AN208" s="749"/>
      <c r="AO208" s="749"/>
      <c r="AP208" s="749"/>
      <c r="AQ208" s="749"/>
      <c r="AR208" s="749"/>
      <c r="AS208" s="749"/>
      <c r="AT208" s="749"/>
      <c r="AU208" s="749"/>
      <c r="AV208" s="749"/>
      <c r="AW208" s="749"/>
      <c r="AX208" s="749"/>
      <c r="AY208" s="749"/>
      <c r="AZ208" s="749"/>
      <c r="BA208" s="749"/>
      <c r="BB208" s="749"/>
      <c r="BC208" s="749"/>
      <c r="BD208" s="749"/>
    </row>
    <row r="209" spans="1:56" ht="12.95" customHeight="1">
      <c r="A209" s="773" t="s">
        <v>193</v>
      </c>
      <c r="B209" s="683"/>
      <c r="C209" s="683"/>
      <c r="D209" s="683"/>
      <c r="E209" s="683"/>
      <c r="F209" s="683"/>
      <c r="G209" s="683"/>
      <c r="H209" s="683"/>
      <c r="I209" s="683"/>
      <c r="J209" s="683"/>
      <c r="K209" s="683"/>
      <c r="L209" s="683"/>
      <c r="M209" s="683"/>
      <c r="N209" s="683"/>
      <c r="O209" s="683"/>
      <c r="P209" s="714"/>
      <c r="Q209" s="714"/>
      <c r="R209" s="714"/>
      <c r="S209" s="714"/>
      <c r="T209" s="714"/>
      <c r="U209" s="714"/>
      <c r="V209" s="714"/>
      <c r="W209" s="714"/>
      <c r="X209" s="714"/>
      <c r="Y209" s="714"/>
      <c r="Z209" s="714"/>
      <c r="AA209" s="714"/>
      <c r="AB209" s="714"/>
      <c r="AC209" s="714"/>
      <c r="AD209" s="714"/>
      <c r="AE209" s="714"/>
      <c r="AF209" s="714"/>
      <c r="AG209" s="714"/>
      <c r="AI209" s="748"/>
      <c r="AJ209" s="749"/>
      <c r="AK209" s="749"/>
      <c r="AL209" s="749"/>
      <c r="AM209" s="749"/>
      <c r="AN209" s="749"/>
      <c r="AO209" s="749"/>
      <c r="AP209" s="749"/>
      <c r="AQ209" s="749"/>
      <c r="AR209" s="749"/>
      <c r="AS209" s="749"/>
      <c r="AT209" s="749"/>
      <c r="AU209" s="749"/>
      <c r="AV209" s="749"/>
      <c r="AW209" s="749"/>
      <c r="AX209" s="749"/>
      <c r="AY209" s="749"/>
      <c r="AZ209" s="749"/>
      <c r="BA209" s="749"/>
      <c r="BB209" s="749"/>
      <c r="BC209" s="749"/>
      <c r="BD209" s="749"/>
    </row>
    <row r="210" spans="1:56" ht="12.95" customHeight="1">
      <c r="A210" s="678"/>
      <c r="B210" s="683"/>
      <c r="C210" s="683"/>
      <c r="D210" s="683"/>
      <c r="E210" s="683"/>
      <c r="F210" s="683"/>
      <c r="G210" s="683"/>
      <c r="H210" s="683"/>
      <c r="I210" s="683"/>
      <c r="J210" s="683"/>
      <c r="K210" s="683"/>
      <c r="L210" s="683"/>
      <c r="M210" s="683"/>
      <c r="N210" s="683"/>
      <c r="O210" s="683"/>
      <c r="P210" s="714"/>
      <c r="Q210" s="714"/>
      <c r="R210" s="714"/>
      <c r="S210" s="714"/>
      <c r="T210" s="714"/>
      <c r="U210" s="714"/>
      <c r="V210" s="714"/>
      <c r="W210" s="714"/>
      <c r="X210" s="714"/>
      <c r="Y210" s="714"/>
      <c r="Z210" s="714"/>
      <c r="AA210" s="714"/>
      <c r="AB210" s="714"/>
      <c r="AC210" s="714"/>
      <c r="AD210" s="714"/>
      <c r="AE210" s="714"/>
      <c r="AF210" s="714"/>
      <c r="AG210" s="714"/>
      <c r="AI210" s="748"/>
      <c r="AJ210" s="749"/>
      <c r="AK210" s="749"/>
      <c r="AL210" s="749"/>
      <c r="AM210" s="749"/>
      <c r="AN210" s="749"/>
      <c r="AO210" s="749"/>
      <c r="AP210" s="749"/>
      <c r="AQ210" s="749"/>
      <c r="AR210" s="749"/>
      <c r="AS210" s="749"/>
      <c r="AT210" s="749"/>
      <c r="AU210" s="749"/>
      <c r="AV210" s="749"/>
      <c r="AW210" s="749"/>
      <c r="AX210" s="749"/>
      <c r="AY210" s="749"/>
      <c r="AZ210" s="749"/>
      <c r="BA210" s="749"/>
      <c r="BB210" s="749"/>
      <c r="BC210" s="749"/>
      <c r="BD210" s="749"/>
    </row>
    <row r="211" spans="1:56" ht="12.95" customHeight="1">
      <c r="A211" s="678"/>
      <c r="B211" s="683"/>
      <c r="C211" s="683"/>
      <c r="D211" s="683"/>
      <c r="E211" s="683"/>
      <c r="F211" s="683"/>
      <c r="G211" s="683"/>
      <c r="H211" s="683"/>
      <c r="I211" s="683"/>
      <c r="J211" s="683"/>
      <c r="K211" s="683"/>
      <c r="L211" s="683"/>
      <c r="M211" s="683"/>
      <c r="N211" s="683"/>
      <c r="O211" s="683"/>
      <c r="P211" s="714"/>
      <c r="Q211" s="714"/>
      <c r="R211" s="714"/>
      <c r="S211" s="714"/>
      <c r="T211" s="714"/>
      <c r="U211" s="714"/>
      <c r="V211" s="714"/>
      <c r="W211" s="714"/>
      <c r="X211" s="714"/>
      <c r="Y211" s="714"/>
      <c r="Z211" s="714"/>
      <c r="AA211" s="714"/>
      <c r="AB211" s="714"/>
      <c r="AC211" s="714"/>
      <c r="AD211" s="714"/>
      <c r="AE211" s="714"/>
      <c r="AF211" s="714"/>
      <c r="AG211" s="714"/>
      <c r="AI211" s="748"/>
      <c r="AJ211" s="749"/>
      <c r="AK211" s="749"/>
      <c r="AL211" s="749"/>
      <c r="AM211" s="749"/>
      <c r="AN211" s="749"/>
      <c r="AO211" s="749"/>
      <c r="AP211" s="749"/>
      <c r="AQ211" s="749"/>
      <c r="AR211" s="749"/>
      <c r="AS211" s="749"/>
      <c r="AT211" s="749"/>
      <c r="AU211" s="749"/>
      <c r="AV211" s="749"/>
      <c r="AW211" s="749"/>
      <c r="AX211" s="749"/>
      <c r="AY211" s="749"/>
      <c r="AZ211" s="749"/>
      <c r="BA211" s="749"/>
      <c r="BB211" s="749"/>
      <c r="BC211" s="749"/>
      <c r="BD211" s="749"/>
    </row>
    <row r="212" spans="1:56" ht="12.95" customHeight="1">
      <c r="A212" s="678" t="s">
        <v>194</v>
      </c>
      <c r="B212" s="683"/>
      <c r="C212" s="683"/>
      <c r="D212" s="683"/>
      <c r="E212" s="683"/>
      <c r="F212" s="683"/>
      <c r="G212" s="683" t="s">
        <v>105</v>
      </c>
      <c r="H212" s="683">
        <f>V132</f>
        <v>88993.599977316539</v>
      </c>
      <c r="I212" s="683"/>
      <c r="J212" s="683" t="s">
        <v>430</v>
      </c>
      <c r="K212" s="683"/>
      <c r="L212" s="683"/>
      <c r="M212" s="683"/>
      <c r="N212" s="683"/>
      <c r="O212" s="683"/>
      <c r="P212" s="714"/>
      <c r="Q212" s="714"/>
      <c r="R212" s="714"/>
      <c r="S212" s="714"/>
      <c r="T212" s="714"/>
      <c r="U212" s="714"/>
      <c r="V212" s="714"/>
      <c r="W212" s="714"/>
      <c r="X212" s="714"/>
      <c r="Y212" s="714"/>
      <c r="Z212" s="714"/>
      <c r="AA212" s="714"/>
      <c r="AB212" s="714"/>
      <c r="AC212" s="714"/>
      <c r="AD212" s="714"/>
      <c r="AE212" s="714"/>
      <c r="AF212" s="714"/>
      <c r="AG212" s="714"/>
      <c r="AI212" s="748"/>
      <c r="AJ212" s="749"/>
      <c r="AK212" s="749"/>
      <c r="AL212" s="749"/>
      <c r="AM212" s="749"/>
      <c r="AN212" s="749"/>
      <c r="AO212" s="749"/>
      <c r="AP212" s="749"/>
      <c r="AQ212" s="749"/>
      <c r="AR212" s="749"/>
      <c r="AS212" s="749"/>
      <c r="AT212" s="749"/>
      <c r="AU212" s="749"/>
      <c r="AV212" s="749"/>
      <c r="AW212" s="749"/>
      <c r="AX212" s="749"/>
      <c r="AY212" s="749"/>
      <c r="AZ212" s="749"/>
      <c r="BA212" s="749"/>
      <c r="BB212" s="749"/>
      <c r="BC212" s="749"/>
      <c r="BD212" s="749"/>
    </row>
    <row r="213" spans="1:56" ht="12.95" customHeight="1">
      <c r="A213" s="678"/>
      <c r="B213" s="683"/>
      <c r="C213" s="683"/>
      <c r="D213" s="683"/>
      <c r="E213" s="683"/>
      <c r="F213" s="683"/>
      <c r="G213" s="683"/>
      <c r="H213" s="683"/>
      <c r="I213" s="683"/>
      <c r="J213" s="779"/>
      <c r="K213" s="683"/>
      <c r="L213" s="683"/>
      <c r="M213" s="683"/>
      <c r="N213" s="683"/>
      <c r="O213" s="683"/>
      <c r="P213" s="714"/>
      <c r="Q213" s="714"/>
      <c r="R213" s="714"/>
      <c r="S213" s="714"/>
      <c r="T213" s="714"/>
      <c r="U213" s="714"/>
      <c r="V213" s="714"/>
      <c r="W213" s="714"/>
      <c r="X213" s="714"/>
      <c r="Y213" s="714"/>
      <c r="Z213" s="714"/>
      <c r="AA213" s="714"/>
      <c r="AB213" s="714"/>
      <c r="AC213" s="714"/>
      <c r="AD213" s="714"/>
      <c r="AE213" s="714"/>
      <c r="AF213" s="714"/>
      <c r="AG213" s="714"/>
      <c r="AI213" s="748"/>
      <c r="AJ213" s="749"/>
      <c r="AK213" s="749"/>
      <c r="AL213" s="749"/>
      <c r="AM213" s="749"/>
      <c r="AN213" s="749"/>
      <c r="AO213" s="749"/>
      <c r="AP213" s="749"/>
      <c r="AQ213" s="749"/>
      <c r="AR213" s="749"/>
      <c r="AS213" s="749"/>
      <c r="AT213" s="749"/>
      <c r="AU213" s="749"/>
      <c r="AV213" s="749"/>
      <c r="AW213" s="749"/>
      <c r="AX213" s="749"/>
      <c r="AY213" s="749"/>
      <c r="AZ213" s="749"/>
      <c r="BA213" s="749"/>
      <c r="BB213" s="749"/>
      <c r="BC213" s="749"/>
      <c r="BD213" s="749"/>
    </row>
    <row r="214" spans="1:56" ht="12.95" customHeight="1">
      <c r="A214" s="678" t="s">
        <v>196</v>
      </c>
      <c r="B214" s="683"/>
      <c r="C214" s="683"/>
      <c r="D214" s="683"/>
      <c r="E214" s="683"/>
      <c r="F214" s="683"/>
      <c r="G214" s="683" t="s">
        <v>105</v>
      </c>
      <c r="H214" s="682">
        <f>T83</f>
        <v>1488129.8409115241</v>
      </c>
      <c r="I214" s="683"/>
      <c r="J214" s="683" t="s">
        <v>431</v>
      </c>
      <c r="K214" s="683"/>
      <c r="L214" s="683"/>
      <c r="M214" s="683"/>
      <c r="N214" s="683"/>
      <c r="O214" s="683"/>
      <c r="P214" s="714"/>
      <c r="Q214" s="714"/>
      <c r="R214" s="714"/>
      <c r="S214" s="714"/>
      <c r="T214" s="714"/>
      <c r="U214" s="714"/>
      <c r="V214" s="714"/>
      <c r="W214" s="714"/>
      <c r="X214" s="714"/>
      <c r="Y214" s="714"/>
      <c r="Z214" s="714"/>
      <c r="AA214" s="714"/>
      <c r="AB214" s="714"/>
      <c r="AC214" s="714"/>
      <c r="AD214" s="714"/>
      <c r="AE214" s="714"/>
      <c r="AF214" s="714"/>
      <c r="AG214" s="714"/>
      <c r="AI214" s="748"/>
      <c r="AJ214" s="749"/>
      <c r="AK214" s="749"/>
      <c r="AL214" s="749"/>
      <c r="AM214" s="749"/>
      <c r="AN214" s="749"/>
      <c r="AO214" s="749"/>
      <c r="AP214" s="749"/>
      <c r="AQ214" s="749"/>
      <c r="AR214" s="749"/>
      <c r="AS214" s="749"/>
      <c r="AT214" s="749"/>
      <c r="AU214" s="749"/>
      <c r="AV214" s="749"/>
      <c r="AW214" s="749"/>
      <c r="AX214" s="749"/>
      <c r="AY214" s="749"/>
      <c r="AZ214" s="749"/>
      <c r="BA214" s="749"/>
      <c r="BB214" s="749"/>
      <c r="BC214" s="749"/>
      <c r="BD214" s="749"/>
    </row>
    <row r="215" spans="1:56" ht="12.95" customHeight="1">
      <c r="A215" s="678"/>
      <c r="B215" s="683"/>
      <c r="C215" s="683"/>
      <c r="D215" s="683"/>
      <c r="E215" s="683"/>
      <c r="F215" s="683"/>
      <c r="G215" s="683"/>
      <c r="H215" s="683"/>
      <c r="I215" s="683"/>
      <c r="J215" s="683"/>
      <c r="K215" s="683"/>
      <c r="L215" s="683"/>
      <c r="M215" s="683"/>
      <c r="N215" s="683"/>
      <c r="O215" s="683"/>
      <c r="P215" s="714"/>
      <c r="Q215" s="714"/>
      <c r="R215" s="714"/>
      <c r="S215" s="714"/>
      <c r="T215" s="714"/>
      <c r="U215" s="714"/>
      <c r="V215" s="714"/>
      <c r="W215" s="714"/>
      <c r="X215" s="714"/>
      <c r="Y215" s="714"/>
      <c r="Z215" s="714"/>
      <c r="AA215" s="714"/>
      <c r="AB215" s="714"/>
      <c r="AC215" s="714"/>
      <c r="AD215" s="714"/>
      <c r="AE215" s="714"/>
      <c r="AF215" s="714"/>
      <c r="AG215" s="714"/>
      <c r="AI215" s="748"/>
      <c r="AJ215" s="749"/>
      <c r="AK215" s="749"/>
      <c r="AL215" s="749"/>
      <c r="AM215" s="749"/>
      <c r="AN215" s="749"/>
      <c r="AO215" s="749"/>
      <c r="AP215" s="749"/>
      <c r="AQ215" s="749"/>
      <c r="AR215" s="749"/>
      <c r="AS215" s="749"/>
      <c r="AT215" s="749"/>
      <c r="AU215" s="749"/>
      <c r="AV215" s="749"/>
      <c r="AW215" s="749"/>
      <c r="AX215" s="749"/>
      <c r="AY215" s="749"/>
      <c r="AZ215" s="749"/>
      <c r="BA215" s="749"/>
      <c r="BB215" s="749"/>
      <c r="BC215" s="749"/>
      <c r="BD215" s="749"/>
    </row>
    <row r="216" spans="1:56" ht="12.95" customHeight="1">
      <c r="A216" s="678" t="s">
        <v>183</v>
      </c>
      <c r="B216" s="683"/>
      <c r="C216" s="683"/>
      <c r="D216" s="683"/>
      <c r="E216" s="683"/>
      <c r="F216" s="683"/>
      <c r="G216" s="683"/>
      <c r="H216" s="777">
        <f>(H212/H214)*100</f>
        <v>5.980230859614057</v>
      </c>
      <c r="I216" s="683" t="s">
        <v>108</v>
      </c>
      <c r="J216" s="683"/>
      <c r="K216" s="683"/>
      <c r="L216" s="683"/>
      <c r="M216" s="683"/>
      <c r="N216" s="683"/>
      <c r="O216" s="683"/>
      <c r="P216" s="714"/>
      <c r="Q216" s="714"/>
      <c r="R216" s="714"/>
      <c r="S216" s="714"/>
      <c r="T216" s="714"/>
      <c r="U216" s="714"/>
      <c r="V216" s="714"/>
      <c r="W216" s="714"/>
      <c r="X216" s="714"/>
      <c r="Y216" s="714"/>
      <c r="Z216" s="714"/>
      <c r="AA216" s="714"/>
      <c r="AB216" s="714"/>
      <c r="AC216" s="714"/>
      <c r="AD216" s="714"/>
      <c r="AE216" s="714"/>
      <c r="AF216" s="714"/>
      <c r="AG216" s="714"/>
      <c r="AI216" s="748"/>
      <c r="AJ216" s="749"/>
      <c r="AK216" s="749"/>
      <c r="AL216" s="749"/>
      <c r="AM216" s="749"/>
      <c r="AN216" s="749"/>
      <c r="AO216" s="749"/>
      <c r="AP216" s="749"/>
      <c r="AQ216" s="749"/>
      <c r="AR216" s="749"/>
      <c r="AS216" s="749"/>
      <c r="AT216" s="749"/>
      <c r="AU216" s="749"/>
      <c r="AV216" s="749"/>
      <c r="AW216" s="749"/>
      <c r="AX216" s="749"/>
      <c r="AY216" s="749"/>
      <c r="AZ216" s="749"/>
      <c r="BA216" s="749"/>
      <c r="BB216" s="749"/>
      <c r="BC216" s="749"/>
      <c r="BD216" s="749"/>
    </row>
    <row r="217" spans="1:56" ht="12.95" customHeight="1">
      <c r="A217" s="678" t="s">
        <v>185</v>
      </c>
      <c r="B217" s="683"/>
      <c r="C217" s="683"/>
      <c r="D217" s="683"/>
      <c r="E217" s="683"/>
      <c r="F217" s="683"/>
      <c r="G217" s="683"/>
      <c r="H217" s="683"/>
      <c r="I217" s="683"/>
      <c r="J217" s="683"/>
      <c r="K217" s="683"/>
      <c r="L217" s="683"/>
      <c r="M217" s="683"/>
      <c r="N217" s="683"/>
      <c r="O217" s="683"/>
      <c r="P217" s="714"/>
      <c r="Q217" s="714"/>
      <c r="R217" s="714"/>
      <c r="S217" s="714"/>
      <c r="T217" s="714"/>
      <c r="U217" s="714"/>
      <c r="V217" s="714"/>
      <c r="W217" s="714"/>
      <c r="X217" s="714"/>
      <c r="Y217" s="714"/>
      <c r="Z217" s="714"/>
      <c r="AA217" s="714"/>
      <c r="AB217" s="714"/>
      <c r="AC217" s="714"/>
      <c r="AD217" s="714"/>
      <c r="AE217" s="714"/>
      <c r="AF217" s="714"/>
      <c r="AG217" s="714"/>
      <c r="AI217" s="748"/>
      <c r="AJ217" s="749"/>
      <c r="AK217" s="749"/>
      <c r="AL217" s="749"/>
      <c r="AM217" s="749"/>
      <c r="AN217" s="749"/>
      <c r="AO217" s="749"/>
      <c r="AP217" s="749"/>
      <c r="AQ217" s="749"/>
      <c r="AR217" s="749"/>
      <c r="AS217" s="749"/>
      <c r="AT217" s="749"/>
      <c r="AU217" s="749"/>
      <c r="AV217" s="749"/>
      <c r="AW217" s="749"/>
      <c r="AX217" s="749"/>
      <c r="AY217" s="749"/>
      <c r="AZ217" s="749"/>
      <c r="BA217" s="749"/>
      <c r="BB217" s="749"/>
      <c r="BC217" s="749"/>
      <c r="BD217" s="749"/>
    </row>
    <row r="218" spans="1:56" ht="12.95" customHeight="1">
      <c r="A218" s="678" t="s">
        <v>186</v>
      </c>
      <c r="B218" s="683"/>
      <c r="C218" s="683"/>
      <c r="D218" s="683"/>
      <c r="E218" s="683"/>
      <c r="F218" s="683"/>
      <c r="G218" s="683"/>
      <c r="H218" s="683"/>
      <c r="I218" s="683"/>
      <c r="J218" s="683"/>
      <c r="K218" s="683"/>
      <c r="L218" s="683"/>
      <c r="M218" s="683"/>
      <c r="N218" s="683"/>
      <c r="O218" s="683"/>
      <c r="P218" s="714"/>
      <c r="Q218" s="714"/>
      <c r="R218" s="714"/>
      <c r="S218" s="714"/>
      <c r="T218" s="714"/>
      <c r="U218" s="714"/>
      <c r="V218" s="714"/>
      <c r="W218" s="714"/>
      <c r="X218" s="714"/>
      <c r="Y218" s="714"/>
      <c r="Z218" s="714"/>
      <c r="AA218" s="714"/>
      <c r="AB218" s="714"/>
      <c r="AC218" s="714"/>
      <c r="AD218" s="714"/>
      <c r="AE218" s="714"/>
      <c r="AF218" s="714"/>
      <c r="AG218" s="714"/>
      <c r="AI218" s="748"/>
      <c r="AJ218" s="749"/>
      <c r="AK218" s="749"/>
      <c r="AL218" s="749"/>
      <c r="AM218" s="749"/>
      <c r="AN218" s="749"/>
      <c r="AO218" s="749"/>
      <c r="AP218" s="749"/>
      <c r="AQ218" s="749"/>
      <c r="AR218" s="749"/>
      <c r="AS218" s="749"/>
      <c r="AT218" s="749"/>
      <c r="AU218" s="749"/>
      <c r="AV218" s="749"/>
      <c r="AW218" s="749"/>
      <c r="AX218" s="749"/>
      <c r="AY218" s="749"/>
      <c r="AZ218" s="749"/>
      <c r="BA218" s="749"/>
      <c r="BB218" s="749"/>
      <c r="BC218" s="749"/>
      <c r="BD218" s="749"/>
    </row>
    <row r="219" spans="1:56" ht="12.95" customHeight="1">
      <c r="A219" s="678" t="s">
        <v>174</v>
      </c>
      <c r="B219" s="683"/>
      <c r="C219" s="683"/>
      <c r="D219" s="683"/>
      <c r="E219" s="683"/>
      <c r="F219" s="683"/>
      <c r="G219" s="683"/>
      <c r="H219" s="774">
        <f>H192</f>
        <v>-1.22</v>
      </c>
      <c r="I219" s="683" t="s">
        <v>108</v>
      </c>
      <c r="J219" s="683"/>
      <c r="K219" s="683"/>
      <c r="L219" s="683"/>
      <c r="M219" s="683"/>
      <c r="N219" s="683"/>
      <c r="O219" s="683"/>
      <c r="P219" s="714"/>
      <c r="Q219" s="714"/>
      <c r="R219" s="714"/>
      <c r="S219" s="714"/>
      <c r="T219" s="714"/>
      <c r="U219" s="714"/>
      <c r="V219" s="714"/>
      <c r="W219" s="714"/>
      <c r="X219" s="714"/>
      <c r="Y219" s="714"/>
      <c r="Z219" s="714"/>
      <c r="AA219" s="714"/>
      <c r="AB219" s="714"/>
      <c r="AC219" s="714"/>
      <c r="AD219" s="714"/>
      <c r="AE219" s="714"/>
      <c r="AF219" s="714"/>
      <c r="AG219" s="714"/>
      <c r="AI219" s="748"/>
      <c r="AJ219" s="749"/>
      <c r="AK219" s="749"/>
      <c r="AL219" s="749"/>
      <c r="AM219" s="749"/>
      <c r="AN219" s="749"/>
      <c r="AO219" s="749"/>
      <c r="AP219" s="749"/>
      <c r="AQ219" s="749"/>
      <c r="AR219" s="749"/>
      <c r="AS219" s="749"/>
      <c r="AT219" s="749"/>
      <c r="AU219" s="749"/>
      <c r="AV219" s="749"/>
      <c r="AW219" s="749"/>
      <c r="AX219" s="749"/>
      <c r="AY219" s="749"/>
      <c r="AZ219" s="749"/>
      <c r="BA219" s="749"/>
      <c r="BB219" s="749"/>
      <c r="BC219" s="749"/>
      <c r="BD219" s="749"/>
    </row>
    <row r="220" spans="1:56" ht="12.95" customHeight="1">
      <c r="A220" s="678" t="s">
        <v>175</v>
      </c>
      <c r="B220" s="683"/>
      <c r="C220" s="683"/>
      <c r="D220" s="683"/>
      <c r="E220" s="683"/>
      <c r="F220" s="683"/>
      <c r="G220" s="683"/>
      <c r="H220" s="774">
        <f>H193</f>
        <v>-0.05</v>
      </c>
      <c r="I220" s="683" t="s">
        <v>108</v>
      </c>
      <c r="J220" s="683"/>
      <c r="K220" s="683"/>
      <c r="L220" s="683"/>
      <c r="M220" s="683"/>
      <c r="N220" s="683"/>
      <c r="O220" s="683"/>
      <c r="P220" s="714"/>
      <c r="Q220" s="714"/>
      <c r="R220" s="714"/>
      <c r="S220" s="714"/>
      <c r="T220" s="714"/>
      <c r="U220" s="714"/>
      <c r="V220" s="714"/>
      <c r="W220" s="714"/>
      <c r="X220" s="714"/>
      <c r="Y220" s="714"/>
      <c r="Z220" s="714"/>
      <c r="AA220" s="714"/>
      <c r="AB220" s="714"/>
      <c r="AC220" s="714"/>
      <c r="AD220" s="714"/>
      <c r="AE220" s="714"/>
      <c r="AF220" s="714"/>
      <c r="AG220" s="714"/>
      <c r="AI220" s="748"/>
      <c r="AJ220" s="749"/>
      <c r="AK220" s="749"/>
      <c r="AL220" s="749"/>
      <c r="AM220" s="749"/>
      <c r="AN220" s="749"/>
      <c r="AO220" s="749"/>
      <c r="AP220" s="749"/>
      <c r="AQ220" s="749"/>
      <c r="AR220" s="749"/>
      <c r="AS220" s="749"/>
      <c r="AT220" s="749"/>
      <c r="AU220" s="749"/>
      <c r="AV220" s="749"/>
      <c r="AW220" s="749"/>
      <c r="AX220" s="749"/>
      <c r="AY220" s="749"/>
      <c r="AZ220" s="749"/>
      <c r="BA220" s="749"/>
      <c r="BB220" s="749"/>
      <c r="BC220" s="749"/>
      <c r="BD220" s="749"/>
    </row>
    <row r="221" spans="1:56" ht="12.95" customHeight="1">
      <c r="A221" s="678" t="s">
        <v>187</v>
      </c>
      <c r="B221" s="683"/>
      <c r="C221" s="683"/>
      <c r="D221" s="683"/>
      <c r="E221" s="683"/>
      <c r="F221" s="683"/>
      <c r="G221" s="683"/>
      <c r="H221" s="774">
        <f>H194</f>
        <v>0</v>
      </c>
      <c r="I221" s="683" t="s">
        <v>108</v>
      </c>
      <c r="J221" s="683"/>
      <c r="K221" s="683"/>
      <c r="L221" s="683"/>
      <c r="M221" s="683"/>
      <c r="N221" s="683"/>
      <c r="O221" s="683"/>
      <c r="P221" s="714"/>
      <c r="Q221" s="714"/>
      <c r="R221" s="714"/>
      <c r="S221" s="714"/>
      <c r="T221" s="714"/>
      <c r="U221" s="714"/>
      <c r="V221" s="714"/>
      <c r="W221" s="714"/>
      <c r="X221" s="714"/>
      <c r="Y221" s="714"/>
      <c r="Z221" s="714"/>
      <c r="AA221" s="714"/>
      <c r="AB221" s="714"/>
      <c r="AC221" s="714"/>
      <c r="AD221" s="714"/>
      <c r="AE221" s="714"/>
      <c r="AF221" s="714"/>
      <c r="AG221" s="714"/>
      <c r="AI221" s="748"/>
      <c r="AJ221" s="749"/>
      <c r="AK221" s="749"/>
      <c r="AL221" s="749"/>
      <c r="AM221" s="749"/>
      <c r="AN221" s="749"/>
      <c r="AO221" s="749"/>
      <c r="AP221" s="749"/>
      <c r="AQ221" s="749"/>
      <c r="AR221" s="749"/>
      <c r="AS221" s="749"/>
      <c r="AT221" s="749"/>
      <c r="AU221" s="749"/>
      <c r="AV221" s="749"/>
      <c r="AW221" s="749"/>
      <c r="AX221" s="749"/>
      <c r="AY221" s="749"/>
      <c r="AZ221" s="749"/>
      <c r="BA221" s="749"/>
      <c r="BB221" s="749"/>
      <c r="BC221" s="749"/>
      <c r="BD221" s="749"/>
    </row>
    <row r="222" spans="1:56" ht="12.95" customHeight="1">
      <c r="A222" s="678" t="s">
        <v>17</v>
      </c>
      <c r="B222" s="683"/>
      <c r="C222" s="683"/>
      <c r="D222" s="683"/>
      <c r="E222" s="683"/>
      <c r="F222" s="683"/>
      <c r="G222" s="683"/>
      <c r="H222" s="774">
        <f>H195</f>
        <v>-0.04</v>
      </c>
      <c r="I222" s="683" t="s">
        <v>108</v>
      </c>
      <c r="J222" s="683"/>
      <c r="K222" s="683"/>
      <c r="L222" s="683"/>
      <c r="M222" s="683"/>
      <c r="N222" s="683"/>
      <c r="O222" s="683"/>
      <c r="P222" s="714"/>
      <c r="Q222" s="714"/>
      <c r="R222" s="714"/>
      <c r="S222" s="714"/>
      <c r="T222" s="714"/>
      <c r="U222" s="714"/>
      <c r="V222" s="714"/>
      <c r="W222" s="714"/>
      <c r="X222" s="714"/>
      <c r="Y222" s="714"/>
      <c r="Z222" s="714"/>
      <c r="AA222" s="714"/>
      <c r="AB222" s="714"/>
      <c r="AC222" s="714"/>
      <c r="AD222" s="714"/>
      <c r="AE222" s="714"/>
      <c r="AF222" s="714"/>
      <c r="AG222" s="714"/>
      <c r="AI222" s="748"/>
      <c r="AJ222" s="749"/>
      <c r="AK222" s="749"/>
      <c r="AL222" s="749"/>
      <c r="AM222" s="749"/>
      <c r="AN222" s="749"/>
      <c r="AO222" s="749"/>
      <c r="AP222" s="749"/>
      <c r="AQ222" s="749"/>
      <c r="AR222" s="749"/>
      <c r="AS222" s="749"/>
      <c r="AT222" s="749"/>
      <c r="AU222" s="749"/>
      <c r="AV222" s="749"/>
      <c r="AW222" s="749"/>
      <c r="AX222" s="749"/>
      <c r="AY222" s="749"/>
      <c r="AZ222" s="749"/>
      <c r="BA222" s="749"/>
      <c r="BB222" s="749"/>
      <c r="BC222" s="749"/>
      <c r="BD222" s="749"/>
    </row>
    <row r="223" spans="1:56" ht="12.95" customHeight="1">
      <c r="A223" s="678" t="s">
        <v>188</v>
      </c>
      <c r="B223" s="683"/>
      <c r="C223" s="683"/>
      <c r="D223" s="683"/>
      <c r="E223" s="683"/>
      <c r="F223" s="683"/>
      <c r="G223" s="683"/>
      <c r="H223" s="774">
        <f>H196</f>
        <v>0</v>
      </c>
      <c r="I223" s="683" t="s">
        <v>108</v>
      </c>
      <c r="J223" s="683"/>
      <c r="K223" s="683"/>
      <c r="L223" s="683"/>
      <c r="M223" s="683"/>
      <c r="N223" s="683"/>
      <c r="O223" s="683"/>
      <c r="P223" s="714"/>
      <c r="Q223" s="714"/>
      <c r="R223" s="714"/>
      <c r="S223" s="714"/>
      <c r="T223" s="714"/>
      <c r="U223" s="714"/>
      <c r="V223" s="714"/>
      <c r="W223" s="714"/>
      <c r="X223" s="714"/>
      <c r="Y223" s="714"/>
      <c r="Z223" s="714"/>
      <c r="AA223" s="714"/>
      <c r="AB223" s="714"/>
      <c r="AC223" s="714"/>
      <c r="AD223" s="714"/>
      <c r="AE223" s="714"/>
      <c r="AF223" s="714"/>
      <c r="AG223" s="714"/>
      <c r="AI223" s="748"/>
      <c r="AJ223" s="749"/>
      <c r="AK223" s="749"/>
      <c r="AL223" s="749"/>
      <c r="AM223" s="749"/>
      <c r="AN223" s="749"/>
      <c r="AO223" s="749"/>
      <c r="AP223" s="749"/>
      <c r="AQ223" s="749"/>
      <c r="AR223" s="749"/>
      <c r="AS223" s="749"/>
      <c r="AT223" s="749"/>
      <c r="AU223" s="749"/>
      <c r="AV223" s="749"/>
      <c r="AW223" s="749"/>
      <c r="AX223" s="749"/>
      <c r="AY223" s="749"/>
      <c r="AZ223" s="749"/>
      <c r="BA223" s="749"/>
      <c r="BB223" s="749"/>
      <c r="BC223" s="749"/>
      <c r="BD223" s="749"/>
    </row>
    <row r="224" spans="1:56" ht="12.95" customHeight="1">
      <c r="A224" s="678" t="s">
        <v>189</v>
      </c>
      <c r="B224" s="683"/>
      <c r="C224" s="683"/>
      <c r="D224" s="683"/>
      <c r="E224" s="683"/>
      <c r="F224" s="683"/>
      <c r="G224" s="683"/>
      <c r="H224" s="776">
        <f>SUM(H219:H223)</f>
        <v>-1.31</v>
      </c>
      <c r="I224" s="683" t="s">
        <v>108</v>
      </c>
      <c r="J224" s="683"/>
      <c r="K224" s="683"/>
      <c r="L224" s="683"/>
      <c r="M224" s="683"/>
      <c r="N224" s="683"/>
      <c r="O224" s="683"/>
      <c r="P224" s="714"/>
      <c r="Q224" s="714"/>
      <c r="R224" s="714"/>
      <c r="S224" s="714"/>
      <c r="T224" s="714"/>
      <c r="U224" s="714"/>
      <c r="V224" s="714"/>
      <c r="W224" s="714"/>
      <c r="X224" s="714"/>
      <c r="Y224" s="714"/>
      <c r="Z224" s="714"/>
      <c r="AA224" s="714"/>
      <c r="AB224" s="714"/>
      <c r="AC224" s="714"/>
      <c r="AD224" s="714"/>
      <c r="AE224" s="714"/>
      <c r="AF224" s="714"/>
      <c r="AG224" s="714"/>
      <c r="AI224" s="748"/>
      <c r="AJ224" s="749"/>
      <c r="AK224" s="749"/>
      <c r="AL224" s="749"/>
      <c r="AM224" s="749"/>
      <c r="AN224" s="749"/>
      <c r="AO224" s="749"/>
      <c r="AP224" s="749"/>
      <c r="AQ224" s="749"/>
      <c r="AR224" s="749"/>
      <c r="AS224" s="749"/>
      <c r="AT224" s="749"/>
      <c r="AU224" s="749"/>
      <c r="AV224" s="749"/>
      <c r="AW224" s="749"/>
      <c r="AX224" s="749"/>
      <c r="AY224" s="749"/>
      <c r="AZ224" s="749"/>
      <c r="BA224" s="749"/>
      <c r="BB224" s="749"/>
      <c r="BC224" s="749"/>
      <c r="BD224" s="749"/>
    </row>
    <row r="225" spans="1:56" ht="12.95" customHeight="1">
      <c r="A225" s="678"/>
      <c r="B225" s="683"/>
      <c r="C225" s="683"/>
      <c r="D225" s="683"/>
      <c r="E225" s="683"/>
      <c r="F225" s="683"/>
      <c r="G225" s="683"/>
      <c r="H225" s="683"/>
      <c r="I225" s="683"/>
      <c r="J225" s="683"/>
      <c r="K225" s="683"/>
      <c r="L225" s="683"/>
      <c r="M225" s="683"/>
      <c r="N225" s="683"/>
      <c r="O225" s="683"/>
      <c r="P225" s="714"/>
      <c r="Q225" s="714"/>
      <c r="R225" s="714"/>
      <c r="S225" s="714"/>
      <c r="T225" s="714"/>
      <c r="U225" s="714"/>
      <c r="V225" s="714"/>
      <c r="W225" s="714"/>
      <c r="X225" s="714"/>
      <c r="Y225" s="714"/>
      <c r="Z225" s="714"/>
      <c r="AA225" s="714"/>
      <c r="AB225" s="714"/>
      <c r="AC225" s="714"/>
      <c r="AD225" s="714"/>
      <c r="AE225" s="714"/>
      <c r="AF225" s="714"/>
      <c r="AG225" s="714"/>
      <c r="AI225" s="748"/>
      <c r="AJ225" s="749"/>
      <c r="AK225" s="749"/>
      <c r="AL225" s="749"/>
      <c r="AM225" s="749"/>
      <c r="AN225" s="749"/>
      <c r="AO225" s="749"/>
      <c r="AP225" s="749"/>
      <c r="AQ225" s="749"/>
      <c r="AR225" s="749"/>
      <c r="AS225" s="749"/>
      <c r="AT225" s="749"/>
      <c r="AU225" s="749"/>
      <c r="AV225" s="749"/>
      <c r="AW225" s="749"/>
      <c r="AX225" s="749"/>
      <c r="AY225" s="749"/>
      <c r="AZ225" s="749"/>
      <c r="BA225" s="749"/>
      <c r="BB225" s="749"/>
      <c r="BC225" s="749"/>
      <c r="BD225" s="749"/>
    </row>
    <row r="226" spans="1:56" ht="12.95" customHeight="1">
      <c r="A226" s="678" t="s">
        <v>1</v>
      </c>
      <c r="B226" s="683"/>
      <c r="C226" s="683"/>
      <c r="D226" s="683"/>
      <c r="E226" s="683"/>
      <c r="F226" s="683"/>
      <c r="G226" s="683"/>
      <c r="H226" s="774">
        <f>H216+H224</f>
        <v>4.6702308596140565</v>
      </c>
      <c r="I226" s="683" t="s">
        <v>108</v>
      </c>
      <c r="J226" s="683"/>
      <c r="K226" s="683"/>
      <c r="L226" s="683"/>
      <c r="M226" s="683"/>
      <c r="N226" s="683"/>
      <c r="O226" s="683"/>
      <c r="P226" s="714"/>
      <c r="Q226" s="714"/>
      <c r="R226" s="714"/>
      <c r="S226" s="714"/>
      <c r="T226" s="714"/>
      <c r="U226" s="714"/>
      <c r="V226" s="714"/>
      <c r="W226" s="714"/>
      <c r="X226" s="714"/>
      <c r="Y226" s="714"/>
      <c r="Z226" s="714"/>
      <c r="AA226" s="714"/>
      <c r="AB226" s="714"/>
      <c r="AC226" s="714"/>
      <c r="AD226" s="714"/>
      <c r="AE226" s="714"/>
      <c r="AF226" s="714"/>
      <c r="AG226" s="714"/>
      <c r="AI226" s="748"/>
      <c r="AJ226" s="749"/>
      <c r="AK226" s="749"/>
      <c r="AL226" s="749"/>
      <c r="AM226" s="749"/>
      <c r="AN226" s="749"/>
      <c r="AO226" s="749"/>
      <c r="AP226" s="749"/>
      <c r="AQ226" s="749"/>
      <c r="AR226" s="749"/>
      <c r="AS226" s="749"/>
      <c r="AT226" s="749"/>
      <c r="AU226" s="749"/>
      <c r="AV226" s="749"/>
      <c r="AW226" s="749"/>
      <c r="AX226" s="749"/>
      <c r="AY226" s="749"/>
      <c r="AZ226" s="749"/>
      <c r="BA226" s="749"/>
      <c r="BB226" s="749"/>
      <c r="BC226" s="749"/>
      <c r="BD226" s="749"/>
    </row>
    <row r="227" spans="1:56" ht="12.95" customHeight="1">
      <c r="A227" s="678"/>
      <c r="B227" s="683"/>
      <c r="C227" s="683"/>
      <c r="D227" s="683"/>
      <c r="E227" s="683"/>
      <c r="F227" s="683"/>
      <c r="G227" s="683"/>
      <c r="H227" s="683"/>
      <c r="I227" s="683"/>
      <c r="J227" s="683"/>
      <c r="K227" s="683"/>
      <c r="L227" s="683"/>
      <c r="M227" s="683"/>
      <c r="N227" s="683"/>
      <c r="O227" s="683"/>
      <c r="P227" s="714"/>
      <c r="Q227" s="714"/>
      <c r="R227" s="714"/>
      <c r="S227" s="714"/>
      <c r="T227" s="714"/>
      <c r="U227" s="714"/>
      <c r="V227" s="714"/>
      <c r="W227" s="714"/>
      <c r="X227" s="714"/>
      <c r="Y227" s="714"/>
      <c r="Z227" s="714"/>
      <c r="AA227" s="714"/>
      <c r="AB227" s="714"/>
      <c r="AC227" s="714"/>
      <c r="AD227" s="714"/>
      <c r="AE227" s="714"/>
      <c r="AF227" s="714"/>
      <c r="AG227" s="714"/>
      <c r="AI227" s="748"/>
      <c r="AJ227" s="749"/>
      <c r="AK227" s="749"/>
      <c r="AL227" s="749"/>
      <c r="AM227" s="749"/>
      <c r="AN227" s="749"/>
      <c r="AO227" s="749"/>
      <c r="AP227" s="749"/>
      <c r="AQ227" s="749"/>
      <c r="AR227" s="749"/>
      <c r="AS227" s="749"/>
      <c r="AT227" s="749"/>
      <c r="AU227" s="749"/>
      <c r="AV227" s="749"/>
      <c r="AW227" s="749"/>
      <c r="AX227" s="749"/>
      <c r="AY227" s="749"/>
      <c r="AZ227" s="749"/>
      <c r="BA227" s="749"/>
      <c r="BB227" s="749"/>
      <c r="BC227" s="749"/>
      <c r="BD227" s="749"/>
    </row>
    <row r="228" spans="1:56" ht="12.95" customHeight="1">
      <c r="A228" s="678" t="s">
        <v>190</v>
      </c>
      <c r="B228" s="683"/>
      <c r="C228" s="683"/>
      <c r="D228" s="683"/>
      <c r="E228" s="683"/>
      <c r="F228" s="683"/>
      <c r="G228" s="683"/>
      <c r="H228" s="777">
        <f>H201</f>
        <v>45.82</v>
      </c>
      <c r="I228" s="683" t="s">
        <v>108</v>
      </c>
      <c r="J228" s="683"/>
      <c r="K228" s="683"/>
      <c r="L228" s="683"/>
      <c r="M228" s="683"/>
      <c r="N228" s="683"/>
      <c r="O228" s="683"/>
      <c r="P228" s="714"/>
      <c r="Q228" s="714"/>
      <c r="R228" s="714"/>
      <c r="S228" s="714"/>
      <c r="T228" s="714"/>
      <c r="U228" s="714"/>
      <c r="V228" s="714"/>
      <c r="W228" s="714"/>
      <c r="X228" s="714"/>
      <c r="Y228" s="714"/>
      <c r="Z228" s="714"/>
      <c r="AA228" s="714"/>
      <c r="AB228" s="714"/>
      <c r="AC228" s="714"/>
      <c r="AD228" s="714"/>
      <c r="AE228" s="714"/>
      <c r="AF228" s="714"/>
      <c r="AG228" s="714"/>
      <c r="AI228" s="748"/>
      <c r="AJ228" s="749"/>
      <c r="AK228" s="749"/>
      <c r="AL228" s="749"/>
      <c r="AM228" s="749"/>
      <c r="AN228" s="749"/>
      <c r="AO228" s="749"/>
      <c r="AP228" s="749"/>
      <c r="AQ228" s="749"/>
      <c r="AR228" s="749"/>
      <c r="AS228" s="749"/>
      <c r="AT228" s="749"/>
      <c r="AU228" s="749"/>
      <c r="AV228" s="749"/>
      <c r="AW228" s="749"/>
      <c r="AX228" s="749"/>
      <c r="AY228" s="749"/>
      <c r="AZ228" s="749"/>
      <c r="BA228" s="749"/>
      <c r="BB228" s="749"/>
      <c r="BC228" s="749"/>
      <c r="BD228" s="749"/>
    </row>
    <row r="229" spans="1:56" ht="12.95" customHeight="1">
      <c r="A229" s="678"/>
      <c r="B229" s="683"/>
      <c r="C229" s="683"/>
      <c r="D229" s="683"/>
      <c r="E229" s="683"/>
      <c r="F229" s="683"/>
      <c r="G229" s="683"/>
      <c r="H229" s="683"/>
      <c r="I229" s="683"/>
      <c r="J229" s="683"/>
      <c r="K229" s="683"/>
      <c r="L229" s="683"/>
      <c r="M229" s="683"/>
      <c r="N229" s="683"/>
      <c r="O229" s="683"/>
      <c r="P229" s="714"/>
      <c r="Q229" s="714"/>
      <c r="R229" s="714"/>
      <c r="S229" s="714"/>
      <c r="T229" s="714"/>
      <c r="U229" s="714"/>
      <c r="V229" s="714"/>
      <c r="W229" s="714"/>
      <c r="X229" s="714"/>
      <c r="Y229" s="714"/>
      <c r="Z229" s="714"/>
      <c r="AA229" s="714"/>
      <c r="AB229" s="714"/>
      <c r="AC229" s="714"/>
      <c r="AD229" s="714"/>
      <c r="AE229" s="714"/>
      <c r="AF229" s="714"/>
      <c r="AG229" s="714"/>
      <c r="AI229" s="748"/>
      <c r="AJ229" s="749"/>
      <c r="AK229" s="749"/>
      <c r="AL229" s="749"/>
      <c r="AM229" s="749"/>
      <c r="AN229" s="749"/>
      <c r="AO229" s="749"/>
      <c r="AP229" s="749"/>
      <c r="AQ229" s="749"/>
      <c r="AR229" s="749"/>
      <c r="AS229" s="749"/>
      <c r="AT229" s="749"/>
      <c r="AU229" s="749"/>
      <c r="AV229" s="749"/>
      <c r="AW229" s="749"/>
      <c r="AX229" s="749"/>
      <c r="AY229" s="749"/>
      <c r="AZ229" s="749"/>
      <c r="BA229" s="749"/>
      <c r="BB229" s="749"/>
      <c r="BC229" s="749"/>
      <c r="BD229" s="749"/>
    </row>
    <row r="230" spans="1:56" ht="12.95" customHeight="1" thickBot="1">
      <c r="A230" s="678" t="s">
        <v>191</v>
      </c>
      <c r="B230" s="683"/>
      <c r="C230" s="683"/>
      <c r="D230" s="683"/>
      <c r="E230" s="683"/>
      <c r="F230" s="683"/>
      <c r="G230" s="683"/>
      <c r="H230" s="778">
        <f>(H226)/(H228/100)</f>
        <v>10.192559711073891</v>
      </c>
      <c r="I230" s="683" t="s">
        <v>108</v>
      </c>
      <c r="J230" s="683"/>
      <c r="K230" s="683"/>
      <c r="L230" s="683"/>
      <c r="M230" s="683"/>
      <c r="N230" s="683"/>
      <c r="O230" s="683"/>
      <c r="P230" s="714"/>
      <c r="Q230" s="714"/>
      <c r="R230" s="714"/>
      <c r="S230" s="714"/>
      <c r="T230" s="714"/>
      <c r="U230" s="714"/>
      <c r="V230" s="714"/>
      <c r="W230" s="714"/>
      <c r="X230" s="714"/>
      <c r="Y230" s="714"/>
      <c r="Z230" s="714"/>
      <c r="AA230" s="714"/>
      <c r="AB230" s="714"/>
      <c r="AC230" s="714"/>
      <c r="AD230" s="714"/>
      <c r="AE230" s="714"/>
      <c r="AF230" s="714"/>
      <c r="AG230" s="714"/>
      <c r="AI230" s="748"/>
      <c r="AJ230" s="749"/>
      <c r="AK230" s="749"/>
      <c r="AL230" s="749"/>
      <c r="AM230" s="749"/>
      <c r="AN230" s="749"/>
      <c r="AO230" s="749"/>
      <c r="AP230" s="749"/>
      <c r="AQ230" s="749"/>
      <c r="AR230" s="749"/>
      <c r="AS230" s="749"/>
      <c r="AT230" s="749"/>
      <c r="AU230" s="749"/>
      <c r="AV230" s="749"/>
      <c r="AW230" s="749"/>
      <c r="AX230" s="749"/>
      <c r="AY230" s="749"/>
      <c r="AZ230" s="749"/>
      <c r="BA230" s="749"/>
      <c r="BB230" s="749"/>
      <c r="BC230" s="749"/>
      <c r="BD230" s="749"/>
    </row>
    <row r="231" spans="1:56" ht="13.5" thickTop="1">
      <c r="A231" s="678"/>
      <c r="B231" s="683"/>
      <c r="C231" s="683"/>
      <c r="D231" s="683"/>
      <c r="E231" s="683"/>
      <c r="F231" s="683"/>
      <c r="G231" s="683"/>
      <c r="H231" s="683"/>
      <c r="I231" s="683"/>
      <c r="J231" s="683"/>
      <c r="K231" s="683"/>
      <c r="L231" s="683"/>
      <c r="M231" s="683"/>
      <c r="N231" s="714"/>
      <c r="O231" s="714"/>
      <c r="P231" s="714"/>
      <c r="Q231" s="714"/>
      <c r="R231" s="714"/>
      <c r="S231" s="714"/>
      <c r="T231" s="714"/>
      <c r="U231" s="714"/>
      <c r="V231" s="714"/>
      <c r="W231" s="714"/>
      <c r="X231" s="714"/>
      <c r="Y231" s="714"/>
      <c r="Z231" s="714"/>
      <c r="AA231" s="714"/>
      <c r="AB231" s="714"/>
      <c r="AC231" s="714"/>
      <c r="AD231" s="714"/>
      <c r="AE231" s="714"/>
      <c r="AF231" s="714"/>
      <c r="AG231" s="714"/>
      <c r="AI231" s="748"/>
      <c r="AJ231" s="749"/>
      <c r="AK231" s="749"/>
      <c r="AL231" s="749"/>
      <c r="AM231" s="749"/>
      <c r="AN231" s="749"/>
      <c r="AO231" s="749"/>
      <c r="AP231" s="749"/>
      <c r="AQ231" s="749"/>
      <c r="AR231" s="749"/>
      <c r="AS231" s="749"/>
      <c r="AT231" s="749"/>
      <c r="AU231" s="749"/>
      <c r="AV231" s="749"/>
      <c r="AW231" s="749"/>
      <c r="AX231" s="749"/>
      <c r="AY231" s="749"/>
      <c r="AZ231" s="749"/>
      <c r="BA231" s="749"/>
      <c r="BB231" s="749"/>
      <c r="BC231" s="749"/>
      <c r="BD231" s="749"/>
    </row>
    <row r="232" spans="1:56">
      <c r="A232" s="715"/>
      <c r="B232" s="714"/>
      <c r="C232" s="714"/>
      <c r="D232" s="714"/>
      <c r="E232" s="714"/>
      <c r="F232" s="714"/>
      <c r="G232" s="714"/>
      <c r="H232" s="714"/>
      <c r="I232" s="714"/>
      <c r="J232" s="714"/>
      <c r="K232" s="714"/>
      <c r="L232" s="714"/>
      <c r="M232" s="714"/>
      <c r="N232" s="714"/>
      <c r="O232" s="714"/>
      <c r="P232" s="714"/>
      <c r="Q232" s="714"/>
      <c r="R232" s="714"/>
      <c r="S232" s="714"/>
      <c r="T232" s="714"/>
      <c r="U232" s="714"/>
      <c r="V232" s="714"/>
      <c r="W232" s="714"/>
      <c r="X232" s="714"/>
      <c r="Y232" s="714"/>
      <c r="Z232" s="714"/>
      <c r="AA232" s="714"/>
      <c r="AB232" s="714"/>
      <c r="AC232" s="714"/>
      <c r="AD232" s="714"/>
      <c r="AE232" s="714"/>
      <c r="AF232" s="714"/>
      <c r="AG232" s="714"/>
      <c r="AI232" s="748"/>
      <c r="AJ232" s="749"/>
      <c r="AK232" s="749"/>
      <c r="AL232" s="749"/>
      <c r="AM232" s="749"/>
      <c r="AN232" s="749"/>
      <c r="AO232" s="749"/>
      <c r="AP232" s="749"/>
      <c r="AQ232" s="749"/>
      <c r="AR232" s="749"/>
      <c r="AS232" s="749"/>
      <c r="AT232" s="749"/>
      <c r="AU232" s="749"/>
      <c r="AV232" s="749"/>
      <c r="AW232" s="749"/>
      <c r="AX232" s="749"/>
      <c r="AY232" s="749"/>
      <c r="AZ232" s="749"/>
      <c r="BA232" s="749"/>
      <c r="BB232" s="749"/>
      <c r="BC232" s="749"/>
      <c r="BD232" s="749"/>
    </row>
    <row r="233" spans="1:56">
      <c r="A233" s="715"/>
      <c r="B233" s="714"/>
      <c r="C233" s="714"/>
      <c r="D233" s="714"/>
      <c r="E233" s="714"/>
      <c r="F233" s="714"/>
      <c r="G233" s="714"/>
      <c r="H233" s="714"/>
      <c r="I233" s="714"/>
      <c r="J233" s="714"/>
      <c r="K233" s="714"/>
      <c r="L233" s="714"/>
      <c r="M233" s="714"/>
      <c r="N233" s="714"/>
      <c r="O233" s="714"/>
      <c r="P233" s="714"/>
      <c r="Q233" s="714"/>
      <c r="R233" s="714"/>
      <c r="S233" s="714"/>
      <c r="T233" s="714"/>
      <c r="U233" s="714"/>
      <c r="V233" s="714"/>
      <c r="W233" s="714"/>
      <c r="X233" s="714"/>
      <c r="Y233" s="714"/>
      <c r="Z233" s="714"/>
      <c r="AA233" s="714"/>
      <c r="AB233" s="714"/>
      <c r="AC233" s="714"/>
      <c r="AD233" s="714"/>
      <c r="AE233" s="714"/>
      <c r="AF233" s="714"/>
      <c r="AG233" s="714"/>
      <c r="AI233" s="748"/>
      <c r="AJ233" s="749"/>
      <c r="AK233" s="749"/>
      <c r="AL233" s="749"/>
      <c r="AM233" s="749"/>
      <c r="AN233" s="749"/>
      <c r="AO233" s="749"/>
      <c r="AP233" s="749"/>
      <c r="AQ233" s="749"/>
      <c r="AR233" s="749"/>
      <c r="AS233" s="749"/>
      <c r="AT233" s="749"/>
      <c r="AU233" s="749"/>
      <c r="AV233" s="749"/>
      <c r="AW233" s="749"/>
      <c r="AX233" s="749"/>
      <c r="AY233" s="749"/>
      <c r="AZ233" s="749"/>
      <c r="BA233" s="749"/>
      <c r="BB233" s="749"/>
      <c r="BC233" s="749"/>
      <c r="BD233" s="749"/>
    </row>
    <row r="234" spans="1:56">
      <c r="A234" s="674"/>
      <c r="B234" s="714"/>
      <c r="C234" s="714"/>
      <c r="D234" s="714"/>
      <c r="E234" s="714"/>
      <c r="F234" s="714"/>
      <c r="G234" s="714"/>
      <c r="H234" s="714"/>
      <c r="I234" s="714"/>
      <c r="J234" s="714"/>
      <c r="K234" s="714"/>
      <c r="L234" s="714"/>
      <c r="M234" s="714"/>
      <c r="N234" s="714"/>
      <c r="O234" s="714"/>
      <c r="P234" s="714"/>
      <c r="Q234" s="714"/>
      <c r="R234" s="714"/>
      <c r="S234" s="714"/>
      <c r="T234" s="714"/>
      <c r="U234" s="714"/>
      <c r="V234" s="714"/>
      <c r="W234" s="714"/>
      <c r="X234" s="714"/>
      <c r="Y234" s="714"/>
      <c r="Z234" s="714"/>
      <c r="AA234" s="714"/>
      <c r="AB234" s="714"/>
      <c r="AC234" s="714"/>
      <c r="AD234" s="714"/>
      <c r="AE234" s="714"/>
      <c r="AF234" s="714"/>
      <c r="AG234" s="714"/>
      <c r="AI234" s="748"/>
      <c r="AJ234" s="749"/>
      <c r="AK234" s="749"/>
      <c r="AL234" s="749"/>
      <c r="AM234" s="749"/>
      <c r="AN234" s="749"/>
      <c r="AO234" s="749"/>
      <c r="AP234" s="749"/>
      <c r="AQ234" s="749"/>
      <c r="AR234" s="749"/>
      <c r="AS234" s="749"/>
      <c r="AT234" s="749"/>
      <c r="AU234" s="749"/>
      <c r="AV234" s="749"/>
      <c r="AW234" s="749"/>
      <c r="AX234" s="749"/>
      <c r="AY234" s="749"/>
      <c r="AZ234" s="749"/>
      <c r="BA234" s="749"/>
      <c r="BB234" s="749"/>
      <c r="BC234" s="749"/>
      <c r="BD234" s="749"/>
    </row>
    <row r="235" spans="1:56">
      <c r="AI235" s="748"/>
      <c r="AJ235" s="749"/>
      <c r="AK235" s="749"/>
      <c r="AL235" s="749"/>
      <c r="AM235" s="749"/>
      <c r="AN235" s="749"/>
      <c r="AO235" s="749"/>
      <c r="AP235" s="749"/>
      <c r="AQ235" s="749"/>
      <c r="AR235" s="749"/>
      <c r="AS235" s="749"/>
      <c r="AT235" s="749"/>
      <c r="AU235" s="749"/>
      <c r="AV235" s="749"/>
      <c r="AW235" s="749"/>
      <c r="AX235" s="749"/>
      <c r="AY235" s="749"/>
      <c r="AZ235" s="749"/>
      <c r="BA235" s="749"/>
      <c r="BB235" s="749"/>
      <c r="BC235" s="749"/>
      <c r="BD235" s="749"/>
    </row>
    <row r="236" spans="1:56">
      <c r="AI236" s="748"/>
      <c r="AJ236" s="749"/>
      <c r="AK236" s="749"/>
      <c r="AL236" s="749"/>
      <c r="AM236" s="749"/>
      <c r="AN236" s="749"/>
      <c r="AO236" s="749"/>
      <c r="AP236" s="749"/>
      <c r="AQ236" s="749"/>
      <c r="AR236" s="749"/>
      <c r="AS236" s="749"/>
      <c r="AT236" s="749"/>
      <c r="AU236" s="749"/>
      <c r="AV236" s="749"/>
      <c r="AW236" s="749"/>
      <c r="AX236" s="749"/>
      <c r="AY236" s="749"/>
      <c r="AZ236" s="749"/>
      <c r="BA236" s="749"/>
      <c r="BB236" s="749"/>
      <c r="BC236" s="749"/>
      <c r="BD236" s="749"/>
    </row>
    <row r="237" spans="1:56">
      <c r="AI237" s="748"/>
      <c r="AJ237" s="749"/>
      <c r="AK237" s="749"/>
      <c r="AL237" s="749"/>
      <c r="AM237" s="749"/>
      <c r="AN237" s="749"/>
      <c r="AO237" s="749"/>
      <c r="AP237" s="749"/>
      <c r="AQ237" s="749"/>
      <c r="AR237" s="749"/>
      <c r="AS237" s="749"/>
      <c r="AT237" s="749"/>
      <c r="AU237" s="749"/>
      <c r="AV237" s="749"/>
      <c r="AW237" s="749"/>
      <c r="AX237" s="749"/>
      <c r="AY237" s="749"/>
      <c r="AZ237" s="749"/>
      <c r="BA237" s="749"/>
      <c r="BB237" s="749"/>
      <c r="BC237" s="749"/>
      <c r="BD237" s="749"/>
    </row>
    <row r="238" spans="1:56">
      <c r="A238" s="671" t="s">
        <v>204</v>
      </c>
      <c r="B238" s="767"/>
      <c r="C238" s="767"/>
      <c r="D238" s="767"/>
      <c r="E238" s="767"/>
      <c r="F238" s="767"/>
      <c r="G238" s="767"/>
      <c r="H238" s="767"/>
      <c r="I238" s="706"/>
      <c r="J238" s="673"/>
      <c r="K238" s="767"/>
      <c r="L238" s="769" t="s">
        <v>198</v>
      </c>
      <c r="M238" s="674"/>
      <c r="N238" s="674"/>
      <c r="O238" s="674"/>
      <c r="P238" s="674"/>
      <c r="Q238" s="674"/>
      <c r="R238" s="674"/>
      <c r="S238" s="674"/>
      <c r="T238" s="674"/>
      <c r="U238" s="674"/>
      <c r="V238" s="674"/>
      <c r="W238" s="674"/>
      <c r="X238" s="674"/>
      <c r="Y238" s="674"/>
      <c r="Z238" s="674"/>
      <c r="AA238" s="674"/>
      <c r="AB238" s="674"/>
      <c r="AC238" s="674"/>
      <c r="AD238" s="674"/>
      <c r="AE238" s="674"/>
      <c r="AF238" s="674"/>
      <c r="AG238" s="674"/>
      <c r="AI238" s="748"/>
      <c r="AJ238" s="749"/>
      <c r="AK238" s="749"/>
      <c r="AL238" s="749"/>
      <c r="AM238" s="749"/>
      <c r="AN238" s="749"/>
      <c r="AO238" s="749"/>
      <c r="AP238" s="749"/>
      <c r="AQ238" s="749"/>
      <c r="AR238" s="749"/>
      <c r="AS238" s="749"/>
      <c r="AT238" s="749"/>
      <c r="AU238" s="749"/>
      <c r="AV238" s="749"/>
      <c r="AW238" s="749"/>
      <c r="AX238" s="749"/>
      <c r="AY238" s="749"/>
      <c r="AZ238" s="749"/>
      <c r="BA238" s="749"/>
      <c r="BB238" s="749"/>
      <c r="BC238" s="749"/>
      <c r="BD238" s="749"/>
    </row>
    <row r="239" spans="1:56">
      <c r="A239" s="671" t="s">
        <v>180</v>
      </c>
      <c r="B239" s="767"/>
      <c r="C239" s="767"/>
      <c r="D239" s="767"/>
      <c r="E239" s="767"/>
      <c r="F239" s="767"/>
      <c r="G239" s="767"/>
      <c r="H239" s="767"/>
      <c r="I239" s="767"/>
      <c r="J239" s="767"/>
      <c r="K239" s="767"/>
      <c r="L239" s="708"/>
      <c r="M239" s="708"/>
      <c r="N239" s="674"/>
      <c r="O239" s="674"/>
      <c r="P239" s="674"/>
      <c r="Q239" s="674"/>
      <c r="R239" s="674"/>
      <c r="S239" s="674"/>
      <c r="T239" s="674"/>
      <c r="U239" s="674"/>
      <c r="V239" s="674"/>
      <c r="W239" s="674"/>
      <c r="X239" s="674"/>
      <c r="Y239" s="674"/>
      <c r="Z239" s="674"/>
      <c r="AA239" s="674"/>
      <c r="AB239" s="674"/>
      <c r="AC239" s="674"/>
      <c r="AD239" s="674"/>
      <c r="AE239" s="674"/>
      <c r="AF239" s="674"/>
      <c r="AG239" s="674"/>
      <c r="AI239" s="748"/>
      <c r="AJ239" s="749"/>
      <c r="AK239" s="749"/>
      <c r="AL239" s="749"/>
      <c r="AM239" s="749"/>
      <c r="AN239" s="749"/>
      <c r="AO239" s="749"/>
      <c r="AP239" s="749"/>
      <c r="AQ239" s="749"/>
      <c r="AR239" s="749"/>
      <c r="AS239" s="749"/>
      <c r="AT239" s="749"/>
      <c r="AU239" s="749"/>
      <c r="AV239" s="749"/>
      <c r="AW239" s="749"/>
      <c r="AX239" s="749"/>
      <c r="AY239" s="749"/>
      <c r="AZ239" s="749"/>
      <c r="BA239" s="749"/>
      <c r="BB239" s="749"/>
      <c r="BC239" s="749"/>
      <c r="BD239" s="749"/>
    </row>
    <row r="240" spans="1:56">
      <c r="A240" s="671" t="s">
        <v>199</v>
      </c>
      <c r="B240" s="767"/>
      <c r="C240" s="767"/>
      <c r="D240" s="767"/>
      <c r="E240" s="767"/>
      <c r="F240" s="767"/>
      <c r="G240" s="767"/>
      <c r="H240" s="767"/>
      <c r="I240" s="767"/>
      <c r="J240" s="767"/>
      <c r="K240" s="767"/>
      <c r="L240" s="708"/>
      <c r="M240" s="708"/>
      <c r="N240" s="674"/>
      <c r="O240" s="674"/>
      <c r="P240" s="674"/>
      <c r="Q240" s="674"/>
      <c r="R240" s="674"/>
      <c r="S240" s="674"/>
      <c r="T240" s="674"/>
      <c r="U240" s="674"/>
      <c r="V240" s="674"/>
      <c r="W240" s="674"/>
      <c r="X240" s="674"/>
      <c r="Y240" s="674"/>
      <c r="Z240" s="674"/>
      <c r="AA240" s="674"/>
      <c r="AB240" s="674"/>
      <c r="AC240" s="674"/>
      <c r="AD240" s="674"/>
      <c r="AE240" s="674"/>
      <c r="AF240" s="674"/>
      <c r="AG240" s="674"/>
      <c r="AI240" s="748"/>
      <c r="AJ240" s="749"/>
      <c r="AK240" s="749"/>
      <c r="AL240" s="749"/>
      <c r="AM240" s="749"/>
      <c r="AN240" s="749"/>
      <c r="AO240" s="749"/>
      <c r="AP240" s="749"/>
      <c r="AQ240" s="749"/>
      <c r="AR240" s="749"/>
      <c r="AS240" s="749"/>
      <c r="AT240" s="749"/>
      <c r="AU240" s="749"/>
      <c r="AV240" s="749"/>
      <c r="AW240" s="749"/>
      <c r="AX240" s="749"/>
      <c r="AY240" s="749"/>
      <c r="AZ240" s="749"/>
      <c r="BA240" s="749"/>
      <c r="BB240" s="749"/>
      <c r="BC240" s="749"/>
      <c r="BD240" s="749"/>
    </row>
    <row r="241" spans="1:56">
      <c r="A241" s="707" t="str">
        <f>A3</f>
        <v>December 2021</v>
      </c>
      <c r="B241" s="767"/>
      <c r="C241" s="767"/>
      <c r="D241" s="767"/>
      <c r="E241" s="767"/>
      <c r="F241" s="767"/>
      <c r="G241" s="767"/>
      <c r="H241" s="767"/>
      <c r="I241" s="767"/>
      <c r="J241" s="767"/>
      <c r="K241" s="767"/>
      <c r="L241" s="708"/>
      <c r="M241" s="708"/>
      <c r="N241" s="674"/>
      <c r="O241" s="674"/>
      <c r="P241" s="674"/>
      <c r="Q241" s="674"/>
      <c r="R241" s="674"/>
      <c r="S241" s="674"/>
      <c r="T241" s="674"/>
      <c r="U241" s="674"/>
      <c r="V241" s="674"/>
      <c r="W241" s="674"/>
      <c r="X241" s="674"/>
      <c r="Y241" s="674"/>
      <c r="Z241" s="674"/>
      <c r="AA241" s="674"/>
      <c r="AB241" s="674"/>
      <c r="AC241" s="674"/>
      <c r="AD241" s="674"/>
      <c r="AE241" s="674"/>
      <c r="AF241" s="674"/>
      <c r="AG241" s="674"/>
      <c r="AI241" s="748"/>
      <c r="AJ241" s="749"/>
      <c r="AK241" s="749"/>
      <c r="AL241" s="749"/>
      <c r="AM241" s="749"/>
      <c r="AN241" s="749"/>
      <c r="AO241" s="749"/>
      <c r="AP241" s="749"/>
      <c r="AQ241" s="749"/>
      <c r="AR241" s="749"/>
      <c r="AS241" s="749"/>
      <c r="AT241" s="749"/>
      <c r="AU241" s="749"/>
      <c r="AV241" s="749"/>
      <c r="AW241" s="749"/>
      <c r="AX241" s="749"/>
      <c r="AY241" s="749"/>
      <c r="AZ241" s="749"/>
      <c r="BA241" s="749"/>
      <c r="BB241" s="749"/>
      <c r="BC241" s="749"/>
      <c r="BD241" s="749"/>
    </row>
    <row r="242" spans="1:56">
      <c r="A242" s="674"/>
      <c r="B242" s="714"/>
      <c r="C242" s="714"/>
      <c r="D242" s="714"/>
      <c r="E242" s="714"/>
      <c r="F242" s="714"/>
      <c r="G242" s="714"/>
      <c r="H242" s="714"/>
      <c r="I242" s="714"/>
      <c r="J242" s="714"/>
      <c r="K242" s="714"/>
      <c r="L242" s="674"/>
      <c r="M242" s="674"/>
      <c r="N242" s="674"/>
      <c r="O242" s="674"/>
      <c r="P242" s="674"/>
      <c r="Q242" s="674"/>
      <c r="R242" s="674"/>
      <c r="S242" s="674"/>
      <c r="T242" s="674"/>
      <c r="U242" s="674"/>
      <c r="V242" s="674"/>
      <c r="W242" s="674"/>
      <c r="X242" s="674"/>
      <c r="Y242" s="674"/>
      <c r="Z242" s="674"/>
      <c r="AA242" s="674"/>
      <c r="AB242" s="674"/>
      <c r="AC242" s="674"/>
      <c r="AD242" s="674"/>
      <c r="AE242" s="674"/>
      <c r="AF242" s="674"/>
      <c r="AG242" s="674"/>
      <c r="AI242" s="748"/>
      <c r="AJ242" s="749"/>
      <c r="AK242" s="749"/>
      <c r="AL242" s="749"/>
      <c r="AM242" s="749"/>
      <c r="AN242" s="749"/>
      <c r="AO242" s="749"/>
      <c r="AP242" s="749"/>
      <c r="AQ242" s="749"/>
      <c r="AR242" s="749"/>
      <c r="AS242" s="749"/>
      <c r="AT242" s="749"/>
      <c r="AU242" s="749"/>
      <c r="AV242" s="749"/>
      <c r="AW242" s="749"/>
      <c r="AX242" s="749"/>
      <c r="AY242" s="749"/>
      <c r="AZ242" s="749"/>
      <c r="BA242" s="749"/>
      <c r="BB242" s="749"/>
      <c r="BC242" s="749"/>
      <c r="BD242" s="749"/>
    </row>
    <row r="243" spans="1:56">
      <c r="A243" s="674"/>
      <c r="B243" s="714"/>
      <c r="C243" s="714"/>
      <c r="D243" s="714"/>
      <c r="E243" s="714"/>
      <c r="F243" s="714"/>
      <c r="G243" s="714"/>
      <c r="H243" s="714"/>
      <c r="I243" s="714"/>
      <c r="J243" s="714"/>
      <c r="K243" s="714"/>
      <c r="L243" s="674"/>
      <c r="M243" s="674"/>
      <c r="N243" s="674"/>
      <c r="O243" s="674"/>
      <c r="P243" s="674"/>
      <c r="Q243" s="674"/>
      <c r="R243" s="674"/>
      <c r="S243" s="674"/>
      <c r="T243" s="674"/>
      <c r="U243" s="674"/>
      <c r="V243" s="674"/>
      <c r="W243" s="674"/>
      <c r="X243" s="674"/>
      <c r="Y243" s="674"/>
      <c r="Z243" s="674"/>
      <c r="AA243" s="674"/>
      <c r="AB243" s="674"/>
      <c r="AC243" s="674"/>
      <c r="AD243" s="674"/>
      <c r="AE243" s="674"/>
      <c r="AF243" s="674"/>
      <c r="AG243" s="674"/>
      <c r="AI243" s="748"/>
      <c r="AJ243" s="749"/>
      <c r="AK243" s="749"/>
      <c r="AL243" s="749"/>
      <c r="AM243" s="749"/>
      <c r="AN243" s="749"/>
      <c r="AO243" s="749"/>
      <c r="AP243" s="749"/>
      <c r="AQ243" s="749"/>
      <c r="AR243" s="749"/>
      <c r="AS243" s="749"/>
      <c r="AT243" s="749"/>
      <c r="AU243" s="749"/>
      <c r="AV243" s="749"/>
      <c r="AW243" s="749"/>
      <c r="AX243" s="749"/>
      <c r="AY243" s="749"/>
      <c r="AZ243" s="749"/>
      <c r="BA243" s="749"/>
      <c r="BB243" s="749"/>
      <c r="BC243" s="749"/>
      <c r="BD243" s="749"/>
    </row>
    <row r="244" spans="1:56">
      <c r="A244" s="674"/>
      <c r="B244" s="714"/>
      <c r="C244" s="714"/>
      <c r="D244" s="714"/>
      <c r="E244" s="714"/>
      <c r="F244" s="714"/>
      <c r="G244" s="714"/>
      <c r="H244" s="714"/>
      <c r="I244" s="714"/>
      <c r="J244" s="714"/>
      <c r="K244" s="714"/>
      <c r="L244" s="674"/>
      <c r="M244" s="674"/>
      <c r="N244" s="674"/>
      <c r="O244" s="674"/>
      <c r="P244" s="674"/>
      <c r="Q244" s="674"/>
      <c r="R244" s="674"/>
      <c r="S244" s="674"/>
      <c r="T244" s="674"/>
      <c r="U244" s="674"/>
      <c r="V244" s="674"/>
      <c r="W244" s="674"/>
      <c r="X244" s="674"/>
      <c r="Y244" s="674"/>
      <c r="Z244" s="674"/>
      <c r="AA244" s="674"/>
      <c r="AB244" s="674"/>
      <c r="AC244" s="674"/>
      <c r="AD244" s="674"/>
      <c r="AE244" s="674"/>
      <c r="AF244" s="674"/>
      <c r="AG244" s="674"/>
      <c r="AI244" s="748"/>
      <c r="AJ244" s="749"/>
      <c r="AK244" s="749"/>
      <c r="AL244" s="749"/>
      <c r="AM244" s="749"/>
      <c r="AN244" s="749"/>
      <c r="AO244" s="749"/>
      <c r="AP244" s="749"/>
      <c r="AQ244" s="749"/>
      <c r="AR244" s="749"/>
      <c r="AS244" s="749"/>
      <c r="AT244" s="749"/>
      <c r="AU244" s="749"/>
      <c r="AV244" s="749"/>
      <c r="AW244" s="749"/>
      <c r="AX244" s="749"/>
      <c r="AY244" s="749"/>
      <c r="AZ244" s="749"/>
      <c r="BA244" s="749"/>
      <c r="BB244" s="749"/>
      <c r="BC244" s="749"/>
      <c r="BD244" s="749"/>
    </row>
    <row r="245" spans="1:56">
      <c r="A245" s="674"/>
      <c r="B245" s="714"/>
      <c r="C245" s="714"/>
      <c r="D245" s="714"/>
      <c r="E245" s="714"/>
      <c r="F245" s="714"/>
      <c r="G245" s="714"/>
      <c r="H245" s="714"/>
      <c r="I245" s="714"/>
      <c r="J245" s="714"/>
      <c r="K245" s="714"/>
      <c r="L245" s="674"/>
      <c r="M245" s="674"/>
      <c r="N245" s="674"/>
      <c r="O245" s="674"/>
      <c r="P245" s="674"/>
      <c r="Q245" s="674"/>
      <c r="R245" s="674"/>
      <c r="S245" s="674"/>
      <c r="T245" s="674"/>
      <c r="U245" s="674"/>
      <c r="V245" s="674"/>
      <c r="W245" s="674"/>
      <c r="X245" s="674"/>
      <c r="Y245" s="674"/>
      <c r="Z245" s="674"/>
      <c r="AA245" s="674"/>
      <c r="AB245" s="674"/>
      <c r="AC245" s="674"/>
      <c r="AD245" s="674"/>
      <c r="AE245" s="674"/>
      <c r="AF245" s="674"/>
      <c r="AG245" s="674"/>
      <c r="AI245" s="748"/>
      <c r="AJ245" s="749"/>
      <c r="AK245" s="749"/>
      <c r="AL245" s="749"/>
      <c r="AM245" s="749"/>
      <c r="AN245" s="749"/>
      <c r="AO245" s="749"/>
      <c r="AP245" s="749"/>
      <c r="AQ245" s="749"/>
      <c r="AR245" s="749"/>
      <c r="AS245" s="749"/>
      <c r="AT245" s="749"/>
      <c r="AU245" s="749"/>
      <c r="AV245" s="749"/>
      <c r="AW245" s="749"/>
      <c r="AX245" s="749"/>
      <c r="AY245" s="749"/>
      <c r="AZ245" s="749"/>
      <c r="BA245" s="749"/>
      <c r="BB245" s="749"/>
      <c r="BC245" s="749"/>
      <c r="BD245" s="749"/>
    </row>
    <row r="246" spans="1:56">
      <c r="A246" s="773" t="s">
        <v>200</v>
      </c>
      <c r="B246" s="683"/>
      <c r="C246" s="683"/>
      <c r="D246" s="683"/>
      <c r="E246" s="683"/>
      <c r="F246" s="683"/>
      <c r="G246" s="683"/>
      <c r="H246" s="683"/>
      <c r="I246" s="683"/>
      <c r="J246" s="683"/>
      <c r="K246" s="683"/>
      <c r="L246" s="674"/>
      <c r="M246" s="674"/>
      <c r="N246" s="674"/>
      <c r="O246" s="674"/>
      <c r="P246" s="674"/>
      <c r="Q246" s="674"/>
      <c r="R246" s="674"/>
      <c r="S246" s="674"/>
      <c r="T246" s="674"/>
      <c r="U246" s="674"/>
      <c r="V246" s="674"/>
      <c r="W246" s="674"/>
      <c r="X246" s="674"/>
      <c r="Y246" s="674"/>
      <c r="Z246" s="674"/>
      <c r="AA246" s="674"/>
      <c r="AB246" s="674"/>
      <c r="AC246" s="674"/>
      <c r="AD246" s="674"/>
      <c r="AE246" s="674"/>
      <c r="AF246" s="674"/>
      <c r="AG246" s="674"/>
      <c r="AI246" s="748"/>
      <c r="AJ246" s="749"/>
      <c r="AK246" s="749"/>
      <c r="AL246" s="749"/>
      <c r="AM246" s="749"/>
      <c r="AN246" s="749"/>
      <c r="AO246" s="749"/>
      <c r="AP246" s="749"/>
      <c r="AQ246" s="749"/>
      <c r="AR246" s="749"/>
      <c r="AS246" s="749"/>
      <c r="AT246" s="749"/>
      <c r="AU246" s="749"/>
      <c r="AV246" s="749"/>
      <c r="AW246" s="749"/>
      <c r="AX246" s="749"/>
      <c r="AY246" s="749"/>
      <c r="AZ246" s="749"/>
      <c r="BA246" s="749"/>
      <c r="BB246" s="749"/>
      <c r="BC246" s="749"/>
      <c r="BD246" s="749"/>
    </row>
    <row r="247" spans="1:56">
      <c r="A247" s="773" t="s">
        <v>182</v>
      </c>
      <c r="B247" s="683"/>
      <c r="C247" s="683"/>
      <c r="D247" s="683"/>
      <c r="E247" s="683"/>
      <c r="F247" s="683"/>
      <c r="G247" s="683"/>
      <c r="H247" s="683"/>
      <c r="I247" s="683"/>
      <c r="J247" s="683"/>
      <c r="K247" s="683"/>
      <c r="L247" s="674"/>
      <c r="M247" s="674"/>
      <c r="N247" s="674"/>
      <c r="O247" s="674"/>
      <c r="P247" s="674"/>
      <c r="Q247" s="674"/>
      <c r="R247" s="674"/>
      <c r="S247" s="674"/>
      <c r="T247" s="674"/>
      <c r="U247" s="674"/>
      <c r="V247" s="674"/>
      <c r="W247" s="674"/>
      <c r="X247" s="674"/>
      <c r="Y247" s="674"/>
      <c r="Z247" s="674"/>
      <c r="AA247" s="674"/>
      <c r="AB247" s="674"/>
      <c r="AC247" s="674"/>
      <c r="AD247" s="674"/>
      <c r="AE247" s="674"/>
      <c r="AF247" s="674"/>
      <c r="AG247" s="674"/>
      <c r="AI247" s="748"/>
      <c r="AJ247" s="749"/>
      <c r="AK247" s="749"/>
      <c r="AL247" s="749"/>
      <c r="AM247" s="749"/>
      <c r="AN247" s="749"/>
      <c r="AO247" s="749"/>
      <c r="AP247" s="749"/>
      <c r="AQ247" s="749"/>
      <c r="AR247" s="749"/>
      <c r="AS247" s="749"/>
      <c r="AT247" s="749"/>
      <c r="AU247" s="749"/>
      <c r="AV247" s="749"/>
      <c r="AW247" s="749"/>
      <c r="AX247" s="749"/>
      <c r="AY247" s="749"/>
      <c r="AZ247" s="749"/>
      <c r="BA247" s="749"/>
      <c r="BB247" s="749"/>
      <c r="BC247" s="749"/>
      <c r="BD247" s="749"/>
    </row>
    <row r="248" spans="1:56">
      <c r="A248" s="678"/>
      <c r="B248" s="683"/>
      <c r="C248" s="683"/>
      <c r="D248" s="683"/>
      <c r="E248" s="683"/>
      <c r="F248" s="683"/>
      <c r="G248" s="683"/>
      <c r="H248" s="683"/>
      <c r="I248" s="683"/>
      <c r="J248" s="683"/>
      <c r="K248" s="683"/>
      <c r="L248" s="674"/>
      <c r="M248" s="674"/>
      <c r="N248" s="674"/>
      <c r="O248" s="674"/>
      <c r="P248" s="674"/>
      <c r="Q248" s="674"/>
      <c r="R248" s="674"/>
      <c r="S248" s="674"/>
      <c r="T248" s="674"/>
      <c r="U248" s="674"/>
      <c r="V248" s="674"/>
      <c r="W248" s="674"/>
      <c r="X248" s="674"/>
      <c r="Y248" s="674"/>
      <c r="Z248" s="674"/>
      <c r="AA248" s="674"/>
      <c r="AB248" s="674"/>
      <c r="AC248" s="674"/>
      <c r="AD248" s="674"/>
      <c r="AE248" s="674"/>
      <c r="AF248" s="674"/>
      <c r="AG248" s="674"/>
      <c r="AI248" s="748"/>
      <c r="AJ248" s="749"/>
      <c r="AK248" s="749"/>
      <c r="AL248" s="749"/>
      <c r="AM248" s="749"/>
      <c r="AN248" s="749"/>
      <c r="AO248" s="749"/>
      <c r="AP248" s="749"/>
      <c r="AQ248" s="749"/>
      <c r="AR248" s="749"/>
      <c r="AS248" s="749"/>
      <c r="AT248" s="749"/>
      <c r="AU248" s="749"/>
      <c r="AV248" s="749"/>
      <c r="AW248" s="749"/>
      <c r="AX248" s="749"/>
      <c r="AY248" s="749"/>
      <c r="AZ248" s="749"/>
      <c r="BA248" s="749"/>
      <c r="BB248" s="749"/>
      <c r="BC248" s="749"/>
      <c r="BD248" s="749"/>
    </row>
    <row r="249" spans="1:56">
      <c r="A249" s="678"/>
      <c r="B249" s="683"/>
      <c r="C249" s="683"/>
      <c r="D249" s="683"/>
      <c r="E249" s="683"/>
      <c r="F249" s="683"/>
      <c r="G249" s="683"/>
      <c r="H249" s="683"/>
      <c r="I249" s="683"/>
      <c r="J249" s="683"/>
      <c r="K249" s="683"/>
      <c r="L249" s="674"/>
      <c r="M249" s="674"/>
      <c r="N249" s="674"/>
      <c r="O249" s="674"/>
      <c r="P249" s="674"/>
      <c r="Q249" s="674"/>
      <c r="R249" s="674"/>
      <c r="S249" s="674"/>
      <c r="T249" s="674"/>
      <c r="U249" s="674"/>
      <c r="V249" s="674"/>
      <c r="W249" s="674"/>
      <c r="X249" s="674"/>
      <c r="Y249" s="674"/>
      <c r="Z249" s="674"/>
      <c r="AA249" s="674"/>
      <c r="AB249" s="674"/>
      <c r="AC249" s="674"/>
      <c r="AD249" s="674"/>
      <c r="AE249" s="674"/>
      <c r="AF249" s="674"/>
      <c r="AG249" s="674"/>
      <c r="AI249" s="748"/>
      <c r="AJ249" s="749"/>
      <c r="AK249" s="749"/>
      <c r="AL249" s="749"/>
      <c r="AM249" s="749"/>
      <c r="AN249" s="749"/>
      <c r="AO249" s="749"/>
      <c r="AP249" s="749"/>
      <c r="AQ249" s="749"/>
      <c r="AR249" s="749"/>
      <c r="AS249" s="749"/>
      <c r="AT249" s="749"/>
      <c r="AU249" s="749"/>
      <c r="AV249" s="749"/>
      <c r="AW249" s="749"/>
      <c r="AX249" s="749"/>
      <c r="AY249" s="749"/>
      <c r="AZ249" s="749"/>
      <c r="BA249" s="749"/>
      <c r="BB249" s="749"/>
      <c r="BC249" s="749"/>
      <c r="BD249" s="749"/>
    </row>
    <row r="250" spans="1:56">
      <c r="A250" s="678" t="s">
        <v>201</v>
      </c>
      <c r="B250" s="683"/>
      <c r="C250" s="683"/>
      <c r="D250" s="683"/>
      <c r="E250" s="683"/>
      <c r="F250" s="683"/>
      <c r="G250" s="683"/>
      <c r="H250" s="684">
        <f>ROUND(N16,4)</f>
        <v>6.1711</v>
      </c>
      <c r="I250" s="683" t="s">
        <v>108</v>
      </c>
      <c r="J250" s="683" t="s">
        <v>184</v>
      </c>
      <c r="K250" s="683"/>
      <c r="L250" s="674"/>
      <c r="M250" s="674"/>
      <c r="N250" s="674"/>
      <c r="O250" s="674"/>
      <c r="P250" s="674"/>
      <c r="Q250" s="674"/>
      <c r="R250" s="674"/>
      <c r="S250" s="674"/>
      <c r="T250" s="674"/>
      <c r="U250" s="674"/>
      <c r="V250" s="674"/>
      <c r="W250" s="674"/>
      <c r="X250" s="674"/>
      <c r="Y250" s="674"/>
      <c r="Z250" s="674"/>
      <c r="AA250" s="674"/>
      <c r="AB250" s="674"/>
      <c r="AC250" s="674"/>
      <c r="AD250" s="674"/>
      <c r="AE250" s="674"/>
      <c r="AF250" s="674"/>
      <c r="AG250" s="674"/>
      <c r="AI250" s="748"/>
      <c r="AJ250" s="749"/>
      <c r="AK250" s="749"/>
      <c r="AL250" s="749"/>
      <c r="AM250" s="749"/>
      <c r="AN250" s="749"/>
      <c r="AO250" s="749"/>
      <c r="AP250" s="749"/>
      <c r="AQ250" s="749"/>
      <c r="AR250" s="749"/>
      <c r="AS250" s="749"/>
      <c r="AT250" s="749"/>
      <c r="AU250" s="749"/>
      <c r="AV250" s="749"/>
      <c r="AW250" s="749"/>
      <c r="AX250" s="749"/>
      <c r="AY250" s="749"/>
      <c r="AZ250" s="749"/>
      <c r="BA250" s="749"/>
      <c r="BB250" s="749"/>
      <c r="BC250" s="749"/>
      <c r="BD250" s="749"/>
    </row>
    <row r="251" spans="1:56">
      <c r="A251" s="678" t="s">
        <v>185</v>
      </c>
      <c r="B251" s="683"/>
      <c r="C251" s="683"/>
      <c r="D251" s="683"/>
      <c r="E251" s="683"/>
      <c r="F251" s="683"/>
      <c r="G251" s="683"/>
      <c r="H251" s="683"/>
      <c r="I251" s="683"/>
      <c r="J251" s="683"/>
      <c r="K251" s="683"/>
      <c r="L251" s="674"/>
      <c r="M251" s="674"/>
      <c r="N251" s="674"/>
      <c r="O251" s="674"/>
      <c r="P251" s="674"/>
      <c r="Q251" s="674"/>
      <c r="R251" s="674"/>
      <c r="S251" s="674"/>
      <c r="T251" s="674"/>
      <c r="U251" s="674"/>
      <c r="V251" s="674"/>
      <c r="W251" s="674"/>
      <c r="X251" s="674"/>
      <c r="Y251" s="674"/>
      <c r="Z251" s="674"/>
      <c r="AA251" s="674"/>
      <c r="AB251" s="674"/>
      <c r="AC251" s="674"/>
      <c r="AD251" s="674"/>
      <c r="AE251" s="674"/>
      <c r="AF251" s="674"/>
      <c r="AG251" s="674"/>
      <c r="AI251" s="748"/>
      <c r="AJ251" s="749"/>
      <c r="AK251" s="749"/>
      <c r="AL251" s="749"/>
      <c r="AM251" s="749"/>
      <c r="AN251" s="749"/>
      <c r="AO251" s="749"/>
      <c r="AP251" s="749"/>
      <c r="AQ251" s="749"/>
      <c r="AR251" s="749"/>
      <c r="AS251" s="749"/>
      <c r="AT251" s="749"/>
      <c r="AU251" s="749"/>
      <c r="AV251" s="749"/>
      <c r="AW251" s="749"/>
      <c r="AX251" s="749"/>
      <c r="AY251" s="749"/>
      <c r="AZ251" s="749"/>
      <c r="BA251" s="749"/>
      <c r="BB251" s="749"/>
      <c r="BC251" s="749"/>
      <c r="BD251" s="749"/>
    </row>
    <row r="252" spans="1:56">
      <c r="A252" s="678" t="s">
        <v>186</v>
      </c>
      <c r="B252" s="683"/>
      <c r="C252" s="683"/>
      <c r="D252" s="683"/>
      <c r="E252" s="683"/>
      <c r="F252" s="683"/>
      <c r="G252" s="683"/>
      <c r="H252" s="683"/>
      <c r="I252" s="683"/>
      <c r="J252" s="683"/>
      <c r="K252" s="683"/>
      <c r="L252" s="674"/>
      <c r="M252" s="674"/>
      <c r="N252" s="674"/>
      <c r="O252" s="674"/>
      <c r="P252" s="674"/>
      <c r="Q252" s="674"/>
      <c r="R252" s="674"/>
      <c r="S252" s="674"/>
      <c r="T252" s="674"/>
      <c r="U252" s="674"/>
      <c r="V252" s="674"/>
      <c r="W252" s="674"/>
      <c r="X252" s="674"/>
      <c r="Y252" s="674"/>
      <c r="Z252" s="674"/>
      <c r="AA252" s="674"/>
      <c r="AB252" s="674"/>
      <c r="AC252" s="674"/>
      <c r="AD252" s="674"/>
      <c r="AE252" s="674"/>
      <c r="AF252" s="674"/>
      <c r="AG252" s="674"/>
      <c r="AI252" s="748"/>
      <c r="AJ252" s="749"/>
      <c r="AK252" s="749"/>
      <c r="AL252" s="749"/>
      <c r="AM252" s="749"/>
      <c r="AN252" s="749"/>
      <c r="AO252" s="749"/>
      <c r="AP252" s="749"/>
      <c r="AQ252" s="749"/>
      <c r="AR252" s="749"/>
      <c r="AS252" s="749"/>
      <c r="AT252" s="749"/>
      <c r="AU252" s="749"/>
      <c r="AV252" s="749"/>
      <c r="AW252" s="749"/>
      <c r="AX252" s="749"/>
      <c r="AY252" s="749"/>
      <c r="AZ252" s="749"/>
      <c r="BA252" s="749"/>
      <c r="BB252" s="749"/>
      <c r="BC252" s="749"/>
      <c r="BD252" s="749"/>
    </row>
    <row r="253" spans="1:56">
      <c r="A253" s="678" t="s">
        <v>174</v>
      </c>
      <c r="B253" s="683"/>
      <c r="C253" s="683"/>
      <c r="D253" s="683"/>
      <c r="E253" s="683"/>
      <c r="F253" s="683"/>
      <c r="G253" s="683"/>
      <c r="H253" s="774">
        <f>-R160</f>
        <v>-1.22</v>
      </c>
      <c r="I253" s="683" t="s">
        <v>108</v>
      </c>
      <c r="J253" s="683"/>
      <c r="K253" s="683"/>
      <c r="L253" s="674"/>
      <c r="M253" s="674"/>
      <c r="N253" s="674"/>
      <c r="O253" s="674"/>
      <c r="P253" s="674"/>
      <c r="Q253" s="674"/>
      <c r="R253" s="674"/>
      <c r="S253" s="674"/>
      <c r="T253" s="674"/>
      <c r="U253" s="674"/>
      <c r="V253" s="674"/>
      <c r="W253" s="674"/>
      <c r="X253" s="674"/>
      <c r="Y253" s="674"/>
      <c r="Z253" s="674"/>
      <c r="AA253" s="674"/>
      <c r="AB253" s="674"/>
      <c r="AC253" s="674"/>
      <c r="AD253" s="674"/>
      <c r="AE253" s="674"/>
      <c r="AF253" s="674"/>
      <c r="AG253" s="674"/>
      <c r="AI253" s="748"/>
      <c r="AJ253" s="749"/>
      <c r="AK253" s="749"/>
      <c r="AL253" s="749"/>
      <c r="AM253" s="749"/>
      <c r="AN253" s="749"/>
      <c r="AO253" s="749"/>
      <c r="AP253" s="749"/>
      <c r="AQ253" s="749"/>
      <c r="AR253" s="749"/>
      <c r="AS253" s="749"/>
      <c r="AT253" s="749"/>
      <c r="AU253" s="749"/>
      <c r="AV253" s="749"/>
      <c r="AW253" s="749"/>
      <c r="AX253" s="749"/>
      <c r="AY253" s="749"/>
      <c r="AZ253" s="749"/>
      <c r="BA253" s="749"/>
      <c r="BB253" s="749"/>
      <c r="BC253" s="749"/>
      <c r="BD253" s="749"/>
    </row>
    <row r="254" spans="1:56">
      <c r="A254" s="678" t="s">
        <v>175</v>
      </c>
      <c r="B254" s="683"/>
      <c r="C254" s="683"/>
      <c r="D254" s="683"/>
      <c r="E254" s="683"/>
      <c r="F254" s="683"/>
      <c r="G254" s="683"/>
      <c r="H254" s="774">
        <f>-R162</f>
        <v>-0.05</v>
      </c>
      <c r="I254" s="683" t="s">
        <v>108</v>
      </c>
      <c r="J254" s="683"/>
      <c r="K254" s="683"/>
      <c r="L254" s="674"/>
      <c r="M254" s="674"/>
      <c r="N254" s="674"/>
      <c r="O254" s="674"/>
      <c r="P254" s="674"/>
      <c r="Q254" s="674"/>
      <c r="R254" s="674"/>
      <c r="S254" s="674"/>
      <c r="T254" s="674"/>
      <c r="U254" s="674"/>
      <c r="V254" s="674"/>
      <c r="W254" s="674"/>
      <c r="X254" s="674"/>
      <c r="Y254" s="674"/>
      <c r="Z254" s="674"/>
      <c r="AA254" s="674"/>
      <c r="AB254" s="674"/>
      <c r="AC254" s="674"/>
      <c r="AD254" s="674"/>
      <c r="AE254" s="674"/>
      <c r="AF254" s="674"/>
      <c r="AG254" s="674"/>
      <c r="AI254" s="748"/>
      <c r="AJ254" s="749"/>
      <c r="AK254" s="749"/>
      <c r="AL254" s="749"/>
      <c r="AM254" s="749"/>
      <c r="AN254" s="749"/>
      <c r="AO254" s="749"/>
      <c r="AP254" s="749"/>
      <c r="AQ254" s="749"/>
      <c r="AR254" s="749"/>
      <c r="AS254" s="749"/>
      <c r="AT254" s="749"/>
      <c r="AU254" s="749"/>
      <c r="AV254" s="749"/>
      <c r="AW254" s="749"/>
      <c r="AX254" s="749"/>
      <c r="AY254" s="749"/>
      <c r="AZ254" s="749"/>
      <c r="BA254" s="749"/>
      <c r="BB254" s="749"/>
      <c r="BC254" s="749"/>
      <c r="BD254" s="749"/>
    </row>
    <row r="255" spans="1:56">
      <c r="A255" s="678" t="s">
        <v>187</v>
      </c>
      <c r="B255" s="683"/>
      <c r="C255" s="683"/>
      <c r="D255" s="683"/>
      <c r="E255" s="683"/>
      <c r="F255" s="683"/>
      <c r="G255" s="683"/>
      <c r="H255" s="775">
        <v>0</v>
      </c>
      <c r="I255" s="683" t="s">
        <v>108</v>
      </c>
      <c r="J255" s="683"/>
      <c r="K255" s="683"/>
      <c r="L255" s="674"/>
      <c r="M255" s="674"/>
      <c r="N255" s="674"/>
      <c r="O255" s="674"/>
      <c r="P255" s="674"/>
      <c r="Q255" s="674"/>
      <c r="R255" s="674"/>
      <c r="S255" s="674"/>
      <c r="T255" s="674"/>
      <c r="U255" s="674"/>
      <c r="V255" s="674"/>
      <c r="W255" s="674"/>
      <c r="X255" s="674"/>
      <c r="Y255" s="674"/>
      <c r="Z255" s="674"/>
      <c r="AA255" s="674"/>
      <c r="AB255" s="674"/>
      <c r="AC255" s="674"/>
      <c r="AD255" s="674"/>
      <c r="AE255" s="674"/>
      <c r="AF255" s="674"/>
      <c r="AG255" s="674"/>
      <c r="AI255" s="748"/>
      <c r="AJ255" s="749"/>
      <c r="AK255" s="749"/>
      <c r="AL255" s="749"/>
      <c r="AM255" s="749"/>
      <c r="AN255" s="749"/>
      <c r="AO255" s="749"/>
      <c r="AP255" s="749"/>
      <c r="AQ255" s="749"/>
      <c r="AR255" s="749"/>
      <c r="AS255" s="749"/>
      <c r="AT255" s="749"/>
      <c r="AU255" s="749"/>
      <c r="AV255" s="749"/>
      <c r="AW255" s="749"/>
      <c r="AX255" s="749"/>
      <c r="AY255" s="749"/>
      <c r="AZ255" s="749"/>
      <c r="BA255" s="749"/>
      <c r="BB255" s="749"/>
      <c r="BC255" s="749"/>
      <c r="BD255" s="749"/>
    </row>
    <row r="256" spans="1:56">
      <c r="A256" s="678" t="s">
        <v>17</v>
      </c>
      <c r="B256" s="683"/>
      <c r="C256" s="683"/>
      <c r="D256" s="683"/>
      <c r="E256" s="683"/>
      <c r="F256" s="683"/>
      <c r="G256" s="683"/>
      <c r="H256" s="774">
        <f>ROUND(-R164,4)</f>
        <v>-0.04</v>
      </c>
      <c r="I256" s="683" t="s">
        <v>108</v>
      </c>
      <c r="J256" s="683"/>
      <c r="K256" s="683"/>
      <c r="L256" s="674"/>
      <c r="M256" s="674"/>
      <c r="N256" s="674"/>
      <c r="O256" s="674"/>
      <c r="P256" s="674"/>
      <c r="Q256" s="674"/>
      <c r="R256" s="674"/>
      <c r="S256" s="674"/>
      <c r="T256" s="674"/>
      <c r="U256" s="674"/>
      <c r="V256" s="674"/>
      <c r="W256" s="674"/>
      <c r="X256" s="674"/>
      <c r="Y256" s="674"/>
      <c r="Z256" s="674"/>
      <c r="AA256" s="674"/>
      <c r="AB256" s="674"/>
      <c r="AC256" s="674"/>
      <c r="AD256" s="674"/>
      <c r="AE256" s="674"/>
      <c r="AF256" s="674"/>
      <c r="AG256" s="674"/>
      <c r="AI256" s="748"/>
      <c r="AJ256" s="749"/>
      <c r="AK256" s="749"/>
      <c r="AL256" s="749"/>
      <c r="AM256" s="749"/>
      <c r="AN256" s="749"/>
      <c r="AO256" s="749"/>
      <c r="AP256" s="749"/>
      <c r="AQ256" s="749"/>
      <c r="AR256" s="749"/>
      <c r="AS256" s="749"/>
      <c r="AT256" s="749"/>
      <c r="AU256" s="749"/>
      <c r="AV256" s="749"/>
      <c r="AW256" s="749"/>
      <c r="AX256" s="749"/>
      <c r="AY256" s="749"/>
      <c r="AZ256" s="749"/>
      <c r="BA256" s="749"/>
      <c r="BB256" s="749"/>
      <c r="BC256" s="749"/>
      <c r="BD256" s="749"/>
    </row>
    <row r="257" spans="1:56">
      <c r="A257" s="678" t="s">
        <v>188</v>
      </c>
      <c r="B257" s="683"/>
      <c r="C257" s="683"/>
      <c r="D257" s="683"/>
      <c r="E257" s="683"/>
      <c r="F257" s="683"/>
      <c r="G257" s="683"/>
      <c r="H257" s="775">
        <v>0</v>
      </c>
      <c r="I257" s="683" t="s">
        <v>108</v>
      </c>
      <c r="J257" s="683"/>
      <c r="K257" s="683"/>
      <c r="L257" s="674"/>
      <c r="M257" s="674"/>
      <c r="N257" s="674"/>
      <c r="O257" s="674"/>
      <c r="P257" s="674"/>
      <c r="Q257" s="674"/>
      <c r="R257" s="674"/>
      <c r="S257" s="674"/>
      <c r="T257" s="674"/>
      <c r="U257" s="674"/>
      <c r="V257" s="674"/>
      <c r="W257" s="674"/>
      <c r="X257" s="674"/>
      <c r="Y257" s="674"/>
      <c r="Z257" s="674"/>
      <c r="AA257" s="674"/>
      <c r="AB257" s="674"/>
      <c r="AC257" s="674"/>
      <c r="AD257" s="674"/>
      <c r="AE257" s="674"/>
      <c r="AF257" s="674"/>
      <c r="AG257" s="674"/>
      <c r="AI257" s="748"/>
      <c r="AJ257" s="749"/>
      <c r="AK257" s="749"/>
      <c r="AL257" s="749"/>
      <c r="AM257" s="749"/>
      <c r="AN257" s="749"/>
      <c r="AO257" s="749"/>
      <c r="AP257" s="749"/>
      <c r="AQ257" s="749"/>
      <c r="AR257" s="749"/>
      <c r="AS257" s="749"/>
      <c r="AT257" s="749"/>
      <c r="AU257" s="749"/>
      <c r="AV257" s="749"/>
      <c r="AW257" s="749"/>
      <c r="AX257" s="749"/>
      <c r="AY257" s="749"/>
      <c r="AZ257" s="749"/>
      <c r="BA257" s="749"/>
      <c r="BB257" s="749"/>
      <c r="BC257" s="749"/>
      <c r="BD257" s="749"/>
    </row>
    <row r="258" spans="1:56">
      <c r="A258" s="678" t="s">
        <v>189</v>
      </c>
      <c r="B258" s="683"/>
      <c r="C258" s="683"/>
      <c r="D258" s="683"/>
      <c r="E258" s="683"/>
      <c r="F258" s="683"/>
      <c r="G258" s="683"/>
      <c r="H258" s="776">
        <f>ROUND(SUM(H253:H257),4)</f>
        <v>-1.31</v>
      </c>
      <c r="I258" s="683" t="s">
        <v>108</v>
      </c>
      <c r="J258" s="683"/>
      <c r="K258" s="683"/>
      <c r="L258" s="674"/>
      <c r="M258" s="674"/>
      <c r="N258" s="674"/>
      <c r="O258" s="674"/>
      <c r="P258" s="674"/>
      <c r="Q258" s="674"/>
      <c r="R258" s="674"/>
      <c r="S258" s="674"/>
      <c r="T258" s="674"/>
      <c r="U258" s="674"/>
      <c r="V258" s="674"/>
      <c r="W258" s="674"/>
      <c r="X258" s="674"/>
      <c r="Y258" s="674"/>
      <c r="Z258" s="674"/>
      <c r="AA258" s="674"/>
      <c r="AB258" s="674"/>
      <c r="AC258" s="674"/>
      <c r="AD258" s="674"/>
      <c r="AE258" s="674"/>
      <c r="AF258" s="674"/>
      <c r="AG258" s="674"/>
      <c r="AI258" s="748"/>
      <c r="AJ258" s="749"/>
      <c r="AK258" s="749"/>
      <c r="AL258" s="749"/>
      <c r="AM258" s="749"/>
      <c r="AN258" s="749"/>
      <c r="AO258" s="749"/>
      <c r="AP258" s="749"/>
      <c r="AQ258" s="749"/>
      <c r="AR258" s="749"/>
      <c r="AS258" s="749"/>
      <c r="AT258" s="749"/>
      <c r="AU258" s="749"/>
      <c r="AV258" s="749"/>
      <c r="AW258" s="749"/>
      <c r="AX258" s="749"/>
      <c r="AY258" s="749"/>
      <c r="AZ258" s="749"/>
      <c r="BA258" s="749"/>
      <c r="BB258" s="749"/>
      <c r="BC258" s="749"/>
      <c r="BD258" s="749"/>
    </row>
    <row r="259" spans="1:56">
      <c r="A259" s="678"/>
      <c r="B259" s="683"/>
      <c r="C259" s="683"/>
      <c r="D259" s="683"/>
      <c r="E259" s="683"/>
      <c r="F259" s="683"/>
      <c r="G259" s="683"/>
      <c r="H259" s="683"/>
      <c r="I259" s="683"/>
      <c r="J259" s="683"/>
      <c r="K259" s="683"/>
      <c r="L259" s="674"/>
      <c r="M259" s="674"/>
      <c r="N259" s="674"/>
      <c r="O259" s="674"/>
      <c r="P259" s="674"/>
      <c r="Q259" s="674"/>
      <c r="R259" s="674"/>
      <c r="S259" s="674"/>
      <c r="T259" s="674"/>
      <c r="U259" s="674"/>
      <c r="V259" s="674"/>
      <c r="W259" s="674"/>
      <c r="X259" s="674"/>
      <c r="Y259" s="674"/>
      <c r="Z259" s="674"/>
      <c r="AA259" s="674"/>
      <c r="AB259" s="674"/>
      <c r="AC259" s="674"/>
      <c r="AD259" s="674"/>
      <c r="AE259" s="674"/>
      <c r="AF259" s="674"/>
      <c r="AG259" s="674"/>
      <c r="AI259" s="748"/>
      <c r="AJ259" s="749"/>
      <c r="AK259" s="749"/>
      <c r="AL259" s="749"/>
      <c r="AM259" s="749"/>
      <c r="AN259" s="749"/>
      <c r="AO259" s="749"/>
      <c r="AP259" s="749"/>
      <c r="AQ259" s="749"/>
      <c r="AR259" s="749"/>
      <c r="AS259" s="749"/>
      <c r="AT259" s="749"/>
      <c r="AU259" s="749"/>
      <c r="AV259" s="749"/>
      <c r="AW259" s="749"/>
      <c r="AX259" s="749"/>
      <c r="AY259" s="749"/>
      <c r="AZ259" s="749"/>
      <c r="BA259" s="749"/>
      <c r="BB259" s="749"/>
      <c r="BC259" s="749"/>
      <c r="BD259" s="749"/>
    </row>
    <row r="260" spans="1:56">
      <c r="A260" s="678" t="s">
        <v>1</v>
      </c>
      <c r="B260" s="683"/>
      <c r="C260" s="683"/>
      <c r="D260" s="683"/>
      <c r="E260" s="683"/>
      <c r="F260" s="683"/>
      <c r="G260" s="683"/>
      <c r="H260" s="774">
        <f>ROUND(H250+H258,4)</f>
        <v>4.8611000000000004</v>
      </c>
      <c r="I260" s="683" t="s">
        <v>108</v>
      </c>
      <c r="J260" s="683"/>
      <c r="K260" s="683"/>
      <c r="L260" s="674"/>
      <c r="M260" s="674"/>
      <c r="N260" s="674"/>
      <c r="O260" s="674"/>
      <c r="P260" s="674"/>
      <c r="Q260" s="674"/>
      <c r="R260" s="674"/>
      <c r="S260" s="674"/>
      <c r="T260" s="674"/>
      <c r="U260" s="674"/>
      <c r="V260" s="674"/>
      <c r="W260" s="674"/>
      <c r="X260" s="674"/>
      <c r="Y260" s="674"/>
      <c r="Z260" s="674"/>
      <c r="AA260" s="674"/>
      <c r="AB260" s="674"/>
      <c r="AC260" s="674"/>
      <c r="AD260" s="674"/>
      <c r="AE260" s="674"/>
      <c r="AF260" s="674"/>
      <c r="AG260" s="674"/>
      <c r="AI260" s="748"/>
      <c r="AJ260" s="749"/>
      <c r="AK260" s="749"/>
      <c r="AL260" s="749"/>
      <c r="AM260" s="749"/>
      <c r="AN260" s="749"/>
      <c r="AO260" s="749"/>
      <c r="AP260" s="749"/>
      <c r="AQ260" s="749"/>
      <c r="AR260" s="749"/>
      <c r="AS260" s="749"/>
      <c r="AT260" s="749"/>
      <c r="AU260" s="749"/>
      <c r="AV260" s="749"/>
      <c r="AW260" s="749"/>
      <c r="AX260" s="749"/>
      <c r="AY260" s="749"/>
      <c r="AZ260" s="749"/>
      <c r="BA260" s="749"/>
      <c r="BB260" s="749"/>
      <c r="BC260" s="749"/>
      <c r="BD260" s="749"/>
    </row>
    <row r="261" spans="1:56">
      <c r="A261" s="678"/>
      <c r="B261" s="683"/>
      <c r="C261" s="683"/>
      <c r="D261" s="683"/>
      <c r="E261" s="683"/>
      <c r="F261" s="683"/>
      <c r="G261" s="683"/>
      <c r="H261" s="683"/>
      <c r="I261" s="683"/>
      <c r="J261" s="683"/>
      <c r="K261" s="683"/>
      <c r="L261" s="674"/>
      <c r="M261" s="674"/>
      <c r="N261" s="674"/>
      <c r="O261" s="674"/>
      <c r="P261" s="674"/>
      <c r="Q261" s="674"/>
      <c r="R261" s="674"/>
      <c r="S261" s="674"/>
      <c r="T261" s="674"/>
      <c r="U261" s="674"/>
      <c r="V261" s="674"/>
      <c r="W261" s="674"/>
      <c r="X261" s="674"/>
      <c r="Y261" s="674"/>
      <c r="Z261" s="674"/>
      <c r="AA261" s="674"/>
      <c r="AB261" s="674"/>
      <c r="AC261" s="674"/>
      <c r="AD261" s="674"/>
      <c r="AE261" s="674"/>
      <c r="AF261" s="674"/>
      <c r="AG261" s="674"/>
      <c r="AI261" s="748"/>
      <c r="AJ261" s="749"/>
      <c r="AK261" s="749"/>
      <c r="AL261" s="749"/>
      <c r="AM261" s="749"/>
      <c r="AN261" s="749"/>
      <c r="AO261" s="749"/>
      <c r="AP261" s="749"/>
      <c r="AQ261" s="749"/>
      <c r="AR261" s="749"/>
      <c r="AS261" s="749"/>
      <c r="AT261" s="749"/>
      <c r="AU261" s="749"/>
      <c r="AV261" s="749"/>
      <c r="AW261" s="749"/>
      <c r="AX261" s="749"/>
      <c r="AY261" s="749"/>
      <c r="AZ261" s="749"/>
      <c r="BA261" s="749"/>
      <c r="BB261" s="749"/>
      <c r="BC261" s="749"/>
      <c r="BD261" s="749"/>
    </row>
    <row r="262" spans="1:56">
      <c r="A262" s="678" t="s">
        <v>190</v>
      </c>
      <c r="B262" s="683"/>
      <c r="C262" s="683"/>
      <c r="D262" s="683"/>
      <c r="E262" s="683"/>
      <c r="F262" s="683"/>
      <c r="G262" s="683"/>
      <c r="H262" s="777">
        <f>ROUND(J166*100,4)</f>
        <v>45.82</v>
      </c>
      <c r="I262" s="683" t="s">
        <v>108</v>
      </c>
      <c r="J262" s="683"/>
      <c r="K262" s="683"/>
      <c r="L262" s="674"/>
      <c r="M262" s="674"/>
      <c r="N262" s="674"/>
      <c r="O262" s="674"/>
      <c r="P262" s="674"/>
      <c r="Q262" s="674"/>
      <c r="R262" s="674"/>
      <c r="S262" s="674"/>
      <c r="T262" s="674"/>
      <c r="U262" s="674"/>
      <c r="V262" s="674"/>
      <c r="W262" s="674"/>
      <c r="X262" s="674"/>
      <c r="Y262" s="674"/>
      <c r="Z262" s="674"/>
      <c r="AA262" s="674"/>
      <c r="AB262" s="674"/>
      <c r="AC262" s="674"/>
      <c r="AD262" s="674"/>
      <c r="AE262" s="674"/>
      <c r="AF262" s="674"/>
      <c r="AG262" s="674"/>
      <c r="AI262" s="748"/>
      <c r="AJ262" s="749"/>
      <c r="AK262" s="749"/>
      <c r="AL262" s="749"/>
      <c r="AM262" s="749"/>
      <c r="AN262" s="749"/>
      <c r="AO262" s="749"/>
      <c r="AP262" s="749"/>
      <c r="AQ262" s="749"/>
      <c r="AR262" s="749"/>
      <c r="AS262" s="749"/>
      <c r="AT262" s="749"/>
      <c r="AU262" s="749"/>
      <c r="AV262" s="749"/>
      <c r="AW262" s="749"/>
      <c r="AX262" s="749"/>
      <c r="AY262" s="749"/>
      <c r="AZ262" s="749"/>
      <c r="BA262" s="749"/>
      <c r="BB262" s="749"/>
      <c r="BC262" s="749"/>
      <c r="BD262" s="749"/>
    </row>
    <row r="263" spans="1:56">
      <c r="A263" s="678"/>
      <c r="B263" s="683"/>
      <c r="C263" s="683"/>
      <c r="D263" s="683"/>
      <c r="E263" s="683"/>
      <c r="F263" s="683"/>
      <c r="G263" s="683"/>
      <c r="H263" s="683"/>
      <c r="I263" s="683"/>
      <c r="J263" s="683"/>
      <c r="K263" s="683"/>
      <c r="L263" s="674"/>
      <c r="M263" s="674"/>
      <c r="N263" s="674"/>
      <c r="O263" s="674"/>
      <c r="P263" s="674"/>
      <c r="Q263" s="674"/>
      <c r="R263" s="674"/>
      <c r="S263" s="674"/>
      <c r="T263" s="674"/>
      <c r="U263" s="674"/>
      <c r="V263" s="674"/>
      <c r="W263" s="674"/>
      <c r="X263" s="674"/>
      <c r="Y263" s="674"/>
      <c r="Z263" s="674"/>
      <c r="AA263" s="674"/>
      <c r="AB263" s="674"/>
      <c r="AC263" s="674"/>
      <c r="AD263" s="674"/>
      <c r="AE263" s="674"/>
      <c r="AF263" s="674"/>
      <c r="AG263" s="674"/>
      <c r="AI263" s="748"/>
      <c r="AJ263" s="749"/>
      <c r="AK263" s="749"/>
      <c r="AL263" s="749"/>
      <c r="AM263" s="749"/>
      <c r="AN263" s="749"/>
      <c r="AO263" s="749"/>
      <c r="AP263" s="749"/>
      <c r="AQ263" s="749"/>
      <c r="AR263" s="749"/>
      <c r="AS263" s="749"/>
      <c r="AT263" s="749"/>
      <c r="AU263" s="749"/>
      <c r="AV263" s="749"/>
      <c r="AW263" s="749"/>
      <c r="AX263" s="749"/>
      <c r="AY263" s="749"/>
      <c r="AZ263" s="749"/>
      <c r="BA263" s="749"/>
      <c r="BB263" s="749"/>
      <c r="BC263" s="749"/>
      <c r="BD263" s="749"/>
    </row>
    <row r="264" spans="1:56" ht="13.5" thickBot="1">
      <c r="A264" s="678" t="s">
        <v>191</v>
      </c>
      <c r="B264" s="683"/>
      <c r="C264" s="683"/>
      <c r="D264" s="683"/>
      <c r="E264" s="683"/>
      <c r="F264" s="683"/>
      <c r="G264" s="683"/>
      <c r="H264" s="778">
        <f>ROUND((H260)/(H262/100),4)</f>
        <v>10.6091</v>
      </c>
      <c r="I264" s="683" t="s">
        <v>108</v>
      </c>
      <c r="J264" s="683"/>
      <c r="K264" s="683"/>
      <c r="L264" s="674"/>
      <c r="M264" s="674"/>
      <c r="N264" s="674"/>
      <c r="O264" s="674"/>
      <c r="P264" s="674"/>
      <c r="Q264" s="674"/>
      <c r="R264" s="674"/>
      <c r="S264" s="674"/>
      <c r="T264" s="674"/>
      <c r="U264" s="674"/>
      <c r="V264" s="674"/>
      <c r="W264" s="674"/>
      <c r="X264" s="674"/>
      <c r="Y264" s="674"/>
      <c r="Z264" s="674"/>
      <c r="AA264" s="674"/>
      <c r="AB264" s="674"/>
      <c r="AC264" s="674"/>
      <c r="AD264" s="674"/>
      <c r="AE264" s="674"/>
      <c r="AF264" s="674"/>
      <c r="AG264" s="674"/>
      <c r="AI264" s="748"/>
      <c r="AJ264" s="749"/>
      <c r="AK264" s="749"/>
      <c r="AL264" s="749"/>
      <c r="AM264" s="749"/>
      <c r="AN264" s="749"/>
      <c r="AO264" s="749"/>
      <c r="AP264" s="749"/>
      <c r="AQ264" s="749"/>
      <c r="AR264" s="749"/>
      <c r="AS264" s="749"/>
      <c r="AT264" s="749"/>
      <c r="AU264" s="749"/>
      <c r="AV264" s="749"/>
      <c r="AW264" s="749"/>
      <c r="AX264" s="749"/>
      <c r="AY264" s="749"/>
      <c r="AZ264" s="749"/>
      <c r="BA264" s="749"/>
      <c r="BB264" s="749"/>
      <c r="BC264" s="749"/>
      <c r="BD264" s="749"/>
    </row>
    <row r="265" spans="1:56" ht="13.5" thickTop="1">
      <c r="A265" s="678"/>
      <c r="B265" s="683"/>
      <c r="C265" s="683"/>
      <c r="D265" s="683"/>
      <c r="E265" s="683"/>
      <c r="F265" s="683"/>
      <c r="G265" s="683"/>
      <c r="H265" s="683"/>
      <c r="I265" s="683"/>
      <c r="J265" s="683"/>
      <c r="K265" s="683"/>
      <c r="L265" s="674"/>
      <c r="M265" s="674"/>
      <c r="N265" s="674"/>
      <c r="O265" s="674"/>
      <c r="P265" s="674"/>
      <c r="Q265" s="674"/>
      <c r="R265" s="674"/>
      <c r="S265" s="674"/>
      <c r="T265" s="674"/>
      <c r="U265" s="674"/>
      <c r="V265" s="674"/>
      <c r="W265" s="674"/>
      <c r="X265" s="674"/>
      <c r="Y265" s="674"/>
      <c r="Z265" s="674"/>
      <c r="AA265" s="674"/>
      <c r="AB265" s="674"/>
      <c r="AC265" s="674"/>
      <c r="AD265" s="674"/>
      <c r="AE265" s="674"/>
      <c r="AF265" s="674"/>
      <c r="AG265" s="674"/>
      <c r="AI265" s="748"/>
      <c r="AJ265" s="749"/>
      <c r="AK265" s="749"/>
      <c r="AL265" s="749"/>
      <c r="AM265" s="749"/>
      <c r="AN265" s="749"/>
      <c r="AO265" s="749"/>
      <c r="AP265" s="749"/>
      <c r="AQ265" s="749"/>
      <c r="AR265" s="749"/>
      <c r="AS265" s="749"/>
      <c r="AT265" s="749"/>
      <c r="AU265" s="749"/>
      <c r="AV265" s="749"/>
      <c r="AW265" s="749"/>
      <c r="AX265" s="749"/>
      <c r="AY265" s="749"/>
      <c r="AZ265" s="749"/>
      <c r="BA265" s="749"/>
      <c r="BB265" s="749"/>
      <c r="BC265" s="749"/>
      <c r="BD265" s="749"/>
    </row>
    <row r="266" spans="1:56">
      <c r="A266" s="678"/>
      <c r="B266" s="683"/>
      <c r="C266" s="683"/>
      <c r="D266" s="683"/>
      <c r="E266" s="683"/>
      <c r="F266" s="683"/>
      <c r="G266" s="683"/>
      <c r="H266" s="683"/>
      <c r="I266" s="683"/>
      <c r="J266" s="683"/>
      <c r="K266" s="683"/>
      <c r="L266" s="674"/>
      <c r="M266" s="674"/>
      <c r="N266" s="674"/>
      <c r="O266" s="674"/>
      <c r="P266" s="674"/>
      <c r="Q266" s="674"/>
      <c r="R266" s="674"/>
      <c r="S266" s="674"/>
      <c r="T266" s="674"/>
      <c r="U266" s="674"/>
      <c r="V266" s="674"/>
      <c r="W266" s="674"/>
      <c r="X266" s="674"/>
      <c r="Y266" s="674"/>
      <c r="Z266" s="674"/>
      <c r="AA266" s="674"/>
      <c r="AB266" s="674"/>
      <c r="AC266" s="674"/>
      <c r="AD266" s="674"/>
      <c r="AE266" s="674"/>
      <c r="AF266" s="674"/>
      <c r="AG266" s="674"/>
      <c r="AI266" s="748"/>
      <c r="AJ266" s="749"/>
      <c r="AK266" s="749"/>
      <c r="AL266" s="749"/>
      <c r="AM266" s="749"/>
      <c r="AN266" s="749"/>
      <c r="AO266" s="749"/>
      <c r="AP266" s="749"/>
      <c r="AQ266" s="749"/>
      <c r="AR266" s="749"/>
      <c r="AS266" s="749"/>
      <c r="AT266" s="749"/>
      <c r="AU266" s="749"/>
      <c r="AV266" s="749"/>
      <c r="AW266" s="749"/>
      <c r="AX266" s="749"/>
      <c r="AY266" s="749"/>
      <c r="AZ266" s="749"/>
      <c r="BA266" s="749"/>
      <c r="BB266" s="749"/>
      <c r="BC266" s="749"/>
      <c r="BD266" s="749"/>
    </row>
    <row r="267" spans="1:56">
      <c r="A267" s="678"/>
      <c r="B267" s="683"/>
      <c r="C267" s="683"/>
      <c r="D267" s="683"/>
      <c r="E267" s="683"/>
      <c r="F267" s="683"/>
      <c r="G267" s="683"/>
      <c r="H267" s="683"/>
      <c r="I267" s="683"/>
      <c r="J267" s="683"/>
      <c r="K267" s="683"/>
      <c r="L267" s="674"/>
      <c r="M267" s="674"/>
      <c r="N267" s="674"/>
      <c r="O267" s="674"/>
      <c r="P267" s="674"/>
      <c r="Q267" s="674"/>
      <c r="R267" s="674"/>
      <c r="S267" s="674"/>
      <c r="T267" s="674"/>
      <c r="U267" s="674"/>
      <c r="V267" s="674"/>
      <c r="W267" s="674"/>
      <c r="X267" s="674"/>
      <c r="Y267" s="674"/>
      <c r="Z267" s="674"/>
      <c r="AA267" s="674"/>
      <c r="AB267" s="674"/>
      <c r="AC267" s="674"/>
      <c r="AD267" s="674"/>
      <c r="AE267" s="674"/>
      <c r="AF267" s="674"/>
      <c r="AG267" s="674"/>
      <c r="AI267" s="748"/>
      <c r="AJ267" s="749"/>
      <c r="AK267" s="749"/>
      <c r="AL267" s="749"/>
      <c r="AM267" s="749"/>
      <c r="AN267" s="749"/>
      <c r="AO267" s="749"/>
      <c r="AP267" s="749"/>
      <c r="AQ267" s="749"/>
      <c r="AR267" s="749"/>
      <c r="AS267" s="749"/>
      <c r="AT267" s="749"/>
      <c r="AU267" s="749"/>
      <c r="AV267" s="749"/>
      <c r="AW267" s="749"/>
      <c r="AX267" s="749"/>
      <c r="AY267" s="749"/>
      <c r="AZ267" s="749"/>
      <c r="BA267" s="749"/>
      <c r="BB267" s="749"/>
      <c r="BC267" s="749"/>
      <c r="BD267" s="749"/>
    </row>
    <row r="268" spans="1:56">
      <c r="A268" s="678"/>
      <c r="B268" s="683"/>
      <c r="C268" s="683"/>
      <c r="D268" s="683"/>
      <c r="E268" s="683"/>
      <c r="F268" s="683"/>
      <c r="G268" s="683"/>
      <c r="H268" s="683"/>
      <c r="I268" s="683"/>
      <c r="J268" s="683"/>
      <c r="K268" s="683"/>
      <c r="L268" s="674"/>
      <c r="M268" s="674"/>
      <c r="N268" s="674"/>
      <c r="O268" s="674"/>
      <c r="P268" s="674"/>
      <c r="Q268" s="674"/>
      <c r="R268" s="674"/>
      <c r="S268" s="674"/>
      <c r="T268" s="674"/>
      <c r="U268" s="674"/>
      <c r="V268" s="674"/>
      <c r="W268" s="674"/>
      <c r="X268" s="674"/>
      <c r="Y268" s="674"/>
      <c r="Z268" s="674"/>
      <c r="AA268" s="674"/>
      <c r="AB268" s="674"/>
      <c r="AC268" s="674"/>
      <c r="AD268" s="674"/>
      <c r="AE268" s="674"/>
      <c r="AF268" s="674"/>
      <c r="AG268" s="674"/>
      <c r="AI268" s="748"/>
      <c r="AJ268" s="749"/>
      <c r="AK268" s="749"/>
      <c r="AL268" s="749"/>
      <c r="AM268" s="749"/>
      <c r="AN268" s="749"/>
      <c r="AO268" s="749"/>
      <c r="AP268" s="749"/>
      <c r="AQ268" s="749"/>
      <c r="AR268" s="749"/>
      <c r="AS268" s="749"/>
      <c r="AT268" s="749"/>
      <c r="AU268" s="749"/>
      <c r="AV268" s="749"/>
      <c r="AW268" s="749"/>
      <c r="AX268" s="749"/>
      <c r="AY268" s="749"/>
      <c r="AZ268" s="749"/>
      <c r="BA268" s="749"/>
      <c r="BB268" s="749"/>
      <c r="BC268" s="749"/>
      <c r="BD268" s="749"/>
    </row>
    <row r="269" spans="1:56">
      <c r="A269" s="773" t="s">
        <v>202</v>
      </c>
      <c r="B269" s="683"/>
      <c r="C269" s="683"/>
      <c r="D269" s="683"/>
      <c r="E269" s="683"/>
      <c r="F269" s="683"/>
      <c r="G269" s="683"/>
      <c r="H269" s="683"/>
      <c r="I269" s="683"/>
      <c r="J269" s="683"/>
      <c r="K269" s="683"/>
      <c r="L269" s="674"/>
      <c r="M269" s="674"/>
      <c r="N269" s="674"/>
      <c r="O269" s="674"/>
      <c r="P269" s="674"/>
      <c r="Q269" s="674"/>
      <c r="R269" s="674"/>
      <c r="S269" s="674"/>
      <c r="T269" s="674"/>
      <c r="U269" s="674"/>
      <c r="V269" s="674"/>
      <c r="W269" s="674"/>
      <c r="X269" s="674"/>
      <c r="Y269" s="674"/>
      <c r="Z269" s="674"/>
      <c r="AA269" s="674"/>
      <c r="AB269" s="674"/>
      <c r="AC269" s="674"/>
      <c r="AD269" s="674"/>
      <c r="AE269" s="674"/>
      <c r="AF269" s="674"/>
      <c r="AG269" s="674"/>
      <c r="AI269" s="748"/>
      <c r="AJ269" s="749"/>
      <c r="AK269" s="749"/>
      <c r="AL269" s="749"/>
      <c r="AM269" s="749"/>
      <c r="AN269" s="749"/>
      <c r="AO269" s="749"/>
      <c r="AP269" s="749"/>
      <c r="AQ269" s="749"/>
      <c r="AR269" s="749"/>
      <c r="AS269" s="749"/>
      <c r="AT269" s="749"/>
      <c r="AU269" s="749"/>
      <c r="AV269" s="749"/>
      <c r="AW269" s="749"/>
      <c r="AX269" s="749"/>
      <c r="AY269" s="749"/>
      <c r="AZ269" s="749"/>
      <c r="BA269" s="749"/>
      <c r="BB269" s="749"/>
      <c r="BC269" s="749"/>
      <c r="BD269" s="749"/>
    </row>
    <row r="270" spans="1:56">
      <c r="A270" s="773" t="s">
        <v>193</v>
      </c>
      <c r="B270" s="683"/>
      <c r="C270" s="683"/>
      <c r="D270" s="683"/>
      <c r="E270" s="683"/>
      <c r="F270" s="683"/>
      <c r="G270" s="683"/>
      <c r="H270" s="683"/>
      <c r="I270" s="683"/>
      <c r="J270" s="683"/>
      <c r="K270" s="683"/>
      <c r="L270" s="674"/>
      <c r="M270" s="674"/>
      <c r="N270" s="674"/>
      <c r="O270" s="674"/>
      <c r="P270" s="674"/>
      <c r="Q270" s="674"/>
      <c r="R270" s="674"/>
      <c r="S270" s="674"/>
      <c r="T270" s="674"/>
      <c r="U270" s="674"/>
      <c r="V270" s="674"/>
      <c r="W270" s="674"/>
      <c r="X270" s="674"/>
      <c r="Y270" s="674"/>
      <c r="Z270" s="674"/>
      <c r="AA270" s="674"/>
      <c r="AB270" s="674"/>
      <c r="AC270" s="674"/>
      <c r="AD270" s="674"/>
      <c r="AE270" s="674"/>
      <c r="AF270" s="674"/>
      <c r="AG270" s="674"/>
      <c r="AI270" s="748"/>
      <c r="AJ270" s="749"/>
      <c r="AK270" s="749"/>
      <c r="AL270" s="749"/>
      <c r="AM270" s="749"/>
      <c r="AN270" s="749"/>
      <c r="AO270" s="749"/>
      <c r="AP270" s="749"/>
      <c r="AQ270" s="749"/>
      <c r="AR270" s="749"/>
      <c r="AS270" s="749"/>
      <c r="AT270" s="749"/>
      <c r="AU270" s="749"/>
      <c r="AV270" s="749"/>
      <c r="AW270" s="749"/>
      <c r="AX270" s="749"/>
      <c r="AY270" s="749"/>
      <c r="AZ270" s="749"/>
      <c r="BA270" s="749"/>
      <c r="BB270" s="749"/>
      <c r="BC270" s="749"/>
      <c r="BD270" s="749"/>
    </row>
    <row r="271" spans="1:56">
      <c r="A271" s="678"/>
      <c r="B271" s="683"/>
      <c r="C271" s="683"/>
      <c r="D271" s="683"/>
      <c r="E271" s="683"/>
      <c r="F271" s="683"/>
      <c r="G271" s="683"/>
      <c r="H271" s="683"/>
      <c r="I271" s="683"/>
      <c r="J271" s="683"/>
      <c r="K271" s="683"/>
      <c r="L271" s="674"/>
      <c r="M271" s="674"/>
      <c r="N271" s="674"/>
      <c r="O271" s="674"/>
      <c r="P271" s="674"/>
      <c r="Q271" s="674"/>
      <c r="R271" s="674"/>
      <c r="S271" s="674"/>
      <c r="T271" s="674"/>
      <c r="U271" s="674"/>
      <c r="V271" s="674"/>
      <c r="W271" s="674"/>
      <c r="X271" s="674"/>
      <c r="Y271" s="674"/>
      <c r="Z271" s="674"/>
      <c r="AA271" s="674"/>
      <c r="AB271" s="674"/>
      <c r="AC271" s="674"/>
      <c r="AD271" s="674"/>
      <c r="AE271" s="674"/>
      <c r="AF271" s="674"/>
      <c r="AG271" s="674"/>
      <c r="AI271" s="748"/>
      <c r="AJ271" s="749"/>
      <c r="AK271" s="749"/>
      <c r="AL271" s="749"/>
      <c r="AM271" s="749"/>
      <c r="AN271" s="749"/>
      <c r="AO271" s="749"/>
      <c r="AP271" s="749"/>
      <c r="AQ271" s="749"/>
      <c r="AR271" s="749"/>
      <c r="AS271" s="749"/>
      <c r="AT271" s="749"/>
      <c r="AU271" s="749"/>
      <c r="AV271" s="749"/>
      <c r="AW271" s="749"/>
      <c r="AX271" s="749"/>
      <c r="AY271" s="749"/>
      <c r="AZ271" s="749"/>
      <c r="BA271" s="749"/>
      <c r="BB271" s="749"/>
      <c r="BC271" s="749"/>
      <c r="BD271" s="749"/>
    </row>
    <row r="272" spans="1:56">
      <c r="A272" s="678"/>
      <c r="B272" s="683"/>
      <c r="C272" s="683"/>
      <c r="D272" s="683"/>
      <c r="E272" s="683"/>
      <c r="F272" s="683"/>
      <c r="G272" s="683"/>
      <c r="H272" s="683"/>
      <c r="I272" s="683"/>
      <c r="J272" s="683"/>
      <c r="K272" s="683"/>
      <c r="L272" s="674"/>
      <c r="M272" s="674"/>
      <c r="N272" s="674"/>
      <c r="O272" s="674"/>
      <c r="P272" s="674"/>
      <c r="Q272" s="674"/>
      <c r="R272" s="674"/>
      <c r="S272" s="674"/>
      <c r="T272" s="674"/>
      <c r="U272" s="674"/>
      <c r="V272" s="674"/>
      <c r="W272" s="674"/>
      <c r="X272" s="674"/>
      <c r="Y272" s="674"/>
      <c r="Z272" s="674"/>
      <c r="AA272" s="674"/>
      <c r="AB272" s="674"/>
      <c r="AC272" s="674"/>
      <c r="AD272" s="674"/>
      <c r="AE272" s="674"/>
      <c r="AF272" s="674"/>
      <c r="AG272" s="674"/>
      <c r="AI272" s="748"/>
      <c r="AJ272" s="749"/>
      <c r="AK272" s="749"/>
      <c r="AL272" s="749"/>
      <c r="AM272" s="749"/>
      <c r="AN272" s="749"/>
      <c r="AO272" s="749"/>
      <c r="AP272" s="749"/>
      <c r="AQ272" s="749"/>
      <c r="AR272" s="749"/>
      <c r="AS272" s="749"/>
      <c r="AT272" s="749"/>
      <c r="AU272" s="749"/>
      <c r="AV272" s="749"/>
      <c r="AW272" s="749"/>
      <c r="AX272" s="749"/>
      <c r="AY272" s="749"/>
      <c r="AZ272" s="749"/>
      <c r="BA272" s="749"/>
      <c r="BB272" s="749"/>
      <c r="BC272" s="749"/>
      <c r="BD272" s="749"/>
    </row>
    <row r="273" spans="1:56">
      <c r="A273" s="678" t="s">
        <v>194</v>
      </c>
      <c r="B273" s="683"/>
      <c r="C273" s="683"/>
      <c r="D273" s="683"/>
      <c r="E273" s="683"/>
      <c r="F273" s="683"/>
      <c r="G273" s="683" t="s">
        <v>105</v>
      </c>
      <c r="H273" s="683">
        <f>V141+V130</f>
        <v>88993.599977316539</v>
      </c>
      <c r="I273" s="683"/>
      <c r="J273" s="683" t="s">
        <v>195</v>
      </c>
      <c r="K273" s="683"/>
      <c r="L273" s="674"/>
      <c r="M273" s="674"/>
      <c r="N273" s="674"/>
      <c r="O273" s="674"/>
      <c r="P273" s="674"/>
      <c r="Q273" s="674"/>
      <c r="R273" s="674"/>
      <c r="S273" s="674"/>
      <c r="T273" s="674"/>
      <c r="U273" s="674"/>
      <c r="V273" s="674"/>
      <c r="W273" s="674"/>
      <c r="X273" s="674"/>
      <c r="Y273" s="674"/>
      <c r="Z273" s="674"/>
      <c r="AA273" s="674"/>
      <c r="AB273" s="674"/>
      <c r="AC273" s="674"/>
      <c r="AD273" s="674"/>
      <c r="AE273" s="674"/>
      <c r="AF273" s="674"/>
      <c r="AG273" s="674"/>
      <c r="AI273" s="748"/>
      <c r="AJ273" s="749"/>
      <c r="AK273" s="749"/>
      <c r="AL273" s="749"/>
      <c r="AM273" s="749"/>
      <c r="AN273" s="749"/>
      <c r="AO273" s="749"/>
      <c r="AP273" s="749"/>
      <c r="AQ273" s="749"/>
      <c r="AR273" s="749"/>
      <c r="AS273" s="749"/>
      <c r="AT273" s="749"/>
      <c r="AU273" s="749"/>
      <c r="AV273" s="749"/>
      <c r="AW273" s="749"/>
      <c r="AX273" s="749"/>
      <c r="AY273" s="749"/>
      <c r="AZ273" s="749"/>
      <c r="BA273" s="749"/>
      <c r="BB273" s="749"/>
      <c r="BC273" s="749"/>
      <c r="BD273" s="749"/>
    </row>
    <row r="274" spans="1:56">
      <c r="A274" s="678"/>
      <c r="B274" s="683"/>
      <c r="C274" s="683"/>
      <c r="D274" s="683"/>
      <c r="E274" s="683"/>
      <c r="F274" s="683"/>
      <c r="G274" s="683"/>
      <c r="H274" s="683"/>
      <c r="I274" s="683"/>
      <c r="J274" s="779"/>
      <c r="K274" s="683"/>
      <c r="L274" s="674"/>
      <c r="M274" s="674"/>
      <c r="N274" s="674"/>
      <c r="O274" s="674"/>
      <c r="P274" s="674"/>
      <c r="Q274" s="674"/>
      <c r="R274" s="674"/>
      <c r="S274" s="674"/>
      <c r="T274" s="674"/>
      <c r="U274" s="674"/>
      <c r="V274" s="674"/>
      <c r="W274" s="674"/>
      <c r="X274" s="674"/>
      <c r="Y274" s="674"/>
      <c r="Z274" s="674"/>
      <c r="AA274" s="674"/>
      <c r="AB274" s="674"/>
      <c r="AC274" s="674"/>
      <c r="AD274" s="674"/>
      <c r="AE274" s="674"/>
      <c r="AF274" s="674"/>
      <c r="AG274" s="674"/>
      <c r="AI274" s="748"/>
      <c r="AJ274" s="749"/>
      <c r="AK274" s="749"/>
      <c r="AL274" s="749"/>
      <c r="AM274" s="749"/>
      <c r="AN274" s="749"/>
      <c r="AO274" s="749"/>
      <c r="AP274" s="749"/>
      <c r="AQ274" s="749"/>
      <c r="AR274" s="749"/>
      <c r="AS274" s="749"/>
      <c r="AT274" s="749"/>
      <c r="AU274" s="749"/>
      <c r="AV274" s="749"/>
      <c r="AW274" s="749"/>
      <c r="AX274" s="749"/>
      <c r="AY274" s="749"/>
      <c r="AZ274" s="749"/>
      <c r="BA274" s="749"/>
      <c r="BB274" s="749"/>
      <c r="BC274" s="749"/>
      <c r="BD274" s="749"/>
    </row>
    <row r="275" spans="1:56">
      <c r="A275" s="678" t="s">
        <v>196</v>
      </c>
      <c r="B275" s="683"/>
      <c r="C275" s="683"/>
      <c r="D275" s="683"/>
      <c r="E275" s="683"/>
      <c r="F275" s="683"/>
      <c r="G275" s="683" t="s">
        <v>105</v>
      </c>
      <c r="H275" s="682">
        <f>T92</f>
        <v>1488129.8409115241</v>
      </c>
      <c r="I275" s="683"/>
      <c r="J275" s="683" t="s">
        <v>197</v>
      </c>
      <c r="K275" s="683"/>
      <c r="L275" s="674"/>
      <c r="M275" s="674"/>
      <c r="N275" s="674"/>
      <c r="O275" s="674"/>
      <c r="P275" s="674"/>
      <c r="Q275" s="674"/>
      <c r="R275" s="674"/>
      <c r="S275" s="674"/>
      <c r="T275" s="674"/>
      <c r="U275" s="674"/>
      <c r="V275" s="674"/>
      <c r="W275" s="674"/>
      <c r="X275" s="674"/>
      <c r="Y275" s="674"/>
      <c r="Z275" s="674"/>
      <c r="AA275" s="674"/>
      <c r="AB275" s="674"/>
      <c r="AC275" s="674"/>
      <c r="AD275" s="674"/>
      <c r="AE275" s="674"/>
      <c r="AF275" s="674"/>
      <c r="AG275" s="674"/>
      <c r="AI275" s="748"/>
      <c r="AJ275" s="749"/>
      <c r="AK275" s="749"/>
      <c r="AL275" s="749"/>
      <c r="AM275" s="749"/>
      <c r="AN275" s="749"/>
      <c r="AO275" s="749"/>
      <c r="AP275" s="749"/>
      <c r="AQ275" s="749"/>
      <c r="AR275" s="749"/>
      <c r="AS275" s="749"/>
      <c r="AT275" s="749"/>
      <c r="AU275" s="749"/>
      <c r="AV275" s="749"/>
      <c r="AW275" s="749"/>
      <c r="AX275" s="749"/>
      <c r="AY275" s="749"/>
      <c r="AZ275" s="749"/>
      <c r="BA275" s="749"/>
      <c r="BB275" s="749"/>
      <c r="BC275" s="749"/>
      <c r="BD275" s="749"/>
    </row>
    <row r="276" spans="1:56">
      <c r="A276" s="678"/>
      <c r="B276" s="683"/>
      <c r="C276" s="683"/>
      <c r="D276" s="683"/>
      <c r="E276" s="683"/>
      <c r="F276" s="683"/>
      <c r="G276" s="683"/>
      <c r="H276" s="683"/>
      <c r="I276" s="683"/>
      <c r="J276" s="683"/>
      <c r="K276" s="683"/>
      <c r="L276" s="674"/>
      <c r="M276" s="674"/>
      <c r="N276" s="674"/>
      <c r="O276" s="674"/>
      <c r="P276" s="674"/>
      <c r="Q276" s="674"/>
      <c r="R276" s="674"/>
      <c r="S276" s="674"/>
      <c r="T276" s="674"/>
      <c r="U276" s="674"/>
      <c r="V276" s="674"/>
      <c r="W276" s="674"/>
      <c r="X276" s="674"/>
      <c r="Y276" s="674"/>
      <c r="Z276" s="674"/>
      <c r="AA276" s="674"/>
      <c r="AB276" s="674"/>
      <c r="AC276" s="674"/>
      <c r="AD276" s="674"/>
      <c r="AE276" s="674"/>
      <c r="AF276" s="674"/>
      <c r="AG276" s="674"/>
      <c r="AI276" s="748"/>
      <c r="AJ276" s="749"/>
      <c r="AK276" s="749"/>
      <c r="AL276" s="749"/>
      <c r="AM276" s="749"/>
      <c r="AN276" s="749"/>
      <c r="AO276" s="749"/>
      <c r="AP276" s="749"/>
      <c r="AQ276" s="749"/>
      <c r="AR276" s="749"/>
      <c r="AS276" s="749"/>
      <c r="AT276" s="749"/>
      <c r="AU276" s="749"/>
      <c r="AV276" s="749"/>
      <c r="AW276" s="749"/>
      <c r="AX276" s="749"/>
      <c r="AY276" s="749"/>
      <c r="AZ276" s="749"/>
      <c r="BA276" s="749"/>
      <c r="BB276" s="749"/>
      <c r="BC276" s="749"/>
      <c r="BD276" s="749"/>
    </row>
    <row r="277" spans="1:56">
      <c r="A277" s="678" t="s">
        <v>183</v>
      </c>
      <c r="B277" s="683"/>
      <c r="C277" s="683"/>
      <c r="D277" s="683"/>
      <c r="E277" s="683"/>
      <c r="F277" s="683"/>
      <c r="G277" s="683"/>
      <c r="H277" s="777">
        <f>(H273/H275)*100</f>
        <v>5.980230859614057</v>
      </c>
      <c r="I277" s="683" t="s">
        <v>108</v>
      </c>
      <c r="J277" s="683"/>
      <c r="K277" s="683"/>
      <c r="L277" s="674"/>
      <c r="M277" s="674"/>
      <c r="N277" s="674"/>
      <c r="O277" s="674"/>
      <c r="P277" s="674"/>
      <c r="Q277" s="674"/>
      <c r="R277" s="674"/>
      <c r="S277" s="674"/>
      <c r="T277" s="674"/>
      <c r="U277" s="674"/>
      <c r="V277" s="674"/>
      <c r="W277" s="674"/>
      <c r="X277" s="674"/>
      <c r="Y277" s="674"/>
      <c r="Z277" s="674"/>
      <c r="AA277" s="674"/>
      <c r="AB277" s="674"/>
      <c r="AC277" s="674"/>
      <c r="AD277" s="674"/>
      <c r="AE277" s="674"/>
      <c r="AF277" s="674"/>
      <c r="AG277" s="674"/>
      <c r="AI277" s="748"/>
      <c r="AJ277" s="749"/>
      <c r="AK277" s="749"/>
      <c r="AL277" s="749"/>
      <c r="AM277" s="749"/>
      <c r="AN277" s="749"/>
      <c r="AO277" s="749"/>
      <c r="AP277" s="749"/>
      <c r="AQ277" s="749"/>
      <c r="AR277" s="749"/>
      <c r="AS277" s="749"/>
      <c r="AT277" s="749"/>
      <c r="AU277" s="749"/>
      <c r="AV277" s="749"/>
      <c r="AW277" s="749"/>
      <c r="AX277" s="749"/>
      <c r="AY277" s="749"/>
      <c r="AZ277" s="749"/>
      <c r="BA277" s="749"/>
      <c r="BB277" s="749"/>
      <c r="BC277" s="749"/>
      <c r="BD277" s="749"/>
    </row>
    <row r="278" spans="1:56">
      <c r="A278" s="678" t="s">
        <v>185</v>
      </c>
      <c r="B278" s="683"/>
      <c r="C278" s="683"/>
      <c r="D278" s="683"/>
      <c r="E278" s="683"/>
      <c r="F278" s="683"/>
      <c r="G278" s="683"/>
      <c r="H278" s="683"/>
      <c r="I278" s="683"/>
      <c r="J278" s="683"/>
      <c r="K278" s="683"/>
      <c r="L278" s="674"/>
      <c r="M278" s="674"/>
      <c r="N278" s="674"/>
      <c r="O278" s="674"/>
      <c r="P278" s="674"/>
      <c r="Q278" s="674"/>
      <c r="R278" s="674"/>
      <c r="S278" s="674"/>
      <c r="T278" s="674"/>
      <c r="U278" s="674"/>
      <c r="V278" s="674"/>
      <c r="W278" s="674"/>
      <c r="X278" s="674"/>
      <c r="Y278" s="674"/>
      <c r="Z278" s="674"/>
      <c r="AA278" s="674"/>
      <c r="AB278" s="674"/>
      <c r="AC278" s="674"/>
      <c r="AD278" s="674"/>
      <c r="AE278" s="674"/>
      <c r="AF278" s="674"/>
      <c r="AG278" s="674"/>
      <c r="AI278" s="748"/>
      <c r="AJ278" s="749"/>
      <c r="AK278" s="749"/>
      <c r="AL278" s="749"/>
      <c r="AM278" s="749"/>
      <c r="AN278" s="749"/>
      <c r="AO278" s="749"/>
      <c r="AP278" s="749"/>
      <c r="AQ278" s="749"/>
      <c r="AR278" s="749"/>
      <c r="AS278" s="749"/>
      <c r="AT278" s="749"/>
      <c r="AU278" s="749"/>
      <c r="AV278" s="749"/>
      <c r="AW278" s="749"/>
      <c r="AX278" s="749"/>
      <c r="AY278" s="749"/>
      <c r="AZ278" s="749"/>
      <c r="BA278" s="749"/>
      <c r="BB278" s="749"/>
      <c r="BC278" s="749"/>
      <c r="BD278" s="749"/>
    </row>
    <row r="279" spans="1:56">
      <c r="A279" s="678" t="s">
        <v>186</v>
      </c>
      <c r="B279" s="683"/>
      <c r="C279" s="683"/>
      <c r="D279" s="683"/>
      <c r="E279" s="683"/>
      <c r="F279" s="683"/>
      <c r="G279" s="683"/>
      <c r="H279" s="683"/>
      <c r="I279" s="683"/>
      <c r="J279" s="683"/>
      <c r="K279" s="683"/>
      <c r="L279" s="674"/>
      <c r="M279" s="674"/>
      <c r="N279" s="674"/>
      <c r="O279" s="674"/>
      <c r="P279" s="674"/>
      <c r="Q279" s="674"/>
      <c r="R279" s="674"/>
      <c r="S279" s="674"/>
      <c r="T279" s="674"/>
      <c r="U279" s="674"/>
      <c r="V279" s="674"/>
      <c r="W279" s="674"/>
      <c r="X279" s="674"/>
      <c r="Y279" s="674"/>
      <c r="Z279" s="674"/>
      <c r="AA279" s="674"/>
      <c r="AB279" s="674"/>
      <c r="AC279" s="674"/>
      <c r="AD279" s="674"/>
      <c r="AE279" s="674"/>
      <c r="AF279" s="674"/>
      <c r="AG279" s="674"/>
      <c r="AI279" s="748"/>
      <c r="AJ279" s="749"/>
      <c r="AK279" s="749"/>
      <c r="AL279" s="749"/>
      <c r="AM279" s="749"/>
      <c r="AN279" s="749"/>
      <c r="AO279" s="749"/>
      <c r="AP279" s="749"/>
      <c r="AQ279" s="749"/>
      <c r="AR279" s="749"/>
      <c r="AS279" s="749"/>
      <c r="AT279" s="749"/>
      <c r="AU279" s="749"/>
      <c r="AV279" s="749"/>
      <c r="AW279" s="749"/>
      <c r="AX279" s="749"/>
      <c r="AY279" s="749"/>
      <c r="AZ279" s="749"/>
      <c r="BA279" s="749"/>
      <c r="BB279" s="749"/>
      <c r="BC279" s="749"/>
      <c r="BD279" s="749"/>
    </row>
    <row r="280" spans="1:56">
      <c r="A280" s="678" t="s">
        <v>174</v>
      </c>
      <c r="B280" s="683"/>
      <c r="C280" s="683"/>
      <c r="D280" s="683"/>
      <c r="E280" s="683"/>
      <c r="F280" s="683"/>
      <c r="G280" s="683"/>
      <c r="H280" s="774">
        <f>H253</f>
        <v>-1.22</v>
      </c>
      <c r="I280" s="683" t="s">
        <v>108</v>
      </c>
      <c r="J280" s="683"/>
      <c r="K280" s="683"/>
      <c r="L280" s="674"/>
      <c r="M280" s="674"/>
      <c r="N280" s="674"/>
      <c r="O280" s="674"/>
      <c r="P280" s="674"/>
      <c r="Q280" s="674"/>
      <c r="R280" s="674"/>
      <c r="S280" s="674"/>
      <c r="T280" s="674"/>
      <c r="U280" s="674"/>
      <c r="V280" s="674"/>
      <c r="W280" s="674"/>
      <c r="X280" s="674"/>
      <c r="Y280" s="674"/>
      <c r="Z280" s="674"/>
      <c r="AA280" s="674"/>
      <c r="AB280" s="674"/>
      <c r="AC280" s="674"/>
      <c r="AD280" s="674"/>
      <c r="AE280" s="674"/>
      <c r="AF280" s="674"/>
      <c r="AG280" s="674"/>
      <c r="AI280" s="748"/>
      <c r="AJ280" s="749"/>
      <c r="AK280" s="749"/>
      <c r="AL280" s="749"/>
      <c r="AM280" s="749"/>
      <c r="AN280" s="749"/>
      <c r="AO280" s="749"/>
      <c r="AP280" s="749"/>
      <c r="AQ280" s="749"/>
      <c r="AR280" s="749"/>
      <c r="AS280" s="749"/>
      <c r="AT280" s="749"/>
      <c r="AU280" s="749"/>
      <c r="AV280" s="749"/>
      <c r="AW280" s="749"/>
      <c r="AX280" s="749"/>
      <c r="AY280" s="749"/>
      <c r="AZ280" s="749"/>
      <c r="BA280" s="749"/>
      <c r="BB280" s="749"/>
      <c r="BC280" s="749"/>
      <c r="BD280" s="749"/>
    </row>
    <row r="281" spans="1:56">
      <c r="A281" s="678" t="s">
        <v>175</v>
      </c>
      <c r="B281" s="683"/>
      <c r="C281" s="683"/>
      <c r="D281" s="683"/>
      <c r="E281" s="683"/>
      <c r="F281" s="683"/>
      <c r="G281" s="683"/>
      <c r="H281" s="774">
        <f>H254</f>
        <v>-0.05</v>
      </c>
      <c r="I281" s="683" t="s">
        <v>108</v>
      </c>
      <c r="J281" s="683"/>
      <c r="K281" s="683"/>
      <c r="L281" s="674"/>
      <c r="M281" s="674"/>
      <c r="N281" s="674"/>
      <c r="O281" s="674"/>
      <c r="P281" s="674"/>
      <c r="Q281" s="674"/>
      <c r="R281" s="674"/>
      <c r="S281" s="674"/>
      <c r="T281" s="674"/>
      <c r="U281" s="674"/>
      <c r="V281" s="674"/>
      <c r="W281" s="674"/>
      <c r="X281" s="674"/>
      <c r="Y281" s="674"/>
      <c r="Z281" s="674"/>
      <c r="AA281" s="674"/>
      <c r="AB281" s="674"/>
      <c r="AC281" s="674"/>
      <c r="AD281" s="674"/>
      <c r="AE281" s="674"/>
      <c r="AF281" s="674"/>
      <c r="AG281" s="674"/>
      <c r="AI281" s="748"/>
      <c r="AJ281" s="749"/>
      <c r="AK281" s="749"/>
      <c r="AL281" s="749"/>
      <c r="AM281" s="749"/>
      <c r="AN281" s="749"/>
      <c r="AO281" s="749"/>
      <c r="AP281" s="749"/>
      <c r="AQ281" s="749"/>
      <c r="AR281" s="749"/>
      <c r="AS281" s="749"/>
      <c r="AT281" s="749"/>
      <c r="AU281" s="749"/>
      <c r="AV281" s="749"/>
      <c r="AW281" s="749"/>
      <c r="AX281" s="749"/>
      <c r="AY281" s="749"/>
      <c r="AZ281" s="749"/>
      <c r="BA281" s="749"/>
      <c r="BB281" s="749"/>
      <c r="BC281" s="749"/>
      <c r="BD281" s="749"/>
    </row>
    <row r="282" spans="1:56">
      <c r="A282" s="678" t="s">
        <v>187</v>
      </c>
      <c r="B282" s="683"/>
      <c r="C282" s="683"/>
      <c r="D282" s="683"/>
      <c r="E282" s="683"/>
      <c r="F282" s="683"/>
      <c r="G282" s="683"/>
      <c r="H282" s="774">
        <f>H255</f>
        <v>0</v>
      </c>
      <c r="I282" s="683" t="s">
        <v>108</v>
      </c>
      <c r="J282" s="683"/>
      <c r="K282" s="683"/>
      <c r="L282" s="674"/>
      <c r="M282" s="674"/>
      <c r="N282" s="674"/>
      <c r="O282" s="674"/>
      <c r="P282" s="674"/>
      <c r="Q282" s="674"/>
      <c r="R282" s="674"/>
      <c r="S282" s="674"/>
      <c r="T282" s="674"/>
      <c r="U282" s="674"/>
      <c r="V282" s="674"/>
      <c r="W282" s="674"/>
      <c r="X282" s="674"/>
      <c r="Y282" s="674"/>
      <c r="Z282" s="674"/>
      <c r="AA282" s="674"/>
      <c r="AB282" s="674"/>
      <c r="AC282" s="674"/>
      <c r="AD282" s="674"/>
      <c r="AE282" s="674"/>
      <c r="AF282" s="674"/>
      <c r="AG282" s="674"/>
      <c r="AI282" s="748"/>
      <c r="AJ282" s="749"/>
      <c r="AK282" s="749"/>
      <c r="AL282" s="749"/>
      <c r="AM282" s="749"/>
      <c r="AN282" s="749"/>
      <c r="AO282" s="749"/>
      <c r="AP282" s="749"/>
      <c r="AQ282" s="749"/>
      <c r="AR282" s="749"/>
      <c r="AS282" s="749"/>
      <c r="AT282" s="749"/>
      <c r="AU282" s="749"/>
      <c r="AV282" s="749"/>
      <c r="AW282" s="749"/>
      <c r="AX282" s="749"/>
      <c r="AY282" s="749"/>
      <c r="AZ282" s="749"/>
      <c r="BA282" s="749"/>
      <c r="BB282" s="749"/>
      <c r="BC282" s="749"/>
      <c r="BD282" s="749"/>
    </row>
    <row r="283" spans="1:56">
      <c r="A283" s="678" t="s">
        <v>17</v>
      </c>
      <c r="B283" s="683"/>
      <c r="C283" s="683"/>
      <c r="D283" s="683"/>
      <c r="E283" s="683"/>
      <c r="F283" s="683"/>
      <c r="G283" s="683"/>
      <c r="H283" s="774">
        <f>H256</f>
        <v>-0.04</v>
      </c>
      <c r="I283" s="683" t="s">
        <v>108</v>
      </c>
      <c r="J283" s="683"/>
      <c r="K283" s="683"/>
      <c r="L283" s="674"/>
      <c r="M283" s="674"/>
      <c r="N283" s="674"/>
      <c r="O283" s="674"/>
      <c r="P283" s="674"/>
      <c r="Q283" s="674"/>
      <c r="R283" s="674"/>
      <c r="S283" s="674"/>
      <c r="T283" s="674"/>
      <c r="U283" s="674"/>
      <c r="V283" s="674"/>
      <c r="W283" s="674"/>
      <c r="X283" s="674"/>
      <c r="Y283" s="674"/>
      <c r="Z283" s="674"/>
      <c r="AA283" s="674"/>
      <c r="AB283" s="674"/>
      <c r="AC283" s="674"/>
      <c r="AD283" s="674"/>
      <c r="AE283" s="674"/>
      <c r="AF283" s="674"/>
      <c r="AG283" s="674"/>
      <c r="AI283" s="748"/>
      <c r="AJ283" s="749"/>
      <c r="AK283" s="749"/>
      <c r="AL283" s="749"/>
      <c r="AM283" s="749"/>
      <c r="AN283" s="749"/>
      <c r="AO283" s="749"/>
      <c r="AP283" s="749"/>
      <c r="AQ283" s="749"/>
      <c r="AR283" s="749"/>
      <c r="AS283" s="749"/>
      <c r="AT283" s="749"/>
      <c r="AU283" s="749"/>
      <c r="AV283" s="749"/>
      <c r="AW283" s="749"/>
      <c r="AX283" s="749"/>
      <c r="AY283" s="749"/>
      <c r="AZ283" s="749"/>
      <c r="BA283" s="749"/>
      <c r="BB283" s="749"/>
      <c r="BC283" s="749"/>
      <c r="BD283" s="749"/>
    </row>
    <row r="284" spans="1:56">
      <c r="A284" s="678" t="s">
        <v>188</v>
      </c>
      <c r="B284" s="683"/>
      <c r="C284" s="683"/>
      <c r="D284" s="683"/>
      <c r="E284" s="683"/>
      <c r="F284" s="683"/>
      <c r="G284" s="683"/>
      <c r="H284" s="774">
        <f>H257</f>
        <v>0</v>
      </c>
      <c r="I284" s="683" t="s">
        <v>108</v>
      </c>
      <c r="J284" s="683"/>
      <c r="K284" s="683"/>
      <c r="L284" s="674"/>
      <c r="M284" s="674"/>
      <c r="N284" s="674"/>
      <c r="O284" s="674"/>
      <c r="P284" s="674"/>
      <c r="Q284" s="674"/>
      <c r="R284" s="674"/>
      <c r="S284" s="674"/>
      <c r="T284" s="674"/>
      <c r="U284" s="674"/>
      <c r="V284" s="674"/>
      <c r="W284" s="674"/>
      <c r="X284" s="674"/>
      <c r="Y284" s="674"/>
      <c r="Z284" s="674"/>
      <c r="AA284" s="674"/>
      <c r="AB284" s="674"/>
      <c r="AC284" s="674"/>
      <c r="AD284" s="674"/>
      <c r="AE284" s="674"/>
      <c r="AF284" s="674"/>
      <c r="AG284" s="674"/>
      <c r="AI284" s="748"/>
      <c r="AJ284" s="749"/>
      <c r="AK284" s="749"/>
      <c r="AL284" s="749"/>
      <c r="AM284" s="749"/>
      <c r="AN284" s="749"/>
      <c r="AO284" s="749"/>
      <c r="AP284" s="749"/>
      <c r="AQ284" s="749"/>
      <c r="AR284" s="749"/>
      <c r="AS284" s="749"/>
      <c r="AT284" s="749"/>
      <c r="AU284" s="749"/>
      <c r="AV284" s="749"/>
      <c r="AW284" s="749"/>
      <c r="AX284" s="749"/>
      <c r="AY284" s="749"/>
      <c r="AZ284" s="749"/>
      <c r="BA284" s="749"/>
      <c r="BB284" s="749"/>
      <c r="BC284" s="749"/>
      <c r="BD284" s="749"/>
    </row>
    <row r="285" spans="1:56">
      <c r="A285" s="678" t="s">
        <v>189</v>
      </c>
      <c r="B285" s="683"/>
      <c r="C285" s="683"/>
      <c r="D285" s="683"/>
      <c r="E285" s="683"/>
      <c r="F285" s="683"/>
      <c r="G285" s="683"/>
      <c r="H285" s="776">
        <f>SUM(H280:H284)</f>
        <v>-1.31</v>
      </c>
      <c r="I285" s="683" t="s">
        <v>108</v>
      </c>
      <c r="J285" s="683"/>
      <c r="K285" s="683"/>
      <c r="L285" s="674"/>
      <c r="M285" s="674"/>
      <c r="N285" s="674"/>
      <c r="O285" s="674"/>
      <c r="P285" s="674"/>
      <c r="Q285" s="674"/>
      <c r="R285" s="674"/>
      <c r="S285" s="674"/>
      <c r="T285" s="674"/>
      <c r="U285" s="674"/>
      <c r="V285" s="674"/>
      <c r="W285" s="674"/>
      <c r="X285" s="674"/>
      <c r="Y285" s="674"/>
      <c r="Z285" s="674"/>
      <c r="AA285" s="674"/>
      <c r="AB285" s="674"/>
      <c r="AC285" s="674"/>
      <c r="AD285" s="674"/>
      <c r="AE285" s="674"/>
      <c r="AF285" s="674"/>
      <c r="AG285" s="674"/>
      <c r="AI285" s="748"/>
      <c r="AJ285" s="749"/>
      <c r="AK285" s="749"/>
      <c r="AL285" s="749"/>
      <c r="AM285" s="749"/>
      <c r="AN285" s="749"/>
      <c r="AO285" s="749"/>
      <c r="AP285" s="749"/>
      <c r="AQ285" s="749"/>
      <c r="AR285" s="749"/>
      <c r="AS285" s="749"/>
      <c r="AT285" s="749"/>
      <c r="AU285" s="749"/>
      <c r="AV285" s="749"/>
      <c r="AW285" s="749"/>
      <c r="AX285" s="749"/>
      <c r="AY285" s="749"/>
      <c r="AZ285" s="749"/>
      <c r="BA285" s="749"/>
      <c r="BB285" s="749"/>
      <c r="BC285" s="749"/>
      <c r="BD285" s="749"/>
    </row>
    <row r="286" spans="1:56">
      <c r="A286" s="678"/>
      <c r="B286" s="683"/>
      <c r="C286" s="683"/>
      <c r="D286" s="683"/>
      <c r="E286" s="683"/>
      <c r="F286" s="683"/>
      <c r="G286" s="683"/>
      <c r="H286" s="683"/>
      <c r="I286" s="683"/>
      <c r="J286" s="683"/>
      <c r="K286" s="683"/>
      <c r="L286" s="674"/>
      <c r="M286" s="674"/>
      <c r="N286" s="674"/>
      <c r="O286" s="674"/>
      <c r="P286" s="674"/>
      <c r="Q286" s="674"/>
      <c r="R286" s="674"/>
      <c r="S286" s="674"/>
      <c r="T286" s="674"/>
      <c r="U286" s="674"/>
      <c r="V286" s="674"/>
      <c r="W286" s="674"/>
      <c r="X286" s="674"/>
      <c r="Y286" s="674"/>
      <c r="Z286" s="674"/>
      <c r="AA286" s="674"/>
      <c r="AB286" s="674"/>
      <c r="AC286" s="674"/>
      <c r="AD286" s="674"/>
      <c r="AE286" s="674"/>
      <c r="AF286" s="674"/>
      <c r="AG286" s="674"/>
      <c r="AI286" s="748"/>
      <c r="AJ286" s="749"/>
      <c r="AK286" s="749"/>
      <c r="AL286" s="749"/>
      <c r="AM286" s="749"/>
      <c r="AN286" s="749"/>
      <c r="AO286" s="749"/>
      <c r="AP286" s="749"/>
      <c r="AQ286" s="749"/>
      <c r="AR286" s="749"/>
      <c r="AS286" s="749"/>
      <c r="AT286" s="749"/>
      <c r="AU286" s="749"/>
      <c r="AV286" s="749"/>
      <c r="AW286" s="749"/>
      <c r="AX286" s="749"/>
      <c r="AY286" s="749"/>
      <c r="AZ286" s="749"/>
      <c r="BA286" s="749"/>
      <c r="BB286" s="749"/>
      <c r="BC286" s="749"/>
      <c r="BD286" s="749"/>
    </row>
    <row r="287" spans="1:56">
      <c r="A287" s="678" t="s">
        <v>1</v>
      </c>
      <c r="B287" s="683"/>
      <c r="C287" s="683"/>
      <c r="D287" s="683"/>
      <c r="E287" s="683"/>
      <c r="F287" s="683"/>
      <c r="G287" s="683"/>
      <c r="H287" s="774">
        <f>H277+H285</f>
        <v>4.6702308596140565</v>
      </c>
      <c r="I287" s="683" t="s">
        <v>108</v>
      </c>
      <c r="J287" s="683"/>
      <c r="K287" s="683"/>
      <c r="L287" s="674"/>
      <c r="M287" s="674"/>
      <c r="N287" s="674"/>
      <c r="O287" s="674"/>
      <c r="P287" s="674"/>
      <c r="Q287" s="674"/>
      <c r="R287" s="674"/>
      <c r="S287" s="674"/>
      <c r="T287" s="674"/>
      <c r="U287" s="674"/>
      <c r="V287" s="674"/>
      <c r="W287" s="674"/>
      <c r="X287" s="674"/>
      <c r="Y287" s="674"/>
      <c r="Z287" s="674"/>
      <c r="AA287" s="674"/>
      <c r="AB287" s="674"/>
      <c r="AC287" s="674"/>
      <c r="AD287" s="674"/>
      <c r="AE287" s="674"/>
      <c r="AF287" s="674"/>
      <c r="AG287" s="674"/>
      <c r="AI287" s="748"/>
      <c r="AJ287" s="749"/>
      <c r="AK287" s="749"/>
      <c r="AL287" s="749"/>
      <c r="AM287" s="749"/>
      <c r="AN287" s="749"/>
      <c r="AO287" s="749"/>
      <c r="AP287" s="749"/>
      <c r="AQ287" s="749"/>
      <c r="AR287" s="749"/>
      <c r="AS287" s="749"/>
      <c r="AT287" s="749"/>
      <c r="AU287" s="749"/>
      <c r="AV287" s="749"/>
      <c r="AW287" s="749"/>
      <c r="AX287" s="749"/>
      <c r="AY287" s="749"/>
      <c r="AZ287" s="749"/>
      <c r="BA287" s="749"/>
      <c r="BB287" s="749"/>
      <c r="BC287" s="749"/>
      <c r="BD287" s="749"/>
    </row>
    <row r="288" spans="1:56">
      <c r="A288" s="678"/>
      <c r="B288" s="683"/>
      <c r="C288" s="683"/>
      <c r="D288" s="683"/>
      <c r="E288" s="683"/>
      <c r="F288" s="683"/>
      <c r="G288" s="683"/>
      <c r="H288" s="683"/>
      <c r="I288" s="683"/>
      <c r="J288" s="683"/>
      <c r="K288" s="683"/>
      <c r="L288" s="674"/>
      <c r="M288" s="674"/>
      <c r="N288" s="674"/>
      <c r="O288" s="674"/>
      <c r="P288" s="674"/>
      <c r="Q288" s="674"/>
      <c r="R288" s="674"/>
      <c r="S288" s="674"/>
      <c r="T288" s="674"/>
      <c r="U288" s="674"/>
      <c r="V288" s="674"/>
      <c r="W288" s="674"/>
      <c r="X288" s="674"/>
      <c r="Y288" s="674"/>
      <c r="Z288" s="674"/>
      <c r="AA288" s="674"/>
      <c r="AB288" s="674"/>
      <c r="AC288" s="674"/>
      <c r="AD288" s="674"/>
      <c r="AE288" s="674"/>
      <c r="AF288" s="674"/>
      <c r="AG288" s="674"/>
      <c r="AI288" s="748"/>
      <c r="AJ288" s="749"/>
      <c r="AK288" s="749"/>
      <c r="AL288" s="749"/>
      <c r="AM288" s="749"/>
      <c r="AN288" s="749"/>
      <c r="AO288" s="749"/>
      <c r="AP288" s="749"/>
      <c r="AQ288" s="749"/>
      <c r="AR288" s="749"/>
      <c r="AS288" s="749"/>
      <c r="AT288" s="749"/>
      <c r="AU288" s="749"/>
      <c r="AV288" s="749"/>
      <c r="AW288" s="749"/>
      <c r="AX288" s="749"/>
      <c r="AY288" s="749"/>
      <c r="AZ288" s="749"/>
      <c r="BA288" s="749"/>
      <c r="BB288" s="749"/>
      <c r="BC288" s="749"/>
      <c r="BD288" s="749"/>
    </row>
    <row r="289" spans="1:56">
      <c r="A289" s="678" t="s">
        <v>190</v>
      </c>
      <c r="B289" s="683"/>
      <c r="C289" s="683"/>
      <c r="D289" s="683"/>
      <c r="E289" s="683"/>
      <c r="F289" s="683"/>
      <c r="G289" s="683"/>
      <c r="H289" s="777">
        <f>H262</f>
        <v>45.82</v>
      </c>
      <c r="I289" s="683" t="s">
        <v>108</v>
      </c>
      <c r="J289" s="683"/>
      <c r="K289" s="683"/>
      <c r="L289" s="674"/>
      <c r="M289" s="674"/>
      <c r="N289" s="674"/>
      <c r="O289" s="674"/>
      <c r="P289" s="674"/>
      <c r="Q289" s="674"/>
      <c r="R289" s="674"/>
      <c r="S289" s="674"/>
      <c r="T289" s="674"/>
      <c r="U289" s="674"/>
      <c r="V289" s="674"/>
      <c r="W289" s="674"/>
      <c r="X289" s="674"/>
      <c r="Y289" s="674"/>
      <c r="Z289" s="674"/>
      <c r="AA289" s="674"/>
      <c r="AB289" s="674"/>
      <c r="AC289" s="674"/>
      <c r="AD289" s="674"/>
      <c r="AE289" s="674"/>
      <c r="AF289" s="674"/>
      <c r="AG289" s="674"/>
      <c r="AI289" s="748"/>
      <c r="AJ289" s="749"/>
      <c r="AK289" s="749"/>
      <c r="AL289" s="749"/>
      <c r="AM289" s="749"/>
      <c r="AN289" s="749"/>
      <c r="AO289" s="749"/>
      <c r="AP289" s="749"/>
      <c r="AQ289" s="749"/>
      <c r="AR289" s="749"/>
      <c r="AS289" s="749"/>
      <c r="AT289" s="749"/>
      <c r="AU289" s="749"/>
      <c r="AV289" s="749"/>
      <c r="AW289" s="749"/>
      <c r="AX289" s="749"/>
      <c r="AY289" s="749"/>
      <c r="AZ289" s="749"/>
      <c r="BA289" s="749"/>
      <c r="BB289" s="749"/>
      <c r="BC289" s="749"/>
      <c r="BD289" s="749"/>
    </row>
    <row r="290" spans="1:56">
      <c r="A290" s="678"/>
      <c r="B290" s="683"/>
      <c r="C290" s="683"/>
      <c r="D290" s="683"/>
      <c r="E290" s="683"/>
      <c r="F290" s="683"/>
      <c r="G290" s="683"/>
      <c r="H290" s="683"/>
      <c r="I290" s="683"/>
      <c r="J290" s="683"/>
      <c r="K290" s="683"/>
      <c r="L290" s="674"/>
      <c r="M290" s="674"/>
      <c r="N290" s="674"/>
      <c r="O290" s="674"/>
      <c r="P290" s="674"/>
      <c r="Q290" s="674"/>
      <c r="R290" s="674"/>
      <c r="S290" s="674"/>
      <c r="T290" s="674"/>
      <c r="U290" s="674"/>
      <c r="V290" s="674"/>
      <c r="W290" s="674"/>
      <c r="X290" s="674"/>
      <c r="Y290" s="674"/>
      <c r="Z290" s="674"/>
      <c r="AA290" s="674"/>
      <c r="AB290" s="674"/>
      <c r="AC290" s="674"/>
      <c r="AD290" s="674"/>
      <c r="AE290" s="674"/>
      <c r="AF290" s="674"/>
      <c r="AG290" s="674"/>
      <c r="AI290" s="748"/>
      <c r="AJ290" s="749"/>
      <c r="AK290" s="749"/>
      <c r="AL290" s="749"/>
      <c r="AM290" s="749"/>
      <c r="AN290" s="749"/>
      <c r="AO290" s="749"/>
      <c r="AP290" s="749"/>
      <c r="AQ290" s="749"/>
      <c r="AR290" s="749"/>
      <c r="AS290" s="749"/>
      <c r="AT290" s="749"/>
      <c r="AU290" s="749"/>
      <c r="AV290" s="749"/>
      <c r="AW290" s="749"/>
      <c r="AX290" s="749"/>
      <c r="AY290" s="749"/>
      <c r="AZ290" s="749"/>
      <c r="BA290" s="749"/>
      <c r="BB290" s="749"/>
      <c r="BC290" s="749"/>
      <c r="BD290" s="749"/>
    </row>
    <row r="291" spans="1:56" ht="13.5" thickBot="1">
      <c r="A291" s="678" t="s">
        <v>191</v>
      </c>
      <c r="B291" s="683"/>
      <c r="C291" s="683"/>
      <c r="D291" s="683"/>
      <c r="E291" s="683"/>
      <c r="F291" s="683"/>
      <c r="G291" s="683"/>
      <c r="H291" s="778">
        <f>(H287)/(H289/100)</f>
        <v>10.192559711073891</v>
      </c>
      <c r="I291" s="683" t="s">
        <v>108</v>
      </c>
      <c r="J291" s="683"/>
      <c r="K291" s="683"/>
      <c r="L291" s="674"/>
      <c r="M291" s="674"/>
      <c r="N291" s="674"/>
      <c r="O291" s="674"/>
      <c r="P291" s="674"/>
      <c r="Q291" s="674"/>
      <c r="R291" s="674"/>
      <c r="S291" s="674"/>
      <c r="T291" s="674"/>
      <c r="U291" s="674"/>
      <c r="V291" s="674"/>
      <c r="W291" s="674"/>
      <c r="X291" s="674"/>
      <c r="Y291" s="674"/>
      <c r="Z291" s="674"/>
      <c r="AA291" s="674"/>
      <c r="AB291" s="674"/>
      <c r="AC291" s="674"/>
      <c r="AD291" s="674"/>
      <c r="AE291" s="674"/>
      <c r="AF291" s="674"/>
      <c r="AG291" s="674"/>
      <c r="AI291" s="748"/>
      <c r="AJ291" s="749"/>
      <c r="AK291" s="749"/>
      <c r="AL291" s="749"/>
      <c r="AM291" s="749"/>
      <c r="AN291" s="749"/>
      <c r="AO291" s="749"/>
      <c r="AP291" s="749"/>
      <c r="AQ291" s="749"/>
      <c r="AR291" s="749"/>
      <c r="AS291" s="749"/>
      <c r="AT291" s="749"/>
      <c r="AU291" s="749"/>
      <c r="AV291" s="749"/>
      <c r="AW291" s="749"/>
      <c r="AX291" s="749"/>
      <c r="AY291" s="749"/>
      <c r="AZ291" s="749"/>
      <c r="BA291" s="749"/>
      <c r="BB291" s="749"/>
      <c r="BC291" s="749"/>
      <c r="BD291" s="749"/>
    </row>
    <row r="292" spans="1:56" ht="13.5" thickTop="1">
      <c r="AI292" s="748"/>
      <c r="AJ292" s="749"/>
      <c r="AK292" s="749"/>
      <c r="AL292" s="749"/>
      <c r="AM292" s="749"/>
      <c r="AN292" s="749"/>
      <c r="AO292" s="749"/>
      <c r="AP292" s="749"/>
      <c r="AQ292" s="749"/>
      <c r="AR292" s="749"/>
      <c r="AS292" s="749"/>
      <c r="AT292" s="749"/>
      <c r="AU292" s="749"/>
      <c r="AV292" s="749"/>
      <c r="AW292" s="749"/>
      <c r="AX292" s="749"/>
      <c r="AY292" s="749"/>
      <c r="AZ292" s="749"/>
      <c r="BA292" s="749"/>
      <c r="BB292" s="749"/>
      <c r="BC292" s="749"/>
      <c r="BD292" s="749"/>
    </row>
    <row r="293" spans="1:56">
      <c r="AI293" s="748"/>
      <c r="AJ293" s="749"/>
      <c r="AK293" s="749"/>
      <c r="AL293" s="749"/>
      <c r="AM293" s="749"/>
      <c r="AN293" s="749"/>
      <c r="AO293" s="749"/>
      <c r="AP293" s="749"/>
      <c r="AQ293" s="749"/>
      <c r="AR293" s="749"/>
      <c r="AS293" s="749"/>
      <c r="AT293" s="749"/>
      <c r="AU293" s="749"/>
      <c r="AV293" s="749"/>
      <c r="AW293" s="749"/>
      <c r="AX293" s="749"/>
      <c r="AY293" s="749"/>
      <c r="AZ293" s="749"/>
      <c r="BA293" s="749"/>
      <c r="BB293" s="749"/>
      <c r="BC293" s="749"/>
      <c r="BD293" s="749"/>
    </row>
    <row r="294" spans="1:56">
      <c r="AI294" s="748"/>
      <c r="AJ294" s="749"/>
      <c r="AK294" s="749"/>
      <c r="AL294" s="749"/>
      <c r="AM294" s="749"/>
      <c r="AN294" s="749"/>
      <c r="AO294" s="749"/>
      <c r="AP294" s="749"/>
      <c r="AQ294" s="749"/>
      <c r="AR294" s="749"/>
      <c r="AS294" s="749"/>
      <c r="AT294" s="749"/>
      <c r="AU294" s="749"/>
      <c r="AV294" s="749"/>
      <c r="AW294" s="749"/>
      <c r="AX294" s="749"/>
      <c r="AY294" s="749"/>
      <c r="AZ294" s="749"/>
      <c r="BA294" s="749"/>
      <c r="BB294" s="749"/>
      <c r="BC294" s="749"/>
      <c r="BD294" s="749"/>
    </row>
    <row r="295" spans="1:56">
      <c r="AI295" s="748"/>
      <c r="AJ295" s="749"/>
      <c r="AK295" s="749"/>
      <c r="AL295" s="749"/>
      <c r="AM295" s="749"/>
      <c r="AN295" s="749"/>
      <c r="AO295" s="749"/>
      <c r="AP295" s="749"/>
      <c r="AQ295" s="749"/>
      <c r="AR295" s="749"/>
      <c r="AS295" s="749"/>
      <c r="AT295" s="749"/>
      <c r="AU295" s="749"/>
      <c r="AV295" s="749"/>
      <c r="AW295" s="749"/>
      <c r="AX295" s="749"/>
      <c r="AY295" s="749"/>
      <c r="AZ295" s="749"/>
      <c r="BA295" s="749"/>
      <c r="BB295" s="749"/>
      <c r="BC295" s="749"/>
      <c r="BD295" s="749"/>
    </row>
    <row r="296" spans="1:56">
      <c r="AI296" s="748"/>
      <c r="AJ296" s="749"/>
      <c r="AK296" s="749"/>
      <c r="AL296" s="749"/>
      <c r="AM296" s="749"/>
      <c r="AN296" s="749"/>
      <c r="AO296" s="749"/>
      <c r="AP296" s="749"/>
      <c r="AQ296" s="749"/>
      <c r="AR296" s="749"/>
      <c r="AS296" s="749"/>
      <c r="AT296" s="749"/>
      <c r="AU296" s="749"/>
      <c r="AV296" s="749"/>
      <c r="AW296" s="749"/>
      <c r="AX296" s="749"/>
      <c r="AY296" s="749"/>
      <c r="AZ296" s="749"/>
      <c r="BA296" s="749"/>
      <c r="BB296" s="749"/>
      <c r="BC296" s="749"/>
      <c r="BD296" s="749"/>
    </row>
    <row r="297" spans="1:56">
      <c r="AI297" s="748"/>
      <c r="AJ297" s="749"/>
      <c r="AK297" s="749"/>
      <c r="AL297" s="749"/>
      <c r="AM297" s="749"/>
      <c r="AN297" s="749"/>
      <c r="AO297" s="749"/>
      <c r="AP297" s="749"/>
      <c r="AQ297" s="749"/>
      <c r="AR297" s="749"/>
      <c r="AS297" s="749"/>
      <c r="AT297" s="749"/>
      <c r="AU297" s="749"/>
      <c r="AV297" s="749"/>
      <c r="AW297" s="749"/>
      <c r="AX297" s="749"/>
      <c r="AY297" s="749"/>
      <c r="AZ297" s="749"/>
      <c r="BA297" s="749"/>
      <c r="BB297" s="749"/>
      <c r="BC297" s="749"/>
      <c r="BD297" s="749"/>
    </row>
    <row r="298" spans="1:56">
      <c r="AI298" s="748"/>
      <c r="AJ298" s="749"/>
      <c r="AK298" s="749"/>
      <c r="AL298" s="749"/>
      <c r="AM298" s="749"/>
      <c r="AN298" s="749"/>
      <c r="AO298" s="749"/>
      <c r="AP298" s="749"/>
      <c r="AQ298" s="749"/>
      <c r="AR298" s="749"/>
      <c r="AS298" s="749"/>
      <c r="AT298" s="749"/>
      <c r="AU298" s="749"/>
      <c r="AV298" s="749"/>
      <c r="AW298" s="749"/>
      <c r="AX298" s="749"/>
      <c r="AY298" s="749"/>
      <c r="AZ298" s="749"/>
      <c r="BA298" s="749"/>
      <c r="BB298" s="749"/>
      <c r="BC298" s="749"/>
      <c r="BD298" s="749"/>
    </row>
    <row r="299" spans="1:56">
      <c r="AI299" s="748"/>
      <c r="AJ299" s="749"/>
      <c r="AK299" s="749"/>
      <c r="AL299" s="749"/>
      <c r="AM299" s="749"/>
      <c r="AN299" s="749"/>
      <c r="AO299" s="749"/>
      <c r="AP299" s="749"/>
      <c r="AQ299" s="749"/>
      <c r="AR299" s="749"/>
      <c r="AS299" s="749"/>
      <c r="AT299" s="749"/>
      <c r="AU299" s="749"/>
      <c r="AV299" s="749"/>
      <c r="AW299" s="749"/>
      <c r="AX299" s="749"/>
      <c r="AY299" s="749"/>
      <c r="AZ299" s="749"/>
      <c r="BA299" s="749"/>
      <c r="BB299" s="749"/>
      <c r="BC299" s="749"/>
      <c r="BD299" s="749"/>
    </row>
    <row r="300" spans="1:56">
      <c r="AI300" s="748"/>
      <c r="AJ300" s="749"/>
      <c r="AK300" s="749"/>
      <c r="AL300" s="749"/>
      <c r="AM300" s="749"/>
      <c r="AN300" s="749"/>
      <c r="AO300" s="749"/>
      <c r="AP300" s="749"/>
      <c r="AQ300" s="749"/>
      <c r="AR300" s="749"/>
      <c r="AS300" s="749"/>
      <c r="AT300" s="749"/>
      <c r="AU300" s="749"/>
      <c r="AV300" s="749"/>
      <c r="AW300" s="749"/>
      <c r="AX300" s="749"/>
      <c r="AY300" s="749"/>
      <c r="AZ300" s="749"/>
      <c r="BA300" s="749"/>
      <c r="BB300" s="749"/>
      <c r="BC300" s="749"/>
      <c r="BD300" s="749"/>
    </row>
    <row r="301" spans="1:56">
      <c r="AI301" s="748"/>
      <c r="AJ301" s="749"/>
      <c r="AK301" s="749"/>
      <c r="AL301" s="749"/>
      <c r="AM301" s="749"/>
      <c r="AN301" s="749"/>
      <c r="AO301" s="749"/>
      <c r="AP301" s="749"/>
      <c r="AQ301" s="749"/>
      <c r="AR301" s="749"/>
      <c r="AS301" s="749"/>
      <c r="AT301" s="749"/>
      <c r="AU301" s="749"/>
      <c r="AV301" s="749"/>
      <c r="AW301" s="749"/>
      <c r="AX301" s="749"/>
      <c r="AY301" s="749"/>
      <c r="AZ301" s="749"/>
      <c r="BA301" s="749"/>
      <c r="BB301" s="749"/>
      <c r="BC301" s="749"/>
      <c r="BD301" s="749"/>
    </row>
    <row r="302" spans="1:56">
      <c r="AI302" s="748"/>
      <c r="AJ302" s="749"/>
      <c r="AK302" s="749"/>
      <c r="AL302" s="749"/>
      <c r="AM302" s="749"/>
      <c r="AN302" s="749"/>
      <c r="AO302" s="749"/>
      <c r="AP302" s="749"/>
      <c r="AQ302" s="749"/>
      <c r="AR302" s="749"/>
      <c r="AS302" s="749"/>
      <c r="AT302" s="749"/>
      <c r="AU302" s="749"/>
      <c r="AV302" s="749"/>
      <c r="AW302" s="749"/>
      <c r="AX302" s="749"/>
      <c r="AY302" s="749"/>
      <c r="AZ302" s="749"/>
      <c r="BA302" s="749"/>
      <c r="BB302" s="749"/>
      <c r="BC302" s="749"/>
      <c r="BD302" s="749"/>
    </row>
    <row r="303" spans="1:56">
      <c r="AI303" s="748"/>
      <c r="AJ303" s="749"/>
      <c r="AK303" s="749"/>
      <c r="AL303" s="749"/>
      <c r="AM303" s="749"/>
      <c r="AN303" s="749"/>
      <c r="AO303" s="749"/>
      <c r="AP303" s="749"/>
      <c r="AQ303" s="749"/>
      <c r="AR303" s="749"/>
      <c r="AS303" s="749"/>
      <c r="AT303" s="749"/>
      <c r="AU303" s="749"/>
      <c r="AV303" s="749"/>
      <c r="AW303" s="749"/>
      <c r="AX303" s="749"/>
      <c r="AY303" s="749"/>
      <c r="AZ303" s="749"/>
      <c r="BA303" s="749"/>
      <c r="BB303" s="749"/>
      <c r="BC303" s="749"/>
      <c r="BD303" s="749"/>
    </row>
    <row r="304" spans="1:56">
      <c r="AI304" s="748"/>
      <c r="AJ304" s="749"/>
      <c r="AK304" s="749"/>
      <c r="AL304" s="749"/>
      <c r="AM304" s="749"/>
      <c r="AN304" s="749"/>
      <c r="AO304" s="749"/>
      <c r="AP304" s="749"/>
      <c r="AQ304" s="749"/>
      <c r="AR304" s="749"/>
      <c r="AS304" s="749"/>
      <c r="AT304" s="749"/>
      <c r="AU304" s="749"/>
      <c r="AV304" s="749"/>
      <c r="AW304" s="749"/>
      <c r="AX304" s="749"/>
      <c r="AY304" s="749"/>
      <c r="AZ304" s="749"/>
      <c r="BA304" s="749"/>
      <c r="BB304" s="749"/>
      <c r="BC304" s="749"/>
      <c r="BD304" s="749"/>
    </row>
    <row r="305" spans="35:56">
      <c r="AI305" s="748"/>
      <c r="AJ305" s="749"/>
      <c r="AK305" s="749"/>
      <c r="AL305" s="749"/>
      <c r="AM305" s="749"/>
      <c r="AN305" s="749"/>
      <c r="AO305" s="749"/>
      <c r="AP305" s="749"/>
      <c r="AQ305" s="749"/>
      <c r="AR305" s="749"/>
      <c r="AS305" s="749"/>
      <c r="AT305" s="749"/>
      <c r="AU305" s="749"/>
      <c r="AV305" s="749"/>
      <c r="AW305" s="749"/>
      <c r="AX305" s="749"/>
      <c r="AY305" s="749"/>
      <c r="AZ305" s="749"/>
      <c r="BA305" s="749"/>
      <c r="BB305" s="749"/>
      <c r="BC305" s="749"/>
      <c r="BD305" s="749"/>
    </row>
    <row r="306" spans="35:56">
      <c r="AI306" s="748"/>
      <c r="AJ306" s="749"/>
      <c r="AK306" s="749"/>
      <c r="AL306" s="749"/>
      <c r="AM306" s="749"/>
      <c r="AN306" s="749"/>
      <c r="AO306" s="749"/>
      <c r="AP306" s="749"/>
      <c r="AQ306" s="749"/>
      <c r="AR306" s="749"/>
      <c r="AS306" s="749"/>
      <c r="AT306" s="749"/>
      <c r="AU306" s="749"/>
      <c r="AV306" s="749"/>
      <c r="AW306" s="749"/>
      <c r="AX306" s="749"/>
      <c r="AY306" s="749"/>
      <c r="AZ306" s="749"/>
      <c r="BA306" s="749"/>
      <c r="BB306" s="749"/>
      <c r="BC306" s="749"/>
      <c r="BD306" s="749"/>
    </row>
    <row r="307" spans="35:56">
      <c r="AI307" s="748"/>
      <c r="AJ307" s="749"/>
      <c r="AK307" s="749"/>
      <c r="AL307" s="749"/>
      <c r="AM307" s="749"/>
      <c r="AN307" s="749"/>
      <c r="AO307" s="749"/>
      <c r="AP307" s="749"/>
      <c r="AQ307" s="749"/>
      <c r="AR307" s="749"/>
      <c r="AS307" s="749"/>
      <c r="AT307" s="749"/>
      <c r="AU307" s="749"/>
      <c r="AV307" s="749"/>
      <c r="AW307" s="749"/>
      <c r="AX307" s="749"/>
      <c r="AY307" s="749"/>
      <c r="AZ307" s="749"/>
      <c r="BA307" s="749"/>
      <c r="BB307" s="749"/>
      <c r="BC307" s="749"/>
      <c r="BD307" s="749"/>
    </row>
    <row r="308" spans="35:56">
      <c r="AI308" s="748"/>
      <c r="AJ308" s="749"/>
      <c r="AK308" s="749"/>
      <c r="AL308" s="749"/>
      <c r="AM308" s="749"/>
      <c r="AN308" s="749"/>
      <c r="AO308" s="749"/>
      <c r="AP308" s="749"/>
      <c r="AQ308" s="749"/>
      <c r="AR308" s="749"/>
      <c r="AS308" s="749"/>
      <c r="AT308" s="749"/>
      <c r="AU308" s="749"/>
      <c r="AV308" s="749"/>
      <c r="AW308" s="749"/>
      <c r="AX308" s="749"/>
      <c r="AY308" s="749"/>
      <c r="AZ308" s="749"/>
      <c r="BA308" s="749"/>
      <c r="BB308" s="749"/>
      <c r="BC308" s="749"/>
      <c r="BD308" s="749"/>
    </row>
    <row r="309" spans="35:56">
      <c r="AI309" s="748"/>
      <c r="AJ309" s="749"/>
      <c r="AK309" s="749"/>
      <c r="AL309" s="749"/>
      <c r="AM309" s="749"/>
      <c r="AN309" s="749"/>
      <c r="AO309" s="749"/>
      <c r="AP309" s="749"/>
      <c r="AQ309" s="749"/>
      <c r="AR309" s="749"/>
      <c r="AS309" s="749"/>
      <c r="AT309" s="749"/>
      <c r="AU309" s="749"/>
      <c r="AV309" s="749"/>
      <c r="AW309" s="749"/>
      <c r="AX309" s="749"/>
      <c r="AY309" s="749"/>
      <c r="AZ309" s="749"/>
      <c r="BA309" s="749"/>
      <c r="BB309" s="749"/>
      <c r="BC309" s="749"/>
      <c r="BD309" s="749"/>
    </row>
    <row r="310" spans="35:56">
      <c r="AI310" s="748"/>
      <c r="AJ310" s="749"/>
      <c r="AK310" s="749"/>
      <c r="AL310" s="749"/>
      <c r="AM310" s="749"/>
      <c r="AN310" s="749"/>
      <c r="AO310" s="749"/>
      <c r="AP310" s="749"/>
      <c r="AQ310" s="749"/>
      <c r="AR310" s="749"/>
      <c r="AS310" s="749"/>
      <c r="AT310" s="749"/>
      <c r="AU310" s="749"/>
      <c r="AV310" s="749"/>
      <c r="AW310" s="749"/>
      <c r="AX310" s="749"/>
      <c r="AY310" s="749"/>
      <c r="AZ310" s="749"/>
      <c r="BA310" s="749"/>
      <c r="BB310" s="749"/>
      <c r="BC310" s="749"/>
      <c r="BD310" s="749"/>
    </row>
    <row r="311" spans="35:56">
      <c r="AI311" s="748"/>
      <c r="AJ311" s="749"/>
      <c r="AK311" s="749"/>
      <c r="AL311" s="749"/>
      <c r="AM311" s="749"/>
      <c r="AN311" s="749"/>
      <c r="AO311" s="749"/>
      <c r="AP311" s="749"/>
      <c r="AQ311" s="749"/>
      <c r="AR311" s="749"/>
      <c r="AS311" s="749"/>
      <c r="AT311" s="749"/>
      <c r="AU311" s="749"/>
      <c r="AV311" s="749"/>
      <c r="AW311" s="749"/>
      <c r="AX311" s="749"/>
      <c r="AY311" s="749"/>
      <c r="AZ311" s="749"/>
      <c r="BA311" s="749"/>
      <c r="BB311" s="749"/>
      <c r="BC311" s="749"/>
      <c r="BD311" s="749"/>
    </row>
    <row r="312" spans="35:56">
      <c r="AI312" s="748"/>
      <c r="AJ312" s="749"/>
      <c r="AK312" s="749"/>
      <c r="AL312" s="749"/>
      <c r="AM312" s="749"/>
      <c r="AN312" s="749"/>
      <c r="AO312" s="749"/>
      <c r="AP312" s="749"/>
      <c r="AQ312" s="749"/>
      <c r="AR312" s="749"/>
      <c r="AS312" s="749"/>
      <c r="AT312" s="749"/>
      <c r="AU312" s="749"/>
      <c r="AV312" s="749"/>
      <c r="AW312" s="749"/>
      <c r="AX312" s="749"/>
      <c r="AY312" s="749"/>
      <c r="AZ312" s="749"/>
      <c r="BA312" s="749"/>
      <c r="BB312" s="749"/>
      <c r="BC312" s="749"/>
      <c r="BD312" s="749"/>
    </row>
    <row r="313" spans="35:56">
      <c r="AI313" s="748"/>
      <c r="AJ313" s="749"/>
      <c r="AK313" s="749"/>
      <c r="AL313" s="749"/>
      <c r="AM313" s="749"/>
      <c r="AN313" s="749"/>
      <c r="AO313" s="749"/>
      <c r="AP313" s="749"/>
      <c r="AQ313" s="749"/>
      <c r="AR313" s="749"/>
      <c r="AS313" s="749"/>
      <c r="AT313" s="749"/>
      <c r="AU313" s="749"/>
      <c r="AV313" s="749"/>
      <c r="AW313" s="749"/>
      <c r="AX313" s="749"/>
      <c r="AY313" s="749"/>
      <c r="AZ313" s="749"/>
      <c r="BA313" s="749"/>
      <c r="BB313" s="749"/>
      <c r="BC313" s="749"/>
      <c r="BD313" s="749"/>
    </row>
    <row r="314" spans="35:56">
      <c r="AI314" s="748"/>
      <c r="AJ314" s="749"/>
      <c r="AK314" s="749"/>
      <c r="AL314" s="749"/>
      <c r="AM314" s="749"/>
      <c r="AN314" s="749"/>
      <c r="AO314" s="749"/>
      <c r="AP314" s="749"/>
      <c r="AQ314" s="749"/>
      <c r="AR314" s="749"/>
      <c r="AS314" s="749"/>
      <c r="AT314" s="749"/>
      <c r="AU314" s="749"/>
      <c r="AV314" s="749"/>
      <c r="AW314" s="749"/>
      <c r="AX314" s="749"/>
      <c r="AY314" s="749"/>
      <c r="AZ314" s="749"/>
      <c r="BA314" s="749"/>
      <c r="BB314" s="749"/>
      <c r="BC314" s="749"/>
      <c r="BD314" s="749"/>
    </row>
    <row r="315" spans="35:56">
      <c r="AI315" s="748"/>
      <c r="AJ315" s="749"/>
      <c r="AK315" s="749"/>
      <c r="AL315" s="749"/>
      <c r="AM315" s="749"/>
      <c r="AN315" s="749"/>
      <c r="AO315" s="749"/>
      <c r="AP315" s="749"/>
      <c r="AQ315" s="749"/>
      <c r="AR315" s="749"/>
      <c r="AS315" s="749"/>
      <c r="AT315" s="749"/>
      <c r="AU315" s="749"/>
      <c r="AV315" s="749"/>
      <c r="AW315" s="749"/>
      <c r="AX315" s="749"/>
      <c r="AY315" s="749"/>
      <c r="AZ315" s="749"/>
      <c r="BA315" s="749"/>
      <c r="BB315" s="749"/>
      <c r="BC315" s="749"/>
      <c r="BD315" s="749"/>
    </row>
    <row r="316" spans="35:56">
      <c r="AI316" s="748"/>
      <c r="AJ316" s="749"/>
      <c r="AK316" s="749"/>
      <c r="AL316" s="749"/>
      <c r="AM316" s="749"/>
      <c r="AN316" s="749"/>
      <c r="AO316" s="749"/>
      <c r="AP316" s="749"/>
      <c r="AQ316" s="749"/>
      <c r="AR316" s="749"/>
      <c r="AS316" s="749"/>
      <c r="AT316" s="749"/>
      <c r="AU316" s="749"/>
      <c r="AV316" s="749"/>
      <c r="AW316" s="749"/>
      <c r="AX316" s="749"/>
      <c r="AY316" s="749"/>
      <c r="AZ316" s="749"/>
      <c r="BA316" s="749"/>
      <c r="BB316" s="749"/>
      <c r="BC316" s="749"/>
      <c r="BD316" s="749"/>
    </row>
    <row r="317" spans="35:56">
      <c r="AI317" s="748"/>
      <c r="AJ317" s="749"/>
      <c r="AK317" s="749"/>
      <c r="AL317" s="749"/>
      <c r="AM317" s="749"/>
      <c r="AN317" s="749"/>
      <c r="AO317" s="749"/>
      <c r="AP317" s="749"/>
      <c r="AQ317" s="749"/>
      <c r="AR317" s="749"/>
      <c r="AS317" s="749"/>
      <c r="AT317" s="749"/>
      <c r="AU317" s="749"/>
      <c r="AV317" s="749"/>
      <c r="AW317" s="749"/>
      <c r="AX317" s="749"/>
      <c r="AY317" s="749"/>
      <c r="AZ317" s="749"/>
      <c r="BA317" s="749"/>
      <c r="BB317" s="749"/>
      <c r="BC317" s="749"/>
      <c r="BD317" s="749"/>
    </row>
    <row r="318" spans="35:56">
      <c r="AI318" s="748"/>
      <c r="AJ318" s="749"/>
      <c r="AK318" s="749"/>
      <c r="AL318" s="749"/>
      <c r="AM318" s="749"/>
      <c r="AN318" s="749"/>
      <c r="AO318" s="749"/>
      <c r="AP318" s="749"/>
      <c r="AQ318" s="749"/>
      <c r="AR318" s="749"/>
      <c r="AS318" s="749"/>
      <c r="AT318" s="749"/>
      <c r="AU318" s="749"/>
      <c r="AV318" s="749"/>
      <c r="AW318" s="749"/>
      <c r="AX318" s="749"/>
      <c r="AY318" s="749"/>
      <c r="AZ318" s="749"/>
      <c r="BA318" s="749"/>
      <c r="BB318" s="749"/>
      <c r="BC318" s="749"/>
      <c r="BD318" s="749"/>
    </row>
    <row r="319" spans="35:56">
      <c r="AI319" s="748"/>
      <c r="AJ319" s="749"/>
      <c r="AK319" s="749"/>
      <c r="AL319" s="749"/>
      <c r="AM319" s="749"/>
      <c r="AN319" s="749"/>
      <c r="AO319" s="749"/>
      <c r="AP319" s="749"/>
      <c r="AQ319" s="749"/>
      <c r="AR319" s="749"/>
      <c r="AS319" s="749"/>
      <c r="AT319" s="749"/>
      <c r="AU319" s="749"/>
      <c r="AV319" s="749"/>
      <c r="AW319" s="749"/>
      <c r="AX319" s="749"/>
      <c r="AY319" s="749"/>
      <c r="AZ319" s="749"/>
      <c r="BA319" s="749"/>
      <c r="BB319" s="749"/>
      <c r="BC319" s="749"/>
      <c r="BD319" s="749"/>
    </row>
    <row r="320" spans="35:56">
      <c r="AI320" s="748"/>
      <c r="AJ320" s="749"/>
      <c r="AK320" s="749"/>
      <c r="AL320" s="749"/>
      <c r="AM320" s="749"/>
      <c r="AN320" s="749"/>
      <c r="AO320" s="749"/>
      <c r="AP320" s="749"/>
      <c r="AQ320" s="749"/>
      <c r="AR320" s="749"/>
      <c r="AS320" s="749"/>
      <c r="AT320" s="749"/>
      <c r="AU320" s="749"/>
      <c r="AV320" s="749"/>
      <c r="AW320" s="749"/>
      <c r="AX320" s="749"/>
      <c r="AY320" s="749"/>
      <c r="AZ320" s="749"/>
      <c r="BA320" s="749"/>
      <c r="BB320" s="749"/>
      <c r="BC320" s="749"/>
      <c r="BD320" s="749"/>
    </row>
    <row r="321" spans="35:56">
      <c r="AI321" s="748"/>
      <c r="AJ321" s="749"/>
      <c r="AK321" s="749"/>
      <c r="AL321" s="749"/>
      <c r="AM321" s="749"/>
      <c r="AN321" s="749"/>
      <c r="AO321" s="749"/>
      <c r="AP321" s="749"/>
      <c r="AQ321" s="749"/>
      <c r="AR321" s="749"/>
      <c r="AS321" s="749"/>
      <c r="AT321" s="749"/>
      <c r="AU321" s="749"/>
      <c r="AV321" s="749"/>
      <c r="AW321" s="749"/>
      <c r="AX321" s="749"/>
      <c r="AY321" s="749"/>
      <c r="AZ321" s="749"/>
      <c r="BA321" s="749"/>
      <c r="BB321" s="749"/>
      <c r="BC321" s="749"/>
      <c r="BD321" s="749"/>
    </row>
    <row r="322" spans="35:56">
      <c r="AI322" s="748"/>
      <c r="AJ322" s="749"/>
      <c r="AK322" s="749"/>
      <c r="AL322" s="749"/>
      <c r="AM322" s="749"/>
      <c r="AN322" s="749"/>
      <c r="AO322" s="749"/>
      <c r="AP322" s="749"/>
      <c r="AQ322" s="749"/>
      <c r="AR322" s="749"/>
      <c r="AS322" s="749"/>
      <c r="AT322" s="749"/>
      <c r="AU322" s="749"/>
      <c r="AV322" s="749"/>
      <c r="AW322" s="749"/>
      <c r="AX322" s="749"/>
      <c r="AY322" s="749"/>
      <c r="AZ322" s="749"/>
      <c r="BA322" s="749"/>
      <c r="BB322" s="749"/>
      <c r="BC322" s="749"/>
      <c r="BD322" s="749"/>
    </row>
    <row r="323" spans="35:56">
      <c r="AI323" s="748"/>
      <c r="AJ323" s="749"/>
      <c r="AK323" s="749"/>
      <c r="AL323" s="749"/>
      <c r="AM323" s="749"/>
      <c r="AN323" s="749"/>
      <c r="AO323" s="749"/>
      <c r="AP323" s="749"/>
      <c r="AQ323" s="749"/>
      <c r="AR323" s="749"/>
      <c r="AS323" s="749"/>
      <c r="AT323" s="749"/>
      <c r="AU323" s="749"/>
      <c r="AV323" s="749"/>
      <c r="AW323" s="749"/>
      <c r="AX323" s="749"/>
      <c r="AY323" s="749"/>
      <c r="AZ323" s="749"/>
      <c r="BA323" s="749"/>
      <c r="BB323" s="749"/>
      <c r="BC323" s="749"/>
      <c r="BD323" s="749"/>
    </row>
    <row r="324" spans="35:56">
      <c r="AI324" s="748"/>
      <c r="AJ324" s="749"/>
      <c r="AK324" s="749"/>
      <c r="AL324" s="749"/>
      <c r="AM324" s="749"/>
      <c r="AN324" s="749"/>
      <c r="AO324" s="749"/>
      <c r="AP324" s="749"/>
      <c r="AQ324" s="749"/>
      <c r="AR324" s="749"/>
      <c r="AS324" s="749"/>
      <c r="AT324" s="749"/>
      <c r="AU324" s="749"/>
      <c r="AV324" s="749"/>
      <c r="AW324" s="749"/>
      <c r="AX324" s="749"/>
      <c r="AY324" s="749"/>
      <c r="AZ324" s="749"/>
      <c r="BA324" s="749"/>
      <c r="BB324" s="749"/>
      <c r="BC324" s="749"/>
      <c r="BD324" s="749"/>
    </row>
    <row r="325" spans="35:56">
      <c r="AI325" s="748"/>
      <c r="AJ325" s="749"/>
      <c r="AK325" s="749"/>
      <c r="AL325" s="749"/>
      <c r="AM325" s="749"/>
      <c r="AN325" s="749"/>
      <c r="AO325" s="749"/>
      <c r="AP325" s="749"/>
      <c r="AQ325" s="749"/>
      <c r="AR325" s="749"/>
      <c r="AS325" s="749"/>
      <c r="AT325" s="749"/>
      <c r="AU325" s="749"/>
      <c r="AV325" s="749"/>
      <c r="AW325" s="749"/>
      <c r="AX325" s="749"/>
      <c r="AY325" s="749"/>
      <c r="AZ325" s="749"/>
      <c r="BA325" s="749"/>
      <c r="BB325" s="749"/>
      <c r="BC325" s="749"/>
      <c r="BD325" s="749"/>
    </row>
    <row r="326" spans="35:56">
      <c r="AI326" s="748"/>
      <c r="AJ326" s="749"/>
      <c r="AK326" s="749"/>
      <c r="AL326" s="749"/>
      <c r="AM326" s="749"/>
      <c r="AN326" s="749"/>
      <c r="AO326" s="749"/>
      <c r="AP326" s="749"/>
      <c r="AQ326" s="749"/>
      <c r="AR326" s="749"/>
      <c r="AS326" s="749"/>
      <c r="AT326" s="749"/>
      <c r="AU326" s="749"/>
      <c r="AV326" s="749"/>
      <c r="AW326" s="749"/>
      <c r="AX326" s="749"/>
      <c r="AY326" s="749"/>
      <c r="AZ326" s="749"/>
      <c r="BA326" s="749"/>
      <c r="BB326" s="749"/>
      <c r="BC326" s="749"/>
      <c r="BD326" s="749"/>
    </row>
    <row r="327" spans="35:56">
      <c r="AI327" s="748"/>
      <c r="AJ327" s="749"/>
      <c r="AK327" s="749"/>
      <c r="AL327" s="749"/>
      <c r="AM327" s="749"/>
      <c r="AN327" s="749"/>
      <c r="AO327" s="749"/>
      <c r="AP327" s="749"/>
      <c r="AQ327" s="749"/>
      <c r="AR327" s="749"/>
      <c r="AS327" s="749"/>
      <c r="AT327" s="749"/>
      <c r="AU327" s="749"/>
      <c r="AV327" s="749"/>
      <c r="AW327" s="749"/>
      <c r="AX327" s="749"/>
      <c r="AY327" s="749"/>
      <c r="AZ327" s="749"/>
      <c r="BA327" s="749"/>
      <c r="BB327" s="749"/>
      <c r="BC327" s="749"/>
      <c r="BD327" s="749"/>
    </row>
    <row r="328" spans="35:56">
      <c r="AI328" s="748"/>
      <c r="AJ328" s="749"/>
      <c r="AK328" s="749"/>
      <c r="AL328" s="749"/>
      <c r="AM328" s="749"/>
      <c r="AN328" s="749"/>
      <c r="AO328" s="749"/>
      <c r="AP328" s="749"/>
      <c r="AQ328" s="749"/>
      <c r="AR328" s="749"/>
      <c r="AS328" s="749"/>
      <c r="AT328" s="749"/>
      <c r="AU328" s="749"/>
      <c r="AV328" s="749"/>
      <c r="AW328" s="749"/>
      <c r="AX328" s="749"/>
      <c r="AY328" s="749"/>
      <c r="AZ328" s="749"/>
      <c r="BA328" s="749"/>
      <c r="BB328" s="749"/>
      <c r="BC328" s="749"/>
      <c r="BD328" s="749"/>
    </row>
    <row r="329" spans="35:56">
      <c r="AI329" s="748"/>
      <c r="AJ329" s="749"/>
      <c r="AK329" s="749"/>
      <c r="AL329" s="749"/>
      <c r="AM329" s="749"/>
      <c r="AN329" s="749"/>
      <c r="AO329" s="749"/>
      <c r="AP329" s="749"/>
      <c r="AQ329" s="749"/>
      <c r="AR329" s="749"/>
      <c r="AS329" s="749"/>
      <c r="AT329" s="749"/>
      <c r="AU329" s="749"/>
      <c r="AV329" s="749"/>
      <c r="AW329" s="749"/>
      <c r="AX329" s="749"/>
      <c r="AY329" s="749"/>
      <c r="AZ329" s="749"/>
      <c r="BA329" s="749"/>
      <c r="BB329" s="749"/>
      <c r="BC329" s="749"/>
      <c r="BD329" s="749"/>
    </row>
    <row r="330" spans="35:56">
      <c r="AI330" s="748"/>
      <c r="AJ330" s="749"/>
      <c r="AK330" s="749"/>
      <c r="AL330" s="749"/>
      <c r="AM330" s="749"/>
      <c r="AN330" s="749"/>
      <c r="AO330" s="749"/>
      <c r="AP330" s="749"/>
      <c r="AQ330" s="749"/>
      <c r="AR330" s="749"/>
      <c r="AS330" s="749"/>
      <c r="AT330" s="749"/>
      <c r="AU330" s="749"/>
      <c r="AV330" s="749"/>
      <c r="AW330" s="749"/>
      <c r="AX330" s="749"/>
      <c r="AY330" s="749"/>
      <c r="AZ330" s="749"/>
      <c r="BA330" s="749"/>
      <c r="BB330" s="749"/>
      <c r="BC330" s="749"/>
      <c r="BD330" s="749"/>
    </row>
    <row r="331" spans="35:56">
      <c r="AI331" s="748"/>
      <c r="AJ331" s="749"/>
      <c r="AK331" s="749"/>
      <c r="AL331" s="749"/>
      <c r="AM331" s="749"/>
      <c r="AN331" s="749"/>
      <c r="AO331" s="749"/>
      <c r="AP331" s="749"/>
      <c r="AQ331" s="749"/>
      <c r="AR331" s="749"/>
      <c r="AS331" s="749"/>
      <c r="AT331" s="749"/>
      <c r="AU331" s="749"/>
      <c r="AV331" s="749"/>
      <c r="AW331" s="749"/>
      <c r="AX331" s="749"/>
      <c r="AY331" s="749"/>
      <c r="AZ331" s="749"/>
      <c r="BA331" s="749"/>
      <c r="BB331" s="749"/>
      <c r="BC331" s="749"/>
      <c r="BD331" s="749"/>
    </row>
    <row r="332" spans="35:56">
      <c r="AI332" s="748"/>
      <c r="AJ332" s="749"/>
      <c r="AK332" s="749"/>
      <c r="AL332" s="749"/>
      <c r="AM332" s="749"/>
      <c r="AN332" s="749"/>
      <c r="AO332" s="749"/>
      <c r="AP332" s="749"/>
      <c r="AQ332" s="749"/>
      <c r="AR332" s="749"/>
      <c r="AS332" s="749"/>
      <c r="AT332" s="749"/>
      <c r="AU332" s="749"/>
      <c r="AV332" s="749"/>
      <c r="AW332" s="749"/>
      <c r="AX332" s="749"/>
      <c r="AY332" s="749"/>
      <c r="AZ332" s="749"/>
      <c r="BA332" s="749"/>
      <c r="BB332" s="749"/>
      <c r="BC332" s="749"/>
      <c r="BD332" s="749"/>
    </row>
    <row r="333" spans="35:56">
      <c r="AI333" s="748"/>
      <c r="AJ333" s="749"/>
      <c r="AK333" s="749"/>
      <c r="AL333" s="749"/>
      <c r="AM333" s="749"/>
      <c r="AN333" s="749"/>
      <c r="AO333" s="749"/>
      <c r="AP333" s="749"/>
      <c r="AQ333" s="749"/>
      <c r="AR333" s="749"/>
      <c r="AS333" s="749"/>
      <c r="AT333" s="749"/>
      <c r="AU333" s="749"/>
      <c r="AV333" s="749"/>
      <c r="AW333" s="749"/>
      <c r="AX333" s="749"/>
      <c r="AY333" s="749"/>
      <c r="AZ333" s="749"/>
      <c r="BA333" s="749"/>
      <c r="BB333" s="749"/>
      <c r="BC333" s="749"/>
      <c r="BD333" s="749"/>
    </row>
    <row r="334" spans="35:56">
      <c r="AI334" s="748"/>
      <c r="AJ334" s="749"/>
      <c r="AK334" s="749"/>
      <c r="AL334" s="749"/>
      <c r="AM334" s="749"/>
      <c r="AN334" s="749"/>
      <c r="AO334" s="749"/>
      <c r="AP334" s="749"/>
      <c r="AQ334" s="749"/>
      <c r="AR334" s="749"/>
      <c r="AS334" s="749"/>
      <c r="AT334" s="749"/>
      <c r="AU334" s="749"/>
      <c r="AV334" s="749"/>
      <c r="AW334" s="749"/>
      <c r="AX334" s="749"/>
      <c r="AY334" s="749"/>
      <c r="AZ334" s="749"/>
      <c r="BA334" s="749"/>
      <c r="BB334" s="749"/>
      <c r="BC334" s="749"/>
      <c r="BD334" s="749"/>
    </row>
    <row r="335" spans="35:56">
      <c r="AI335" s="748"/>
      <c r="AJ335" s="749"/>
      <c r="AK335" s="749"/>
      <c r="AL335" s="749"/>
      <c r="AM335" s="749"/>
      <c r="AN335" s="749"/>
      <c r="AO335" s="749"/>
      <c r="AP335" s="749"/>
      <c r="AQ335" s="749"/>
      <c r="AR335" s="749"/>
      <c r="AS335" s="749"/>
      <c r="AT335" s="749"/>
      <c r="AU335" s="749"/>
      <c r="AV335" s="749"/>
      <c r="AW335" s="749"/>
      <c r="AX335" s="749"/>
      <c r="AY335" s="749"/>
      <c r="AZ335" s="749"/>
      <c r="BA335" s="749"/>
      <c r="BB335" s="749"/>
      <c r="BC335" s="749"/>
      <c r="BD335" s="749"/>
    </row>
    <row r="336" spans="35:56">
      <c r="AI336" s="748"/>
      <c r="AJ336" s="749"/>
      <c r="AK336" s="749"/>
      <c r="AL336" s="749"/>
      <c r="AM336" s="749"/>
      <c r="AN336" s="749"/>
      <c r="AO336" s="749"/>
      <c r="AP336" s="749"/>
      <c r="AQ336" s="749"/>
      <c r="AR336" s="749"/>
      <c r="AS336" s="749"/>
      <c r="AT336" s="749"/>
      <c r="AU336" s="749"/>
      <c r="AV336" s="749"/>
      <c r="AW336" s="749"/>
      <c r="AX336" s="749"/>
      <c r="AY336" s="749"/>
      <c r="AZ336" s="749"/>
      <c r="BA336" s="749"/>
      <c r="BB336" s="749"/>
      <c r="BC336" s="749"/>
      <c r="BD336" s="749"/>
    </row>
    <row r="337" spans="35:56">
      <c r="AI337" s="748"/>
      <c r="AJ337" s="749"/>
      <c r="AK337" s="749"/>
      <c r="AL337" s="749"/>
      <c r="AM337" s="749"/>
      <c r="AN337" s="749"/>
      <c r="AO337" s="749"/>
      <c r="AP337" s="749"/>
      <c r="AQ337" s="749"/>
      <c r="AR337" s="749"/>
      <c r="AS337" s="749"/>
      <c r="AT337" s="749"/>
      <c r="AU337" s="749"/>
      <c r="AV337" s="749"/>
      <c r="AW337" s="749"/>
      <c r="AX337" s="749"/>
      <c r="AY337" s="749"/>
      <c r="AZ337" s="749"/>
      <c r="BA337" s="749"/>
      <c r="BB337" s="749"/>
      <c r="BC337" s="749"/>
      <c r="BD337" s="749"/>
    </row>
    <row r="338" spans="35:56">
      <c r="AI338" s="748"/>
      <c r="AJ338" s="749"/>
      <c r="AK338" s="749"/>
      <c r="AL338" s="749"/>
      <c r="AM338" s="749"/>
      <c r="AN338" s="749"/>
      <c r="AO338" s="749"/>
      <c r="AP338" s="749"/>
      <c r="AQ338" s="749"/>
      <c r="AR338" s="749"/>
      <c r="AS338" s="749"/>
      <c r="AT338" s="749"/>
      <c r="AU338" s="749"/>
      <c r="AV338" s="749"/>
      <c r="AW338" s="749"/>
      <c r="AX338" s="749"/>
      <c r="AY338" s="749"/>
      <c r="AZ338" s="749"/>
      <c r="BA338" s="749"/>
      <c r="BB338" s="749"/>
      <c r="BC338" s="749"/>
      <c r="BD338" s="749"/>
    </row>
    <row r="339" spans="35:56">
      <c r="AI339" s="748"/>
      <c r="AJ339" s="749"/>
      <c r="AK339" s="749"/>
      <c r="AL339" s="749"/>
      <c r="AM339" s="749"/>
      <c r="AN339" s="749"/>
      <c r="AO339" s="749"/>
      <c r="AP339" s="749"/>
      <c r="AQ339" s="749"/>
      <c r="AR339" s="749"/>
      <c r="AS339" s="749"/>
      <c r="AT339" s="749"/>
      <c r="AU339" s="749"/>
      <c r="AV339" s="749"/>
      <c r="AW339" s="749"/>
      <c r="AX339" s="749"/>
      <c r="AY339" s="749"/>
      <c r="AZ339" s="749"/>
      <c r="BA339" s="749"/>
      <c r="BB339" s="749"/>
      <c r="BC339" s="749"/>
      <c r="BD339" s="749"/>
    </row>
    <row r="340" spans="35:56">
      <c r="AI340" s="748"/>
      <c r="AJ340" s="749"/>
      <c r="AK340" s="749"/>
      <c r="AL340" s="749"/>
      <c r="AM340" s="749"/>
      <c r="AN340" s="749"/>
      <c r="AO340" s="749"/>
      <c r="AP340" s="749"/>
      <c r="AQ340" s="749"/>
      <c r="AR340" s="749"/>
      <c r="AS340" s="749"/>
      <c r="AT340" s="749"/>
      <c r="AU340" s="749"/>
      <c r="AV340" s="749"/>
      <c r="AW340" s="749"/>
      <c r="AX340" s="749"/>
      <c r="AY340" s="749"/>
      <c r="AZ340" s="749"/>
      <c r="BA340" s="749"/>
      <c r="BB340" s="749"/>
      <c r="BC340" s="749"/>
      <c r="BD340" s="749"/>
    </row>
    <row r="341" spans="35:56">
      <c r="AI341" s="748"/>
      <c r="AJ341" s="749"/>
      <c r="AK341" s="749"/>
      <c r="AL341" s="749"/>
      <c r="AM341" s="749"/>
      <c r="AN341" s="749"/>
      <c r="AO341" s="749"/>
      <c r="AP341" s="749"/>
      <c r="AQ341" s="749"/>
      <c r="AR341" s="749"/>
      <c r="AS341" s="749"/>
      <c r="AT341" s="749"/>
      <c r="AU341" s="749"/>
      <c r="AV341" s="749"/>
      <c r="AW341" s="749"/>
      <c r="AX341" s="749"/>
      <c r="AY341" s="749"/>
      <c r="AZ341" s="749"/>
      <c r="BA341" s="749"/>
      <c r="BB341" s="749"/>
      <c r="BC341" s="749"/>
      <c r="BD341" s="749"/>
    </row>
    <row r="342" spans="35:56">
      <c r="AI342" s="748"/>
      <c r="AJ342" s="749"/>
      <c r="AK342" s="749"/>
      <c r="AL342" s="749"/>
      <c r="AM342" s="749"/>
      <c r="AN342" s="749"/>
      <c r="AO342" s="749"/>
      <c r="AP342" s="749"/>
      <c r="AQ342" s="749"/>
      <c r="AR342" s="749"/>
      <c r="AS342" s="749"/>
      <c r="AT342" s="749"/>
      <c r="AU342" s="749"/>
      <c r="AV342" s="749"/>
      <c r="AW342" s="749"/>
      <c r="AX342" s="749"/>
      <c r="AY342" s="749"/>
      <c r="AZ342" s="749"/>
      <c r="BA342" s="749"/>
      <c r="BB342" s="749"/>
      <c r="BC342" s="749"/>
      <c r="BD342" s="749"/>
    </row>
    <row r="343" spans="35:56">
      <c r="AI343" s="748"/>
      <c r="AJ343" s="749"/>
      <c r="AK343" s="749"/>
      <c r="AL343" s="749"/>
      <c r="AM343" s="749"/>
      <c r="AN343" s="749"/>
      <c r="AO343" s="749"/>
      <c r="AP343" s="749"/>
      <c r="AQ343" s="749"/>
      <c r="AR343" s="749"/>
      <c r="AS343" s="749"/>
      <c r="AT343" s="749"/>
      <c r="AU343" s="749"/>
      <c r="AV343" s="749"/>
      <c r="AW343" s="749"/>
      <c r="AX343" s="749"/>
      <c r="AY343" s="749"/>
      <c r="AZ343" s="749"/>
      <c r="BA343" s="749"/>
      <c r="BB343" s="749"/>
      <c r="BC343" s="749"/>
      <c r="BD343" s="749"/>
    </row>
    <row r="344" spans="35:56">
      <c r="AI344" s="748"/>
      <c r="AJ344" s="749"/>
      <c r="AK344" s="749"/>
      <c r="AL344" s="749"/>
      <c r="AM344" s="749"/>
      <c r="AN344" s="749"/>
      <c r="AO344" s="749"/>
      <c r="AP344" s="749"/>
      <c r="AQ344" s="749"/>
      <c r="AR344" s="749"/>
      <c r="AS344" s="749"/>
      <c r="AT344" s="749"/>
      <c r="AU344" s="749"/>
      <c r="AV344" s="749"/>
      <c r="AW344" s="749"/>
      <c r="AX344" s="749"/>
      <c r="AY344" s="749"/>
      <c r="AZ344" s="749"/>
      <c r="BA344" s="749"/>
      <c r="BB344" s="749"/>
      <c r="BC344" s="749"/>
      <c r="BD344" s="749"/>
    </row>
    <row r="345" spans="35:56">
      <c r="AI345" s="748"/>
      <c r="AJ345" s="749"/>
      <c r="AK345" s="749"/>
      <c r="AL345" s="749"/>
      <c r="AM345" s="749"/>
      <c r="AN345" s="749"/>
      <c r="AO345" s="749"/>
      <c r="AP345" s="749"/>
      <c r="AQ345" s="749"/>
      <c r="AR345" s="749"/>
      <c r="AS345" s="749"/>
      <c r="AT345" s="749"/>
      <c r="AU345" s="749"/>
      <c r="AV345" s="749"/>
      <c r="AW345" s="749"/>
      <c r="AX345" s="749"/>
      <c r="AY345" s="749"/>
      <c r="AZ345" s="749"/>
      <c r="BA345" s="749"/>
      <c r="BB345" s="749"/>
      <c r="BC345" s="749"/>
      <c r="BD345" s="749"/>
    </row>
    <row r="346" spans="35:56">
      <c r="AI346" s="748"/>
      <c r="AJ346" s="749"/>
      <c r="AK346" s="749"/>
      <c r="AL346" s="749"/>
      <c r="AM346" s="749"/>
      <c r="AN346" s="749"/>
      <c r="AO346" s="749"/>
      <c r="AP346" s="749"/>
      <c r="AQ346" s="749"/>
      <c r="AR346" s="749"/>
      <c r="AS346" s="749"/>
      <c r="AT346" s="749"/>
      <c r="AU346" s="749"/>
      <c r="AV346" s="749"/>
      <c r="AW346" s="749"/>
      <c r="AX346" s="749"/>
      <c r="AY346" s="749"/>
      <c r="AZ346" s="749"/>
      <c r="BA346" s="749"/>
      <c r="BB346" s="749"/>
      <c r="BC346" s="749"/>
      <c r="BD346" s="749"/>
    </row>
    <row r="347" spans="35:56">
      <c r="AI347" s="748"/>
      <c r="AJ347" s="749"/>
      <c r="AK347" s="749"/>
      <c r="AL347" s="749"/>
      <c r="AM347" s="749"/>
      <c r="AN347" s="749"/>
      <c r="AO347" s="749"/>
      <c r="AP347" s="749"/>
      <c r="AQ347" s="749"/>
      <c r="AR347" s="749"/>
      <c r="AS347" s="749"/>
      <c r="AT347" s="749"/>
      <c r="AU347" s="749"/>
      <c r="AV347" s="749"/>
      <c r="AW347" s="749"/>
      <c r="AX347" s="749"/>
      <c r="AY347" s="749"/>
      <c r="AZ347" s="749"/>
      <c r="BA347" s="749"/>
      <c r="BB347" s="749"/>
      <c r="BC347" s="749"/>
      <c r="BD347" s="749"/>
    </row>
    <row r="348" spans="35:56">
      <c r="AI348" s="748"/>
      <c r="AJ348" s="749"/>
      <c r="AK348" s="749"/>
      <c r="AL348" s="749"/>
      <c r="AM348" s="749"/>
      <c r="AN348" s="749"/>
      <c r="AO348" s="749"/>
      <c r="AP348" s="749"/>
      <c r="AQ348" s="749"/>
      <c r="AR348" s="749"/>
      <c r="AS348" s="749"/>
      <c r="AT348" s="749"/>
      <c r="AU348" s="749"/>
      <c r="AV348" s="749"/>
      <c r="AW348" s="749"/>
      <c r="AX348" s="749"/>
      <c r="AY348" s="749"/>
      <c r="AZ348" s="749"/>
      <c r="BA348" s="749"/>
      <c r="BB348" s="749"/>
      <c r="BC348" s="749"/>
      <c r="BD348" s="749"/>
    </row>
    <row r="349" spans="35:56">
      <c r="AI349" s="748"/>
      <c r="AJ349" s="749"/>
      <c r="AK349" s="749"/>
      <c r="AL349" s="749"/>
      <c r="AM349" s="749"/>
      <c r="AN349" s="749"/>
      <c r="AO349" s="749"/>
      <c r="AP349" s="749"/>
      <c r="AQ349" s="749"/>
      <c r="AR349" s="749"/>
      <c r="AS349" s="749"/>
      <c r="AT349" s="749"/>
      <c r="AU349" s="749"/>
      <c r="AV349" s="749"/>
      <c r="AW349" s="749"/>
      <c r="AX349" s="749"/>
      <c r="AY349" s="749"/>
      <c r="AZ349" s="749"/>
      <c r="BA349" s="749"/>
      <c r="BB349" s="749"/>
      <c r="BC349" s="749"/>
      <c r="BD349" s="749"/>
    </row>
    <row r="350" spans="35:56">
      <c r="AI350" s="748"/>
      <c r="AJ350" s="749"/>
      <c r="AK350" s="749"/>
      <c r="AL350" s="749"/>
      <c r="AM350" s="749"/>
      <c r="AN350" s="749"/>
      <c r="AO350" s="749"/>
      <c r="AP350" s="749"/>
      <c r="AQ350" s="749"/>
      <c r="AR350" s="749"/>
      <c r="AS350" s="749"/>
      <c r="AT350" s="749"/>
      <c r="AU350" s="749"/>
      <c r="AV350" s="749"/>
      <c r="AW350" s="749"/>
      <c r="AX350" s="749"/>
      <c r="AY350" s="749"/>
      <c r="AZ350" s="749"/>
      <c r="BA350" s="749"/>
      <c r="BB350" s="749"/>
      <c r="BC350" s="749"/>
      <c r="BD350" s="749"/>
    </row>
    <row r="351" spans="35:56">
      <c r="AI351" s="748"/>
      <c r="AJ351" s="749"/>
      <c r="AK351" s="749"/>
      <c r="AL351" s="749"/>
      <c r="AM351" s="749"/>
      <c r="AN351" s="749"/>
      <c r="AO351" s="749"/>
      <c r="AP351" s="749"/>
      <c r="AQ351" s="749"/>
      <c r="AR351" s="749"/>
      <c r="AS351" s="749"/>
      <c r="AT351" s="749"/>
      <c r="AU351" s="749"/>
      <c r="AV351" s="749"/>
      <c r="AW351" s="749"/>
      <c r="AX351" s="749"/>
      <c r="AY351" s="749"/>
      <c r="AZ351" s="749"/>
      <c r="BA351" s="749"/>
      <c r="BB351" s="749"/>
      <c r="BC351" s="749"/>
      <c r="BD351" s="749"/>
    </row>
    <row r="352" spans="35:56">
      <c r="AI352" s="748"/>
      <c r="AJ352" s="749"/>
      <c r="AK352" s="749"/>
      <c r="AL352" s="749"/>
      <c r="AM352" s="749"/>
      <c r="AN352" s="749"/>
      <c r="AO352" s="749"/>
      <c r="AP352" s="749"/>
      <c r="AQ352" s="749"/>
      <c r="AR352" s="749"/>
      <c r="AS352" s="749"/>
      <c r="AT352" s="749"/>
      <c r="AU352" s="749"/>
      <c r="AV352" s="749"/>
      <c r="AW352" s="749"/>
      <c r="AX352" s="749"/>
      <c r="AY352" s="749"/>
      <c r="AZ352" s="749"/>
      <c r="BA352" s="749"/>
      <c r="BB352" s="749"/>
      <c r="BC352" s="749"/>
      <c r="BD352" s="749"/>
    </row>
    <row r="353" spans="1:56">
      <c r="AI353" s="748"/>
      <c r="AJ353" s="749"/>
      <c r="AK353" s="749"/>
      <c r="AL353" s="749"/>
      <c r="AM353" s="749"/>
      <c r="AN353" s="749"/>
      <c r="AO353" s="749"/>
      <c r="AP353" s="749"/>
      <c r="AQ353" s="749"/>
      <c r="AR353" s="749"/>
      <c r="AS353" s="749"/>
      <c r="AT353" s="749"/>
      <c r="AU353" s="749"/>
      <c r="AV353" s="749"/>
      <c r="AW353" s="749"/>
      <c r="AX353" s="749"/>
      <c r="AY353" s="749"/>
      <c r="AZ353" s="749"/>
      <c r="BA353" s="749"/>
      <c r="BB353" s="749"/>
      <c r="BC353" s="749"/>
      <c r="BD353" s="749"/>
    </row>
    <row r="354" spans="1:56">
      <c r="AI354" s="748"/>
      <c r="AJ354" s="749"/>
      <c r="AK354" s="749"/>
      <c r="AL354" s="749"/>
      <c r="AM354" s="749"/>
      <c r="AN354" s="749"/>
      <c r="AO354" s="749"/>
      <c r="AP354" s="749"/>
      <c r="AQ354" s="749"/>
      <c r="AR354" s="749"/>
      <c r="AS354" s="749"/>
      <c r="AT354" s="749"/>
      <c r="AU354" s="749"/>
      <c r="AV354" s="749"/>
      <c r="AW354" s="749"/>
      <c r="AX354" s="749"/>
      <c r="AY354" s="749"/>
      <c r="AZ354" s="749"/>
      <c r="BA354" s="749"/>
      <c r="BB354" s="749"/>
      <c r="BC354" s="749"/>
      <c r="BD354" s="749"/>
    </row>
    <row r="355" spans="1:56">
      <c r="AI355" s="748"/>
      <c r="AJ355" s="749"/>
      <c r="AK355" s="749"/>
      <c r="AL355" s="749"/>
      <c r="AM355" s="749"/>
      <c r="AN355" s="749"/>
      <c r="AO355" s="749"/>
      <c r="AP355" s="749"/>
      <c r="AQ355" s="749"/>
      <c r="AR355" s="749"/>
      <c r="AS355" s="749"/>
      <c r="AT355" s="749"/>
      <c r="AU355" s="749"/>
      <c r="AV355" s="749"/>
      <c r="AW355" s="749"/>
      <c r="AX355" s="749"/>
      <c r="AY355" s="749"/>
      <c r="AZ355" s="749"/>
      <c r="BA355" s="749"/>
      <c r="BB355" s="749"/>
      <c r="BC355" s="749"/>
      <c r="BD355" s="749"/>
    </row>
    <row r="356" spans="1:56">
      <c r="AI356" s="748"/>
      <c r="AJ356" s="749"/>
      <c r="AK356" s="749"/>
      <c r="AL356" s="749"/>
      <c r="AM356" s="749"/>
      <c r="AN356" s="749"/>
      <c r="AO356" s="749"/>
      <c r="AP356" s="749"/>
      <c r="AQ356" s="749"/>
      <c r="AR356" s="749"/>
      <c r="AS356" s="749"/>
      <c r="AT356" s="749"/>
      <c r="AU356" s="749"/>
      <c r="AV356" s="749"/>
      <c r="AW356" s="749"/>
      <c r="AX356" s="749"/>
      <c r="AY356" s="749"/>
      <c r="AZ356" s="749"/>
      <c r="BA356" s="749"/>
      <c r="BB356" s="749"/>
      <c r="BC356" s="749"/>
      <c r="BD356" s="749"/>
    </row>
    <row r="357" spans="1:56">
      <c r="AI357" s="748"/>
      <c r="AJ357" s="749"/>
      <c r="AK357" s="749"/>
      <c r="AL357" s="749"/>
      <c r="AM357" s="749"/>
      <c r="AN357" s="749"/>
      <c r="AO357" s="749"/>
      <c r="AP357" s="749"/>
      <c r="AQ357" s="749"/>
      <c r="AR357" s="749"/>
      <c r="AS357" s="749"/>
      <c r="AT357" s="749"/>
      <c r="AU357" s="749"/>
      <c r="AV357" s="749"/>
      <c r="AW357" s="749"/>
      <c r="AX357" s="749"/>
      <c r="AY357" s="749"/>
      <c r="AZ357" s="749"/>
      <c r="BA357" s="749"/>
      <c r="BB357" s="749"/>
      <c r="BC357" s="749"/>
      <c r="BD357" s="749"/>
    </row>
    <row r="358" spans="1:56">
      <c r="AI358" s="748"/>
      <c r="AJ358" s="749"/>
      <c r="AK358" s="749"/>
      <c r="AL358" s="749"/>
      <c r="AM358" s="749"/>
      <c r="AN358" s="749"/>
      <c r="AO358" s="749"/>
      <c r="AP358" s="749"/>
      <c r="AQ358" s="749"/>
      <c r="AR358" s="749"/>
      <c r="AS358" s="749"/>
      <c r="AT358" s="749"/>
      <c r="AU358" s="749"/>
      <c r="AV358" s="749"/>
      <c r="AW358" s="749"/>
      <c r="AX358" s="749"/>
      <c r="AY358" s="749"/>
      <c r="AZ358" s="749"/>
      <c r="BA358" s="749"/>
      <c r="BB358" s="749"/>
      <c r="BC358" s="749"/>
      <c r="BD358" s="749"/>
    </row>
    <row r="359" spans="1:56">
      <c r="AI359" s="748"/>
      <c r="AJ359" s="749"/>
      <c r="AK359" s="749"/>
      <c r="AL359" s="749"/>
      <c r="AM359" s="749"/>
      <c r="AN359" s="749"/>
      <c r="AO359" s="749"/>
      <c r="AP359" s="749"/>
      <c r="AQ359" s="749"/>
      <c r="AR359" s="749"/>
      <c r="AS359" s="749"/>
      <c r="AT359" s="749"/>
      <c r="AU359" s="749"/>
      <c r="AV359" s="749"/>
      <c r="AW359" s="749"/>
      <c r="AX359" s="749"/>
      <c r="AY359" s="749"/>
      <c r="AZ359" s="749"/>
      <c r="BA359" s="749"/>
      <c r="BB359" s="749"/>
      <c r="BC359" s="749"/>
      <c r="BD359" s="749"/>
    </row>
    <row r="360" spans="1:56">
      <c r="AI360" s="748"/>
      <c r="AJ360" s="749"/>
      <c r="AK360" s="749"/>
      <c r="AL360" s="749"/>
      <c r="AM360" s="749"/>
      <c r="AN360" s="749"/>
      <c r="AO360" s="749"/>
      <c r="AP360" s="749"/>
      <c r="AQ360" s="749"/>
      <c r="AR360" s="749"/>
      <c r="AS360" s="749"/>
      <c r="AT360" s="749"/>
      <c r="AU360" s="749"/>
      <c r="AV360" s="749"/>
      <c r="AW360" s="749"/>
      <c r="AX360" s="749"/>
      <c r="AY360" s="749"/>
      <c r="AZ360" s="749"/>
      <c r="BA360" s="749"/>
      <c r="BB360" s="749"/>
      <c r="BC360" s="749"/>
      <c r="BD360" s="749"/>
    </row>
    <row r="361" spans="1:56">
      <c r="AI361" s="748"/>
      <c r="AJ361" s="749"/>
      <c r="AK361" s="749"/>
      <c r="AL361" s="749"/>
      <c r="AM361" s="749"/>
      <c r="AN361" s="749"/>
      <c r="AO361" s="749"/>
      <c r="AP361" s="749"/>
      <c r="AQ361" s="749"/>
      <c r="AR361" s="749"/>
      <c r="AS361" s="749"/>
      <c r="AT361" s="749"/>
      <c r="AU361" s="749"/>
      <c r="AV361" s="749"/>
      <c r="AW361" s="749"/>
      <c r="AX361" s="749"/>
      <c r="AY361" s="749"/>
      <c r="AZ361" s="749"/>
      <c r="BA361" s="749"/>
      <c r="BB361" s="749"/>
      <c r="BC361" s="749"/>
      <c r="BD361" s="749"/>
    </row>
    <row r="362" spans="1:56">
      <c r="AI362" s="748"/>
      <c r="AJ362" s="749"/>
      <c r="AK362" s="749"/>
      <c r="AL362" s="749"/>
      <c r="AM362" s="749"/>
      <c r="AN362" s="749"/>
      <c r="AO362" s="749"/>
      <c r="AP362" s="749"/>
      <c r="AQ362" s="749"/>
      <c r="AR362" s="749"/>
      <c r="AS362" s="749"/>
      <c r="AT362" s="749"/>
      <c r="AU362" s="749"/>
      <c r="AV362" s="749"/>
      <c r="AW362" s="749"/>
      <c r="AX362" s="749"/>
      <c r="AY362" s="749"/>
      <c r="AZ362" s="749"/>
      <c r="BA362" s="749"/>
      <c r="BB362" s="749"/>
      <c r="BC362" s="749"/>
      <c r="BD362" s="749"/>
    </row>
    <row r="363" spans="1:56">
      <c r="A363" s="678"/>
      <c r="B363" s="674"/>
      <c r="C363" s="674"/>
      <c r="D363" s="674"/>
      <c r="E363" s="674"/>
      <c r="F363" s="674"/>
      <c r="G363" s="674"/>
      <c r="H363" s="674"/>
      <c r="I363" s="674"/>
      <c r="J363" s="674"/>
      <c r="K363" s="674"/>
      <c r="L363" s="674"/>
      <c r="M363" s="674"/>
      <c r="N363" s="674"/>
      <c r="O363" s="674"/>
      <c r="AI363" s="748"/>
      <c r="AJ363" s="749"/>
      <c r="AK363" s="749"/>
      <c r="AL363" s="749"/>
      <c r="AM363" s="749"/>
      <c r="AN363" s="749"/>
      <c r="AO363" s="749"/>
      <c r="AP363" s="749"/>
      <c r="AQ363" s="749"/>
      <c r="AR363" s="749"/>
      <c r="AS363" s="749"/>
      <c r="AT363" s="749"/>
      <c r="AU363" s="749"/>
      <c r="AV363" s="749"/>
      <c r="AW363" s="749"/>
      <c r="AX363" s="749"/>
      <c r="AY363" s="749"/>
      <c r="AZ363" s="749"/>
      <c r="BA363" s="749"/>
      <c r="BB363" s="749"/>
      <c r="BC363" s="749"/>
      <c r="BD363" s="749"/>
    </row>
    <row r="364" spans="1:56">
      <c r="A364" s="678"/>
      <c r="B364" s="674"/>
      <c r="C364" s="674"/>
      <c r="D364" s="674"/>
      <c r="E364" s="674"/>
      <c r="F364" s="674"/>
      <c r="G364" s="674"/>
      <c r="H364" s="674"/>
      <c r="I364" s="674"/>
      <c r="J364" s="674"/>
      <c r="K364" s="674"/>
      <c r="L364" s="674"/>
      <c r="M364" s="674"/>
      <c r="N364" s="674"/>
      <c r="O364" s="674"/>
      <c r="AI364" s="748"/>
      <c r="AJ364" s="749"/>
      <c r="AK364" s="749"/>
      <c r="AL364" s="749"/>
      <c r="AM364" s="749"/>
      <c r="AN364" s="749"/>
      <c r="AO364" s="749"/>
      <c r="AP364" s="749"/>
      <c r="AQ364" s="749"/>
      <c r="AR364" s="749"/>
      <c r="AS364" s="749"/>
      <c r="AT364" s="749"/>
      <c r="AU364" s="749"/>
      <c r="AV364" s="749"/>
      <c r="AW364" s="749"/>
      <c r="AX364" s="749"/>
      <c r="AY364" s="749"/>
      <c r="AZ364" s="749"/>
      <c r="BA364" s="749"/>
      <c r="BB364" s="749"/>
      <c r="BC364" s="749"/>
      <c r="BD364" s="749"/>
    </row>
    <row r="365" spans="1:56">
      <c r="A365" s="678"/>
      <c r="B365" s="674"/>
      <c r="C365" s="674"/>
      <c r="D365" s="674"/>
      <c r="E365" s="674"/>
      <c r="F365" s="674"/>
      <c r="G365" s="674"/>
      <c r="H365" s="674"/>
      <c r="I365" s="674"/>
      <c r="J365" s="674"/>
      <c r="K365" s="674"/>
      <c r="L365" s="674"/>
      <c r="M365" s="674"/>
      <c r="N365" s="674"/>
      <c r="O365" s="674"/>
      <c r="AI365" s="748"/>
      <c r="AJ365" s="749"/>
      <c r="AK365" s="749"/>
      <c r="AL365" s="749"/>
      <c r="AM365" s="749"/>
      <c r="AN365" s="749"/>
      <c r="AO365" s="749"/>
      <c r="AP365" s="749"/>
      <c r="AQ365" s="749"/>
      <c r="AR365" s="749"/>
      <c r="AS365" s="749"/>
      <c r="AT365" s="749"/>
      <c r="AU365" s="749"/>
      <c r="AV365" s="749"/>
      <c r="AW365" s="749"/>
      <c r="AX365" s="749"/>
      <c r="AY365" s="749"/>
      <c r="AZ365" s="749"/>
      <c r="BA365" s="749"/>
      <c r="BB365" s="749"/>
      <c r="BC365" s="749"/>
      <c r="BD365" s="749"/>
    </row>
    <row r="366" spans="1:56">
      <c r="A366" s="678"/>
      <c r="B366" s="674"/>
      <c r="C366" s="674"/>
      <c r="D366" s="674"/>
      <c r="E366" s="674"/>
      <c r="F366" s="674"/>
      <c r="G366" s="674"/>
      <c r="H366" s="674"/>
      <c r="I366" s="674"/>
      <c r="J366" s="674"/>
      <c r="K366" s="674"/>
      <c r="L366" s="674"/>
      <c r="M366" s="674"/>
      <c r="N366" s="674"/>
      <c r="O366" s="674"/>
      <c r="AI366" s="748"/>
      <c r="AJ366" s="749"/>
      <c r="AK366" s="749"/>
      <c r="AL366" s="749"/>
      <c r="AM366" s="749"/>
      <c r="AN366" s="749"/>
      <c r="AO366" s="749"/>
      <c r="AP366" s="749"/>
      <c r="AQ366" s="749"/>
      <c r="AR366" s="749"/>
      <c r="AS366" s="749"/>
      <c r="AT366" s="749"/>
      <c r="AU366" s="749"/>
      <c r="AV366" s="749"/>
      <c r="AW366" s="749"/>
      <c r="AX366" s="749"/>
      <c r="AY366" s="749"/>
      <c r="AZ366" s="749"/>
      <c r="BA366" s="749"/>
      <c r="BB366" s="749"/>
      <c r="BC366" s="749"/>
      <c r="BD366" s="749"/>
    </row>
    <row r="367" spans="1:56">
      <c r="A367" s="678"/>
      <c r="B367" s="674"/>
      <c r="C367" s="674"/>
      <c r="D367" s="674"/>
      <c r="E367" s="674"/>
      <c r="F367" s="674"/>
      <c r="G367" s="674"/>
      <c r="H367" s="674"/>
      <c r="I367" s="674"/>
      <c r="J367" s="674"/>
      <c r="K367" s="674"/>
      <c r="L367" s="674"/>
      <c r="M367" s="674"/>
      <c r="N367" s="674"/>
      <c r="O367" s="674"/>
      <c r="AI367" s="748"/>
      <c r="AJ367" s="749"/>
      <c r="AK367" s="749"/>
      <c r="AL367" s="749"/>
      <c r="AM367" s="749"/>
      <c r="AN367" s="749"/>
      <c r="AO367" s="749"/>
      <c r="AP367" s="749"/>
      <c r="AQ367" s="749"/>
      <c r="AR367" s="749"/>
      <c r="AS367" s="749"/>
      <c r="AT367" s="749"/>
      <c r="AU367" s="749"/>
      <c r="AV367" s="749"/>
      <c r="AW367" s="749"/>
      <c r="AX367" s="749"/>
      <c r="AY367" s="749"/>
      <c r="AZ367" s="749"/>
      <c r="BA367" s="749"/>
      <c r="BB367" s="749"/>
      <c r="BC367" s="749"/>
      <c r="BD367" s="749"/>
    </row>
    <row r="368" spans="1:56">
      <c r="A368" s="678"/>
      <c r="B368" s="674"/>
      <c r="C368" s="674"/>
      <c r="D368" s="674"/>
      <c r="E368" s="674"/>
      <c r="F368" s="674"/>
      <c r="G368" s="674"/>
      <c r="H368" s="674"/>
      <c r="I368" s="674"/>
      <c r="J368" s="674"/>
      <c r="K368" s="674"/>
      <c r="L368" s="674"/>
      <c r="M368" s="674"/>
      <c r="N368" s="674"/>
      <c r="O368" s="674"/>
      <c r="AI368" s="748"/>
      <c r="AJ368" s="749"/>
      <c r="AK368" s="749"/>
      <c r="AL368" s="749"/>
      <c r="AM368" s="749"/>
      <c r="AN368" s="749"/>
      <c r="AO368" s="749"/>
      <c r="AP368" s="749"/>
      <c r="AQ368" s="749"/>
      <c r="AR368" s="749"/>
      <c r="AS368" s="749"/>
      <c r="AT368" s="749"/>
      <c r="AU368" s="749"/>
      <c r="AV368" s="749"/>
      <c r="AW368" s="749"/>
      <c r="AX368" s="749"/>
      <c r="AY368" s="749"/>
      <c r="AZ368" s="749"/>
      <c r="BA368" s="749"/>
      <c r="BB368" s="749"/>
      <c r="BC368" s="749"/>
      <c r="BD368" s="749"/>
    </row>
    <row r="369" spans="1:56">
      <c r="A369" s="678"/>
      <c r="B369" s="674"/>
      <c r="C369" s="674"/>
      <c r="D369" s="674"/>
      <c r="E369" s="674"/>
      <c r="F369" s="674"/>
      <c r="G369" s="674"/>
      <c r="H369" s="674"/>
      <c r="I369" s="674"/>
      <c r="J369" s="674"/>
      <c r="K369" s="674"/>
      <c r="L369" s="674"/>
      <c r="M369" s="674"/>
      <c r="N369" s="674"/>
      <c r="O369" s="674"/>
      <c r="AI369" s="748"/>
      <c r="AJ369" s="749"/>
      <c r="AK369" s="749"/>
      <c r="AL369" s="749"/>
      <c r="AM369" s="749"/>
      <c r="AN369" s="749"/>
      <c r="AO369" s="749"/>
      <c r="AP369" s="749"/>
      <c r="AQ369" s="749"/>
      <c r="AR369" s="749"/>
      <c r="AS369" s="749"/>
      <c r="AT369" s="749"/>
      <c r="AU369" s="749"/>
      <c r="AV369" s="749"/>
      <c r="AW369" s="749"/>
      <c r="AX369" s="749"/>
      <c r="AY369" s="749"/>
      <c r="AZ369" s="749"/>
      <c r="BA369" s="749"/>
      <c r="BB369" s="749"/>
      <c r="BC369" s="749"/>
      <c r="BD369" s="749"/>
    </row>
    <row r="370" spans="1:56">
      <c r="A370" s="678"/>
      <c r="B370" s="674"/>
      <c r="C370" s="674"/>
      <c r="D370" s="674"/>
      <c r="E370" s="674"/>
      <c r="F370" s="674"/>
      <c r="G370" s="674"/>
      <c r="H370" s="674"/>
      <c r="I370" s="674"/>
      <c r="J370" s="674"/>
      <c r="K370" s="674"/>
      <c r="L370" s="674"/>
      <c r="M370" s="674"/>
      <c r="N370" s="674"/>
      <c r="O370" s="674"/>
      <c r="AI370" s="678"/>
      <c r="AJ370" s="674"/>
      <c r="AK370" s="674"/>
      <c r="AL370" s="674"/>
      <c r="AM370" s="674"/>
      <c r="AN370" s="674"/>
      <c r="AO370" s="674"/>
      <c r="AP370" s="674"/>
      <c r="AQ370" s="674"/>
      <c r="AR370" s="674"/>
      <c r="AS370" s="674"/>
      <c r="AT370" s="674"/>
      <c r="AU370" s="674"/>
      <c r="AV370" s="674"/>
      <c r="AW370" s="674"/>
    </row>
    <row r="371" spans="1:56">
      <c r="A371" s="678"/>
      <c r="B371" s="674"/>
      <c r="C371" s="674"/>
      <c r="D371" s="674"/>
      <c r="E371" s="674"/>
      <c r="F371" s="674"/>
      <c r="G371" s="674"/>
      <c r="H371" s="674"/>
      <c r="I371" s="674"/>
      <c r="J371" s="674"/>
      <c r="K371" s="674"/>
      <c r="L371" s="674"/>
      <c r="M371" s="674"/>
      <c r="N371" s="674"/>
      <c r="O371" s="674"/>
      <c r="AI371" s="678"/>
      <c r="AJ371" s="674"/>
      <c r="AK371" s="674"/>
      <c r="AL371" s="674"/>
      <c r="AM371" s="674"/>
      <c r="AN371" s="674"/>
      <c r="AO371" s="674"/>
      <c r="AP371" s="674"/>
      <c r="AQ371" s="674"/>
      <c r="AR371" s="674"/>
      <c r="AS371" s="674"/>
      <c r="AT371" s="674"/>
      <c r="AU371" s="674"/>
      <c r="AV371" s="674"/>
      <c r="AW371" s="674"/>
    </row>
  </sheetData>
  <phoneticPr fontId="0" type="noConversion"/>
  <printOptions horizontalCentered="1"/>
  <pageMargins left="0.25" right="0.25" top="0.75" bottom="0.75" header="0.3" footer="0.3"/>
  <pageSetup scale="76" orientation="landscape" blackAndWhite="1" r:id="rId1"/>
  <headerFooter alignWithMargins="0"/>
  <customProperties>
    <customPr name="_pios_id" r:id="rId2"/>
    <customPr name="FPMExcelClientCellBasedFunctionStatus" r:id="rId3"/>
  </customProperties>
  <ignoredErrors>
    <ignoredError sqref="B102 D102:V102 B51:T51" numberStoredAsText="1"/>
  </ignoredErrors>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25"/>
  <sheetViews>
    <sheetView workbookViewId="0">
      <selection activeCell="E12" sqref="E12"/>
    </sheetView>
  </sheetViews>
  <sheetFormatPr defaultRowHeight="12.75"/>
  <cols>
    <col min="1" max="1" width="5.85546875" style="17" customWidth="1"/>
    <col min="2" max="2" width="42.85546875" style="17" customWidth="1"/>
    <col min="3" max="3" width="16.28515625" customWidth="1"/>
    <col min="4" max="4" width="17.5703125" bestFit="1" customWidth="1"/>
    <col min="5" max="5" width="4.85546875" customWidth="1"/>
    <col min="6" max="6" width="23.28515625" customWidth="1"/>
    <col min="7" max="7" width="11.28515625" bestFit="1" customWidth="1"/>
  </cols>
  <sheetData>
    <row r="1" spans="1:10">
      <c r="A1" s="31" t="s">
        <v>2732</v>
      </c>
      <c r="B1"/>
    </row>
    <row r="2" spans="1:10">
      <c r="A2" s="31" t="s">
        <v>2733</v>
      </c>
      <c r="B2"/>
    </row>
    <row r="3" spans="1:10" ht="15">
      <c r="A3" s="31" t="s">
        <v>2792</v>
      </c>
      <c r="B3" s="1249"/>
    </row>
    <row r="4" spans="1:10" ht="15.75">
      <c r="A4" s="32"/>
      <c r="B4" s="1249"/>
    </row>
    <row r="5" spans="1:10" ht="15.75">
      <c r="A5" s="890"/>
      <c r="B5" s="31" t="s">
        <v>2734</v>
      </c>
      <c r="C5" s="1250">
        <f>+Report!T55</f>
        <v>1603790.8084269227</v>
      </c>
      <c r="D5" s="1251"/>
      <c r="E5" s="17"/>
      <c r="F5" s="17"/>
      <c r="G5" s="17"/>
      <c r="H5" s="17"/>
    </row>
    <row r="6" spans="1:10" ht="15.75">
      <c r="A6" s="1252"/>
      <c r="B6" s="1253" t="s">
        <v>2735</v>
      </c>
      <c r="C6" s="1254">
        <f>+Report!H189/100</f>
        <v>6.1711000000000002E-2</v>
      </c>
      <c r="E6" s="890"/>
      <c r="F6" s="17"/>
      <c r="G6" s="17"/>
      <c r="H6" s="17"/>
      <c r="I6" s="17"/>
      <c r="J6" s="17"/>
    </row>
    <row r="7" spans="1:10">
      <c r="B7" s="1253" t="s">
        <v>2736</v>
      </c>
      <c r="C7" s="1255">
        <f>-Report!H197/100</f>
        <v>1.3100000000000001E-2</v>
      </c>
      <c r="H7" s="17"/>
      <c r="I7" s="17"/>
      <c r="J7" s="17"/>
    </row>
    <row r="8" spans="1:10" ht="14.25">
      <c r="B8" s="31" t="s">
        <v>2737</v>
      </c>
      <c r="C8" s="1255">
        <f>+Report!H201/100</f>
        <v>0.4582</v>
      </c>
      <c r="D8" s="1256"/>
      <c r="H8" s="17"/>
      <c r="I8" s="17"/>
      <c r="J8" s="17"/>
    </row>
    <row r="9" spans="1:10" ht="15">
      <c r="C9" s="1257"/>
      <c r="D9" s="1256"/>
      <c r="E9" s="1253"/>
      <c r="H9" s="17"/>
      <c r="I9" s="17"/>
      <c r="J9" s="17"/>
    </row>
    <row r="10" spans="1:10" ht="14.25">
      <c r="C10" s="1258" t="s">
        <v>2738</v>
      </c>
      <c r="D10" s="1258" t="s">
        <v>2739</v>
      </c>
      <c r="E10" s="1253"/>
      <c r="H10" s="17"/>
      <c r="I10" s="17"/>
      <c r="J10" s="17"/>
    </row>
    <row r="11" spans="1:10" ht="14.25">
      <c r="A11" s="1256" t="s">
        <v>2740</v>
      </c>
      <c r="C11" s="1259" t="s">
        <v>2741</v>
      </c>
      <c r="D11" s="1259" t="s">
        <v>2741</v>
      </c>
      <c r="E11" s="1253"/>
      <c r="H11" s="17"/>
      <c r="I11" s="17"/>
      <c r="J11" s="17"/>
    </row>
    <row r="12" spans="1:10">
      <c r="B12" s="17" t="s">
        <v>2742</v>
      </c>
      <c r="C12" s="148">
        <f>+IncomeStmt!B45</f>
        <v>77282.928799999878</v>
      </c>
      <c r="D12" s="148">
        <f>+C12</f>
        <v>77282.928799999878</v>
      </c>
      <c r="H12" s="17"/>
      <c r="I12" s="17"/>
      <c r="J12" s="17"/>
    </row>
    <row r="13" spans="1:10">
      <c r="B13" s="17" t="s">
        <v>2743</v>
      </c>
      <c r="C13" s="1260">
        <f>+('Bal Sheet'!EG64+'Bal Sheet'!ES64)/2</f>
        <v>724165.84323</v>
      </c>
      <c r="D13" s="1260">
        <f>+'Bal Sheet'!ET64</f>
        <v>729635.69981307676</v>
      </c>
      <c r="F13" s="22"/>
      <c r="G13" s="17"/>
      <c r="H13" s="17"/>
      <c r="I13" s="17"/>
      <c r="J13" s="17"/>
    </row>
    <row r="14" spans="1:10" ht="14.25">
      <c r="A14" s="1256"/>
      <c r="B14" s="1256"/>
      <c r="C14" s="1261">
        <f>+C12/C13</f>
        <v>0.10671993096953386</v>
      </c>
      <c r="D14" s="1261">
        <f>+D12/D13</f>
        <v>0.10591988415561186</v>
      </c>
      <c r="F14" s="1262"/>
      <c r="G14" s="17"/>
      <c r="H14" s="17"/>
      <c r="I14" s="17"/>
      <c r="J14" s="17"/>
    </row>
    <row r="15" spans="1:10" ht="14.25">
      <c r="A15" s="1256"/>
      <c r="B15" s="1256"/>
      <c r="C15" s="1256"/>
      <c r="D15" s="1256"/>
      <c r="F15" s="1262"/>
      <c r="G15" s="17"/>
      <c r="H15" s="17"/>
      <c r="I15" s="17"/>
      <c r="J15" s="17"/>
    </row>
    <row r="16" spans="1:10" ht="15">
      <c r="A16" s="1256"/>
      <c r="B16" s="1256"/>
      <c r="C16" s="1256"/>
      <c r="D16" s="1251" t="s">
        <v>2744</v>
      </c>
      <c r="F16" s="1262"/>
      <c r="G16" s="17"/>
      <c r="H16" s="17"/>
      <c r="I16" s="17"/>
      <c r="J16" s="17"/>
    </row>
    <row r="17" spans="2:10" ht="15">
      <c r="B17" s="1256"/>
      <c r="C17" s="1263"/>
      <c r="D17" s="1264" t="s">
        <v>490</v>
      </c>
      <c r="E17" s="1256"/>
      <c r="F17" s="17"/>
      <c r="G17" s="17"/>
      <c r="H17" s="17"/>
      <c r="I17" s="17"/>
      <c r="J17" s="17"/>
    </row>
    <row r="18" spans="2:10" ht="14.25">
      <c r="B18" s="1265" t="s">
        <v>2745</v>
      </c>
      <c r="C18" s="1339"/>
      <c r="D18" s="1267">
        <f>ROUND(+((((C19/C20)-C6+C7)/C8)*(C20/C5))*(0-100),2)</f>
        <v>0.05</v>
      </c>
      <c r="E18" s="1256"/>
      <c r="F18" s="1268">
        <f>+C19/C20</f>
        <v>4.3476616194521055E-2</v>
      </c>
      <c r="G18" s="17"/>
      <c r="H18" s="17"/>
      <c r="I18" s="17"/>
      <c r="J18" s="17"/>
    </row>
    <row r="19" spans="2:10" ht="14.25">
      <c r="B19" s="1269" t="s">
        <v>2746</v>
      </c>
      <c r="C19" s="1263">
        <f>+IncomeStmt!B32</f>
        <v>3294.7623899999999</v>
      </c>
      <c r="D19" s="1270"/>
      <c r="E19" s="1256"/>
      <c r="F19" s="1271">
        <f>+C6</f>
        <v>6.1711000000000002E-2</v>
      </c>
      <c r="G19" s="17"/>
      <c r="H19" s="17"/>
      <c r="I19" s="17"/>
      <c r="J19" s="17"/>
    </row>
    <row r="20" spans="2:10" ht="14.25">
      <c r="B20" s="1269" t="s">
        <v>2747</v>
      </c>
      <c r="C20" s="1263">
        <f>+-Report!T75</f>
        <v>75782.401630769222</v>
      </c>
      <c r="D20" s="1270"/>
      <c r="E20" s="1256"/>
      <c r="F20" s="1272">
        <f>+F18-F19</f>
        <v>-1.8234383805478947E-2</v>
      </c>
      <c r="G20" s="17"/>
      <c r="H20" s="17"/>
      <c r="I20" s="17"/>
      <c r="J20" s="17"/>
    </row>
    <row r="21" spans="2:10" ht="14.25">
      <c r="B21" s="1256"/>
      <c r="C21" s="1263"/>
      <c r="D21" s="1270"/>
      <c r="E21" s="1256"/>
      <c r="F21" s="1271">
        <f>+C7</f>
        <v>1.3100000000000001E-2</v>
      </c>
      <c r="G21" s="17"/>
      <c r="H21" s="17"/>
      <c r="I21" s="17"/>
      <c r="J21" s="17"/>
    </row>
    <row r="22" spans="2:10" ht="14.25">
      <c r="B22" s="1273" t="s">
        <v>2748</v>
      </c>
      <c r="C22" s="1274"/>
      <c r="D22" s="1275">
        <f>ROUND(+((((C23/C24)-C6)/C8)*(C24/C5))*(0-100),2)</f>
        <v>0.01</v>
      </c>
      <c r="E22" s="1256"/>
      <c r="F22" s="1272">
        <f>+F21+F20</f>
        <v>-5.1343838054789467E-3</v>
      </c>
      <c r="G22" s="1276">
        <f>+C8</f>
        <v>0.4582</v>
      </c>
      <c r="H22" s="1276">
        <f>+F22/G22</f>
        <v>-1.1205551736095476E-2</v>
      </c>
      <c r="I22" s="1276">
        <f>+C20/C5</f>
        <v>4.7252048853615981E-2</v>
      </c>
      <c r="J22" s="1272">
        <f>-(+H22*I22)</f>
        <v>5.294852780657048E-4</v>
      </c>
    </row>
    <row r="23" spans="2:10" ht="14.25">
      <c r="B23" s="1269" t="s">
        <v>2749</v>
      </c>
      <c r="C23" s="1263">
        <f>+-Report!V124</f>
        <v>947.53246903350009</v>
      </c>
      <c r="D23" s="1270"/>
      <c r="E23" s="1256"/>
      <c r="F23" s="17"/>
      <c r="G23" s="1277"/>
      <c r="H23" s="1277"/>
      <c r="I23" s="1277"/>
      <c r="J23" s="1277"/>
    </row>
    <row r="24" spans="2:10" ht="14.25">
      <c r="B24" s="1269" t="s">
        <v>2747</v>
      </c>
      <c r="C24" s="1278">
        <f>+-Report!T74</f>
        <v>16409.5049</v>
      </c>
      <c r="D24" s="17"/>
      <c r="E24" s="1279"/>
      <c r="F24" s="1268">
        <f>+C23/C24</f>
        <v>5.7742904177048027E-2</v>
      </c>
      <c r="G24" s="1277"/>
      <c r="H24" s="1277"/>
      <c r="I24" s="1277"/>
      <c r="J24" s="1277"/>
    </row>
    <row r="25" spans="2:10" ht="14.25">
      <c r="B25" s="1256"/>
      <c r="C25" s="1280">
        <f>(((C23/C24)-C7)/C8)</f>
        <v>9.7431043598969938E-2</v>
      </c>
      <c r="D25" s="17"/>
      <c r="E25" s="1279"/>
      <c r="F25" s="1271">
        <f>+C6</f>
        <v>6.1711000000000002E-2</v>
      </c>
      <c r="G25" s="1277"/>
      <c r="H25" s="1277"/>
      <c r="I25" s="1277"/>
      <c r="J25" s="1277"/>
    </row>
    <row r="26" spans="2:10" ht="14.25">
      <c r="B26" s="1256"/>
      <c r="C26" s="1263"/>
      <c r="D26" s="1279"/>
      <c r="E26" s="1256"/>
      <c r="F26" s="1272">
        <f>+F24-F25</f>
        <v>-3.9680958229519753E-3</v>
      </c>
      <c r="G26" s="1276">
        <f>+C8</f>
        <v>0.4582</v>
      </c>
      <c r="H26" s="1276">
        <f>+F26/G26</f>
        <v>-8.6601829396594828E-3</v>
      </c>
      <c r="I26" s="1276">
        <f>+C24/C5</f>
        <v>1.0231699055623877E-2</v>
      </c>
      <c r="J26" s="1272">
        <f>-(+H26*I26)</f>
        <v>8.8608385605243946E-5</v>
      </c>
    </row>
    <row r="27" spans="2:10" ht="14.25">
      <c r="B27" s="1281" t="s">
        <v>2750</v>
      </c>
      <c r="C27" s="1282">
        <f>+IncomeStmt!B30</f>
        <v>3644.1554699999997</v>
      </c>
      <c r="D27" s="1283">
        <f>ROUND((-C27)/70/100,2)</f>
        <v>-0.52</v>
      </c>
      <c r="E27" s="1256"/>
      <c r="F27" s="17"/>
      <c r="G27" s="17"/>
      <c r="H27" s="17"/>
      <c r="I27" s="17"/>
      <c r="J27" s="17"/>
    </row>
    <row r="28" spans="2:10" ht="14.25" hidden="1">
      <c r="B28" s="1256"/>
      <c r="C28" s="1263"/>
      <c r="D28" s="1270"/>
      <c r="E28" s="1256"/>
      <c r="F28" s="1272">
        <f>+F24</f>
        <v>5.7742904177048027E-2</v>
      </c>
      <c r="G28" s="17"/>
      <c r="H28" s="17"/>
      <c r="I28" s="17"/>
      <c r="J28" s="17"/>
    </row>
    <row r="29" spans="2:10" ht="14.25" hidden="1">
      <c r="B29" s="1284" t="s">
        <v>2751</v>
      </c>
      <c r="C29" s="1266">
        <f>+-(IncomeStmt!B42*'Input Tax Rate'!B37)+IncomeStmt!B32</f>
        <v>4095.4320626201097</v>
      </c>
      <c r="D29" s="1267">
        <f>ROUND((-C29)/70/100,2)*0</f>
        <v>0</v>
      </c>
      <c r="E29" s="1256"/>
      <c r="F29" s="1285">
        <v>-1.4041E-2</v>
      </c>
      <c r="G29" s="17"/>
      <c r="H29" s="17"/>
      <c r="I29" s="17"/>
      <c r="J29" s="17"/>
    </row>
    <row r="30" spans="2:10" ht="14.25" hidden="1">
      <c r="B30" s="1256"/>
      <c r="C30" s="1263"/>
      <c r="D30" s="1270"/>
      <c r="E30" s="1256"/>
      <c r="F30" s="1272">
        <f>+F28+F29</f>
        <v>4.3701904177048029E-2</v>
      </c>
      <c r="G30" s="1286">
        <f>+F30/C8</f>
        <v>9.5377355253269375E-2</v>
      </c>
      <c r="H30" s="17"/>
      <c r="I30" s="17"/>
      <c r="J30" s="17"/>
    </row>
    <row r="31" spans="2:10" ht="14.25">
      <c r="B31" s="1256"/>
      <c r="C31" s="1263"/>
      <c r="D31" s="1270"/>
      <c r="E31" s="1256"/>
      <c r="F31" s="1272"/>
      <c r="G31" s="1286"/>
      <c r="H31" s="17"/>
      <c r="I31" s="17"/>
      <c r="J31" s="17"/>
    </row>
    <row r="32" spans="2:10" ht="14.25">
      <c r="B32" s="1287" t="s">
        <v>2752</v>
      </c>
      <c r="C32" s="1288"/>
      <c r="D32" s="1289">
        <f>(+D14-C14)*100</f>
        <v>-8.0004681392199795E-2</v>
      </c>
      <c r="E32" s="1256"/>
      <c r="F32" s="17"/>
      <c r="G32" s="17"/>
      <c r="H32" s="17"/>
      <c r="I32" s="17"/>
      <c r="J32" s="17"/>
    </row>
    <row r="33" spans="1:10" ht="14.25">
      <c r="B33" s="1256"/>
      <c r="C33" s="1263"/>
      <c r="D33" s="1270"/>
      <c r="E33" s="1256"/>
      <c r="F33" s="17"/>
      <c r="G33" s="17"/>
      <c r="H33" s="17"/>
      <c r="I33" s="17"/>
      <c r="J33" s="17"/>
    </row>
    <row r="34" spans="1:10" ht="14.25">
      <c r="A34" s="1256"/>
      <c r="B34" s="1256"/>
      <c r="C34" s="1263"/>
      <c r="D34" s="1270"/>
      <c r="E34" s="1256"/>
      <c r="F34" s="17"/>
      <c r="G34" s="17"/>
      <c r="H34" s="17"/>
      <c r="I34" s="17"/>
      <c r="J34" s="17"/>
    </row>
    <row r="35" spans="1:10" ht="15">
      <c r="A35" s="1256"/>
      <c r="B35" s="1290" t="s">
        <v>2753</v>
      </c>
      <c r="C35" s="1263"/>
      <c r="D35" s="1270"/>
      <c r="E35" s="1256"/>
      <c r="F35" s="17"/>
      <c r="G35" s="17"/>
      <c r="H35" s="17"/>
      <c r="I35" s="17"/>
      <c r="J35" s="17"/>
    </row>
    <row r="36" spans="1:10" ht="14.25">
      <c r="B36" s="1256" t="s">
        <v>130</v>
      </c>
      <c r="C36" s="1263">
        <f>+-Report!T58</f>
        <v>1939.5515500000001</v>
      </c>
      <c r="D36" s="1270">
        <f t="shared" ref="D36:D48" si="0">ROUND((C36)/1100/100,2)</f>
        <v>0.02</v>
      </c>
      <c r="E36" s="1263"/>
      <c r="F36" s="1270"/>
      <c r="G36" s="17"/>
      <c r="H36" s="17"/>
      <c r="I36" s="17"/>
      <c r="J36" s="17"/>
    </row>
    <row r="37" spans="1:10" ht="14.25">
      <c r="B37" s="1256" t="s">
        <v>131</v>
      </c>
      <c r="C37" s="1263">
        <f>+-Report!T59</f>
        <v>2.95</v>
      </c>
      <c r="D37" s="1270">
        <f t="shared" si="0"/>
        <v>0</v>
      </c>
      <c r="E37" s="1263"/>
      <c r="F37" s="1270"/>
      <c r="G37" s="17"/>
      <c r="H37" s="17"/>
      <c r="I37" s="17"/>
      <c r="J37" s="17"/>
    </row>
    <row r="38" spans="1:10" ht="14.25">
      <c r="B38" s="1256" t="s">
        <v>403</v>
      </c>
      <c r="C38" s="1263">
        <f>+-Report!T61</f>
        <v>9869.4890892307703</v>
      </c>
      <c r="D38" s="1270">
        <f t="shared" si="0"/>
        <v>0.09</v>
      </c>
      <c r="E38" s="1263"/>
      <c r="F38" s="1270"/>
      <c r="G38" s="1263"/>
      <c r="H38" s="17"/>
      <c r="I38" s="17"/>
      <c r="J38" s="17"/>
    </row>
    <row r="39" spans="1:10" ht="14.25">
      <c r="B39" s="1256" t="s">
        <v>404</v>
      </c>
      <c r="C39" s="1263">
        <f>+-Report!T62</f>
        <v>719.62726615384599</v>
      </c>
      <c r="D39" s="1270">
        <f t="shared" si="0"/>
        <v>0.01</v>
      </c>
      <c r="E39" s="1263"/>
      <c r="F39" s="1291"/>
      <c r="G39" s="17"/>
      <c r="H39" s="1263"/>
      <c r="I39" s="17"/>
      <c r="J39" s="17"/>
    </row>
    <row r="40" spans="1:10" ht="14.25">
      <c r="B40" s="1256" t="s">
        <v>133</v>
      </c>
      <c r="C40" s="1263">
        <f>+-Report!T63</f>
        <v>878.21850232163456</v>
      </c>
      <c r="D40" s="1270">
        <f t="shared" si="0"/>
        <v>0.01</v>
      </c>
      <c r="E40" s="1263"/>
      <c r="F40" s="1291"/>
      <c r="G40" s="17"/>
      <c r="H40" s="1263"/>
      <c r="I40" s="17"/>
      <c r="J40" s="17"/>
    </row>
    <row r="41" spans="1:10" ht="14.25">
      <c r="B41" s="1256" t="s">
        <v>405</v>
      </c>
      <c r="C41" s="1263">
        <f>+-Report!T64</f>
        <v>3748.4481515384609</v>
      </c>
      <c r="D41" s="1270">
        <f t="shared" si="0"/>
        <v>0.03</v>
      </c>
      <c r="E41" s="1263"/>
      <c r="F41" s="1291"/>
      <c r="G41" s="17"/>
      <c r="H41" s="1263"/>
      <c r="I41" s="17"/>
      <c r="J41" s="17"/>
    </row>
    <row r="42" spans="1:10" ht="14.25">
      <c r="B42" s="1256" t="s">
        <v>2754</v>
      </c>
      <c r="C42" s="1263">
        <f>+-Report!T65</f>
        <v>0</v>
      </c>
      <c r="D42" s="1270">
        <f t="shared" si="0"/>
        <v>0</v>
      </c>
      <c r="E42" s="1263"/>
      <c r="F42" s="1291"/>
      <c r="G42" s="17"/>
      <c r="H42" s="1263"/>
      <c r="I42" s="17"/>
      <c r="J42" s="17"/>
    </row>
    <row r="43" spans="1:10" ht="14.25">
      <c r="B43" s="1256" t="s">
        <v>135</v>
      </c>
      <c r="C43" s="1263">
        <f>+-Report!T66</f>
        <v>-2084.3020000000001</v>
      </c>
      <c r="D43" s="1270">
        <f t="shared" si="0"/>
        <v>-0.02</v>
      </c>
      <c r="E43" s="1263"/>
      <c r="F43" s="1291"/>
      <c r="G43" s="17"/>
      <c r="H43" s="1263"/>
      <c r="I43" s="17"/>
      <c r="J43" s="17"/>
    </row>
    <row r="44" spans="1:10" ht="14.25">
      <c r="B44" s="1256" t="s">
        <v>136</v>
      </c>
      <c r="C44" s="1263">
        <f>+-Report!T67</f>
        <v>546.88146153846151</v>
      </c>
      <c r="D44" s="1270">
        <f t="shared" si="0"/>
        <v>0</v>
      </c>
      <c r="E44" s="1263"/>
      <c r="F44" s="1291"/>
      <c r="G44" s="17"/>
      <c r="H44" s="1263"/>
      <c r="I44" s="17"/>
      <c r="J44" s="17"/>
    </row>
    <row r="45" spans="1:10" ht="14.25">
      <c r="B45" s="1256" t="s">
        <v>1822</v>
      </c>
      <c r="C45" s="1263">
        <f>+-Report!T68</f>
        <v>2145.6032307692312</v>
      </c>
      <c r="D45" s="1270">
        <f t="shared" si="0"/>
        <v>0.02</v>
      </c>
      <c r="E45" s="1263"/>
      <c r="F45" s="1291"/>
      <c r="G45" s="17"/>
      <c r="H45" s="1263"/>
      <c r="I45" s="17"/>
      <c r="J45" s="17"/>
    </row>
    <row r="46" spans="1:10" ht="14.25">
      <c r="B46" s="1256" t="s">
        <v>137</v>
      </c>
      <c r="C46" s="1263">
        <f>+-Report!T69</f>
        <v>3485.1328184615381</v>
      </c>
      <c r="D46" s="1270">
        <f t="shared" si="0"/>
        <v>0.03</v>
      </c>
      <c r="E46" s="1263"/>
      <c r="F46" s="1291"/>
      <c r="G46" s="17"/>
      <c r="H46" s="1263"/>
      <c r="I46" s="17"/>
      <c r="J46" s="17"/>
    </row>
    <row r="47" spans="1:10" ht="14.25">
      <c r="B47" s="1256" t="s">
        <v>406</v>
      </c>
      <c r="C47" s="1263">
        <f>+-Report!T70</f>
        <v>1052.6875738461536</v>
      </c>
      <c r="D47" s="1270">
        <f t="shared" si="0"/>
        <v>0.01</v>
      </c>
      <c r="E47" s="1263"/>
      <c r="F47" s="1291"/>
      <c r="G47" s="17"/>
      <c r="H47" s="1263"/>
      <c r="I47" s="17"/>
      <c r="J47" s="17"/>
    </row>
    <row r="48" spans="1:10" ht="14.25">
      <c r="B48" s="1256" t="s">
        <v>138</v>
      </c>
      <c r="C48" s="1263">
        <f>+-Report!T72</f>
        <v>14.539999999999964</v>
      </c>
      <c r="D48" s="1270">
        <f t="shared" si="0"/>
        <v>0</v>
      </c>
      <c r="E48" s="1263"/>
      <c r="F48" s="1291"/>
      <c r="G48" s="17"/>
      <c r="H48" s="1263"/>
      <c r="I48" s="17"/>
      <c r="J48" s="17"/>
    </row>
    <row r="49" spans="1:10" ht="14.25" hidden="1">
      <c r="B49" s="1292" t="s">
        <v>534</v>
      </c>
      <c r="C49" s="1274">
        <f>+-Report!T74</f>
        <v>16409.5049</v>
      </c>
      <c r="D49" s="1275">
        <f>ROUND((C49)/1100/100,2)*0</f>
        <v>0</v>
      </c>
      <c r="E49" s="1263"/>
      <c r="F49" s="1291"/>
      <c r="G49" s="17"/>
      <c r="H49" s="1263"/>
      <c r="I49" s="17"/>
      <c r="J49" s="17"/>
    </row>
    <row r="50" spans="1:10" ht="14.25" hidden="1">
      <c r="B50" s="1293" t="s">
        <v>2340</v>
      </c>
      <c r="C50" s="1294">
        <f>+-Report!T75</f>
        <v>75782.401630769222</v>
      </c>
      <c r="D50" s="1295">
        <f>ROUND((C50)/1100/100,2)*0</f>
        <v>0</v>
      </c>
      <c r="E50" s="1263"/>
      <c r="F50" s="1291"/>
      <c r="G50" s="17"/>
      <c r="H50" s="1263"/>
      <c r="I50" s="17"/>
      <c r="J50" s="17"/>
    </row>
    <row r="51" spans="1:10" ht="14.25">
      <c r="B51" s="1256" t="s">
        <v>470</v>
      </c>
      <c r="C51" s="1278">
        <f>+-Report!T76</f>
        <v>1150.2333407692308</v>
      </c>
      <c r="D51" s="1270">
        <f>ROUND((C51)/1100/100,2)</f>
        <v>0.01</v>
      </c>
      <c r="E51" s="1263"/>
      <c r="F51" s="1291"/>
      <c r="G51" s="17"/>
      <c r="H51" s="1263"/>
      <c r="I51" s="17"/>
      <c r="J51" s="17"/>
    </row>
    <row r="52" spans="1:10">
      <c r="B52" s="953"/>
      <c r="C52" s="1263">
        <f>SUM(C36:C51)</f>
        <v>115660.96751539856</v>
      </c>
      <c r="D52" s="1270"/>
      <c r="E52" s="1263"/>
      <c r="F52" s="1291"/>
      <c r="G52" s="17"/>
      <c r="H52" s="1263"/>
      <c r="I52" s="17"/>
      <c r="J52" s="17"/>
    </row>
    <row r="53" spans="1:10" ht="14.25">
      <c r="B53" s="1256"/>
      <c r="C53" s="1263"/>
      <c r="D53" s="1270"/>
      <c r="E53" s="1263"/>
      <c r="F53" s="1291"/>
      <c r="G53" s="17"/>
      <c r="H53" s="1263"/>
      <c r="I53" s="17"/>
      <c r="J53" s="17"/>
    </row>
    <row r="54" spans="1:10" ht="14.25">
      <c r="A54" s="1256"/>
      <c r="B54" s="1296"/>
      <c r="C54" s="1263"/>
      <c r="D54" s="1270"/>
      <c r="E54" s="1263"/>
      <c r="F54" s="1291"/>
      <c r="G54" s="17"/>
      <c r="H54" s="1263"/>
      <c r="I54" s="17"/>
      <c r="J54" s="17"/>
    </row>
    <row r="55" spans="1:10" ht="15">
      <c r="A55" s="1256"/>
      <c r="B55" s="1290" t="s">
        <v>2755</v>
      </c>
      <c r="C55" s="1263"/>
      <c r="D55" s="1270"/>
      <c r="E55" s="1263"/>
      <c r="F55" s="1270"/>
      <c r="G55" s="1263"/>
      <c r="H55" s="17"/>
      <c r="I55" s="17"/>
      <c r="J55" s="17"/>
    </row>
    <row r="56" spans="1:10" ht="14.25">
      <c r="A56" s="1256"/>
      <c r="B56" s="1256" t="s">
        <v>538</v>
      </c>
      <c r="C56" s="1263">
        <f>+-Report!V110</f>
        <v>-31.340474098839898</v>
      </c>
      <c r="D56" s="1270">
        <f t="shared" ref="D56:D65" si="1">ROUND((-C56)/70/100,2)</f>
        <v>0</v>
      </c>
      <c r="E56" s="1263"/>
      <c r="F56" s="1270"/>
      <c r="G56" s="1263"/>
      <c r="H56" s="17"/>
      <c r="I56" s="17"/>
      <c r="J56" s="17"/>
    </row>
    <row r="57" spans="1:10" ht="14.25">
      <c r="A57" s="953"/>
      <c r="B57" s="1256" t="s">
        <v>486</v>
      </c>
      <c r="C57" s="1263">
        <f>+-Report!V111</f>
        <v>92.409253235451331</v>
      </c>
      <c r="D57" s="1270">
        <f t="shared" si="1"/>
        <v>-0.01</v>
      </c>
      <c r="E57" s="953"/>
      <c r="F57" s="953"/>
      <c r="G57" s="953"/>
      <c r="H57" s="953"/>
      <c r="I57" s="953"/>
      <c r="J57" s="953"/>
    </row>
    <row r="58" spans="1:10" ht="14.25">
      <c r="A58" s="1256"/>
      <c r="B58" s="1297" t="s">
        <v>485</v>
      </c>
      <c r="C58" s="1298">
        <f>+-Report!V112</f>
        <v>-2099</v>
      </c>
      <c r="D58" s="1299">
        <f t="shared" si="1"/>
        <v>0.3</v>
      </c>
      <c r="E58" s="1263"/>
      <c r="F58" s="1270"/>
      <c r="G58" s="17"/>
      <c r="H58" s="17"/>
      <c r="I58" s="17"/>
      <c r="J58" s="17"/>
    </row>
    <row r="59" spans="1:10" ht="14.25">
      <c r="A59" s="1256"/>
      <c r="B59" s="1256" t="s">
        <v>540</v>
      </c>
      <c r="C59" s="1263">
        <f>+-Report!V114</f>
        <v>-14.190459380769001</v>
      </c>
      <c r="D59" s="1270">
        <f t="shared" si="1"/>
        <v>0</v>
      </c>
      <c r="E59" s="1263"/>
      <c r="F59" s="1270"/>
      <c r="G59" s="17"/>
      <c r="H59" s="17"/>
      <c r="I59" s="17"/>
      <c r="J59" s="17"/>
    </row>
    <row r="60" spans="1:10" ht="14.25">
      <c r="A60" s="1256"/>
      <c r="B60" s="1256" t="s">
        <v>541</v>
      </c>
      <c r="C60" s="1263">
        <f>+-Report!V115</f>
        <v>-53.236054178474994</v>
      </c>
      <c r="D60" s="1270">
        <f t="shared" si="1"/>
        <v>0.01</v>
      </c>
      <c r="E60" s="1263"/>
      <c r="F60" s="1270"/>
      <c r="G60" s="17"/>
      <c r="H60" s="17"/>
      <c r="I60" s="17"/>
      <c r="J60" s="17"/>
    </row>
    <row r="61" spans="1:10" ht="14.25">
      <c r="A61" s="1256"/>
      <c r="B61" s="1256" t="s">
        <v>2438</v>
      </c>
      <c r="C61" s="1263">
        <f>+-Report!V116</f>
        <v>136.8710449950413</v>
      </c>
      <c r="D61" s="1270">
        <f t="shared" si="1"/>
        <v>-0.02</v>
      </c>
      <c r="E61" s="1263"/>
      <c r="F61" s="1270"/>
      <c r="G61" s="17"/>
      <c r="H61" s="17"/>
      <c r="I61" s="17"/>
      <c r="J61" s="17"/>
    </row>
    <row r="62" spans="1:10" ht="14.25">
      <c r="A62" s="1256"/>
      <c r="B62" s="1256" t="s">
        <v>542</v>
      </c>
      <c r="C62" s="1263">
        <f>+-Report!V117</f>
        <v>-29.30058323299987</v>
      </c>
      <c r="D62" s="1270">
        <f t="shared" si="1"/>
        <v>0</v>
      </c>
      <c r="E62" s="1263"/>
      <c r="F62" s="1270"/>
      <c r="G62" s="17"/>
      <c r="H62" s="17"/>
      <c r="I62" s="17"/>
      <c r="J62" s="17"/>
    </row>
    <row r="63" spans="1:10" ht="14.25">
      <c r="A63" s="1256"/>
      <c r="B63" s="1256" t="s">
        <v>543</v>
      </c>
      <c r="C63" s="1263">
        <f>+-Report!V118</f>
        <v>-4.5190721697556206</v>
      </c>
      <c r="D63" s="1270">
        <f t="shared" si="1"/>
        <v>0</v>
      </c>
      <c r="E63" s="1263"/>
      <c r="F63" s="1270"/>
      <c r="G63" s="17"/>
      <c r="H63" s="17"/>
      <c r="I63" s="17"/>
      <c r="J63" s="17"/>
    </row>
    <row r="64" spans="1:10" ht="14.25">
      <c r="A64" s="1256"/>
      <c r="B64" s="1256" t="s">
        <v>2756</v>
      </c>
      <c r="C64" s="1263">
        <f>+-Report!V119</f>
        <v>-34.068495817500001</v>
      </c>
      <c r="D64" s="1270">
        <f t="shared" si="1"/>
        <v>0</v>
      </c>
      <c r="E64" s="1263"/>
      <c r="F64" s="1270"/>
      <c r="G64" s="17"/>
      <c r="H64" s="17"/>
      <c r="I64" s="17"/>
      <c r="J64" s="17"/>
    </row>
    <row r="65" spans="1:10" ht="14.25">
      <c r="A65" s="1256"/>
      <c r="B65" s="1256" t="s">
        <v>536</v>
      </c>
      <c r="C65" s="1278">
        <f>+-Report!V121</f>
        <v>82.709216308034996</v>
      </c>
      <c r="D65" s="1270">
        <f t="shared" si="1"/>
        <v>-0.01</v>
      </c>
      <c r="E65" s="1263"/>
      <c r="F65" s="1270"/>
      <c r="G65" s="17"/>
      <c r="H65" s="17"/>
      <c r="I65" s="17"/>
      <c r="J65" s="17"/>
    </row>
    <row r="66" spans="1:10" ht="14.25" hidden="1">
      <c r="A66" s="1256"/>
      <c r="B66" s="1292" t="s">
        <v>533</v>
      </c>
      <c r="C66" s="1300">
        <f>+-Report!V124</f>
        <v>947.53246903350009</v>
      </c>
      <c r="D66" s="1275">
        <f>ROUND((-C66)/70/100,2)*0</f>
        <v>0</v>
      </c>
      <c r="E66" s="1263"/>
      <c r="F66" s="1270"/>
      <c r="G66" s="17"/>
      <c r="H66" s="17"/>
      <c r="I66" s="17"/>
      <c r="J66" s="17"/>
    </row>
    <row r="67" spans="1:10" ht="14.25">
      <c r="A67" s="1256"/>
      <c r="B67" s="1256"/>
      <c r="C67" s="1263">
        <f>SUM(C56:C66)</f>
        <v>-1006.1331553063119</v>
      </c>
      <c r="D67" s="1270"/>
      <c r="E67" s="1263"/>
      <c r="F67" s="1270"/>
      <c r="G67" s="17"/>
      <c r="H67" s="17"/>
      <c r="I67" s="17"/>
      <c r="J67" s="17"/>
    </row>
    <row r="68" spans="1:10" ht="14.25">
      <c r="A68" s="1256"/>
      <c r="B68" s="1256"/>
      <c r="C68" s="1263"/>
      <c r="D68" s="1270"/>
      <c r="E68" s="17"/>
      <c r="F68" s="17"/>
      <c r="G68" s="17"/>
      <c r="H68" s="17"/>
      <c r="I68" s="17"/>
      <c r="J68" s="17"/>
    </row>
    <row r="69" spans="1:10" ht="14.25">
      <c r="A69" s="1256"/>
      <c r="B69" s="1256"/>
      <c r="C69" s="1263"/>
      <c r="D69" s="1270"/>
      <c r="E69" s="1256"/>
      <c r="F69" s="17"/>
      <c r="G69" s="17"/>
      <c r="H69" s="17"/>
      <c r="I69" s="17"/>
      <c r="J69" s="17"/>
    </row>
    <row r="70" spans="1:10" ht="15">
      <c r="A70" s="1256"/>
      <c r="B70" s="1301" t="s">
        <v>2757</v>
      </c>
      <c r="C70" s="1263"/>
      <c r="D70" s="1270">
        <f>D72*100-SUM(D18:D66)</f>
        <v>-1.9884155611863061E-3</v>
      </c>
      <c r="E70" s="1302"/>
      <c r="F70" s="1262"/>
      <c r="G70" s="17"/>
      <c r="H70" s="17"/>
      <c r="I70" s="17"/>
      <c r="J70" s="17"/>
    </row>
    <row r="71" spans="1:10" ht="14.25">
      <c r="A71" s="1256"/>
      <c r="B71" s="1256"/>
      <c r="C71" s="17"/>
      <c r="D71" s="17"/>
      <c r="E71" s="1256"/>
      <c r="F71" s="17"/>
      <c r="G71" s="17"/>
      <c r="H71" s="17"/>
      <c r="I71" s="17"/>
      <c r="J71" s="17"/>
    </row>
    <row r="72" spans="1:10" ht="14.25">
      <c r="A72" s="1256" t="s">
        <v>2758</v>
      </c>
      <c r="B72" s="1256"/>
      <c r="C72" s="17"/>
      <c r="D72" s="1303">
        <f>+D76-C14</f>
        <v>-6.1993096953386062E-4</v>
      </c>
      <c r="E72" s="1302"/>
      <c r="F72" s="17"/>
      <c r="G72" s="17"/>
      <c r="H72" s="17"/>
      <c r="I72" s="17"/>
      <c r="J72" s="17"/>
    </row>
    <row r="73" spans="1:10" ht="14.25">
      <c r="A73" s="1256"/>
      <c r="B73" s="1256"/>
      <c r="C73" s="17"/>
      <c r="D73" s="1270"/>
      <c r="E73" s="1256"/>
      <c r="F73" s="17"/>
      <c r="G73" s="17"/>
      <c r="H73" s="17"/>
      <c r="I73" s="17"/>
      <c r="J73" s="17"/>
    </row>
    <row r="74" spans="1:10" ht="14.25">
      <c r="A74" s="1256"/>
      <c r="B74" s="1256"/>
      <c r="C74" s="1263"/>
      <c r="D74" s="17"/>
      <c r="E74" s="1256"/>
      <c r="F74" s="17"/>
      <c r="G74" s="17"/>
      <c r="H74" s="17"/>
      <c r="I74" s="17"/>
      <c r="J74" s="17"/>
    </row>
    <row r="75" spans="1:10" ht="14.25">
      <c r="A75" s="1256"/>
      <c r="B75" s="1256"/>
      <c r="C75" s="1263"/>
      <c r="D75" s="17"/>
      <c r="E75" s="1256"/>
      <c r="F75" s="17"/>
      <c r="G75" s="17"/>
      <c r="H75" s="17"/>
      <c r="I75" s="17"/>
      <c r="J75" s="17"/>
    </row>
    <row r="76" spans="1:10" ht="15">
      <c r="A76" s="1301" t="s">
        <v>2759</v>
      </c>
      <c r="B76" s="1301"/>
      <c r="C76" s="31"/>
      <c r="D76" s="1304">
        <f>+'COMP Prior Yr'!D25</f>
        <v>0.1061</v>
      </c>
      <c r="E76" s="1305"/>
      <c r="F76" s="1306"/>
      <c r="G76" s="17"/>
      <c r="H76" s="17"/>
      <c r="I76" s="17"/>
      <c r="J76" s="17"/>
    </row>
    <row r="77" spans="1:10" ht="14.25">
      <c r="A77" s="1256"/>
      <c r="B77" s="1256"/>
      <c r="C77" s="17"/>
      <c r="D77" s="1307" t="s">
        <v>148</v>
      </c>
      <c r="E77" s="1256"/>
      <c r="F77" s="1256"/>
      <c r="G77" s="1256"/>
      <c r="H77" s="1256"/>
      <c r="I77" s="1256"/>
      <c r="J77" s="1256"/>
    </row>
    <row r="78" spans="1:10" ht="14.25">
      <c r="A78" s="1308"/>
      <c r="B78" s="1256"/>
      <c r="C78" s="1263"/>
      <c r="D78" s="1309"/>
      <c r="E78" s="1310"/>
      <c r="F78" s="1256"/>
      <c r="G78" s="1256"/>
      <c r="H78" s="1256"/>
      <c r="I78" s="1256"/>
      <c r="J78" s="1256"/>
    </row>
    <row r="79" spans="1:10" ht="14.25">
      <c r="A79" s="1308"/>
      <c r="B79" s="1256"/>
      <c r="C79" s="1263"/>
      <c r="D79" s="1270"/>
      <c r="E79" s="1310"/>
      <c r="F79" s="1256"/>
      <c r="G79" s="1256"/>
      <c r="H79" s="1256"/>
      <c r="I79" s="1256"/>
      <c r="J79" s="1256"/>
    </row>
    <row r="80" spans="1:10" ht="14.25">
      <c r="A80" s="1308"/>
      <c r="B80" s="1256"/>
      <c r="C80" s="1263"/>
      <c r="D80" s="1270"/>
      <c r="E80" s="1310"/>
      <c r="F80" s="1256"/>
      <c r="G80" s="1256"/>
      <c r="H80" s="1256"/>
      <c r="I80" s="1256"/>
      <c r="J80" s="1256"/>
    </row>
    <row r="81" spans="1:10">
      <c r="C81" s="1311"/>
      <c r="D81" s="20"/>
      <c r="E81" s="17"/>
      <c r="F81" s="17"/>
      <c r="G81" s="17"/>
      <c r="H81" s="17"/>
      <c r="I81" s="17"/>
      <c r="J81" s="17"/>
    </row>
    <row r="82" spans="1:10" ht="14.25" hidden="1">
      <c r="A82" s="1256" t="s">
        <v>2760</v>
      </c>
      <c r="C82" s="1312">
        <v>56.112032993167858</v>
      </c>
      <c r="D82" s="1312"/>
      <c r="E82" s="1270"/>
      <c r="F82" s="17"/>
      <c r="G82" s="17"/>
      <c r="H82" s="17"/>
      <c r="I82" s="17"/>
      <c r="J82" s="17"/>
    </row>
    <row r="83" spans="1:10" ht="14.25" hidden="1">
      <c r="A83" s="1256" t="s">
        <v>2761</v>
      </c>
      <c r="B83" s="1256"/>
      <c r="C83" s="1312">
        <v>56.156388080097344</v>
      </c>
      <c r="D83" s="1312"/>
      <c r="E83" s="1270"/>
      <c r="F83" s="17"/>
      <c r="G83" s="17"/>
      <c r="H83" s="17"/>
      <c r="I83" s="17"/>
      <c r="J83" s="17"/>
    </row>
    <row r="84" spans="1:10" ht="15" hidden="1">
      <c r="A84" s="1256" t="s">
        <v>2762</v>
      </c>
      <c r="B84" s="1290"/>
      <c r="C84" s="1312">
        <v>42.059999999999995</v>
      </c>
      <c r="D84" s="1312"/>
      <c r="E84" s="1270"/>
      <c r="F84" s="17"/>
      <c r="G84" s="17"/>
      <c r="H84" s="17"/>
      <c r="I84" s="17"/>
      <c r="J84" s="17"/>
    </row>
    <row r="85" spans="1:10" ht="14.25">
      <c r="B85" s="1256"/>
    </row>
    <row r="87" spans="1:10" ht="14.25">
      <c r="B87" s="1256"/>
    </row>
    <row r="92" spans="1:10" ht="14.25">
      <c r="A92" s="1256"/>
      <c r="B92" s="1256"/>
    </row>
    <row r="93" spans="1:10" ht="15">
      <c r="A93" s="1256"/>
      <c r="B93" s="1290"/>
    </row>
    <row r="120" spans="1:1">
      <c r="A120" s="225"/>
    </row>
    <row r="121" spans="1:1">
      <c r="A121" s="225"/>
    </row>
    <row r="123" spans="1:1">
      <c r="A123" s="225"/>
    </row>
    <row r="125" spans="1:1">
      <c r="A125" s="225"/>
    </row>
  </sheetData>
  <hyperlinks>
    <hyperlink ref="B65517" location="WC!c333" display="WC!c333"/>
    <hyperlink ref="B65516" location="'SURV REPORT'!GV33" display="'SURV REPORT'!GV33"/>
    <hyperlink ref="B65515" location="WC!c333" display="WC!c333"/>
    <hyperlink ref="B65518" location="'SURV REPORT'!GV33" display="'SURV REPORT'!GV33"/>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D26" sqref="D26"/>
    </sheetView>
  </sheetViews>
  <sheetFormatPr defaultRowHeight="12.75"/>
  <cols>
    <col min="1" max="1" width="78.28515625" bestFit="1" customWidth="1"/>
  </cols>
  <sheetData>
    <row r="1" spans="1:2">
      <c r="A1" t="s">
        <v>2793</v>
      </c>
    </row>
    <row r="3" spans="1:2">
      <c r="A3" s="1340" t="s">
        <v>2794</v>
      </c>
      <c r="B3" s="1340" t="s">
        <v>2795</v>
      </c>
    </row>
    <row r="4" spans="1:2">
      <c r="A4" t="s">
        <v>2802</v>
      </c>
    </row>
    <row r="5" spans="1:2">
      <c r="A5" t="s">
        <v>2796</v>
      </c>
    </row>
    <row r="6" spans="1:2">
      <c r="A6" t="s">
        <v>2797</v>
      </c>
    </row>
    <row r="7" spans="1:2">
      <c r="A7" t="s">
        <v>2798</v>
      </c>
    </row>
    <row r="8" spans="1:2">
      <c r="A8" t="s">
        <v>2799</v>
      </c>
    </row>
    <row r="9" spans="1:2">
      <c r="A9" t="s">
        <v>2803</v>
      </c>
    </row>
    <row r="10" spans="1:2">
      <c r="A10" t="s">
        <v>2804</v>
      </c>
    </row>
    <row r="11" spans="1:2">
      <c r="A11" t="s">
        <v>2805</v>
      </c>
    </row>
    <row r="12" spans="1:2">
      <c r="A12" t="s">
        <v>2806</v>
      </c>
    </row>
    <row r="13" spans="1:2">
      <c r="A13" t="s">
        <v>2808</v>
      </c>
    </row>
    <row r="14" spans="1:2">
      <c r="A14" t="s">
        <v>2809</v>
      </c>
    </row>
    <row r="15" spans="1:2">
      <c r="A15" t="s">
        <v>2812</v>
      </c>
    </row>
    <row r="16" spans="1:2">
      <c r="A16" t="s">
        <v>2810</v>
      </c>
    </row>
    <row r="17" spans="1:1">
      <c r="A17" t="s">
        <v>2811</v>
      </c>
    </row>
    <row r="18" spans="1:1">
      <c r="A18" t="s">
        <v>2814</v>
      </c>
    </row>
    <row r="19" spans="1:1">
      <c r="A19" t="s">
        <v>2813</v>
      </c>
    </row>
    <row r="20" spans="1:1">
      <c r="A20" t="s">
        <v>2800</v>
      </c>
    </row>
    <row r="21" spans="1:1">
      <c r="A21" t="s">
        <v>2807</v>
      </c>
    </row>
    <row r="22" spans="1:1">
      <c r="A22" t="s">
        <v>2801</v>
      </c>
    </row>
    <row r="23" spans="1:1">
      <c r="A23" t="s">
        <v>2815</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O89"/>
  <sheetViews>
    <sheetView workbookViewId="0"/>
  </sheetViews>
  <sheetFormatPr defaultRowHeight="12.75"/>
  <cols>
    <col min="8" max="8" width="13.42578125" customWidth="1"/>
    <col min="9" max="9" width="2.7109375" bestFit="1" customWidth="1"/>
    <col min="10" max="10" width="2.7109375" customWidth="1"/>
    <col min="11" max="11" width="13.42578125" customWidth="1"/>
    <col min="12" max="12" width="2.7109375" bestFit="1" customWidth="1"/>
    <col min="13" max="13" width="2.7109375" customWidth="1"/>
    <col min="14" max="14" width="13.42578125" customWidth="1"/>
    <col min="15" max="15" width="2.7109375" bestFit="1" customWidth="1"/>
  </cols>
  <sheetData>
    <row r="2" spans="1:15">
      <c r="A2" s="1357" t="s">
        <v>204</v>
      </c>
      <c r="B2" s="1357"/>
      <c r="C2" s="1357"/>
      <c r="D2" s="1357"/>
      <c r="E2" s="1357"/>
      <c r="F2" s="1357"/>
      <c r="G2" s="1357"/>
      <c r="H2" s="1357"/>
      <c r="I2" s="1357"/>
      <c r="J2" s="1357"/>
      <c r="K2" s="1357"/>
      <c r="L2" s="1357"/>
      <c r="M2" s="1357"/>
      <c r="N2" s="1357"/>
      <c r="O2" s="1357"/>
    </row>
    <row r="3" spans="1:15">
      <c r="A3" s="1358" t="s">
        <v>180</v>
      </c>
      <c r="B3" s="1358"/>
      <c r="C3" s="1358"/>
      <c r="D3" s="1358"/>
      <c r="E3" s="1358"/>
      <c r="F3" s="1358"/>
      <c r="G3" s="1358"/>
      <c r="H3" s="1358"/>
      <c r="I3" s="1358"/>
      <c r="J3" s="1358"/>
      <c r="K3" s="1358"/>
      <c r="L3" s="1358"/>
      <c r="M3" s="1358"/>
      <c r="N3" s="1358"/>
      <c r="O3" s="1358"/>
    </row>
    <row r="4" spans="1:15">
      <c r="A4" s="1358" t="s">
        <v>162</v>
      </c>
      <c r="B4" s="1358"/>
      <c r="C4" s="1358"/>
      <c r="D4" s="1358"/>
      <c r="E4" s="1358"/>
      <c r="F4" s="1358"/>
      <c r="G4" s="1358"/>
      <c r="H4" s="1358"/>
      <c r="I4" s="1358"/>
      <c r="J4" s="1358"/>
      <c r="K4" s="1358"/>
      <c r="L4" s="1358"/>
      <c r="M4" s="1358"/>
      <c r="N4" s="1358"/>
      <c r="O4" s="1358"/>
    </row>
    <row r="5" spans="1:15">
      <c r="A5" s="1359" t="str">
        <f>Report!A180</f>
        <v>(In $ Thousands)</v>
      </c>
      <c r="B5" s="1359"/>
      <c r="C5" s="1359"/>
      <c r="D5" s="1359"/>
      <c r="E5" s="1359"/>
      <c r="F5" s="1359"/>
      <c r="G5" s="1359"/>
      <c r="H5" s="1359"/>
      <c r="I5" s="1359"/>
      <c r="J5" s="1359"/>
      <c r="K5" s="1359"/>
      <c r="L5" s="1359"/>
      <c r="M5" s="1359"/>
      <c r="N5" s="1359"/>
      <c r="O5" s="1359"/>
    </row>
    <row r="6" spans="1:15">
      <c r="A6" s="674"/>
      <c r="B6" s="714"/>
      <c r="C6" s="714"/>
      <c r="D6" s="714"/>
      <c r="E6" s="714"/>
      <c r="F6" s="714"/>
      <c r="G6" s="714"/>
      <c r="H6" s="714"/>
      <c r="I6" s="714"/>
    </row>
    <row r="7" spans="1:15">
      <c r="A7" s="674"/>
      <c r="B7" s="714"/>
      <c r="C7" s="714"/>
      <c r="D7" s="714"/>
      <c r="E7" s="714"/>
      <c r="F7" s="714"/>
      <c r="G7" s="714"/>
      <c r="H7" s="1356" t="s">
        <v>2775</v>
      </c>
      <c r="I7" s="714"/>
      <c r="K7" s="1356" t="s">
        <v>2776</v>
      </c>
      <c r="L7" s="714"/>
      <c r="N7" s="1356" t="s">
        <v>2703</v>
      </c>
      <c r="O7" s="714"/>
    </row>
    <row r="8" spans="1:15">
      <c r="A8" s="674"/>
      <c r="B8" s="714"/>
      <c r="C8" s="714"/>
      <c r="D8" s="714"/>
      <c r="E8" s="714"/>
      <c r="F8" s="714"/>
      <c r="G8" s="714"/>
      <c r="H8" s="1356"/>
      <c r="I8" s="714"/>
      <c r="K8" s="1356"/>
      <c r="L8" s="714"/>
      <c r="N8" s="1356"/>
      <c r="O8" s="714"/>
    </row>
    <row r="9" spans="1:15">
      <c r="A9" s="674"/>
      <c r="B9" s="714"/>
      <c r="C9" s="714"/>
      <c r="D9" s="714"/>
      <c r="E9" s="714"/>
      <c r="F9" s="714"/>
      <c r="G9" s="714"/>
      <c r="H9" s="714"/>
      <c r="I9" s="714"/>
      <c r="K9" s="714"/>
      <c r="L9" s="714"/>
      <c r="N9" s="714"/>
      <c r="O9" s="714"/>
    </row>
    <row r="10" spans="1:15">
      <c r="A10" s="773" t="s">
        <v>181</v>
      </c>
      <c r="B10" s="683"/>
      <c r="C10" s="683"/>
      <c r="D10" s="683"/>
      <c r="E10" s="683"/>
      <c r="F10" s="683"/>
      <c r="G10" s="683"/>
      <c r="H10" s="683"/>
      <c r="I10" s="683"/>
      <c r="K10" s="683"/>
      <c r="L10" s="683"/>
      <c r="N10" s="683"/>
      <c r="O10" s="683"/>
    </row>
    <row r="11" spans="1:15">
      <c r="A11" s="773" t="s">
        <v>182</v>
      </c>
      <c r="B11" s="683"/>
      <c r="C11" s="683"/>
      <c r="D11" s="683"/>
      <c r="E11" s="683"/>
      <c r="F11" s="683"/>
      <c r="G11" s="683"/>
      <c r="H11" s="683"/>
      <c r="I11" s="683"/>
      <c r="K11" s="683"/>
      <c r="L11" s="683"/>
      <c r="N11" s="683"/>
      <c r="O11" s="683"/>
    </row>
    <row r="12" spans="1:15">
      <c r="A12" s="678"/>
      <c r="B12" s="683"/>
      <c r="C12" s="683"/>
      <c r="D12" s="683"/>
      <c r="E12" s="683"/>
      <c r="F12" s="683"/>
      <c r="G12" s="683"/>
      <c r="H12" s="683"/>
      <c r="I12" s="683"/>
      <c r="K12" s="683"/>
      <c r="L12" s="683"/>
      <c r="N12" s="683"/>
      <c r="O12" s="683"/>
    </row>
    <row r="13" spans="1:15">
      <c r="A13" s="678"/>
      <c r="B13" s="683"/>
      <c r="C13" s="683"/>
      <c r="D13" s="683"/>
      <c r="E13" s="683"/>
      <c r="F13" s="683"/>
      <c r="G13" s="683"/>
      <c r="H13" s="683"/>
      <c r="I13" s="683"/>
      <c r="K13" s="683"/>
      <c r="L13" s="683"/>
      <c r="N13" s="683"/>
      <c r="O13" s="683"/>
    </row>
    <row r="14" spans="1:15">
      <c r="A14" s="678" t="s">
        <v>183</v>
      </c>
      <c r="B14" s="683"/>
      <c r="C14" s="683"/>
      <c r="D14" s="683"/>
      <c r="E14" s="683"/>
      <c r="F14" s="683"/>
      <c r="G14" s="683"/>
      <c r="H14" s="684">
        <v>6.2606000000000002</v>
      </c>
      <c r="I14" s="683" t="s">
        <v>108</v>
      </c>
      <c r="K14" s="684">
        <v>4.8982999999999999</v>
      </c>
      <c r="L14" s="683" t="s">
        <v>108</v>
      </c>
      <c r="N14" s="684">
        <f>Report!H189</f>
        <v>6.1711</v>
      </c>
      <c r="O14" s="683" t="s">
        <v>108</v>
      </c>
    </row>
    <row r="15" spans="1:15">
      <c r="A15" s="678" t="s">
        <v>185</v>
      </c>
      <c r="B15" s="683"/>
      <c r="C15" s="683"/>
      <c r="D15" s="683"/>
      <c r="E15" s="683"/>
      <c r="F15" s="683"/>
      <c r="G15" s="683"/>
      <c r="H15" s="683"/>
      <c r="I15" s="683"/>
      <c r="K15" s="683"/>
      <c r="L15" s="683"/>
      <c r="N15" s="683"/>
      <c r="O15" s="683"/>
    </row>
    <row r="16" spans="1:15">
      <c r="A16" s="678" t="s">
        <v>186</v>
      </c>
      <c r="B16" s="683"/>
      <c r="C16" s="683"/>
      <c r="D16" s="683"/>
      <c r="E16" s="683"/>
      <c r="F16" s="683"/>
      <c r="G16" s="683"/>
      <c r="H16" s="683"/>
      <c r="I16" s="683"/>
      <c r="K16" s="683"/>
      <c r="L16" s="683"/>
      <c r="N16" s="683"/>
      <c r="O16" s="683"/>
    </row>
    <row r="17" spans="1:15">
      <c r="A17" s="678" t="s">
        <v>174</v>
      </c>
      <c r="B17" s="683"/>
      <c r="C17" s="683"/>
      <c r="D17" s="683"/>
      <c r="E17" s="683"/>
      <c r="F17" s="683"/>
      <c r="G17" s="683"/>
      <c r="H17" s="774">
        <v>-1.42</v>
      </c>
      <c r="I17" s="683" t="s">
        <v>108</v>
      </c>
      <c r="K17" s="774">
        <v>-1.23</v>
      </c>
      <c r="L17" s="683" t="s">
        <v>108</v>
      </c>
      <c r="N17" s="774">
        <f>Report!H192</f>
        <v>-1.22</v>
      </c>
      <c r="O17" s="683" t="s">
        <v>108</v>
      </c>
    </row>
    <row r="18" spans="1:15">
      <c r="A18" s="678" t="s">
        <v>175</v>
      </c>
      <c r="B18" s="683"/>
      <c r="C18" s="683"/>
      <c r="D18" s="683"/>
      <c r="E18" s="683"/>
      <c r="F18" s="683"/>
      <c r="G18" s="683"/>
      <c r="H18" s="774">
        <v>-0.15</v>
      </c>
      <c r="I18" s="683" t="s">
        <v>108</v>
      </c>
      <c r="K18" s="774">
        <v>-0.12</v>
      </c>
      <c r="L18" s="683" t="s">
        <v>108</v>
      </c>
      <c r="N18" s="774">
        <f>Report!H193</f>
        <v>-0.05</v>
      </c>
      <c r="O18" s="683" t="s">
        <v>108</v>
      </c>
    </row>
    <row r="19" spans="1:15">
      <c r="A19" s="678" t="s">
        <v>187</v>
      </c>
      <c r="B19" s="683"/>
      <c r="C19" s="683"/>
      <c r="D19" s="683"/>
      <c r="E19" s="683"/>
      <c r="F19" s="683"/>
      <c r="G19" s="683"/>
      <c r="H19" s="1326">
        <v>0</v>
      </c>
      <c r="I19" s="1327" t="s">
        <v>108</v>
      </c>
      <c r="J19" s="1328"/>
      <c r="K19" s="1326">
        <v>0</v>
      </c>
      <c r="L19" s="1327" t="s">
        <v>108</v>
      </c>
      <c r="M19" s="1328"/>
      <c r="N19" s="1326">
        <v>0</v>
      </c>
      <c r="O19" s="683" t="s">
        <v>108</v>
      </c>
    </row>
    <row r="20" spans="1:15">
      <c r="A20" s="678" t="s">
        <v>17</v>
      </c>
      <c r="B20" s="683"/>
      <c r="C20" s="683"/>
      <c r="D20" s="683"/>
      <c r="E20" s="683"/>
      <c r="F20" s="683"/>
      <c r="G20" s="683"/>
      <c r="H20" s="1326">
        <v>-0.06</v>
      </c>
      <c r="I20" s="1327" t="s">
        <v>108</v>
      </c>
      <c r="J20" s="1328"/>
      <c r="K20" s="1326">
        <v>-0.05</v>
      </c>
      <c r="L20" s="1327" t="s">
        <v>108</v>
      </c>
      <c r="M20" s="1328"/>
      <c r="N20" s="1326">
        <f>Report!H195</f>
        <v>-0.04</v>
      </c>
      <c r="O20" s="683" t="s">
        <v>108</v>
      </c>
    </row>
    <row r="21" spans="1:15">
      <c r="A21" s="678" t="s">
        <v>188</v>
      </c>
      <c r="B21" s="683"/>
      <c r="C21" s="683"/>
      <c r="D21" s="683"/>
      <c r="E21" s="683"/>
      <c r="F21" s="683"/>
      <c r="G21" s="683"/>
      <c r="H21" s="1326">
        <v>0</v>
      </c>
      <c r="I21" s="1327" t="s">
        <v>108</v>
      </c>
      <c r="J21" s="1328"/>
      <c r="K21" s="1326">
        <v>0</v>
      </c>
      <c r="L21" s="1327" t="s">
        <v>108</v>
      </c>
      <c r="M21" s="1328"/>
      <c r="N21" s="1326">
        <v>0</v>
      </c>
      <c r="O21" s="683" t="s">
        <v>108</v>
      </c>
    </row>
    <row r="22" spans="1:15">
      <c r="A22" s="678" t="s">
        <v>189</v>
      </c>
      <c r="B22" s="683"/>
      <c r="C22" s="683"/>
      <c r="D22" s="683"/>
      <c r="E22" s="683"/>
      <c r="F22" s="683"/>
      <c r="G22" s="683"/>
      <c r="H22" s="776">
        <v>-1.63</v>
      </c>
      <c r="I22" s="683" t="s">
        <v>108</v>
      </c>
      <c r="K22" s="776">
        <v>-1.4000000000000001</v>
      </c>
      <c r="L22" s="683" t="s">
        <v>108</v>
      </c>
      <c r="N22" s="776">
        <f>SUM(N17:N21)</f>
        <v>-1.31</v>
      </c>
      <c r="O22" s="683" t="s">
        <v>108</v>
      </c>
    </row>
    <row r="23" spans="1:15">
      <c r="A23" s="678"/>
      <c r="B23" s="683"/>
      <c r="C23" s="683"/>
      <c r="D23" s="683"/>
      <c r="E23" s="683"/>
      <c r="F23" s="683"/>
      <c r="G23" s="683"/>
      <c r="H23" s="683"/>
      <c r="I23" s="683"/>
      <c r="K23" s="683"/>
      <c r="L23" s="683"/>
      <c r="N23" s="683"/>
      <c r="O23" s="683"/>
    </row>
    <row r="24" spans="1:15">
      <c r="A24" s="678" t="s">
        <v>1</v>
      </c>
      <c r="B24" s="683"/>
      <c r="C24" s="683"/>
      <c r="D24" s="683"/>
      <c r="E24" s="683"/>
      <c r="F24" s="683"/>
      <c r="G24" s="683"/>
      <c r="H24" s="774">
        <v>4.6306000000000003</v>
      </c>
      <c r="I24" s="683" t="s">
        <v>108</v>
      </c>
      <c r="K24" s="774">
        <v>3.4983</v>
      </c>
      <c r="L24" s="683" t="s">
        <v>108</v>
      </c>
      <c r="N24" s="774">
        <f>ROUND(N14+N22,4)</f>
        <v>4.8611000000000004</v>
      </c>
      <c r="O24" s="683" t="s">
        <v>108</v>
      </c>
    </row>
    <row r="25" spans="1:15">
      <c r="A25" s="678"/>
      <c r="B25" s="683"/>
      <c r="C25" s="683"/>
      <c r="D25" s="683"/>
      <c r="E25" s="683"/>
      <c r="F25" s="683"/>
      <c r="G25" s="683"/>
      <c r="H25" s="683"/>
      <c r="I25" s="683"/>
      <c r="K25" s="683"/>
      <c r="L25" s="683"/>
      <c r="N25" s="683"/>
      <c r="O25" s="683"/>
    </row>
    <row r="26" spans="1:15">
      <c r="A26" s="678" t="s">
        <v>190</v>
      </c>
      <c r="B26" s="683"/>
      <c r="C26" s="683"/>
      <c r="D26" s="683"/>
      <c r="E26" s="683"/>
      <c r="F26" s="683"/>
      <c r="G26" s="683"/>
      <c r="H26" s="777">
        <v>46.31</v>
      </c>
      <c r="I26" s="683" t="s">
        <v>108</v>
      </c>
      <c r="K26" s="777">
        <v>47.46</v>
      </c>
      <c r="L26" s="683" t="s">
        <v>108</v>
      </c>
      <c r="N26" s="777">
        <f>Report!H201</f>
        <v>45.82</v>
      </c>
      <c r="O26" s="683" t="s">
        <v>108</v>
      </c>
    </row>
    <row r="27" spans="1:15">
      <c r="A27" s="678"/>
      <c r="B27" s="683"/>
      <c r="C27" s="683"/>
      <c r="D27" s="683"/>
      <c r="E27" s="683"/>
      <c r="F27" s="683"/>
      <c r="G27" s="683"/>
      <c r="H27" s="683"/>
      <c r="I27" s="683"/>
      <c r="K27" s="683"/>
      <c r="L27" s="683"/>
      <c r="N27" s="683"/>
      <c r="O27" s="683"/>
    </row>
    <row r="28" spans="1:15" ht="13.5" thickBot="1">
      <c r="A28" s="678" t="s">
        <v>191</v>
      </c>
      <c r="B28" s="683"/>
      <c r="C28" s="683"/>
      <c r="D28" s="683"/>
      <c r="E28" s="683"/>
      <c r="F28" s="683"/>
      <c r="G28" s="683"/>
      <c r="H28" s="778">
        <v>9.9991000000000003</v>
      </c>
      <c r="I28" s="683" t="s">
        <v>108</v>
      </c>
      <c r="K28" s="778">
        <v>7.3710000000000004</v>
      </c>
      <c r="L28" s="683" t="s">
        <v>108</v>
      </c>
      <c r="N28" s="778">
        <f>ROUND((N24)/(N26/100),4)</f>
        <v>10.6091</v>
      </c>
      <c r="O28" s="683" t="s">
        <v>108</v>
      </c>
    </row>
    <row r="29" spans="1:15" ht="13.5" thickTop="1">
      <c r="A29" s="678"/>
      <c r="B29" s="683"/>
      <c r="C29" s="683"/>
      <c r="D29" s="683"/>
      <c r="E29" s="683"/>
      <c r="F29" s="683"/>
      <c r="G29" s="683"/>
      <c r="H29" s="683"/>
      <c r="I29" s="683"/>
    </row>
    <row r="30" spans="1:15">
      <c r="A30" s="678"/>
      <c r="B30" s="683"/>
      <c r="C30" s="683"/>
      <c r="D30" s="683"/>
      <c r="E30" s="683"/>
      <c r="F30" s="683"/>
      <c r="G30" s="683"/>
      <c r="H30" s="683"/>
      <c r="I30" s="683"/>
    </row>
    <row r="31" spans="1:15">
      <c r="A31" s="678"/>
      <c r="B31" s="683"/>
      <c r="C31" s="683"/>
      <c r="D31" s="683"/>
      <c r="E31" s="683"/>
      <c r="F31" s="683"/>
      <c r="G31" s="683"/>
      <c r="H31" s="683"/>
      <c r="I31" s="683"/>
    </row>
    <row r="32" spans="1:15">
      <c r="A32" s="678"/>
      <c r="B32" s="683"/>
      <c r="C32" s="683"/>
      <c r="D32" s="683"/>
      <c r="E32" s="683"/>
      <c r="F32" s="683"/>
      <c r="G32" s="683"/>
      <c r="H32" s="683"/>
      <c r="I32" s="683"/>
    </row>
    <row r="33" spans="1:15">
      <c r="A33" s="773" t="s">
        <v>192</v>
      </c>
      <c r="B33" s="683"/>
      <c r="C33" s="683"/>
      <c r="D33" s="683"/>
      <c r="E33" s="683"/>
      <c r="F33" s="683"/>
      <c r="G33" s="683"/>
      <c r="H33" s="683"/>
      <c r="I33" s="683"/>
    </row>
    <row r="34" spans="1:15">
      <c r="A34" s="773" t="s">
        <v>193</v>
      </c>
      <c r="B34" s="683"/>
      <c r="C34" s="683"/>
      <c r="D34" s="683"/>
      <c r="E34" s="683"/>
      <c r="F34" s="683"/>
      <c r="G34" s="683"/>
      <c r="H34" s="683"/>
      <c r="I34" s="683"/>
    </row>
    <row r="35" spans="1:15">
      <c r="A35" s="678"/>
      <c r="B35" s="683"/>
      <c r="C35" s="683"/>
      <c r="D35" s="683"/>
      <c r="E35" s="683"/>
      <c r="F35" s="683"/>
      <c r="G35" s="683"/>
      <c r="H35" s="683"/>
      <c r="I35" s="683"/>
    </row>
    <row r="36" spans="1:15">
      <c r="A36" s="678"/>
      <c r="B36" s="683"/>
      <c r="C36" s="683"/>
      <c r="D36" s="683"/>
      <c r="E36" s="683"/>
      <c r="F36" s="683"/>
      <c r="G36" s="683"/>
      <c r="H36" s="683"/>
      <c r="I36" s="683"/>
      <c r="K36" s="683"/>
      <c r="L36" s="683"/>
      <c r="N36" s="683"/>
      <c r="O36" s="683"/>
    </row>
    <row r="37" spans="1:15">
      <c r="A37" s="678" t="s">
        <v>194</v>
      </c>
      <c r="B37" s="683"/>
      <c r="C37" s="683"/>
      <c r="D37" s="683"/>
      <c r="E37" s="683"/>
      <c r="F37" s="683"/>
      <c r="G37" s="683" t="s">
        <v>105</v>
      </c>
      <c r="H37" s="683">
        <v>57368.857582828132</v>
      </c>
      <c r="I37" s="683"/>
      <c r="K37" s="683">
        <v>49375.844209565665</v>
      </c>
      <c r="L37" s="683"/>
      <c r="N37" s="683">
        <f>Report!H212</f>
        <v>88993.599977316539</v>
      </c>
      <c r="O37" s="683"/>
    </row>
    <row r="38" spans="1:15">
      <c r="A38" s="678"/>
      <c r="B38" s="683"/>
      <c r="C38" s="683"/>
      <c r="D38" s="683"/>
      <c r="E38" s="683"/>
      <c r="F38" s="683"/>
      <c r="G38" s="683"/>
      <c r="H38" s="683"/>
      <c r="I38" s="683"/>
      <c r="K38" s="683"/>
      <c r="L38" s="683"/>
      <c r="N38" s="683"/>
      <c r="O38" s="683"/>
    </row>
    <row r="39" spans="1:15">
      <c r="A39" s="678" t="s">
        <v>196</v>
      </c>
      <c r="B39" s="683"/>
      <c r="C39" s="683"/>
      <c r="D39" s="683"/>
      <c r="E39" s="683"/>
      <c r="F39" s="683"/>
      <c r="G39" s="683" t="s">
        <v>105</v>
      </c>
      <c r="H39" s="682">
        <v>946695.63414302876</v>
      </c>
      <c r="I39" s="683"/>
      <c r="K39" s="682">
        <v>1051466.2929325602</v>
      </c>
      <c r="L39" s="683"/>
      <c r="N39" s="682">
        <f>Report!H214</f>
        <v>1488129.8409115241</v>
      </c>
      <c r="O39" s="683"/>
    </row>
    <row r="40" spans="1:15">
      <c r="A40" s="678"/>
      <c r="B40" s="683"/>
      <c r="C40" s="683"/>
      <c r="D40" s="683"/>
      <c r="E40" s="683"/>
      <c r="F40" s="683"/>
      <c r="G40" s="683"/>
      <c r="H40" s="683"/>
      <c r="I40" s="683"/>
      <c r="K40" s="683"/>
      <c r="L40" s="683"/>
      <c r="N40" s="683"/>
      <c r="O40" s="683"/>
    </row>
    <row r="41" spans="1:15">
      <c r="A41" s="678" t="s">
        <v>183</v>
      </c>
      <c r="B41" s="683"/>
      <c r="C41" s="683"/>
      <c r="D41" s="683"/>
      <c r="E41" s="683"/>
      <c r="F41" s="683"/>
      <c r="G41" s="683"/>
      <c r="H41" s="777">
        <v>6.0599051599894382</v>
      </c>
      <c r="I41" s="683" t="s">
        <v>108</v>
      </c>
      <c r="K41" s="777">
        <v>4.6959036672355383</v>
      </c>
      <c r="L41" s="683" t="s">
        <v>108</v>
      </c>
      <c r="N41" s="777">
        <f>(N37/N39)*100</f>
        <v>5.980230859614057</v>
      </c>
      <c r="O41" s="683" t="s">
        <v>108</v>
      </c>
    </row>
    <row r="42" spans="1:15">
      <c r="A42" s="678" t="s">
        <v>185</v>
      </c>
      <c r="B42" s="683"/>
      <c r="C42" s="683"/>
      <c r="D42" s="683"/>
      <c r="E42" s="683"/>
      <c r="F42" s="683"/>
      <c r="G42" s="683"/>
      <c r="H42" s="683"/>
      <c r="I42" s="683"/>
      <c r="K42" s="683"/>
      <c r="L42" s="683"/>
      <c r="N42" s="683"/>
      <c r="O42" s="683"/>
    </row>
    <row r="43" spans="1:15">
      <c r="A43" s="678" t="s">
        <v>186</v>
      </c>
      <c r="B43" s="683"/>
      <c r="C43" s="683"/>
      <c r="D43" s="683"/>
      <c r="E43" s="683"/>
      <c r="F43" s="683"/>
      <c r="G43" s="683"/>
      <c r="H43" s="683"/>
      <c r="I43" s="683"/>
      <c r="K43" s="683"/>
      <c r="L43" s="683"/>
      <c r="N43" s="683"/>
      <c r="O43" s="683"/>
    </row>
    <row r="44" spans="1:15">
      <c r="A44" s="678" t="s">
        <v>174</v>
      </c>
      <c r="B44" s="683"/>
      <c r="C44" s="683"/>
      <c r="D44" s="683"/>
      <c r="E44" s="683"/>
      <c r="F44" s="683"/>
      <c r="G44" s="683"/>
      <c r="H44" s="774">
        <v>-1.42</v>
      </c>
      <c r="I44" s="683" t="s">
        <v>108</v>
      </c>
      <c r="K44" s="774">
        <v>-1.23</v>
      </c>
      <c r="L44" s="683" t="s">
        <v>108</v>
      </c>
      <c r="N44" s="774">
        <f>N17</f>
        <v>-1.22</v>
      </c>
      <c r="O44" s="683" t="s">
        <v>108</v>
      </c>
    </row>
    <row r="45" spans="1:15">
      <c r="A45" s="678" t="s">
        <v>175</v>
      </c>
      <c r="B45" s="683"/>
      <c r="C45" s="683"/>
      <c r="D45" s="683"/>
      <c r="E45" s="683"/>
      <c r="F45" s="683"/>
      <c r="G45" s="683"/>
      <c r="H45" s="774">
        <v>-0.15</v>
      </c>
      <c r="I45" s="683" t="s">
        <v>108</v>
      </c>
      <c r="K45" s="774">
        <v>-0.12</v>
      </c>
      <c r="L45" s="683" t="s">
        <v>108</v>
      </c>
      <c r="N45" s="774">
        <f>N18</f>
        <v>-0.05</v>
      </c>
      <c r="O45" s="683" t="s">
        <v>108</v>
      </c>
    </row>
    <row r="46" spans="1:15">
      <c r="A46" s="678" t="s">
        <v>187</v>
      </c>
      <c r="B46" s="683"/>
      <c r="C46" s="683"/>
      <c r="D46" s="683"/>
      <c r="E46" s="683"/>
      <c r="F46" s="683"/>
      <c r="G46" s="683"/>
      <c r="H46" s="774">
        <v>0</v>
      </c>
      <c r="I46" s="683" t="s">
        <v>108</v>
      </c>
      <c r="K46" s="774">
        <v>0</v>
      </c>
      <c r="L46" s="683" t="s">
        <v>108</v>
      </c>
      <c r="N46" s="774">
        <f>N19</f>
        <v>0</v>
      </c>
      <c r="O46" s="683" t="s">
        <v>108</v>
      </c>
    </row>
    <row r="47" spans="1:15">
      <c r="A47" s="678" t="s">
        <v>17</v>
      </c>
      <c r="B47" s="683"/>
      <c r="C47" s="683"/>
      <c r="D47" s="683"/>
      <c r="E47" s="683"/>
      <c r="F47" s="683"/>
      <c r="G47" s="683"/>
      <c r="H47" s="774">
        <v>-0.06</v>
      </c>
      <c r="I47" s="683" t="s">
        <v>108</v>
      </c>
      <c r="K47" s="774">
        <v>-0.05</v>
      </c>
      <c r="L47" s="683" t="s">
        <v>108</v>
      </c>
      <c r="N47" s="774">
        <f>N20</f>
        <v>-0.04</v>
      </c>
      <c r="O47" s="683" t="s">
        <v>108</v>
      </c>
    </row>
    <row r="48" spans="1:15">
      <c r="A48" s="678" t="s">
        <v>188</v>
      </c>
      <c r="B48" s="683"/>
      <c r="C48" s="683"/>
      <c r="D48" s="683"/>
      <c r="E48" s="683"/>
      <c r="F48" s="683"/>
      <c r="G48" s="683"/>
      <c r="H48" s="774">
        <v>0</v>
      </c>
      <c r="I48" s="683" t="s">
        <v>108</v>
      </c>
      <c r="K48" s="774">
        <v>0</v>
      </c>
      <c r="L48" s="683" t="s">
        <v>108</v>
      </c>
      <c r="N48" s="774">
        <f>N21</f>
        <v>0</v>
      </c>
      <c r="O48" s="683" t="s">
        <v>108</v>
      </c>
    </row>
    <row r="49" spans="1:15">
      <c r="A49" s="678" t="s">
        <v>189</v>
      </c>
      <c r="B49" s="683"/>
      <c r="C49" s="683"/>
      <c r="D49" s="683"/>
      <c r="E49" s="683"/>
      <c r="F49" s="683"/>
      <c r="G49" s="683"/>
      <c r="H49" s="776">
        <v>-1.63</v>
      </c>
      <c r="I49" s="683" t="s">
        <v>108</v>
      </c>
      <c r="K49" s="776">
        <v>-1.4000000000000001</v>
      </c>
      <c r="L49" s="683" t="s">
        <v>108</v>
      </c>
      <c r="N49" s="776">
        <f>SUM(N44:N48)</f>
        <v>-1.31</v>
      </c>
      <c r="O49" s="683" t="s">
        <v>108</v>
      </c>
    </row>
    <row r="50" spans="1:15">
      <c r="A50" s="678"/>
      <c r="B50" s="683"/>
      <c r="C50" s="683"/>
      <c r="D50" s="683"/>
      <c r="E50" s="683"/>
      <c r="F50" s="683"/>
      <c r="G50" s="683"/>
      <c r="H50" s="683"/>
      <c r="I50" s="683"/>
      <c r="K50" s="683"/>
      <c r="L50" s="683"/>
      <c r="N50" s="683"/>
      <c r="O50" s="683"/>
    </row>
    <row r="51" spans="1:15">
      <c r="A51" s="678" t="s">
        <v>1</v>
      </c>
      <c r="B51" s="683"/>
      <c r="C51" s="683"/>
      <c r="D51" s="683"/>
      <c r="E51" s="683"/>
      <c r="F51" s="683"/>
      <c r="G51" s="683"/>
      <c r="H51" s="774">
        <v>4.4299051599894383</v>
      </c>
      <c r="I51" s="683" t="s">
        <v>108</v>
      </c>
      <c r="K51" s="774">
        <v>3.295903667235538</v>
      </c>
      <c r="L51" s="683" t="s">
        <v>108</v>
      </c>
      <c r="N51" s="774">
        <f>N41+N49</f>
        <v>4.6702308596140565</v>
      </c>
      <c r="O51" s="683" t="s">
        <v>108</v>
      </c>
    </row>
    <row r="52" spans="1:15">
      <c r="A52" s="678"/>
      <c r="B52" s="683"/>
      <c r="C52" s="683"/>
      <c r="D52" s="683"/>
      <c r="E52" s="683"/>
      <c r="F52" s="683"/>
      <c r="G52" s="683"/>
      <c r="H52" s="683"/>
      <c r="I52" s="683"/>
      <c r="K52" s="683"/>
      <c r="L52" s="683"/>
      <c r="N52" s="683"/>
      <c r="O52" s="683"/>
    </row>
    <row r="53" spans="1:15">
      <c r="A53" s="678" t="s">
        <v>190</v>
      </c>
      <c r="B53" s="683"/>
      <c r="C53" s="683"/>
      <c r="D53" s="683"/>
      <c r="E53" s="683"/>
      <c r="F53" s="683"/>
      <c r="G53" s="683"/>
      <c r="H53" s="777">
        <v>46.31</v>
      </c>
      <c r="I53" s="683" t="s">
        <v>108</v>
      </c>
      <c r="K53" s="777">
        <v>47.46</v>
      </c>
      <c r="L53" s="683" t="s">
        <v>108</v>
      </c>
      <c r="N53" s="777">
        <f>N26</f>
        <v>45.82</v>
      </c>
      <c r="O53" s="683" t="s">
        <v>108</v>
      </c>
    </row>
    <row r="54" spans="1:15">
      <c r="A54" s="678"/>
      <c r="B54" s="683"/>
      <c r="C54" s="683"/>
      <c r="D54" s="683"/>
      <c r="E54" s="683"/>
      <c r="F54" s="683"/>
      <c r="G54" s="683"/>
      <c r="H54" s="683"/>
      <c r="I54" s="683"/>
      <c r="K54" s="683"/>
      <c r="L54" s="683"/>
      <c r="N54" s="683"/>
      <c r="O54" s="683"/>
    </row>
    <row r="55" spans="1:15" ht="13.5" thickBot="1">
      <c r="A55" s="678" t="s">
        <v>191</v>
      </c>
      <c r="B55" s="683"/>
      <c r="C55" s="683"/>
      <c r="D55" s="683"/>
      <c r="E55" s="683"/>
      <c r="F55" s="683"/>
      <c r="G55" s="683"/>
      <c r="H55" s="778">
        <v>9.5657636795280467</v>
      </c>
      <c r="I55" s="683" t="s">
        <v>108</v>
      </c>
      <c r="K55" s="778">
        <v>6.9445926406142808</v>
      </c>
      <c r="L55" s="683" t="s">
        <v>108</v>
      </c>
      <c r="N55" s="778">
        <f>(N51)/(N53/100)</f>
        <v>10.192559711073891</v>
      </c>
      <c r="O55" s="683" t="s">
        <v>108</v>
      </c>
    </row>
    <row r="56" spans="1:15" ht="13.5" thickTop="1"/>
    <row r="75" spans="11:11">
      <c r="K75">
        <v>4.8982999999999999</v>
      </c>
    </row>
    <row r="78" spans="11:11">
      <c r="K78">
        <v>-1.23</v>
      </c>
    </row>
    <row r="79" spans="11:11">
      <c r="K79">
        <v>-0.12</v>
      </c>
    </row>
    <row r="80" spans="11:11">
      <c r="K80">
        <v>0</v>
      </c>
    </row>
    <row r="81" spans="11:11">
      <c r="K81">
        <v>-0.05</v>
      </c>
    </row>
    <row r="82" spans="11:11">
      <c r="K82">
        <v>0</v>
      </c>
    </row>
    <row r="83" spans="11:11">
      <c r="K83">
        <v>-1.4</v>
      </c>
    </row>
    <row r="85" spans="11:11">
      <c r="K85">
        <v>3.4983</v>
      </c>
    </row>
    <row r="87" spans="11:11">
      <c r="K87">
        <v>47.46</v>
      </c>
    </row>
    <row r="89" spans="11:11">
      <c r="K89">
        <v>7.3710000000000004</v>
      </c>
    </row>
  </sheetData>
  <mergeCells count="7">
    <mergeCell ref="H7:H8"/>
    <mergeCell ref="K7:K8"/>
    <mergeCell ref="N7:N8"/>
    <mergeCell ref="A2:O2"/>
    <mergeCell ref="A3:O3"/>
    <mergeCell ref="A4:O4"/>
    <mergeCell ref="A5:O5"/>
  </mergeCells>
  <pageMargins left="0.7" right="0.7" top="0.75" bottom="0.75" header="0.3" footer="0.3"/>
  <pageSetup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fitToPage="1"/>
  </sheetPr>
  <dimension ref="A1:S213"/>
  <sheetViews>
    <sheetView workbookViewId="0"/>
  </sheetViews>
  <sheetFormatPr defaultColWidth="8.42578125" defaultRowHeight="12.75"/>
  <cols>
    <col min="1" max="1" width="36" style="554" customWidth="1"/>
    <col min="2" max="2" width="18.85546875" style="554" bestFit="1" customWidth="1"/>
    <col min="3" max="3" width="15.85546875" style="554" bestFit="1" customWidth="1"/>
    <col min="4" max="4" width="10.7109375" style="554" customWidth="1"/>
    <col min="5" max="5" width="12.5703125" style="554" customWidth="1"/>
    <col min="6" max="11" width="10.7109375" style="554" customWidth="1"/>
    <col min="12" max="12" width="9.28515625" style="554" bestFit="1" customWidth="1"/>
    <col min="13" max="13" width="9.85546875" style="554" bestFit="1" customWidth="1"/>
    <col min="14" max="14" width="24.85546875" style="554" bestFit="1" customWidth="1"/>
    <col min="15" max="20" width="8.42578125" style="554"/>
    <col min="21" max="21" width="33.140625" style="554" bestFit="1" customWidth="1"/>
    <col min="22" max="24" width="8.42578125" style="554"/>
    <col min="25" max="25" width="31.85546875" style="554" bestFit="1" customWidth="1"/>
    <col min="26" max="16384" width="8.42578125" style="554"/>
  </cols>
  <sheetData>
    <row r="1" spans="1:14">
      <c r="A1" s="554" t="s">
        <v>468</v>
      </c>
    </row>
    <row r="2" spans="1:14">
      <c r="A2" s="554" t="s">
        <v>60</v>
      </c>
    </row>
    <row r="3" spans="1:14">
      <c r="A3" s="555" t="s">
        <v>205</v>
      </c>
      <c r="B3" s="556" t="str">
        <f>+Report!A3</f>
        <v>December 2021</v>
      </c>
      <c r="C3" s="557"/>
      <c r="D3" s="557"/>
      <c r="E3" s="557"/>
      <c r="F3" s="557"/>
      <c r="G3" s="557"/>
      <c r="H3" s="557"/>
      <c r="I3" s="557"/>
      <c r="J3" s="557"/>
      <c r="K3" s="557"/>
      <c r="L3" s="557"/>
      <c r="M3" s="557"/>
    </row>
    <row r="5" spans="1:14" ht="13.5" thickBot="1"/>
    <row r="6" spans="1:14" ht="16.5" thickBot="1">
      <c r="A6" s="557"/>
      <c r="B6" s="557"/>
      <c r="C6" s="557"/>
      <c r="D6" s="558" t="s">
        <v>206</v>
      </c>
      <c r="E6" s="559"/>
      <c r="F6" s="559"/>
      <c r="G6" s="559"/>
      <c r="H6" s="559"/>
      <c r="I6" s="559"/>
      <c r="J6" s="560"/>
      <c r="K6" s="560"/>
      <c r="L6" s="557"/>
      <c r="M6" s="557"/>
      <c r="N6" s="557"/>
    </row>
    <row r="7" spans="1:14">
      <c r="D7" s="561"/>
      <c r="E7" s="561"/>
      <c r="F7" s="561"/>
      <c r="G7" s="561"/>
      <c r="H7" s="561"/>
      <c r="I7" s="561"/>
      <c r="J7" s="846" t="s">
        <v>2338</v>
      </c>
      <c r="K7" s="846" t="s">
        <v>2339</v>
      </c>
    </row>
    <row r="8" spans="1:14">
      <c r="A8" s="557"/>
      <c r="B8" s="562" t="s">
        <v>22</v>
      </c>
      <c r="C8" s="557"/>
      <c r="D8" s="562" t="s">
        <v>62</v>
      </c>
      <c r="E8" s="562" t="s">
        <v>63</v>
      </c>
      <c r="F8" s="562" t="s">
        <v>64</v>
      </c>
      <c r="G8" s="562" t="s">
        <v>65</v>
      </c>
      <c r="H8" s="562" t="s">
        <v>66</v>
      </c>
      <c r="I8" s="562" t="s">
        <v>67</v>
      </c>
      <c r="J8" s="562" t="s">
        <v>68</v>
      </c>
      <c r="K8" s="562" t="s">
        <v>68</v>
      </c>
      <c r="L8" s="562" t="s">
        <v>69</v>
      </c>
      <c r="M8" s="557"/>
      <c r="N8" s="557"/>
    </row>
    <row r="9" spans="1:14">
      <c r="A9" s="557"/>
      <c r="B9" s="563"/>
      <c r="C9" s="557"/>
      <c r="D9" s="564"/>
      <c r="E9" s="564"/>
      <c r="F9" s="564"/>
      <c r="G9" s="564"/>
      <c r="H9" s="564"/>
      <c r="I9" s="564"/>
      <c r="J9" s="564"/>
      <c r="K9" s="564"/>
      <c r="L9" s="564"/>
      <c r="M9" s="557"/>
      <c r="N9" s="557"/>
    </row>
    <row r="10" spans="1:14">
      <c r="A10" s="565" t="s">
        <v>1823</v>
      </c>
      <c r="B10" s="557"/>
      <c r="C10" s="557"/>
      <c r="D10" s="557"/>
      <c r="E10" s="557"/>
      <c r="F10" s="557"/>
      <c r="G10" s="557"/>
      <c r="H10" s="557"/>
      <c r="I10" s="557"/>
      <c r="J10" s="557"/>
      <c r="K10" s="557"/>
      <c r="L10" s="566">
        <f>Report!B171</f>
        <v>1603790.8084269229</v>
      </c>
      <c r="M10" s="557"/>
      <c r="N10" s="557"/>
    </row>
    <row r="12" spans="1:14">
      <c r="A12" s="567" t="s">
        <v>70</v>
      </c>
    </row>
    <row r="14" spans="1:14">
      <c r="A14" s="557" t="s">
        <v>5</v>
      </c>
      <c r="B14" s="557"/>
      <c r="C14" s="557"/>
      <c r="D14" s="568">
        <f>-Reconcil!C68</f>
        <v>0</v>
      </c>
      <c r="E14" s="568"/>
      <c r="F14" s="568"/>
      <c r="G14" s="568"/>
      <c r="H14" s="568"/>
      <c r="I14" s="568"/>
      <c r="J14" s="568"/>
      <c r="K14" s="568"/>
      <c r="L14" s="568">
        <f t="shared" ref="L14:L41" si="0">SUM(D14:K14)</f>
        <v>0</v>
      </c>
      <c r="M14" s="568"/>
      <c r="N14" s="568"/>
    </row>
    <row r="15" spans="1:14">
      <c r="A15" s="569" t="s">
        <v>71</v>
      </c>
      <c r="B15" s="569"/>
      <c r="C15" s="569"/>
      <c r="D15" s="570"/>
      <c r="E15" s="570"/>
      <c r="F15" s="570"/>
      <c r="G15" s="570">
        <f>-Reconcil!C67</f>
        <v>-1150.2333407692308</v>
      </c>
      <c r="H15" s="570"/>
      <c r="I15" s="570"/>
      <c r="J15" s="570"/>
      <c r="K15" s="570"/>
      <c r="L15" s="570">
        <f t="shared" si="0"/>
        <v>-1150.2333407692308</v>
      </c>
      <c r="M15" s="568"/>
      <c r="N15" s="568"/>
    </row>
    <row r="16" spans="1:14">
      <c r="A16" s="569" t="s">
        <v>72</v>
      </c>
      <c r="B16" s="569"/>
      <c r="C16" s="569"/>
      <c r="D16" s="570"/>
      <c r="E16" s="570"/>
      <c r="F16" s="570"/>
      <c r="G16" s="570"/>
      <c r="H16" s="570"/>
      <c r="I16" s="570"/>
      <c r="J16" s="570"/>
      <c r="K16" s="570"/>
      <c r="L16" s="570">
        <f t="shared" si="0"/>
        <v>0</v>
      </c>
      <c r="M16" s="568"/>
      <c r="N16" s="568"/>
    </row>
    <row r="17" spans="1:18">
      <c r="A17" s="569" t="s">
        <v>73</v>
      </c>
      <c r="B17" s="569"/>
      <c r="C17" s="569"/>
      <c r="D17" s="570"/>
      <c r="E17" s="570"/>
      <c r="F17" s="570"/>
      <c r="G17" s="570"/>
      <c r="H17" s="570"/>
      <c r="I17" s="570"/>
      <c r="J17" s="570"/>
      <c r="K17" s="570">
        <f>-Reconcil!$C$76</f>
        <v>-2.95</v>
      </c>
      <c r="L17" s="570">
        <f t="shared" si="0"/>
        <v>-2.95</v>
      </c>
      <c r="M17" s="568"/>
      <c r="N17" s="568"/>
    </row>
    <row r="18" spans="1:18">
      <c r="A18" s="569" t="s">
        <v>6</v>
      </c>
      <c r="B18" s="569"/>
      <c r="C18" s="569"/>
      <c r="D18" s="570"/>
      <c r="E18" s="570"/>
      <c r="F18" s="570"/>
      <c r="G18" s="570">
        <f>-Reconcil!C77</f>
        <v>0</v>
      </c>
      <c r="H18" s="570"/>
      <c r="I18" s="570"/>
      <c r="J18" s="570"/>
      <c r="K18" s="570"/>
      <c r="L18" s="570">
        <f t="shared" si="0"/>
        <v>0</v>
      </c>
      <c r="M18" s="568"/>
      <c r="N18" s="568"/>
    </row>
    <row r="19" spans="1:18">
      <c r="A19" s="569" t="s">
        <v>74</v>
      </c>
      <c r="B19" s="569"/>
      <c r="C19" s="569"/>
      <c r="D19" s="570"/>
      <c r="E19" s="570"/>
      <c r="F19" s="570"/>
      <c r="G19" s="570"/>
      <c r="H19" s="570"/>
      <c r="I19" s="570"/>
      <c r="J19" s="570"/>
      <c r="K19" s="1222">
        <f>-Reconcil!C79</f>
        <v>-719.62726615384599</v>
      </c>
      <c r="L19" s="570">
        <f t="shared" si="0"/>
        <v>-719.62726615384599</v>
      </c>
      <c r="M19" s="568"/>
      <c r="N19" s="568"/>
    </row>
    <row r="20" spans="1:18">
      <c r="A20" s="569" t="s">
        <v>75</v>
      </c>
      <c r="B20" s="569"/>
      <c r="C20" s="569"/>
      <c r="D20" s="570"/>
      <c r="E20" s="570"/>
      <c r="F20" s="570"/>
      <c r="G20" s="570"/>
      <c r="H20" s="570"/>
      <c r="I20" s="570"/>
      <c r="J20" s="570"/>
      <c r="K20" s="570"/>
      <c r="L20" s="570">
        <f t="shared" si="0"/>
        <v>0</v>
      </c>
      <c r="M20" s="568"/>
      <c r="N20" s="568"/>
    </row>
    <row r="21" spans="1:18">
      <c r="A21" s="569" t="s">
        <v>76</v>
      </c>
      <c r="B21" s="569"/>
      <c r="C21" s="569"/>
      <c r="D21" s="570"/>
      <c r="E21" s="570"/>
      <c r="F21" s="570"/>
      <c r="G21" s="570"/>
      <c r="H21" s="114" t="s">
        <v>2701</v>
      </c>
      <c r="I21" s="570"/>
      <c r="J21" s="570"/>
      <c r="K21" s="570">
        <f>-Reconcil!C81</f>
        <v>-9869.4890892307703</v>
      </c>
      <c r="L21" s="570">
        <f t="shared" si="0"/>
        <v>-9869.4890892307703</v>
      </c>
      <c r="M21" s="568"/>
      <c r="N21" s="568"/>
    </row>
    <row r="22" spans="1:18">
      <c r="A22" s="569" t="s">
        <v>77</v>
      </c>
      <c r="B22" s="569"/>
      <c r="C22" s="569"/>
      <c r="D22" s="570"/>
      <c r="E22" s="570"/>
      <c r="F22" s="570"/>
      <c r="G22" s="570"/>
      <c r="H22" s="570"/>
      <c r="I22" s="570"/>
      <c r="J22" s="570"/>
      <c r="K22" s="570"/>
      <c r="L22" s="570">
        <f t="shared" si="0"/>
        <v>0</v>
      </c>
      <c r="M22" s="568"/>
      <c r="N22" s="568"/>
    </row>
    <row r="23" spans="1:18">
      <c r="A23" s="569" t="s">
        <v>78</v>
      </c>
      <c r="B23" s="569"/>
      <c r="C23" s="569"/>
      <c r="D23" s="570">
        <f>-Reconcil!C92</f>
        <v>-3748.4481515384609</v>
      </c>
      <c r="E23" s="570"/>
      <c r="F23" s="570"/>
      <c r="G23" s="570"/>
      <c r="H23" s="570"/>
      <c r="I23" s="570"/>
      <c r="J23" s="570"/>
      <c r="K23" s="570"/>
      <c r="L23" s="570">
        <f t="shared" si="0"/>
        <v>-3748.4481515384609</v>
      </c>
      <c r="M23" s="568"/>
      <c r="N23" s="568"/>
    </row>
    <row r="24" spans="1:18">
      <c r="A24" s="569" t="s">
        <v>79</v>
      </c>
      <c r="B24" s="569"/>
      <c r="C24" s="569"/>
      <c r="D24" s="570"/>
      <c r="E24" s="570"/>
      <c r="F24" s="570"/>
      <c r="G24" s="570"/>
      <c r="H24" s="820">
        <f>-Reconcil!C99*'Input Tax Rate'!$B$36</f>
        <v>-250.46227003870686</v>
      </c>
      <c r="I24" s="570"/>
      <c r="J24" s="570"/>
      <c r="K24" s="822">
        <f>-Reconcil!C99*'Input Tax Rate'!$B$37</f>
        <v>-802.22530380744661</v>
      </c>
      <c r="L24" s="570">
        <f t="shared" si="0"/>
        <v>-1052.6875738461536</v>
      </c>
      <c r="M24" s="568"/>
      <c r="N24" s="568"/>
    </row>
    <row r="25" spans="1:18">
      <c r="A25" s="784" t="s">
        <v>80</v>
      </c>
      <c r="B25" s="569"/>
      <c r="C25" s="569"/>
      <c r="D25" s="570"/>
      <c r="E25" s="1086">
        <f>IF(Reconcil!$C$100&gt;0,Reconcil!$C$100*-1,0)</f>
        <v>0</v>
      </c>
      <c r="F25" s="570"/>
      <c r="G25" s="570"/>
      <c r="H25" s="570"/>
      <c r="I25" s="570"/>
      <c r="J25" s="570"/>
      <c r="K25" s="570"/>
      <c r="L25" s="570">
        <f t="shared" si="0"/>
        <v>0</v>
      </c>
      <c r="M25" s="568"/>
      <c r="N25" s="568"/>
    </row>
    <row r="26" spans="1:18">
      <c r="A26" s="569" t="s">
        <v>81</v>
      </c>
      <c r="B26" s="569"/>
      <c r="C26" s="569"/>
      <c r="D26" s="570"/>
      <c r="E26" s="570"/>
      <c r="F26" s="570"/>
      <c r="G26" s="570"/>
      <c r="H26" s="820">
        <f>(Report!T69)*'Input Tax Rate'!$B$36</f>
        <v>-829.20545353168916</v>
      </c>
      <c r="I26" s="570"/>
      <c r="J26" s="570"/>
      <c r="K26" s="822">
        <f>(Report!T69)*'Input Tax Rate'!$B$37</f>
        <v>-2655.9273649298489</v>
      </c>
      <c r="L26" s="570">
        <f t="shared" si="0"/>
        <v>-3485.1328184615381</v>
      </c>
      <c r="M26" s="568"/>
      <c r="N26" s="568"/>
      <c r="O26" s="571"/>
      <c r="Q26" s="571"/>
    </row>
    <row r="27" spans="1:18">
      <c r="A27" s="569" t="s">
        <v>82</v>
      </c>
      <c r="B27" s="569"/>
      <c r="C27" s="569"/>
      <c r="D27" s="570"/>
      <c r="E27" s="570"/>
      <c r="F27" s="570"/>
      <c r="G27" s="570"/>
      <c r="H27" s="570"/>
      <c r="I27" s="570"/>
      <c r="J27" s="570"/>
      <c r="K27" s="570">
        <f>Reconcil!C129</f>
        <v>0</v>
      </c>
      <c r="L27" s="570">
        <f t="shared" si="0"/>
        <v>0</v>
      </c>
      <c r="M27" s="568"/>
      <c r="N27" s="568"/>
      <c r="O27" s="572"/>
    </row>
    <row r="28" spans="1:18">
      <c r="A28" s="569" t="s">
        <v>13</v>
      </c>
      <c r="B28" s="569"/>
      <c r="C28" s="569"/>
      <c r="D28" s="570"/>
      <c r="E28" s="570"/>
      <c r="F28" s="570"/>
      <c r="G28" s="570">
        <f>Reconcil!C135</f>
        <v>2084.3020000000001</v>
      </c>
      <c r="H28" s="570"/>
      <c r="I28" s="570"/>
      <c r="J28" s="570"/>
      <c r="K28" s="570"/>
      <c r="L28" s="570">
        <f t="shared" si="0"/>
        <v>2084.3020000000001</v>
      </c>
      <c r="M28" s="568"/>
      <c r="N28" s="568"/>
      <c r="P28" s="569"/>
      <c r="Q28" s="573"/>
      <c r="R28" s="573"/>
    </row>
    <row r="29" spans="1:18">
      <c r="A29" s="784" t="s">
        <v>83</v>
      </c>
      <c r="B29" s="569"/>
      <c r="C29" s="569"/>
      <c r="D29" s="570"/>
      <c r="E29" s="1222">
        <f>IF((Reconcil!$C$138-Reconcil!$C$96)&lt;0,(Reconcil!$C$138-Reconcil!$C$96),0)</f>
        <v>-546.88146153846151</v>
      </c>
      <c r="F29" s="570"/>
      <c r="G29" s="570"/>
      <c r="H29" s="570"/>
      <c r="I29" s="570"/>
      <c r="J29" s="570"/>
      <c r="K29" s="570"/>
      <c r="L29" s="570">
        <f t="shared" si="0"/>
        <v>-546.88146153846151</v>
      </c>
      <c r="M29" s="568"/>
      <c r="N29" s="568"/>
      <c r="P29" s="569"/>
      <c r="Q29" s="573"/>
      <c r="R29" s="573"/>
    </row>
    <row r="30" spans="1:18">
      <c r="A30" s="784" t="s">
        <v>1704</v>
      </c>
      <c r="B30" s="569"/>
      <c r="C30" s="569"/>
      <c r="D30" s="570"/>
      <c r="E30" s="1222">
        <f>IF((Reconcil!$C$139-Reconcil!$C$97)&lt;0,(Reconcil!$C$139-Reconcil!$C$97),0)</f>
        <v>-2145.6032307692312</v>
      </c>
      <c r="F30" s="570"/>
      <c r="G30" s="570"/>
      <c r="H30" s="570"/>
      <c r="I30" s="570"/>
      <c r="J30" s="570"/>
      <c r="K30" s="570"/>
      <c r="L30" s="570">
        <f t="shared" si="0"/>
        <v>-2145.6032307692312</v>
      </c>
      <c r="M30" s="568"/>
      <c r="N30" s="568"/>
      <c r="P30" s="569"/>
      <c r="Q30" s="573"/>
      <c r="R30" s="573"/>
    </row>
    <row r="31" spans="1:18">
      <c r="A31" s="569" t="s">
        <v>18</v>
      </c>
      <c r="B31" s="569"/>
      <c r="C31" s="569"/>
      <c r="D31" s="570"/>
      <c r="E31" s="570"/>
      <c r="F31" s="570"/>
      <c r="G31" s="570"/>
      <c r="H31" s="570"/>
      <c r="I31" s="570"/>
      <c r="J31" s="570"/>
      <c r="K31" s="574">
        <f>+N36</f>
        <v>0</v>
      </c>
      <c r="L31" s="570">
        <f t="shared" si="0"/>
        <v>0</v>
      </c>
      <c r="M31" s="568"/>
      <c r="N31" s="568"/>
      <c r="P31" s="569"/>
      <c r="Q31" s="573"/>
      <c r="R31" s="573"/>
    </row>
    <row r="32" spans="1:18">
      <c r="A32" s="569" t="s">
        <v>472</v>
      </c>
      <c r="B32" s="569"/>
      <c r="C32" s="569"/>
      <c r="D32" s="570"/>
      <c r="E32" s="570"/>
      <c r="F32" s="570"/>
      <c r="G32" s="570"/>
      <c r="H32" s="570"/>
      <c r="I32" s="570"/>
      <c r="J32" s="570"/>
      <c r="K32" s="919">
        <v>0</v>
      </c>
      <c r="L32" s="570">
        <f t="shared" si="0"/>
        <v>0</v>
      </c>
      <c r="M32" s="568"/>
      <c r="N32" s="568"/>
      <c r="P32" s="569"/>
      <c r="Q32" s="573"/>
      <c r="R32" s="573"/>
    </row>
    <row r="33" spans="1:18">
      <c r="A33" s="569" t="s">
        <v>84</v>
      </c>
      <c r="B33" s="569"/>
      <c r="C33" s="569"/>
      <c r="D33" s="570"/>
      <c r="E33" s="570"/>
      <c r="F33" s="570"/>
      <c r="G33" s="570">
        <f>-Reconcil!C58</f>
        <v>-1939.5515500000001</v>
      </c>
      <c r="H33" s="570"/>
      <c r="I33" s="570"/>
      <c r="J33" s="570"/>
      <c r="K33" s="570"/>
      <c r="L33" s="570">
        <f t="shared" si="0"/>
        <v>-1939.5515500000001</v>
      </c>
      <c r="M33" s="568"/>
      <c r="N33" s="568" t="s">
        <v>85</v>
      </c>
      <c r="P33" s="575"/>
      <c r="Q33" s="573"/>
      <c r="R33" s="573"/>
    </row>
    <row r="34" spans="1:18">
      <c r="A34" s="569" t="s">
        <v>86</v>
      </c>
      <c r="B34" s="569"/>
      <c r="C34" s="569"/>
      <c r="D34" s="570"/>
      <c r="E34" s="570"/>
      <c r="F34" s="570"/>
      <c r="G34" s="822">
        <f>Report!J63*'Input Tax Rate'!$B$37</f>
        <v>-669.26704782900617</v>
      </c>
      <c r="H34" s="820">
        <f>Report!J63*'Input Tax Rate'!$B$36</f>
        <v>-208.95145449262839</v>
      </c>
      <c r="I34" s="570"/>
      <c r="J34" s="570"/>
      <c r="K34" s="570"/>
      <c r="L34" s="570">
        <f t="shared" si="0"/>
        <v>-878.21850232163456</v>
      </c>
      <c r="M34" s="568"/>
      <c r="N34" s="568" t="s">
        <v>87</v>
      </c>
      <c r="P34" s="569"/>
      <c r="Q34" s="573"/>
      <c r="R34" s="573"/>
    </row>
    <row r="35" spans="1:18" ht="13.5" thickBot="1">
      <c r="A35" s="569" t="s">
        <v>474</v>
      </c>
      <c r="B35" s="569"/>
      <c r="C35" s="569"/>
      <c r="D35" s="570"/>
      <c r="E35" s="570"/>
      <c r="F35" s="570"/>
      <c r="G35" s="570"/>
      <c r="H35" s="570"/>
      <c r="I35" s="570"/>
      <c r="J35" s="570"/>
      <c r="K35" s="570">
        <f>+Report!R71</f>
        <v>0</v>
      </c>
      <c r="L35" s="570">
        <f t="shared" si="0"/>
        <v>0</v>
      </c>
      <c r="M35" s="570"/>
      <c r="N35" s="568" t="s">
        <v>88</v>
      </c>
      <c r="P35" s="569"/>
      <c r="Q35" s="573"/>
      <c r="R35" s="573"/>
    </row>
    <row r="36" spans="1:18" ht="13.5" thickBot="1">
      <c r="A36" s="569" t="s">
        <v>408</v>
      </c>
      <c r="B36" s="569"/>
      <c r="C36" s="569"/>
      <c r="D36" s="570"/>
      <c r="E36" s="570"/>
      <c r="F36" s="570"/>
      <c r="G36" s="570"/>
      <c r="H36" s="820">
        <f>Report!J72*'Input Tax Rate'!$B$36</f>
        <v>-3.4594513099999915</v>
      </c>
      <c r="I36" s="570"/>
      <c r="J36" s="570"/>
      <c r="K36" s="822">
        <f>Report!J72*'Input Tax Rate'!$B$37</f>
        <v>-11.080548689999972</v>
      </c>
      <c r="L36" s="570">
        <f t="shared" si="0"/>
        <v>-14.539999999999964</v>
      </c>
      <c r="M36" s="570"/>
      <c r="N36" s="576">
        <v>0</v>
      </c>
      <c r="P36" s="569"/>
      <c r="Q36" s="573"/>
      <c r="R36" s="573"/>
    </row>
    <row r="37" spans="1:18">
      <c r="A37" s="569" t="s">
        <v>89</v>
      </c>
      <c r="B37" s="569"/>
      <c r="C37" s="569"/>
      <c r="D37" s="570"/>
      <c r="E37" s="570"/>
      <c r="F37" s="570"/>
      <c r="G37" s="570">
        <v>0</v>
      </c>
      <c r="H37" s="570"/>
      <c r="I37" s="570">
        <f>-G37</f>
        <v>0</v>
      </c>
      <c r="J37" s="570"/>
      <c r="K37" s="570"/>
      <c r="L37" s="570">
        <f t="shared" si="0"/>
        <v>0</v>
      </c>
      <c r="M37" s="568"/>
      <c r="N37" s="568"/>
      <c r="P37" s="573"/>
      <c r="Q37" s="573"/>
      <c r="R37" s="573"/>
    </row>
    <row r="38" spans="1:18">
      <c r="A38" s="48" t="s">
        <v>2341</v>
      </c>
      <c r="B38" s="569"/>
      <c r="C38" s="569"/>
      <c r="D38" s="570"/>
      <c r="E38" s="570"/>
      <c r="F38" s="570"/>
      <c r="G38" s="570"/>
      <c r="H38" s="570"/>
      <c r="I38" s="570"/>
      <c r="J38" s="822">
        <f>Report!T75</f>
        <v>-75782.401630769222</v>
      </c>
      <c r="K38" s="570"/>
      <c r="L38" s="570">
        <f t="shared" si="0"/>
        <v>-75782.401630769222</v>
      </c>
      <c r="M38" s="568"/>
      <c r="N38" s="568"/>
      <c r="P38" s="573"/>
      <c r="Q38" s="573"/>
      <c r="R38" s="573"/>
    </row>
    <row r="39" spans="1:18">
      <c r="A39" s="569" t="s">
        <v>480</v>
      </c>
      <c r="B39" s="569"/>
      <c r="C39" s="569"/>
      <c r="D39" s="570"/>
      <c r="E39" s="570"/>
      <c r="F39" s="570"/>
      <c r="G39" s="577"/>
      <c r="H39" s="570"/>
      <c r="I39" s="570"/>
      <c r="J39" s="570"/>
      <c r="K39" s="570"/>
      <c r="L39" s="570">
        <f t="shared" si="0"/>
        <v>0</v>
      </c>
      <c r="M39" s="568"/>
      <c r="N39" s="568"/>
    </row>
    <row r="40" spans="1:18">
      <c r="A40" s="569" t="s">
        <v>479</v>
      </c>
      <c r="B40" s="569"/>
      <c r="C40" s="569"/>
      <c r="D40" s="570">
        <f>(-G40-H40)</f>
        <v>-417.06618143182328</v>
      </c>
      <c r="E40" s="570"/>
      <c r="F40" s="570"/>
      <c r="G40" s="1223">
        <f>-Input!EM40/1000</f>
        <v>317.83508461538457</v>
      </c>
      <c r="H40" s="1223">
        <f>-Input!EM41/1000</f>
        <v>99.231096816438722</v>
      </c>
      <c r="I40" s="570"/>
      <c r="J40" s="570"/>
      <c r="K40" s="570"/>
      <c r="L40" s="570">
        <f t="shared" si="0"/>
        <v>0</v>
      </c>
      <c r="M40" s="568"/>
      <c r="N40" s="568"/>
    </row>
    <row r="41" spans="1:18">
      <c r="A41" s="575" t="s">
        <v>534</v>
      </c>
      <c r="B41" s="573"/>
      <c r="C41" s="573"/>
      <c r="D41" s="578"/>
      <c r="E41" s="579"/>
      <c r="F41" s="579"/>
      <c r="G41" s="579"/>
      <c r="H41" s="844">
        <f>Report!T74*'Input Tax Rate'!$B$36</f>
        <v>-3904.2560675898503</v>
      </c>
      <c r="I41" s="580"/>
      <c r="J41" s="845">
        <f>Report!T74*'Input Tax Rate'!$B$37</f>
        <v>-12505.248832410149</v>
      </c>
      <c r="K41" s="580"/>
      <c r="L41" s="580">
        <f t="shared" si="0"/>
        <v>-16409.5049</v>
      </c>
      <c r="M41" s="571"/>
      <c r="N41" s="571"/>
    </row>
    <row r="42" spans="1:18">
      <c r="A42" s="557"/>
      <c r="B42" s="557"/>
      <c r="C42" s="557"/>
      <c r="D42" s="581"/>
      <c r="E42" s="581"/>
      <c r="F42" s="581"/>
      <c r="G42" s="581"/>
      <c r="H42" s="581"/>
      <c r="I42" s="581"/>
      <c r="J42" s="581"/>
      <c r="K42" s="581"/>
      <c r="L42" s="581"/>
      <c r="M42" s="568"/>
      <c r="N42" s="568"/>
    </row>
    <row r="43" spans="1:18">
      <c r="A43" s="557" t="s">
        <v>90</v>
      </c>
      <c r="B43" s="557"/>
      <c r="C43" s="557"/>
      <c r="D43" s="568">
        <f t="shared" ref="D43:L43" si="1">SUM(D14:D41)</f>
        <v>-4165.5143329702842</v>
      </c>
      <c r="E43" s="568">
        <f t="shared" si="1"/>
        <v>-2692.484692307693</v>
      </c>
      <c r="F43" s="568">
        <f t="shared" si="1"/>
        <v>0</v>
      </c>
      <c r="G43" s="568">
        <f t="shared" si="1"/>
        <v>-1356.9148539828523</v>
      </c>
      <c r="H43" s="568">
        <f t="shared" si="1"/>
        <v>-5097.1036001464363</v>
      </c>
      <c r="I43" s="568">
        <f t="shared" si="1"/>
        <v>0</v>
      </c>
      <c r="J43" s="568">
        <f t="shared" si="1"/>
        <v>-88287.650463179365</v>
      </c>
      <c r="K43" s="568">
        <f t="shared" si="1"/>
        <v>-14061.299572811913</v>
      </c>
      <c r="L43" s="568">
        <f t="shared" si="1"/>
        <v>-115660.96751539854</v>
      </c>
      <c r="M43" s="568"/>
      <c r="N43" s="568"/>
    </row>
    <row r="44" spans="1:18">
      <c r="D44" s="571"/>
      <c r="E44" s="571"/>
      <c r="F44" s="571"/>
      <c r="G44" s="571"/>
      <c r="H44" s="571"/>
      <c r="I44" s="571"/>
      <c r="J44" s="571"/>
      <c r="K44" s="571"/>
      <c r="L44" s="571"/>
      <c r="M44" s="571"/>
      <c r="N44" s="571"/>
    </row>
    <row r="45" spans="1:18" ht="13.5" thickBot="1">
      <c r="A45" s="557" t="s">
        <v>91</v>
      </c>
      <c r="B45" s="557"/>
      <c r="C45" s="557"/>
      <c r="D45" s="568"/>
      <c r="E45" s="568"/>
      <c r="F45" s="568"/>
      <c r="G45" s="568"/>
      <c r="H45" s="568"/>
      <c r="I45" s="568"/>
      <c r="J45" s="568"/>
      <c r="K45" s="568"/>
      <c r="L45" s="582">
        <f>SUM(L10:L42)</f>
        <v>1488129.8409115239</v>
      </c>
      <c r="M45" s="568"/>
      <c r="N45" s="568">
        <f>+Report!T83</f>
        <v>1488129.8409115241</v>
      </c>
      <c r="O45" s="554" t="s">
        <v>324</v>
      </c>
    </row>
    <row r="46" spans="1:18" ht="14.25" thickTop="1" thickBot="1">
      <c r="A46" s="557"/>
      <c r="B46" s="557"/>
      <c r="C46" s="557"/>
      <c r="D46" s="568"/>
      <c r="E46" s="568"/>
      <c r="F46" s="568"/>
      <c r="G46" s="568"/>
      <c r="H46" s="568"/>
      <c r="I46" s="568"/>
      <c r="J46" s="568"/>
      <c r="K46" s="568"/>
      <c r="L46" s="581"/>
      <c r="M46" s="568"/>
      <c r="N46" s="583">
        <f>+L45-N45</f>
        <v>0</v>
      </c>
      <c r="O46" s="554" t="s">
        <v>325</v>
      </c>
    </row>
    <row r="47" spans="1:18">
      <c r="O47" s="17" t="s">
        <v>2702</v>
      </c>
    </row>
    <row r="49" spans="1:14">
      <c r="A49" s="584"/>
      <c r="B49" s="584"/>
      <c r="C49" s="584"/>
      <c r="D49" s="584"/>
      <c r="E49" s="584"/>
      <c r="F49" s="584"/>
      <c r="G49" s="584"/>
      <c r="H49" s="584"/>
      <c r="I49" s="584"/>
      <c r="J49" s="584"/>
      <c r="K49" s="584"/>
      <c r="L49" s="584"/>
      <c r="M49" s="584"/>
      <c r="N49" s="584"/>
    </row>
    <row r="51" spans="1:14">
      <c r="A51" s="557"/>
      <c r="B51" s="1053" t="str">
        <f>+Report!A3</f>
        <v>December 2021</v>
      </c>
      <c r="C51" s="585" t="str">
        <f>+Report!$A$3</f>
        <v>December 2021</v>
      </c>
    </row>
    <row r="52" spans="1:14">
      <c r="A52" s="557"/>
      <c r="B52" s="1052" t="s">
        <v>2516</v>
      </c>
      <c r="C52" s="586" t="s">
        <v>2515</v>
      </c>
    </row>
    <row r="53" spans="1:14" ht="15">
      <c r="B53" s="587" t="s">
        <v>214</v>
      </c>
      <c r="C53" s="588" t="s">
        <v>215</v>
      </c>
    </row>
    <row r="54" spans="1:14" ht="15.75">
      <c r="A54" s="589"/>
      <c r="B54" s="590"/>
      <c r="C54" s="591"/>
    </row>
    <row r="55" spans="1:14" ht="15">
      <c r="A55" s="567" t="s">
        <v>216</v>
      </c>
      <c r="B55" s="591"/>
      <c r="C55" s="591"/>
      <c r="I55" s="561"/>
      <c r="J55" s="561"/>
    </row>
    <row r="56" spans="1:14" ht="15">
      <c r="A56" s="573" t="s">
        <v>217</v>
      </c>
      <c r="B56" s="592"/>
      <c r="C56" s="593"/>
      <c r="I56" s="562"/>
      <c r="J56" s="562"/>
      <c r="K56" s="562"/>
      <c r="L56" s="557"/>
      <c r="M56" s="557"/>
    </row>
    <row r="57" spans="1:14" ht="15">
      <c r="A57" s="573" t="s">
        <v>218</v>
      </c>
      <c r="B57" s="595">
        <f>(+'Bal Sheet'!ES10)</f>
        <v>2478715.9542</v>
      </c>
      <c r="C57" s="595">
        <f>(+'Bal Sheet'!ET10)</f>
        <v>2325440.9463230767</v>
      </c>
      <c r="I57" s="564"/>
      <c r="J57" s="564"/>
      <c r="K57" s="564"/>
      <c r="L57" s="557"/>
      <c r="M57" s="557"/>
    </row>
    <row r="58" spans="1:14" ht="15">
      <c r="A58" s="573" t="s">
        <v>219</v>
      </c>
      <c r="B58" s="595">
        <f>(+'Bal Sheet'!ES11)</f>
        <v>1939.5515500000001</v>
      </c>
      <c r="C58" s="595">
        <f>(+'Bal Sheet'!ET11)</f>
        <v>1939.5515500000001</v>
      </c>
      <c r="I58" s="568"/>
      <c r="J58" s="568"/>
      <c r="K58" s="568"/>
      <c r="L58" s="568"/>
      <c r="M58" s="568"/>
    </row>
    <row r="59" spans="1:14" ht="15">
      <c r="A59" s="573" t="s">
        <v>4</v>
      </c>
      <c r="B59" s="596">
        <f>(+'Bal Sheet'!ES12)</f>
        <v>147483.84961</v>
      </c>
      <c r="C59" s="596">
        <f>(+'Bal Sheet'!ET12)</f>
        <v>148987.10805076922</v>
      </c>
      <c r="I59" s="571"/>
      <c r="J59" s="571"/>
      <c r="K59" s="571"/>
      <c r="L59" s="571"/>
      <c r="M59" s="571"/>
    </row>
    <row r="60" spans="1:14" ht="15">
      <c r="A60" s="591" t="s">
        <v>220</v>
      </c>
      <c r="B60" s="597">
        <f>(+'Bal Sheet'!ES13)</f>
        <v>5031.8972400000002</v>
      </c>
      <c r="C60" s="597">
        <f>(+'Bal Sheet'!ET13)</f>
        <v>5031.8972399999993</v>
      </c>
      <c r="I60" s="571"/>
      <c r="J60" s="571"/>
      <c r="K60" s="571"/>
      <c r="L60" s="571"/>
      <c r="M60" s="571"/>
    </row>
    <row r="61" spans="1:14" ht="15">
      <c r="A61" s="573"/>
      <c r="B61" s="595"/>
      <c r="C61" s="595"/>
      <c r="I61" s="571"/>
      <c r="J61" s="571"/>
      <c r="K61" s="571"/>
      <c r="L61" s="571"/>
      <c r="M61" s="571"/>
    </row>
    <row r="62" spans="1:14" ht="15">
      <c r="A62" s="573" t="s">
        <v>221</v>
      </c>
      <c r="B62" s="596">
        <f>SUM(B57:B60)</f>
        <v>2633171.2525999998</v>
      </c>
      <c r="C62" s="596">
        <f>SUM(C57:C60)</f>
        <v>2481399.5031638457</v>
      </c>
      <c r="I62" s="568"/>
      <c r="J62" s="568"/>
      <c r="K62" s="568"/>
      <c r="L62" s="568"/>
      <c r="M62" s="568"/>
    </row>
    <row r="63" spans="1:14" ht="15">
      <c r="A63" s="573" t="s">
        <v>222</v>
      </c>
      <c r="B63" s="597">
        <f>(+'Bal Sheet'!ES15)</f>
        <v>-854647.54587999999</v>
      </c>
      <c r="C63" s="597">
        <f>(+'Bal Sheet'!ET15)</f>
        <v>-833092.27203461528</v>
      </c>
      <c r="I63" s="568"/>
      <c r="J63" s="568"/>
      <c r="K63" s="568"/>
      <c r="L63" s="568"/>
      <c r="M63" s="568"/>
    </row>
    <row r="64" spans="1:14" ht="15">
      <c r="A64" s="573"/>
      <c r="B64" s="595"/>
      <c r="C64" s="595"/>
      <c r="I64" s="568"/>
      <c r="J64" s="568"/>
      <c r="K64" s="568"/>
      <c r="L64" s="568"/>
      <c r="M64" s="568"/>
    </row>
    <row r="65" spans="1:13" ht="15">
      <c r="A65" s="591" t="s">
        <v>223</v>
      </c>
      <c r="B65" s="595">
        <f>+B62+B63</f>
        <v>1778523.7067199997</v>
      </c>
      <c r="C65" s="595">
        <f>+C62+C63</f>
        <v>1648307.2311292305</v>
      </c>
      <c r="I65" s="568"/>
      <c r="J65" s="568"/>
      <c r="K65" s="568"/>
      <c r="L65" s="568"/>
      <c r="M65" s="568"/>
    </row>
    <row r="66" spans="1:13" ht="15">
      <c r="A66" s="573"/>
      <c r="B66" s="595"/>
      <c r="C66" s="595"/>
      <c r="I66" s="568"/>
      <c r="J66" s="568"/>
      <c r="K66" s="568"/>
      <c r="L66" s="568"/>
      <c r="M66" s="568"/>
    </row>
    <row r="67" spans="1:13" ht="15">
      <c r="A67" s="573" t="s">
        <v>224</v>
      </c>
      <c r="B67" s="595">
        <f>(+'Bal Sheet'!ES18)</f>
        <v>1027.7767200000001</v>
      </c>
      <c r="C67" s="595">
        <f>(+'Bal Sheet'!ET18)</f>
        <v>1150.2333407692308</v>
      </c>
      <c r="I67" s="568"/>
      <c r="J67" s="568"/>
      <c r="K67" s="568"/>
      <c r="L67" s="568"/>
      <c r="M67" s="568"/>
    </row>
    <row r="68" spans="1:13" ht="15">
      <c r="A68" s="573" t="s">
        <v>225</v>
      </c>
      <c r="B68" s="596">
        <f>(+'Bal Sheet'!ES19)</f>
        <v>0</v>
      </c>
      <c r="C68" s="596">
        <f>(+'Bal Sheet'!ET19)</f>
        <v>0</v>
      </c>
      <c r="I68" s="568"/>
      <c r="J68" s="568"/>
      <c r="K68" s="568"/>
      <c r="L68" s="568"/>
      <c r="M68" s="568"/>
    </row>
    <row r="69" spans="1:13" ht="15">
      <c r="A69" s="573" t="s">
        <v>226</v>
      </c>
      <c r="B69" s="597">
        <f>(+'Bal Sheet'!ES20)</f>
        <v>0</v>
      </c>
      <c r="C69" s="597">
        <f>(+'Bal Sheet'!ET20)</f>
        <v>0</v>
      </c>
      <c r="I69" s="568"/>
      <c r="J69" s="568"/>
      <c r="K69" s="568"/>
      <c r="L69" s="568"/>
      <c r="M69" s="568"/>
    </row>
    <row r="70" spans="1:13" ht="15">
      <c r="A70" s="573"/>
      <c r="B70" s="595"/>
      <c r="C70" s="595"/>
      <c r="I70" s="568"/>
      <c r="J70" s="568"/>
      <c r="K70" s="568"/>
      <c r="L70" s="568"/>
      <c r="M70" s="568"/>
    </row>
    <row r="71" spans="1:13" ht="15">
      <c r="A71" s="598" t="s">
        <v>227</v>
      </c>
      <c r="B71" s="595">
        <f>SUM(B67:B69)</f>
        <v>1027.7767200000001</v>
      </c>
      <c r="C71" s="595">
        <f>SUM(C67:C69)</f>
        <v>1150.2333407692308</v>
      </c>
      <c r="I71" s="568"/>
      <c r="J71" s="568"/>
      <c r="K71" s="568"/>
      <c r="L71" s="568"/>
      <c r="M71" s="568"/>
    </row>
    <row r="72" spans="1:13" ht="15">
      <c r="A72" s="573" t="s">
        <v>228</v>
      </c>
      <c r="B72" s="595"/>
      <c r="C72" s="595"/>
      <c r="I72" s="568"/>
      <c r="J72" s="568"/>
      <c r="K72" s="568"/>
      <c r="L72" s="568"/>
      <c r="M72" s="568"/>
    </row>
    <row r="73" spans="1:13" ht="15">
      <c r="A73" s="573" t="s">
        <v>229</v>
      </c>
      <c r="B73" s="595">
        <f>(+'Bal Sheet'!ES24)</f>
        <v>2104.29709</v>
      </c>
      <c r="C73" s="595">
        <f>(+'Bal Sheet'!ET24)</f>
        <v>-5589.6985323076933</v>
      </c>
      <c r="I73" s="568"/>
      <c r="J73" s="568"/>
      <c r="K73" s="568"/>
      <c r="L73" s="568"/>
      <c r="M73" s="568"/>
    </row>
    <row r="74" spans="1:13" ht="15">
      <c r="A74" s="573" t="s">
        <v>230</v>
      </c>
      <c r="B74" s="595">
        <f>(+'Bal Sheet'!ES25)</f>
        <v>0</v>
      </c>
      <c r="C74" s="595">
        <f>(+'Bal Sheet'!ET25)</f>
        <v>0</v>
      </c>
      <c r="I74" s="568"/>
      <c r="J74" s="568"/>
      <c r="K74" s="568"/>
      <c r="L74" s="568"/>
      <c r="M74" s="568"/>
    </row>
    <row r="75" spans="1:13" ht="15">
      <c r="A75" s="573" t="s">
        <v>231</v>
      </c>
      <c r="B75" s="595">
        <f>(+'Bal Sheet'!ES26)</f>
        <v>25</v>
      </c>
      <c r="C75" s="595">
        <f>(+'Bal Sheet'!ET26)</f>
        <v>25</v>
      </c>
      <c r="I75" s="568"/>
      <c r="J75" s="568"/>
      <c r="K75" s="568"/>
      <c r="L75" s="568"/>
      <c r="M75" s="599"/>
    </row>
    <row r="76" spans="1:13" ht="15">
      <c r="A76" s="573" t="s">
        <v>232</v>
      </c>
      <c r="B76" s="595">
        <f>(+'Bal Sheet'!ES27)</f>
        <v>2.95</v>
      </c>
      <c r="C76" s="595">
        <f>(+'Bal Sheet'!ET27)</f>
        <v>2.95</v>
      </c>
      <c r="I76" s="568"/>
      <c r="J76" s="568"/>
      <c r="K76" s="568"/>
      <c r="L76" s="568"/>
      <c r="M76" s="568"/>
    </row>
    <row r="77" spans="1:13" ht="15">
      <c r="A77" s="573" t="s">
        <v>233</v>
      </c>
      <c r="B77" s="595">
        <f>(+'Bal Sheet'!ES28)</f>
        <v>0</v>
      </c>
      <c r="C77" s="595">
        <f>(+'Bal Sheet'!ET28)</f>
        <v>0</v>
      </c>
      <c r="I77" s="568"/>
      <c r="J77" s="568"/>
      <c r="K77" s="568"/>
      <c r="L77" s="568"/>
      <c r="M77" s="568"/>
    </row>
    <row r="78" spans="1:13" ht="15">
      <c r="A78" s="573" t="s">
        <v>234</v>
      </c>
      <c r="B78" s="595">
        <f>(+'Bal Sheet'!ES29)</f>
        <v>34889.403490000004</v>
      </c>
      <c r="C78" s="595">
        <f>(+'Bal Sheet'!ET29)</f>
        <v>32611.98690923076</v>
      </c>
      <c r="I78" s="568"/>
      <c r="J78" s="568"/>
      <c r="K78" s="568"/>
      <c r="L78" s="568"/>
      <c r="M78" s="568"/>
    </row>
    <row r="79" spans="1:13" ht="15">
      <c r="A79" s="573" t="s">
        <v>235</v>
      </c>
      <c r="B79" s="595">
        <f>(+'Bal Sheet'!ES30)</f>
        <v>4473.6198099999992</v>
      </c>
      <c r="C79" s="595">
        <f>(+'Bal Sheet'!ET30)</f>
        <v>719.62726615384599</v>
      </c>
      <c r="I79" s="568"/>
      <c r="J79" s="568"/>
      <c r="K79" s="568"/>
      <c r="L79" s="568"/>
      <c r="M79" s="568"/>
    </row>
    <row r="80" spans="1:13" ht="15">
      <c r="A80" s="573" t="s">
        <v>236</v>
      </c>
      <c r="B80" s="595">
        <f>(+'Bal Sheet'!ES31)</f>
        <v>-1399.5217299999999</v>
      </c>
      <c r="C80" s="595">
        <f>(+'Bal Sheet'!ET31)</f>
        <v>-1274.3423323076922</v>
      </c>
      <c r="I80" s="568"/>
      <c r="J80" s="600"/>
      <c r="K80" s="568"/>
      <c r="L80" s="568"/>
      <c r="M80" s="568"/>
    </row>
    <row r="81" spans="1:14" ht="15">
      <c r="A81" s="573" t="s">
        <v>237</v>
      </c>
      <c r="B81" s="595">
        <f>(+'Bal Sheet'!ES32)</f>
        <v>9985.2147299999997</v>
      </c>
      <c r="C81" s="595">
        <f>(+'Bal Sheet'!ET32)</f>
        <v>9869.4890892307703</v>
      </c>
      <c r="I81" s="568"/>
      <c r="J81" s="568"/>
      <c r="K81" s="568"/>
      <c r="L81" s="568"/>
      <c r="M81" s="568"/>
    </row>
    <row r="82" spans="1:14" ht="15">
      <c r="A82" s="573" t="s">
        <v>238</v>
      </c>
      <c r="B82" s="595">
        <f>(+'Bal Sheet'!ES33)</f>
        <v>828.79310999999996</v>
      </c>
      <c r="C82" s="595">
        <f>(+'Bal Sheet'!ET33)</f>
        <v>1388.0251230769229</v>
      </c>
      <c r="I82" s="568"/>
      <c r="J82" s="568"/>
      <c r="K82" s="568"/>
      <c r="L82" s="568"/>
      <c r="M82" s="568"/>
    </row>
    <row r="83" spans="1:14" ht="15">
      <c r="A83" s="573" t="s">
        <v>239</v>
      </c>
      <c r="B83" s="595">
        <f>(+'Bal Sheet'!ES34+'Bal Sheet'!ES35)</f>
        <v>3499.7440800000004</v>
      </c>
      <c r="C83" s="595">
        <f>(+'Bal Sheet'!ET34+'Bal Sheet'!ET35)</f>
        <v>3801.8913284615383</v>
      </c>
      <c r="I83" s="568"/>
      <c r="J83" s="568"/>
      <c r="K83" s="568"/>
      <c r="L83" s="568"/>
      <c r="M83" s="568"/>
    </row>
    <row r="84" spans="1:14" ht="15">
      <c r="A84" s="573" t="s">
        <v>240</v>
      </c>
      <c r="B84" s="595">
        <f>(+'Bal Sheet'!ES36)</f>
        <v>0</v>
      </c>
      <c r="C84" s="595">
        <f>(+'Bal Sheet'!ET36)</f>
        <v>0</v>
      </c>
      <c r="I84" s="568"/>
      <c r="J84" s="568"/>
      <c r="K84" s="568"/>
      <c r="L84" s="568"/>
      <c r="M84" s="568"/>
    </row>
    <row r="85" spans="1:14" ht="15">
      <c r="A85" s="573" t="s">
        <v>241</v>
      </c>
      <c r="B85" s="595">
        <f>(+'Bal Sheet'!ES37)</f>
        <v>0</v>
      </c>
      <c r="C85" s="595">
        <f>(+'Bal Sheet'!ET37)</f>
        <v>0</v>
      </c>
      <c r="I85" s="568"/>
      <c r="J85" s="568"/>
      <c r="K85" s="568"/>
      <c r="L85" s="568"/>
      <c r="M85" s="568"/>
    </row>
    <row r="86" spans="1:14" ht="15">
      <c r="A86" s="573" t="s">
        <v>242</v>
      </c>
      <c r="B86" s="595">
        <f>(+'Bal Sheet'!ES38)</f>
        <v>3413.03042</v>
      </c>
      <c r="C86" s="595">
        <f>(+'Bal Sheet'!ET38)</f>
        <v>3097.3689969230768</v>
      </c>
      <c r="I86" s="568"/>
      <c r="J86" s="568"/>
      <c r="K86" s="568"/>
      <c r="L86" s="568"/>
      <c r="M86" s="568"/>
    </row>
    <row r="87" spans="1:14" ht="15">
      <c r="A87" s="573" t="s">
        <v>243</v>
      </c>
      <c r="B87" s="596">
        <f>(+'Bal Sheet'!ES39)</f>
        <v>20933.310990000002</v>
      </c>
      <c r="C87" s="596">
        <f>(+'Bal Sheet'!ET39)</f>
        <v>17989.610126153846</v>
      </c>
      <c r="I87" s="568"/>
      <c r="J87" s="601"/>
      <c r="K87" s="568"/>
      <c r="L87" s="568"/>
      <c r="M87" s="568"/>
    </row>
    <row r="88" spans="1:14" ht="15">
      <c r="A88" s="573" t="s">
        <v>244</v>
      </c>
      <c r="B88" s="597">
        <f>(+'Bal Sheet'!ES40)</f>
        <v>0</v>
      </c>
      <c r="C88" s="597">
        <f>(+'Bal Sheet'!ET40)</f>
        <v>0</v>
      </c>
      <c r="I88" s="571"/>
      <c r="J88" s="571"/>
      <c r="K88" s="571"/>
      <c r="L88" s="571"/>
      <c r="M88" s="571"/>
    </row>
    <row r="89" spans="1:14" ht="15">
      <c r="A89" s="573"/>
      <c r="B89" s="595"/>
      <c r="C89" s="595"/>
      <c r="I89" s="568"/>
      <c r="J89" s="568"/>
      <c r="K89" s="568"/>
      <c r="L89" s="568"/>
      <c r="M89" s="568"/>
      <c r="N89" s="568"/>
    </row>
    <row r="90" spans="1:14" ht="15">
      <c r="A90" s="598" t="s">
        <v>245</v>
      </c>
      <c r="B90" s="595">
        <f>SUM(B73:B88)</f>
        <v>78755.841990000001</v>
      </c>
      <c r="C90" s="595">
        <f>SUM(C73:C88)</f>
        <v>62641.907974615373</v>
      </c>
      <c r="I90" s="568"/>
      <c r="J90" s="568"/>
      <c r="K90" s="568"/>
      <c r="L90" s="568"/>
      <c r="M90" s="568"/>
      <c r="N90" s="568"/>
    </row>
    <row r="91" spans="1:14" ht="15">
      <c r="A91" s="573" t="s">
        <v>246</v>
      </c>
      <c r="B91" s="595"/>
      <c r="C91" s="595"/>
      <c r="I91" s="568"/>
      <c r="J91" s="568"/>
      <c r="K91" s="568"/>
      <c r="L91" s="568"/>
      <c r="M91" s="568"/>
      <c r="N91" s="568"/>
    </row>
    <row r="92" spans="1:14" ht="15">
      <c r="A92" s="573" t="s">
        <v>247</v>
      </c>
      <c r="B92" s="595">
        <f>(+'Bal Sheet'!ES44)</f>
        <v>4248.9452799999999</v>
      </c>
      <c r="C92" s="595">
        <f>(+'Bal Sheet'!ET44)</f>
        <v>3748.4481515384609</v>
      </c>
      <c r="I92" s="568"/>
      <c r="J92" s="568"/>
      <c r="K92" s="568"/>
      <c r="L92" s="568"/>
      <c r="M92" s="568"/>
      <c r="N92" s="568"/>
    </row>
    <row r="93" spans="1:14" ht="15">
      <c r="A93" s="573" t="s">
        <v>248</v>
      </c>
      <c r="B93" s="595">
        <f>(+'Bal Sheet'!ES45)</f>
        <v>58824.206109999999</v>
      </c>
      <c r="C93" s="595">
        <f>(+'Bal Sheet'!ET45)</f>
        <v>58855.472603076923</v>
      </c>
      <c r="I93" s="568"/>
      <c r="J93" s="568"/>
      <c r="K93" s="568"/>
      <c r="L93" s="568"/>
      <c r="M93" s="568"/>
      <c r="N93" s="568"/>
    </row>
    <row r="94" spans="1:14" ht="15">
      <c r="A94" s="573" t="s">
        <v>249</v>
      </c>
      <c r="B94" s="595">
        <f>(+'Bal Sheet'!ES46)</f>
        <v>0</v>
      </c>
      <c r="C94" s="595">
        <f>(+'Bal Sheet'!ET46)</f>
        <v>0</v>
      </c>
      <c r="I94" s="568"/>
      <c r="J94" s="568"/>
      <c r="K94" s="568"/>
      <c r="L94" s="568"/>
      <c r="M94" s="568"/>
      <c r="N94" s="568"/>
    </row>
    <row r="95" spans="1:14" ht="15">
      <c r="A95" s="573" t="s">
        <v>250</v>
      </c>
      <c r="B95" s="595">
        <f>(+'Bal Sheet'!ES47)</f>
        <v>54783.441789999997</v>
      </c>
      <c r="C95" s="595">
        <f>(+'Bal Sheet'!ET47)</f>
        <v>62823.505099999995</v>
      </c>
      <c r="I95" s="568"/>
      <c r="J95" s="568"/>
      <c r="K95" s="568"/>
      <c r="L95" s="568"/>
      <c r="M95" s="568"/>
      <c r="N95" s="568"/>
    </row>
    <row r="96" spans="1:14" ht="15">
      <c r="A96" s="780" t="s">
        <v>1831</v>
      </c>
      <c r="B96" s="595">
        <f>(+'Bal Sheet'!ES48)</f>
        <v>601.75800000000004</v>
      </c>
      <c r="C96" s="595">
        <f>(+'Bal Sheet'!ET48)</f>
        <v>546.88146153846151</v>
      </c>
      <c r="I96" s="568"/>
      <c r="J96" s="568"/>
      <c r="K96" s="568"/>
      <c r="L96" s="568"/>
      <c r="M96" s="568"/>
      <c r="N96" s="568"/>
    </row>
    <row r="97" spans="1:14" ht="15">
      <c r="A97" s="780" t="s">
        <v>1832</v>
      </c>
      <c r="B97" s="595">
        <f>(+'Bal Sheet'!ES49)</f>
        <v>563.79399999999998</v>
      </c>
      <c r="C97" s="595">
        <f>(+'Bal Sheet'!ET49)</f>
        <v>2145.6032307692312</v>
      </c>
      <c r="I97" s="568"/>
      <c r="J97" s="568"/>
      <c r="K97" s="568"/>
      <c r="L97" s="568"/>
      <c r="M97" s="568"/>
      <c r="N97" s="568"/>
    </row>
    <row r="98" spans="1:14" ht="15">
      <c r="A98" s="573" t="s">
        <v>251</v>
      </c>
      <c r="B98" s="595">
        <f>(+'Bal Sheet'!ES50)</f>
        <v>0</v>
      </c>
      <c r="C98" s="595">
        <f>(+'Bal Sheet'!ET50)</f>
        <v>0</v>
      </c>
    </row>
    <row r="99" spans="1:14" ht="15">
      <c r="A99" s="573" t="s">
        <v>252</v>
      </c>
      <c r="B99" s="595">
        <f>(+'Bal Sheet'!ES51)</f>
        <v>846.95283999999992</v>
      </c>
      <c r="C99" s="595">
        <f>(+'Bal Sheet'!ET51)</f>
        <v>1052.6875738461536</v>
      </c>
    </row>
    <row r="100" spans="1:14" ht="15">
      <c r="A100" s="573" t="s">
        <v>253</v>
      </c>
      <c r="B100" s="596">
        <f>(+'Bal Sheet'!ES52)</f>
        <v>12048.953949999999</v>
      </c>
      <c r="C100" s="596">
        <f>(+'Bal Sheet'!ET52)</f>
        <v>-938.2624415384621</v>
      </c>
    </row>
    <row r="101" spans="1:14" ht="15">
      <c r="A101" s="573" t="s">
        <v>477</v>
      </c>
      <c r="B101" s="597">
        <f>(+'Bal Sheet'!ES53)</f>
        <v>0</v>
      </c>
      <c r="C101" s="597">
        <f>(+'Bal Sheet'!ET53)</f>
        <v>0</v>
      </c>
    </row>
    <row r="102" spans="1:14" ht="15">
      <c r="A102" s="573"/>
      <c r="B102" s="596"/>
      <c r="C102" s="596"/>
    </row>
    <row r="103" spans="1:14" ht="15">
      <c r="A103" s="591" t="s">
        <v>254</v>
      </c>
      <c r="B103" s="602">
        <f>SUM(B92:B101)</f>
        <v>131918.05197</v>
      </c>
      <c r="C103" s="602">
        <f>SUM(C92:C101)</f>
        <v>128234.33567923076</v>
      </c>
    </row>
    <row r="104" spans="1:14" ht="15.75" thickBot="1">
      <c r="A104" s="573"/>
      <c r="B104" s="603"/>
      <c r="C104" s="603"/>
    </row>
    <row r="105" spans="1:14" ht="16.5" thickTop="1" thickBot="1">
      <c r="A105" s="591" t="s">
        <v>255</v>
      </c>
      <c r="B105" s="603">
        <f>+B65+B71+B90+B103</f>
        <v>1990225.3773999996</v>
      </c>
      <c r="C105" s="603">
        <f>+C65+C71+C90+C103</f>
        <v>1840333.708123846</v>
      </c>
    </row>
    <row r="106" spans="1:14" ht="15.75" thickTop="1">
      <c r="A106" s="591"/>
      <c r="B106" s="604"/>
      <c r="C106" s="604"/>
    </row>
    <row r="107" spans="1:14" ht="15">
      <c r="A107" s="591"/>
      <c r="B107" s="604"/>
      <c r="C107" s="604"/>
    </row>
    <row r="108" spans="1:14" ht="15.75">
      <c r="A108" s="605"/>
      <c r="B108" s="585"/>
      <c r="C108" s="586" t="str">
        <f>+C51</f>
        <v>December 2021</v>
      </c>
    </row>
    <row r="109" spans="1:14" ht="15">
      <c r="A109" s="591" t="s">
        <v>256</v>
      </c>
      <c r="B109" s="586" t="str">
        <f>B51</f>
        <v>December 2021</v>
      </c>
      <c r="C109" s="586" t="str">
        <f>+C52</f>
        <v>13-month</v>
      </c>
    </row>
    <row r="110" spans="1:14" ht="15">
      <c r="A110" s="598"/>
      <c r="B110" s="606" t="str">
        <f>+B53</f>
        <v>Actual</v>
      </c>
      <c r="C110" s="606" t="str">
        <f>+C53</f>
        <v>Average</v>
      </c>
    </row>
    <row r="111" spans="1:14" ht="15">
      <c r="A111" s="573" t="s">
        <v>257</v>
      </c>
      <c r="B111" s="594"/>
      <c r="C111" s="595"/>
    </row>
    <row r="112" spans="1:14" ht="15">
      <c r="A112" s="573" t="s">
        <v>258</v>
      </c>
      <c r="B112" s="595">
        <f>(+'Bal Sheet'!ES60)</f>
        <v>0</v>
      </c>
      <c r="C112" s="595">
        <f>(+'Bal Sheet'!ET60)</f>
        <v>0</v>
      </c>
    </row>
    <row r="113" spans="1:3" ht="15">
      <c r="A113" s="573" t="s">
        <v>259</v>
      </c>
      <c r="B113" s="595">
        <f>(+'Bal Sheet'!ES61)</f>
        <v>665550.16919000004</v>
      </c>
      <c r="C113" s="595">
        <f>(+'Bal Sheet'!ET61)</f>
        <v>609011.70765153831</v>
      </c>
    </row>
    <row r="114" spans="1:3" ht="15">
      <c r="A114" s="573" t="s">
        <v>260</v>
      </c>
      <c r="B114" s="595">
        <f>(+'Bal Sheet'!ES62)</f>
        <v>120983.76886999999</v>
      </c>
      <c r="C114" s="595">
        <f>(+'Bal Sheet'!ET62)</f>
        <v>120935.66763153845</v>
      </c>
    </row>
    <row r="115" spans="1:3" ht="15">
      <c r="A115" s="591" t="s">
        <v>261</v>
      </c>
      <c r="B115" s="607">
        <f>(+'Bal Sheet'!ES63)</f>
        <v>-299.35821000000004</v>
      </c>
      <c r="C115" s="607">
        <f>(+'Bal Sheet'!ET63)</f>
        <v>-311.67547000000002</v>
      </c>
    </row>
    <row r="116" spans="1:3" ht="15">
      <c r="A116" s="573" t="s">
        <v>7</v>
      </c>
      <c r="B116" s="595"/>
      <c r="C116" s="595"/>
    </row>
    <row r="117" spans="1:3" ht="15">
      <c r="A117" s="591" t="s">
        <v>262</v>
      </c>
      <c r="B117" s="595">
        <f>SUM(B112:B115)</f>
        <v>786234.5798500001</v>
      </c>
      <c r="C117" s="595">
        <f>SUM(C112:C115)</f>
        <v>729635.69981307676</v>
      </c>
    </row>
    <row r="118" spans="1:3" ht="15">
      <c r="A118" s="573" t="s">
        <v>8</v>
      </c>
      <c r="B118" s="595"/>
      <c r="C118" s="595"/>
    </row>
    <row r="119" spans="1:3" ht="15">
      <c r="A119" s="573" t="s">
        <v>263</v>
      </c>
      <c r="B119" s="595">
        <f>(+'Bal Sheet'!ES67)</f>
        <v>0</v>
      </c>
      <c r="C119" s="595">
        <f>(+'Bal Sheet'!ET67)</f>
        <v>0</v>
      </c>
    </row>
    <row r="120" spans="1:3" ht="15">
      <c r="A120" s="573" t="s">
        <v>264</v>
      </c>
      <c r="B120" s="595">
        <f>(+'Bal Sheet'!ES66)</f>
        <v>520000</v>
      </c>
      <c r="C120" s="595">
        <f>(+'Bal Sheet'!ET66)</f>
        <v>484909.49230769236</v>
      </c>
    </row>
    <row r="121" spans="1:3" ht="15">
      <c r="A121" s="573" t="s">
        <v>265</v>
      </c>
      <c r="B121" s="607">
        <f>(+'Bal Sheet'!ES68)</f>
        <v>-1648.7763300000001</v>
      </c>
      <c r="C121" s="607">
        <f>(+'Bal Sheet'!ET68)</f>
        <v>-1549.12554</v>
      </c>
    </row>
    <row r="122" spans="1:3" ht="15">
      <c r="A122" s="573"/>
      <c r="B122" s="608"/>
      <c r="C122" s="608"/>
    </row>
    <row r="123" spans="1:3" ht="15">
      <c r="A123" s="591" t="s">
        <v>266</v>
      </c>
      <c r="B123" s="608">
        <f>SUM(B119:B121)</f>
        <v>518351.22366999998</v>
      </c>
      <c r="C123" s="608">
        <f>SUM(C119:C121)</f>
        <v>483360.36676769238</v>
      </c>
    </row>
    <row r="124" spans="1:3" ht="15">
      <c r="A124" s="573"/>
      <c r="B124" s="596"/>
      <c r="C124" s="596"/>
    </row>
    <row r="125" spans="1:3" ht="15">
      <c r="A125" s="598" t="s">
        <v>267</v>
      </c>
      <c r="B125" s="595">
        <f>+B117+B123</f>
        <v>1304585.8035200001</v>
      </c>
      <c r="C125" s="595">
        <f>+C117+C123</f>
        <v>1212996.0665807691</v>
      </c>
    </row>
    <row r="126" spans="1:3" ht="15">
      <c r="A126" s="573" t="s">
        <v>268</v>
      </c>
      <c r="B126" s="596"/>
      <c r="C126" s="596"/>
    </row>
    <row r="127" spans="1:3" ht="15">
      <c r="A127" s="573" t="s">
        <v>269</v>
      </c>
      <c r="B127" s="596">
        <f>(+'Bal Sheet'!ES74)</f>
        <v>189522.084</v>
      </c>
      <c r="C127" s="596">
        <f>(+'Bal Sheet'!ET74)</f>
        <v>129944.52604307693</v>
      </c>
    </row>
    <row r="128" spans="1:3" ht="15">
      <c r="A128" s="573" t="s">
        <v>270</v>
      </c>
      <c r="B128" s="596">
        <f>(+'Bal Sheet'!ES75)</f>
        <v>73129.695100000026</v>
      </c>
      <c r="C128" s="596">
        <f>(+'Bal Sheet'!ET75)</f>
        <v>67349.150258461537</v>
      </c>
    </row>
    <row r="129" spans="1:3" ht="15">
      <c r="A129" s="573" t="s">
        <v>271</v>
      </c>
      <c r="B129" s="596">
        <f>(+'Bal Sheet'!ES76)</f>
        <v>0</v>
      </c>
      <c r="C129" s="596">
        <f>(+'Bal Sheet'!ET76)</f>
        <v>0</v>
      </c>
    </row>
    <row r="130" spans="1:3" ht="15">
      <c r="A130" s="573" t="s">
        <v>272</v>
      </c>
      <c r="B130" s="596">
        <f>(+'Bal Sheet'!ES77)</f>
        <v>16072.202789999999</v>
      </c>
      <c r="C130" s="596">
        <f>(+'Bal Sheet'!ET77)</f>
        <v>12597.249880769232</v>
      </c>
    </row>
    <row r="131" spans="1:3" ht="15">
      <c r="A131" s="573" t="s">
        <v>273</v>
      </c>
      <c r="B131" s="596">
        <f>(+'Bal Sheet'!ES78)</f>
        <v>604</v>
      </c>
      <c r="C131" s="596">
        <f>(+'Bal Sheet'!ET78)</f>
        <v>590.92307692307691</v>
      </c>
    </row>
    <row r="132" spans="1:3" ht="15">
      <c r="A132" s="573" t="s">
        <v>274</v>
      </c>
      <c r="B132" s="596">
        <f>(+'Bal Sheet'!ES79)</f>
        <v>5474.3132600000008</v>
      </c>
      <c r="C132" s="596">
        <f>(+'Bal Sheet'!ET79)</f>
        <v>10025.914276153844</v>
      </c>
    </row>
    <row r="133" spans="1:3" ht="15">
      <c r="A133" s="573" t="s">
        <v>275</v>
      </c>
      <c r="B133" s="596">
        <f>(+'Bal Sheet'!ES80)</f>
        <v>0</v>
      </c>
      <c r="C133" s="596">
        <f>(+'Bal Sheet'!ET80)</f>
        <v>1832.9043115384616</v>
      </c>
    </row>
    <row r="134" spans="1:3" ht="15">
      <c r="A134" s="573" t="s">
        <v>276</v>
      </c>
      <c r="B134" s="596">
        <f>(+'Bal Sheet'!ES81)</f>
        <v>3091.8601200000003</v>
      </c>
      <c r="C134" s="596">
        <f>(+'Bal Sheet'!ET81)</f>
        <v>4753.1006453846148</v>
      </c>
    </row>
    <row r="135" spans="1:3" ht="15">
      <c r="A135" s="573" t="s">
        <v>277</v>
      </c>
      <c r="B135" s="596">
        <f>(+'Bal Sheet'!ES82)</f>
        <v>0</v>
      </c>
      <c r="C135" s="596">
        <f>(+'Bal Sheet'!ET82)</f>
        <v>2084.3020000000001</v>
      </c>
    </row>
    <row r="136" spans="1:3" ht="15">
      <c r="A136" s="573" t="s">
        <v>278</v>
      </c>
      <c r="B136" s="596">
        <f>(+'Bal Sheet'!ES83)</f>
        <v>1049.8805300000001</v>
      </c>
      <c r="C136" s="596">
        <f>(+'Bal Sheet'!ET83)</f>
        <v>950.98896615384615</v>
      </c>
    </row>
    <row r="137" spans="1:3" ht="15">
      <c r="A137" s="573" t="s">
        <v>279</v>
      </c>
      <c r="B137" s="596">
        <f>(+'Bal Sheet'!ES84)</f>
        <v>51.289389999999997</v>
      </c>
      <c r="C137" s="596">
        <f>(+'Bal Sheet'!ET84)</f>
        <v>46.315002307692303</v>
      </c>
    </row>
    <row r="138" spans="1:3" ht="15">
      <c r="A138" s="783" t="s">
        <v>280</v>
      </c>
      <c r="B138" s="596">
        <f>(+'Bal Sheet'!ES85)</f>
        <v>0</v>
      </c>
      <c r="C138" s="596">
        <f>(+'Bal Sheet'!ET85)</f>
        <v>0</v>
      </c>
    </row>
    <row r="139" spans="1:3" ht="15">
      <c r="A139" s="783" t="s">
        <v>1702</v>
      </c>
      <c r="B139" s="596">
        <f>(+'Bal Sheet'!ES86)</f>
        <v>0</v>
      </c>
      <c r="C139" s="596">
        <f>(+'Bal Sheet'!ET86)</f>
        <v>0</v>
      </c>
    </row>
    <row r="140" spans="1:3" ht="15">
      <c r="A140" s="609" t="s">
        <v>281</v>
      </c>
      <c r="B140" s="596">
        <f>(+'Bal Sheet'!ES87)</f>
        <v>0</v>
      </c>
      <c r="C140" s="596">
        <f>(+'Bal Sheet'!ET87)</f>
        <v>0</v>
      </c>
    </row>
    <row r="141" spans="1:3" ht="15">
      <c r="A141" s="573" t="s">
        <v>473</v>
      </c>
      <c r="B141" s="596">
        <f>(+'Bal Sheet'!ES88)</f>
        <v>0</v>
      </c>
      <c r="C141" s="596">
        <f>(+'Bal Sheet'!ET88)</f>
        <v>0</v>
      </c>
    </row>
    <row r="142" spans="1:3" ht="15">
      <c r="A142" s="591" t="s">
        <v>282</v>
      </c>
      <c r="B142" s="597">
        <f>(+'Bal Sheet'!ES89)+B164</f>
        <v>16245.723090000003</v>
      </c>
      <c r="C142" s="597">
        <f>(+'Bal Sheet'!ET89)+C164</f>
        <v>17159.939034615389</v>
      </c>
    </row>
    <row r="143" spans="1:3" ht="15">
      <c r="A143" s="573"/>
      <c r="B143" s="596"/>
      <c r="C143" s="596"/>
    </row>
    <row r="144" spans="1:3" ht="15">
      <c r="A144" s="598" t="s">
        <v>283</v>
      </c>
      <c r="B144" s="595">
        <f>SUM(B127:B142)</f>
        <v>305241.0482800001</v>
      </c>
      <c r="C144" s="595">
        <f>SUM(C127:C142)</f>
        <v>247335.31349538462</v>
      </c>
    </row>
    <row r="145" spans="1:3" ht="15">
      <c r="A145" s="573" t="s">
        <v>284</v>
      </c>
      <c r="B145" s="596"/>
      <c r="C145" s="596"/>
    </row>
    <row r="146" spans="1:3" ht="15">
      <c r="A146" s="573" t="s">
        <v>285</v>
      </c>
      <c r="B146" s="596">
        <f>(+'Bal Sheet'!ES96)</f>
        <v>211197.86616000003</v>
      </c>
      <c r="C146" s="596">
        <f>(+'Bal Sheet'!ET96)</f>
        <v>200705.21351230776</v>
      </c>
    </row>
    <row r="147" spans="1:3" ht="15">
      <c r="A147" s="479" t="s">
        <v>1852</v>
      </c>
      <c r="B147" s="596">
        <f>(+'Bal Sheet'!ES97)</f>
        <v>88446.090120000008</v>
      </c>
      <c r="C147" s="596">
        <f>(+'Bal Sheet'!ET97)</f>
        <v>92708.599313846164</v>
      </c>
    </row>
    <row r="148" spans="1:3" ht="15">
      <c r="A148" s="573" t="s">
        <v>286</v>
      </c>
      <c r="B148" s="596">
        <f>(+'Bal Sheet'!ES98)</f>
        <v>0</v>
      </c>
      <c r="C148" s="596">
        <f>(+'Bal Sheet'!ET98)</f>
        <v>0</v>
      </c>
    </row>
    <row r="149" spans="1:3" ht="15">
      <c r="A149" s="573" t="s">
        <v>287</v>
      </c>
      <c r="B149" s="596">
        <f>(+'Bal Sheet'!ES94)</f>
        <v>18210.107640000002</v>
      </c>
      <c r="C149" s="596">
        <f>(+'Bal Sheet'!ET94)</f>
        <v>16970.398778461538</v>
      </c>
    </row>
    <row r="150" spans="1:3" ht="15">
      <c r="A150" s="573" t="s">
        <v>288</v>
      </c>
      <c r="B150" s="596">
        <f>(+'Bal Sheet'!ES93)</f>
        <v>26450.409190000002</v>
      </c>
      <c r="C150" s="596">
        <f>(+'Bal Sheet'!ET93)</f>
        <v>25654.63750076923</v>
      </c>
    </row>
    <row r="151" spans="1:3" ht="15">
      <c r="A151" s="591" t="s">
        <v>289</v>
      </c>
      <c r="B151" s="597">
        <f>(+'Bal Sheet'!ES95)</f>
        <v>4140.0796700000001</v>
      </c>
      <c r="C151" s="597">
        <f>(+'Bal Sheet'!ET95)</f>
        <v>4201.1235276923071</v>
      </c>
    </row>
    <row r="152" spans="1:3" ht="15">
      <c r="A152" s="573"/>
      <c r="B152" s="596"/>
      <c r="C152" s="596"/>
    </row>
    <row r="153" spans="1:3" ht="15">
      <c r="A153" s="610" t="s">
        <v>290</v>
      </c>
      <c r="B153" s="595">
        <f>SUM(B146:B151)</f>
        <v>348444.55278000003</v>
      </c>
      <c r="C153" s="595">
        <f>SUM(C146:C151)</f>
        <v>340239.97263307701</v>
      </c>
    </row>
    <row r="154" spans="1:3" ht="15">
      <c r="A154" s="573" t="s">
        <v>291</v>
      </c>
      <c r="B154" s="596"/>
      <c r="C154" s="596"/>
    </row>
    <row r="155" spans="1:3" ht="15">
      <c r="A155" s="573" t="s">
        <v>292</v>
      </c>
      <c r="B155" s="596">
        <f>(+'Bal Sheet'!ES101)</f>
        <v>31953.972819999999</v>
      </c>
      <c r="C155" s="596">
        <f>(+'Bal Sheet'!ET101)</f>
        <v>39762.355414615391</v>
      </c>
    </row>
    <row r="156" spans="1:3" ht="15">
      <c r="A156" s="573" t="s">
        <v>293</v>
      </c>
      <c r="B156" s="608">
        <f>(+'Bal Sheet'!ES102)</f>
        <v>0</v>
      </c>
      <c r="C156" s="608">
        <f>(+'Bal Sheet'!ET102)</f>
        <v>0</v>
      </c>
    </row>
    <row r="157" spans="1:3" ht="15">
      <c r="A157" s="573"/>
      <c r="B157" s="607"/>
      <c r="C157" s="607"/>
    </row>
    <row r="158" spans="1:3" ht="15">
      <c r="A158" s="591" t="s">
        <v>294</v>
      </c>
      <c r="B158" s="608">
        <f>+B155+B156</f>
        <v>31953.972819999999</v>
      </c>
      <c r="C158" s="608">
        <f>+C155+C156</f>
        <v>39762.355414615391</v>
      </c>
    </row>
    <row r="159" spans="1:3" ht="15.75" thickBot="1">
      <c r="A159" s="573"/>
      <c r="B159" s="603"/>
      <c r="C159" s="603"/>
    </row>
    <row r="160" spans="1:3" ht="16.5" thickTop="1" thickBot="1">
      <c r="A160" s="593" t="s">
        <v>295</v>
      </c>
      <c r="B160" s="603">
        <f>+B125+B144+B153+B158</f>
        <v>1990225.3774000003</v>
      </c>
      <c r="C160" s="603">
        <f>+C125+C144+C153+C158</f>
        <v>1840333.7081238462</v>
      </c>
    </row>
    <row r="161" spans="1:13" ht="15.75" thickTop="1">
      <c r="A161" s="611"/>
      <c r="B161" s="612"/>
      <c r="C161" s="612"/>
    </row>
    <row r="162" spans="1:13" ht="15">
      <c r="A162" s="611" t="s">
        <v>422</v>
      </c>
      <c r="B162" s="612">
        <f>+B160-B105</f>
        <v>0</v>
      </c>
      <c r="C162" s="612">
        <f>+C160-C105</f>
        <v>0</v>
      </c>
    </row>
    <row r="163" spans="1:13" ht="15.75">
      <c r="A163" s="611"/>
      <c r="B163" s="613"/>
      <c r="C163" s="613"/>
    </row>
    <row r="164" spans="1:13">
      <c r="A164" s="614" t="s">
        <v>423</v>
      </c>
      <c r="B164" s="615">
        <v>0</v>
      </c>
      <c r="C164" s="615">
        <v>0</v>
      </c>
    </row>
    <row r="169" spans="1:13">
      <c r="A169" s="584"/>
      <c r="B169" s="584"/>
      <c r="C169" s="584"/>
      <c r="D169" s="584"/>
      <c r="E169" s="584"/>
      <c r="F169" s="584"/>
      <c r="G169" s="584"/>
      <c r="H169" s="584"/>
      <c r="I169" s="584"/>
      <c r="J169" s="584"/>
      <c r="K169" s="584"/>
      <c r="L169" s="584"/>
      <c r="M169" s="584"/>
    </row>
    <row r="172" spans="1:13">
      <c r="A172" s="616" t="s">
        <v>19</v>
      </c>
      <c r="B172" s="617" t="s">
        <v>20</v>
      </c>
      <c r="C172" s="617"/>
      <c r="D172" s="569"/>
      <c r="E172" s="618" t="str">
        <f>+Report!A3</f>
        <v>December 2021</v>
      </c>
      <c r="F172" s="569"/>
      <c r="G172" s="569"/>
      <c r="H172" s="569"/>
    </row>
    <row r="173" spans="1:13">
      <c r="A173" s="569"/>
      <c r="B173" s="617"/>
      <c r="C173" s="617"/>
      <c r="D173" s="569"/>
      <c r="E173" s="569"/>
      <c r="F173" s="569"/>
      <c r="G173" s="569"/>
      <c r="H173" s="569"/>
    </row>
    <row r="174" spans="1:13">
      <c r="A174" s="569"/>
      <c r="B174" s="619" t="s">
        <v>3</v>
      </c>
      <c r="C174" s="619" t="s">
        <v>21</v>
      </c>
      <c r="D174" s="569"/>
      <c r="E174" s="569"/>
      <c r="G174" s="620" t="s">
        <v>3</v>
      </c>
      <c r="H174" s="620" t="s">
        <v>21</v>
      </c>
    </row>
    <row r="175" spans="1:13">
      <c r="A175" s="621" t="s">
        <v>22</v>
      </c>
      <c r="B175" s="622" t="s">
        <v>23</v>
      </c>
      <c r="C175" s="622" t="s">
        <v>23</v>
      </c>
      <c r="D175" s="569"/>
      <c r="E175" s="621" t="s">
        <v>22</v>
      </c>
      <c r="G175" s="621" t="s">
        <v>24</v>
      </c>
      <c r="H175" s="621" t="s">
        <v>24</v>
      </c>
    </row>
    <row r="176" spans="1:13">
      <c r="A176" s="569" t="s">
        <v>469</v>
      </c>
      <c r="B176" s="623">
        <f>C67</f>
        <v>1150.2333407692308</v>
      </c>
      <c r="C176" s="623">
        <f>B67</f>
        <v>1027.7767200000001</v>
      </c>
      <c r="D176" s="569"/>
      <c r="E176" s="620"/>
      <c r="G176" s="620"/>
      <c r="H176" s="620"/>
    </row>
    <row r="177" spans="1:9">
      <c r="A177" s="569" t="s">
        <v>25</v>
      </c>
      <c r="B177" s="623">
        <f>C68</f>
        <v>0</v>
      </c>
      <c r="C177" s="623">
        <f>B68</f>
        <v>0</v>
      </c>
      <c r="D177" s="569"/>
      <c r="E177" s="617" t="s">
        <v>209</v>
      </c>
      <c r="G177" s="623">
        <f>C128</f>
        <v>67349.150258461537</v>
      </c>
      <c r="H177" s="623">
        <f>B128</f>
        <v>73129.695100000026</v>
      </c>
      <c r="I177" s="624"/>
    </row>
    <row r="178" spans="1:9">
      <c r="A178" s="569" t="s">
        <v>26</v>
      </c>
      <c r="B178" s="623">
        <f>C69</f>
        <v>0</v>
      </c>
      <c r="C178" s="623">
        <f>B69</f>
        <v>0</v>
      </c>
      <c r="D178" s="569"/>
      <c r="E178" s="617" t="s">
        <v>9</v>
      </c>
      <c r="G178" s="623">
        <f>C129</f>
        <v>0</v>
      </c>
      <c r="H178" s="623">
        <f>B129</f>
        <v>0</v>
      </c>
      <c r="I178" s="624"/>
    </row>
    <row r="179" spans="1:9">
      <c r="A179" s="569" t="s">
        <v>27</v>
      </c>
      <c r="B179" s="623">
        <f t="shared" ref="B179:B194" si="2">C73</f>
        <v>-5589.6985323076933</v>
      </c>
      <c r="C179" s="623">
        <f t="shared" ref="C179:C194" si="3">B73</f>
        <v>2104.29709</v>
      </c>
      <c r="D179" s="569"/>
      <c r="E179" s="617" t="s">
        <v>210</v>
      </c>
      <c r="G179" s="623">
        <f>C130</f>
        <v>12597.249880769232</v>
      </c>
      <c r="H179" s="623">
        <f>B130</f>
        <v>16072.202789999999</v>
      </c>
      <c r="I179" s="624"/>
    </row>
    <row r="180" spans="1:9">
      <c r="A180" s="569" t="s">
        <v>28</v>
      </c>
      <c r="B180" s="623">
        <f t="shared" si="2"/>
        <v>0</v>
      </c>
      <c r="C180" s="623">
        <f t="shared" si="3"/>
        <v>0</v>
      </c>
      <c r="D180" s="569"/>
      <c r="E180" s="617" t="s">
        <v>10</v>
      </c>
      <c r="G180" s="623">
        <f>C132</f>
        <v>10025.914276153844</v>
      </c>
      <c r="H180" s="623">
        <f>B132</f>
        <v>5474.3132600000008</v>
      </c>
      <c r="I180" s="624"/>
    </row>
    <row r="181" spans="1:9">
      <c r="A181" s="569" t="s">
        <v>29</v>
      </c>
      <c r="B181" s="623">
        <f t="shared" si="2"/>
        <v>25</v>
      </c>
      <c r="C181" s="623">
        <f t="shared" si="3"/>
        <v>25</v>
      </c>
      <c r="D181" s="569"/>
      <c r="E181" s="617" t="s">
        <v>11</v>
      </c>
      <c r="G181" s="623">
        <f>C133</f>
        <v>1832.9043115384616</v>
      </c>
      <c r="H181" s="623">
        <f>B133</f>
        <v>0</v>
      </c>
      <c r="I181" s="624"/>
    </row>
    <row r="182" spans="1:9">
      <c r="A182" s="569" t="s">
        <v>30</v>
      </c>
      <c r="B182" s="623">
        <f t="shared" si="2"/>
        <v>2.95</v>
      </c>
      <c r="C182" s="623">
        <f t="shared" si="3"/>
        <v>2.95</v>
      </c>
      <c r="D182" s="569"/>
      <c r="E182" s="617" t="s">
        <v>12</v>
      </c>
      <c r="G182" s="623">
        <f>C134</f>
        <v>4753.1006453846148</v>
      </c>
      <c r="H182" s="623">
        <f>B134</f>
        <v>3091.8601200000003</v>
      </c>
      <c r="I182" s="624"/>
    </row>
    <row r="183" spans="1:9">
      <c r="A183" s="569" t="s">
        <v>31</v>
      </c>
      <c r="B183" s="623">
        <f t="shared" si="2"/>
        <v>0</v>
      </c>
      <c r="C183" s="623">
        <f t="shared" si="3"/>
        <v>0</v>
      </c>
      <c r="D183" s="569"/>
      <c r="E183" s="617" t="s">
        <v>13</v>
      </c>
      <c r="G183" s="623">
        <f>C135</f>
        <v>2084.3020000000001</v>
      </c>
      <c r="H183" s="623">
        <f>B135</f>
        <v>0</v>
      </c>
      <c r="I183" s="624"/>
    </row>
    <row r="184" spans="1:9">
      <c r="A184" s="569" t="s">
        <v>32</v>
      </c>
      <c r="B184" s="623">
        <f t="shared" si="2"/>
        <v>32611.98690923076</v>
      </c>
      <c r="C184" s="623">
        <f t="shared" si="3"/>
        <v>34889.403490000004</v>
      </c>
      <c r="D184" s="569"/>
      <c r="E184" s="617" t="s">
        <v>14</v>
      </c>
      <c r="G184" s="623">
        <f>C136</f>
        <v>950.98896615384615</v>
      </c>
      <c r="H184" s="623">
        <f>B136</f>
        <v>1049.8805300000001</v>
      </c>
      <c r="I184" s="624"/>
    </row>
    <row r="185" spans="1:9">
      <c r="A185" s="569" t="s">
        <v>33</v>
      </c>
      <c r="B185" s="623">
        <f t="shared" si="2"/>
        <v>719.62726615384599</v>
      </c>
      <c r="C185" s="623">
        <f t="shared" si="3"/>
        <v>4473.6198099999992</v>
      </c>
      <c r="D185" s="569"/>
      <c r="E185" s="617" t="s">
        <v>15</v>
      </c>
      <c r="G185" s="623">
        <f>C138</f>
        <v>0</v>
      </c>
      <c r="H185" s="623">
        <f>B138</f>
        <v>0</v>
      </c>
      <c r="I185" s="624"/>
    </row>
    <row r="186" spans="1:9">
      <c r="A186" s="569" t="s">
        <v>34</v>
      </c>
      <c r="B186" s="623">
        <f t="shared" si="2"/>
        <v>-1274.3423323076922</v>
      </c>
      <c r="C186" s="623">
        <f t="shared" si="3"/>
        <v>-1399.5217299999999</v>
      </c>
      <c r="D186" s="569"/>
      <c r="E186" s="617" t="s">
        <v>1705</v>
      </c>
      <c r="G186" s="623">
        <f>C139</f>
        <v>0</v>
      </c>
      <c r="H186" s="623">
        <f>B139</f>
        <v>0</v>
      </c>
      <c r="I186" s="624"/>
    </row>
    <row r="187" spans="1:9">
      <c r="A187" s="569" t="s">
        <v>35</v>
      </c>
      <c r="B187" s="623">
        <f t="shared" si="2"/>
        <v>9869.4890892307703</v>
      </c>
      <c r="C187" s="623">
        <f t="shared" si="3"/>
        <v>9985.2147299999997</v>
      </c>
      <c r="D187" s="569"/>
      <c r="E187" s="569" t="s">
        <v>211</v>
      </c>
      <c r="G187" s="623">
        <f>C140</f>
        <v>0</v>
      </c>
      <c r="H187" s="623">
        <f>B140</f>
        <v>0</v>
      </c>
      <c r="I187" s="624"/>
    </row>
    <row r="188" spans="1:9">
      <c r="A188" s="569" t="s">
        <v>36</v>
      </c>
      <c r="B188" s="623">
        <f t="shared" si="2"/>
        <v>1388.0251230769229</v>
      </c>
      <c r="C188" s="623">
        <f t="shared" si="3"/>
        <v>828.79310999999996</v>
      </c>
      <c r="D188" s="569"/>
      <c r="E188" s="617" t="s">
        <v>16</v>
      </c>
      <c r="G188" s="623">
        <f>C142</f>
        <v>17159.939034615389</v>
      </c>
      <c r="H188" s="623">
        <f>B142</f>
        <v>16245.723090000003</v>
      </c>
      <c r="I188" s="624"/>
    </row>
    <row r="189" spans="1:9">
      <c r="A189" s="569" t="s">
        <v>37</v>
      </c>
      <c r="B189" s="623">
        <f t="shared" si="2"/>
        <v>3801.8913284615383</v>
      </c>
      <c r="C189" s="623">
        <f t="shared" si="3"/>
        <v>3499.7440800000004</v>
      </c>
      <c r="D189" s="569"/>
      <c r="E189" s="617" t="s">
        <v>18</v>
      </c>
      <c r="G189" s="623">
        <f>C151</f>
        <v>4201.1235276923071</v>
      </c>
      <c r="H189" s="623">
        <f>B151</f>
        <v>4140.0796700000001</v>
      </c>
      <c r="I189" s="624"/>
    </row>
    <row r="190" spans="1:9">
      <c r="A190" s="569" t="s">
        <v>38</v>
      </c>
      <c r="B190" s="623">
        <f t="shared" si="2"/>
        <v>0</v>
      </c>
      <c r="C190" s="623">
        <f t="shared" si="3"/>
        <v>0</v>
      </c>
      <c r="D190" s="569"/>
      <c r="E190" s="617" t="s">
        <v>212</v>
      </c>
      <c r="G190" s="623">
        <f>C158</f>
        <v>39762.355414615391</v>
      </c>
      <c r="H190" s="623">
        <f>B158</f>
        <v>31953.972819999999</v>
      </c>
      <c r="I190" s="624"/>
    </row>
    <row r="191" spans="1:9">
      <c r="A191" s="569" t="s">
        <v>39</v>
      </c>
      <c r="B191" s="623">
        <f t="shared" si="2"/>
        <v>0</v>
      </c>
      <c r="C191" s="623">
        <f t="shared" si="3"/>
        <v>0</v>
      </c>
      <c r="D191" s="569"/>
      <c r="E191" s="617" t="s">
        <v>475</v>
      </c>
      <c r="G191" s="623">
        <f>C141</f>
        <v>0</v>
      </c>
      <c r="H191" s="623">
        <f>B141</f>
        <v>0</v>
      </c>
    </row>
    <row r="192" spans="1:9">
      <c r="A192" s="569" t="s">
        <v>40</v>
      </c>
      <c r="B192" s="623">
        <f t="shared" si="2"/>
        <v>3097.3689969230768</v>
      </c>
      <c r="C192" s="623">
        <f t="shared" si="3"/>
        <v>3413.03042</v>
      </c>
      <c r="D192" s="569"/>
      <c r="E192" s="617"/>
      <c r="F192" s="623"/>
      <c r="G192" s="623"/>
      <c r="H192" s="617"/>
    </row>
    <row r="193" spans="1:9">
      <c r="A193" s="569" t="s">
        <v>41</v>
      </c>
      <c r="B193" s="623">
        <f t="shared" si="2"/>
        <v>17989.610126153846</v>
      </c>
      <c r="C193" s="623">
        <f t="shared" si="3"/>
        <v>20933.310990000002</v>
      </c>
      <c r="D193" s="569"/>
      <c r="E193" s="617"/>
      <c r="F193" s="623"/>
      <c r="G193" s="623"/>
      <c r="H193" s="617"/>
    </row>
    <row r="194" spans="1:9">
      <c r="A194" s="569" t="s">
        <v>42</v>
      </c>
      <c r="B194" s="623">
        <f t="shared" si="2"/>
        <v>0</v>
      </c>
      <c r="C194" s="623">
        <f t="shared" si="3"/>
        <v>0</v>
      </c>
      <c r="D194" s="569"/>
      <c r="E194" s="617"/>
      <c r="F194" s="623"/>
      <c r="G194" s="623"/>
      <c r="H194" s="617"/>
    </row>
    <row r="195" spans="1:9">
      <c r="A195" s="569" t="s">
        <v>43</v>
      </c>
      <c r="B195" s="623">
        <f>C92</f>
        <v>3748.4481515384609</v>
      </c>
      <c r="C195" s="623">
        <f>B92</f>
        <v>4248.9452799999999</v>
      </c>
      <c r="D195" s="569"/>
      <c r="E195" s="617"/>
      <c r="F195" s="623"/>
      <c r="G195" s="623"/>
      <c r="H195" s="617"/>
    </row>
    <row r="196" spans="1:9">
      <c r="A196" s="48" t="s">
        <v>1855</v>
      </c>
      <c r="B196" s="623">
        <f>C93*0</f>
        <v>0</v>
      </c>
      <c r="C196" s="623">
        <f>B93*0</f>
        <v>0</v>
      </c>
      <c r="D196" s="569"/>
      <c r="E196" s="569"/>
      <c r="F196" s="623"/>
      <c r="G196" s="623"/>
      <c r="H196" s="617"/>
    </row>
    <row r="197" spans="1:9">
      <c r="A197" s="569" t="s">
        <v>44</v>
      </c>
      <c r="B197" s="623">
        <f t="shared" ref="B197:B204" si="4">C94</f>
        <v>0</v>
      </c>
      <c r="C197" s="623">
        <f t="shared" ref="C197:C204" si="5">B94</f>
        <v>0</v>
      </c>
      <c r="D197" s="569"/>
      <c r="E197" s="617"/>
      <c r="F197" s="623"/>
      <c r="G197" s="623"/>
      <c r="H197" s="617"/>
    </row>
    <row r="198" spans="1:9">
      <c r="A198" s="569" t="s">
        <v>45</v>
      </c>
      <c r="B198" s="623">
        <f t="shared" si="4"/>
        <v>62823.505099999995</v>
      </c>
      <c r="C198" s="623">
        <f t="shared" si="5"/>
        <v>54783.441789999997</v>
      </c>
      <c r="D198" s="569"/>
      <c r="E198" s="617"/>
      <c r="F198" s="623"/>
      <c r="G198" s="623"/>
      <c r="H198" s="617"/>
    </row>
    <row r="199" spans="1:9">
      <c r="A199" s="47" t="s">
        <v>1853</v>
      </c>
      <c r="B199" s="623">
        <f t="shared" si="4"/>
        <v>546.88146153846151</v>
      </c>
      <c r="C199" s="623">
        <f t="shared" si="5"/>
        <v>601.75800000000004</v>
      </c>
      <c r="D199" s="569"/>
      <c r="E199" s="617"/>
      <c r="F199" s="623"/>
      <c r="G199" s="623"/>
      <c r="H199" s="617"/>
    </row>
    <row r="200" spans="1:9">
      <c r="A200" s="47" t="s">
        <v>1854</v>
      </c>
      <c r="B200" s="623">
        <f t="shared" si="4"/>
        <v>2145.6032307692312</v>
      </c>
      <c r="C200" s="623">
        <f t="shared" si="5"/>
        <v>563.79399999999998</v>
      </c>
      <c r="D200" s="569"/>
      <c r="E200" s="617"/>
      <c r="F200" s="623"/>
      <c r="G200" s="623"/>
      <c r="H200" s="617"/>
    </row>
    <row r="201" spans="1:9">
      <c r="A201" s="569" t="s">
        <v>46</v>
      </c>
      <c r="B201" s="623">
        <f t="shared" si="4"/>
        <v>0</v>
      </c>
      <c r="C201" s="623">
        <f t="shared" si="5"/>
        <v>0</v>
      </c>
      <c r="D201" s="569"/>
      <c r="E201" s="573"/>
      <c r="F201" s="625"/>
      <c r="G201" s="625"/>
      <c r="H201" s="626"/>
    </row>
    <row r="202" spans="1:9">
      <c r="A202" s="569" t="s">
        <v>47</v>
      </c>
      <c r="B202" s="623">
        <f t="shared" si="4"/>
        <v>1052.6875738461536</v>
      </c>
      <c r="C202" s="623">
        <f t="shared" si="5"/>
        <v>846.95283999999992</v>
      </c>
      <c r="D202" s="569"/>
      <c r="E202" s="569"/>
      <c r="F202" s="623"/>
      <c r="G202" s="623"/>
      <c r="H202" s="617"/>
    </row>
    <row r="203" spans="1:9">
      <c r="A203" s="569" t="s">
        <v>48</v>
      </c>
      <c r="B203" s="623">
        <f t="shared" si="4"/>
        <v>-938.2624415384621</v>
      </c>
      <c r="C203" s="623">
        <f t="shared" si="5"/>
        <v>12048.953949999999</v>
      </c>
      <c r="D203" s="569"/>
      <c r="E203" s="569"/>
      <c r="F203" s="623"/>
      <c r="G203" s="623"/>
      <c r="H203" s="617"/>
    </row>
    <row r="204" spans="1:9">
      <c r="A204" s="569" t="s">
        <v>478</v>
      </c>
      <c r="B204" s="623">
        <f t="shared" si="4"/>
        <v>0</v>
      </c>
      <c r="C204" s="623">
        <f t="shared" si="5"/>
        <v>0</v>
      </c>
      <c r="D204" s="569"/>
      <c r="F204" s="617"/>
      <c r="G204" s="623"/>
      <c r="H204" s="623"/>
      <c r="I204" s="617"/>
    </row>
    <row r="205" spans="1:9">
      <c r="A205" s="569"/>
      <c r="B205" s="627"/>
      <c r="C205" s="627"/>
      <c r="D205" s="569"/>
      <c r="F205" s="569"/>
      <c r="G205" s="627"/>
      <c r="H205" s="627"/>
      <c r="I205" s="617"/>
    </row>
    <row r="206" spans="1:9" ht="13.5" thickBot="1">
      <c r="A206" s="620" t="s">
        <v>1</v>
      </c>
      <c r="B206" s="628">
        <f>SUM(B176:B204)</f>
        <v>133171.00439153847</v>
      </c>
      <c r="C206" s="628">
        <f>SUM(C176:C204)</f>
        <v>152877.46457000001</v>
      </c>
      <c r="D206" s="569"/>
      <c r="F206" s="620" t="s">
        <v>1</v>
      </c>
      <c r="G206" s="628">
        <f>SUM(G177:G204)</f>
        <v>160717.02831538461</v>
      </c>
      <c r="H206" s="628">
        <f>SUM(H177:H204)</f>
        <v>151157.72738000003</v>
      </c>
      <c r="I206" s="617"/>
    </row>
    <row r="207" spans="1:9" ht="13.5" thickTop="1">
      <c r="A207" s="569"/>
      <c r="B207" s="629"/>
      <c r="C207" s="629"/>
      <c r="D207" s="569"/>
      <c r="F207" s="569"/>
      <c r="G207" s="629"/>
      <c r="H207" s="629"/>
      <c r="I207" s="617"/>
    </row>
    <row r="208" spans="1:9">
      <c r="A208" s="569"/>
      <c r="B208" s="617"/>
      <c r="C208" s="617"/>
      <c r="D208" s="569"/>
      <c r="F208" s="617"/>
      <c r="G208" s="617"/>
      <c r="H208" s="617"/>
      <c r="I208" s="617"/>
    </row>
    <row r="209" spans="1:19" ht="13.5" thickBot="1">
      <c r="A209" s="569" t="s">
        <v>49</v>
      </c>
      <c r="B209" s="617"/>
      <c r="C209" s="617"/>
      <c r="D209" s="569"/>
      <c r="F209" s="569"/>
      <c r="G209" s="617"/>
      <c r="H209" s="617"/>
      <c r="I209" s="628">
        <f>B206-G206</f>
        <v>-27546.023923846136</v>
      </c>
      <c r="J209" s="630"/>
    </row>
    <row r="210" spans="1:19" ht="13.5" thickTop="1">
      <c r="A210" s="569"/>
      <c r="B210" s="617"/>
      <c r="C210" s="617"/>
      <c r="D210" s="569"/>
      <c r="F210" s="569"/>
      <c r="G210" s="617"/>
      <c r="H210" s="617"/>
      <c r="I210" s="631"/>
    </row>
    <row r="211" spans="1:19" ht="13.5" thickBot="1">
      <c r="A211" s="569" t="s">
        <v>50</v>
      </c>
      <c r="B211" s="617"/>
      <c r="C211" s="617"/>
      <c r="D211" s="569"/>
      <c r="F211" s="569"/>
      <c r="G211" s="617"/>
      <c r="H211" s="617"/>
      <c r="I211" s="628">
        <f>C206-H206</f>
        <v>1719.7371899999853</v>
      </c>
      <c r="J211" s="630"/>
    </row>
    <row r="212" spans="1:19" ht="13.5" thickTop="1">
      <c r="A212" s="569"/>
      <c r="B212" s="617"/>
      <c r="C212" s="617"/>
      <c r="D212" s="569"/>
      <c r="E212" s="569"/>
      <c r="F212" s="569"/>
      <c r="G212" s="569"/>
      <c r="H212" s="629"/>
    </row>
    <row r="213" spans="1:19">
      <c r="L213" s="573"/>
      <c r="M213" s="573"/>
      <c r="N213" s="573"/>
      <c r="O213" s="573"/>
      <c r="P213" s="573"/>
      <c r="Q213" s="573"/>
      <c r="R213" s="573"/>
      <c r="S213" s="573"/>
    </row>
  </sheetData>
  <phoneticPr fontId="0" type="noConversion"/>
  <printOptions horizontalCentered="1"/>
  <pageMargins left="0.75" right="0.75" top="1" bottom="1" header="0.5" footer="0.5"/>
  <pageSetup scale="88" orientation="landscape" r:id="rId1"/>
  <headerFooter alignWithMargins="0">
    <oddFooter>&amp;L&amp;F</oddFooter>
  </headerFooter>
  <customProperties>
    <customPr name="_pios_id" r:id="rId2"/>
  </customProperties>
  <ignoredErrors>
    <ignoredError sqref="K31" unlockedFormula="1"/>
  </ignoredErrors>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48"/>
  <sheetViews>
    <sheetView workbookViewId="0">
      <selection sqref="A1:O1"/>
    </sheetView>
  </sheetViews>
  <sheetFormatPr defaultRowHeight="12.75"/>
  <cols>
    <col min="1" max="1" width="28.85546875" bestFit="1" customWidth="1"/>
    <col min="3" max="3" width="2" customWidth="1"/>
    <col min="5" max="5" width="2" customWidth="1"/>
    <col min="9" max="9" width="24" bestFit="1" customWidth="1"/>
    <col min="11" max="11" width="2" customWidth="1"/>
    <col min="13" max="13" width="2" customWidth="1"/>
    <col min="15" max="15" width="2.5703125" customWidth="1"/>
  </cols>
  <sheetData>
    <row r="1" spans="1:15">
      <c r="A1" s="1357" t="s">
        <v>204</v>
      </c>
      <c r="B1" s="1357"/>
      <c r="C1" s="1357"/>
      <c r="D1" s="1357"/>
      <c r="E1" s="1357"/>
      <c r="F1" s="1357"/>
      <c r="G1" s="1357"/>
      <c r="H1" s="1357"/>
      <c r="I1" s="1357"/>
      <c r="J1" s="1357"/>
      <c r="K1" s="1357"/>
      <c r="L1" s="1357"/>
      <c r="M1" s="1357"/>
      <c r="N1" s="1357"/>
      <c r="O1" s="1357"/>
    </row>
    <row r="2" spans="1:15">
      <c r="A2" s="1361" t="s">
        <v>2780</v>
      </c>
      <c r="B2" s="1361"/>
      <c r="C2" s="1361"/>
      <c r="D2" s="1361"/>
      <c r="E2" s="1361"/>
      <c r="F2" s="1361"/>
      <c r="G2" s="1361"/>
      <c r="H2" s="1361"/>
      <c r="I2" s="1361"/>
      <c r="J2" s="1361"/>
      <c r="K2" s="1361"/>
      <c r="L2" s="1361"/>
      <c r="M2" s="1361"/>
      <c r="N2" s="1361"/>
      <c r="O2" s="1361"/>
    </row>
    <row r="3" spans="1:15">
      <c r="A3" s="1361" t="s">
        <v>2783</v>
      </c>
      <c r="B3" s="1361"/>
      <c r="C3" s="1361"/>
      <c r="D3" s="1361"/>
      <c r="E3" s="1361"/>
      <c r="F3" s="1361"/>
      <c r="G3" s="1361"/>
      <c r="H3" s="1361"/>
      <c r="I3" s="1361"/>
      <c r="J3" s="1361"/>
      <c r="K3" s="1361"/>
      <c r="L3" s="1361"/>
      <c r="M3" s="1361"/>
      <c r="N3" s="1361"/>
      <c r="O3" s="1361"/>
    </row>
    <row r="4" spans="1:15">
      <c r="A4" s="1359" t="str">
        <f>Report!A179</f>
        <v>December 2021</v>
      </c>
      <c r="B4" s="1359"/>
      <c r="C4" s="1359"/>
      <c r="D4" s="1359"/>
      <c r="E4" s="1359"/>
      <c r="F4" s="1359"/>
      <c r="G4" s="1359"/>
      <c r="H4" s="1359"/>
      <c r="I4" s="1359"/>
      <c r="J4" s="1359"/>
      <c r="K4" s="1359"/>
      <c r="L4" s="1359"/>
      <c r="M4" s="1359"/>
      <c r="N4" s="1359"/>
      <c r="O4" s="1359"/>
    </row>
    <row r="6" spans="1:15" ht="12.75" customHeight="1">
      <c r="B6" s="1362" t="s">
        <v>1733</v>
      </c>
      <c r="C6" s="1322"/>
      <c r="D6" s="1362" t="s">
        <v>2777</v>
      </c>
      <c r="E6" s="1322"/>
      <c r="F6" s="1360" t="s">
        <v>2779</v>
      </c>
      <c r="J6" s="1362" t="s">
        <v>1733</v>
      </c>
      <c r="K6" s="1322"/>
      <c r="L6" s="1362" t="s">
        <v>2777</v>
      </c>
      <c r="M6" s="1322"/>
      <c r="N6" s="1360" t="s">
        <v>2779</v>
      </c>
    </row>
    <row r="7" spans="1:15" ht="12.75" customHeight="1">
      <c r="B7" s="1362"/>
      <c r="C7" s="1322"/>
      <c r="D7" s="1362"/>
      <c r="E7" s="1322"/>
      <c r="F7" s="1360"/>
      <c r="J7" s="1362"/>
      <c r="K7" s="1322"/>
      <c r="L7" s="1362"/>
      <c r="M7" s="1322"/>
      <c r="N7" s="1360"/>
    </row>
    <row r="8" spans="1:15">
      <c r="B8" s="1321" t="s">
        <v>2778</v>
      </c>
      <c r="C8" s="1321"/>
      <c r="D8" s="1321" t="s">
        <v>2778</v>
      </c>
      <c r="E8" s="1321"/>
      <c r="F8" s="1360"/>
      <c r="J8" s="1321" t="s">
        <v>2778</v>
      </c>
      <c r="K8" s="1321"/>
      <c r="L8" s="1321" t="s">
        <v>2778</v>
      </c>
      <c r="M8" s="1321"/>
      <c r="N8" s="1360"/>
    </row>
    <row r="9" spans="1:15">
      <c r="A9" s="569"/>
      <c r="B9" s="619" t="s">
        <v>3</v>
      </c>
      <c r="C9" s="619"/>
      <c r="D9" s="619" t="s">
        <v>3</v>
      </c>
      <c r="E9" s="619"/>
      <c r="F9" s="1360"/>
      <c r="I9" s="569"/>
      <c r="J9" s="620" t="s">
        <v>3</v>
      </c>
      <c r="K9" s="620"/>
      <c r="L9" s="620" t="s">
        <v>3</v>
      </c>
      <c r="M9" s="620"/>
      <c r="N9" s="1360"/>
    </row>
    <row r="10" spans="1:15">
      <c r="A10" s="621" t="s">
        <v>22</v>
      </c>
      <c r="B10" s="622" t="s">
        <v>23</v>
      </c>
      <c r="C10" s="622"/>
      <c r="D10" s="622" t="s">
        <v>23</v>
      </c>
      <c r="E10" s="622"/>
      <c r="F10" s="1360"/>
      <c r="I10" s="621" t="s">
        <v>22</v>
      </c>
      <c r="J10" s="621" t="s">
        <v>24</v>
      </c>
      <c r="K10" s="621"/>
      <c r="L10" s="621" t="s">
        <v>24</v>
      </c>
      <c r="M10" s="621"/>
      <c r="N10" s="1360"/>
    </row>
    <row r="11" spans="1:15">
      <c r="A11" s="569" t="s">
        <v>469</v>
      </c>
      <c r="B11" s="623">
        <f>Reconcil!B176</f>
        <v>1150.2333407692308</v>
      </c>
      <c r="C11" s="623"/>
      <c r="D11" s="623">
        <v>1219.3307692307694</v>
      </c>
      <c r="F11" s="623">
        <f>B11-D11</f>
        <v>-69.097428461538584</v>
      </c>
      <c r="I11" s="617" t="s">
        <v>209</v>
      </c>
      <c r="J11" s="623">
        <f>Reconcil!G177</f>
        <v>67349.150258461537</v>
      </c>
      <c r="K11" s="620"/>
      <c r="L11" s="623">
        <v>62550.869230769233</v>
      </c>
      <c r="N11" s="623">
        <f>J11-L11</f>
        <v>4798.2810276923046</v>
      </c>
    </row>
    <row r="12" spans="1:15">
      <c r="A12" s="569" t="s">
        <v>25</v>
      </c>
      <c r="B12" s="623">
        <f>Reconcil!B177</f>
        <v>0</v>
      </c>
      <c r="C12" s="623"/>
      <c r="D12" s="623">
        <v>0</v>
      </c>
      <c r="F12" s="623">
        <f t="shared" ref="F12:F39" si="0">B12-D12</f>
        <v>0</v>
      </c>
      <c r="I12" s="617" t="s">
        <v>9</v>
      </c>
      <c r="J12" s="623">
        <f>Reconcil!G178</f>
        <v>0</v>
      </c>
      <c r="K12" s="623"/>
      <c r="L12" s="623">
        <v>0</v>
      </c>
      <c r="N12" s="623">
        <f t="shared" ref="N12:N25" si="1">J12-L12</f>
        <v>0</v>
      </c>
    </row>
    <row r="13" spans="1:15">
      <c r="A13" s="569" t="s">
        <v>26</v>
      </c>
      <c r="B13" s="623">
        <f>Reconcil!B178</f>
        <v>0</v>
      </c>
      <c r="C13" s="623"/>
      <c r="D13" s="623">
        <v>0</v>
      </c>
      <c r="F13" s="623">
        <f t="shared" si="0"/>
        <v>0</v>
      </c>
      <c r="I13" s="617" t="s">
        <v>210</v>
      </c>
      <c r="J13" s="623">
        <f>Reconcil!G179</f>
        <v>12597.249880769232</v>
      </c>
      <c r="K13" s="623"/>
      <c r="L13" s="623">
        <v>5253.8000000000011</v>
      </c>
      <c r="N13" s="623">
        <f t="shared" si="1"/>
        <v>7343.4498807692307</v>
      </c>
    </row>
    <row r="14" spans="1:15">
      <c r="A14" s="569" t="s">
        <v>27</v>
      </c>
      <c r="B14" s="623">
        <f>Reconcil!B179</f>
        <v>-5589.6985323076933</v>
      </c>
      <c r="C14" s="623"/>
      <c r="D14" s="623">
        <v>1000</v>
      </c>
      <c r="F14" s="623">
        <f t="shared" si="0"/>
        <v>-6589.6985323076933</v>
      </c>
      <c r="I14" s="617" t="s">
        <v>10</v>
      </c>
      <c r="J14" s="623">
        <f>Reconcil!G180</f>
        <v>10025.914276153844</v>
      </c>
      <c r="K14" s="623"/>
      <c r="L14" s="623">
        <v>8366.6</v>
      </c>
      <c r="N14" s="623">
        <f t="shared" si="1"/>
        <v>1659.3142761538438</v>
      </c>
    </row>
    <row r="15" spans="1:15">
      <c r="A15" s="569" t="s">
        <v>28</v>
      </c>
      <c r="B15" s="623">
        <f>Reconcil!B180</f>
        <v>0</v>
      </c>
      <c r="C15" s="623"/>
      <c r="D15" s="623">
        <v>25</v>
      </c>
      <c r="F15" s="623">
        <f t="shared" si="0"/>
        <v>-25</v>
      </c>
      <c r="I15" s="617" t="s">
        <v>11</v>
      </c>
      <c r="J15" s="623">
        <f>Reconcil!G181</f>
        <v>1832.9043115384616</v>
      </c>
      <c r="K15" s="623"/>
      <c r="L15" s="623">
        <v>1470.5015777438084</v>
      </c>
      <c r="N15" s="623">
        <f t="shared" si="1"/>
        <v>362.40273379465316</v>
      </c>
    </row>
    <row r="16" spans="1:15">
      <c r="A16" s="569" t="s">
        <v>29</v>
      </c>
      <c r="B16" s="623">
        <f>Reconcil!B181</f>
        <v>25</v>
      </c>
      <c r="C16" s="623"/>
      <c r="D16" s="623">
        <v>3</v>
      </c>
      <c r="F16" s="623">
        <f t="shared" si="0"/>
        <v>22</v>
      </c>
      <c r="I16" s="617" t="s">
        <v>12</v>
      </c>
      <c r="J16" s="623">
        <f>Reconcil!G182</f>
        <v>4753.1006453846148</v>
      </c>
      <c r="K16" s="623"/>
      <c r="L16" s="623">
        <v>4678.0083359973733</v>
      </c>
      <c r="N16" s="623">
        <f t="shared" si="1"/>
        <v>75.092309387241585</v>
      </c>
    </row>
    <row r="17" spans="1:14">
      <c r="A17" s="569" t="s">
        <v>30</v>
      </c>
      <c r="B17" s="623">
        <f>Reconcil!B182</f>
        <v>2.95</v>
      </c>
      <c r="C17" s="623"/>
      <c r="D17" s="623">
        <v>0</v>
      </c>
      <c r="F17" s="623">
        <f t="shared" si="0"/>
        <v>2.95</v>
      </c>
      <c r="I17" s="617" t="s">
        <v>13</v>
      </c>
      <c r="J17" s="623">
        <f>Reconcil!G183</f>
        <v>2084.3020000000001</v>
      </c>
      <c r="K17" s="623"/>
      <c r="L17" s="623">
        <v>0</v>
      </c>
      <c r="N17" s="623">
        <f t="shared" si="1"/>
        <v>2084.3020000000001</v>
      </c>
    </row>
    <row r="18" spans="1:14">
      <c r="A18" s="569" t="s">
        <v>31</v>
      </c>
      <c r="B18" s="623">
        <f>Reconcil!B183</f>
        <v>0</v>
      </c>
      <c r="C18" s="623"/>
      <c r="D18" s="623">
        <v>0</v>
      </c>
      <c r="F18" s="623">
        <f t="shared" si="0"/>
        <v>0</v>
      </c>
      <c r="I18" s="617" t="s">
        <v>14</v>
      </c>
      <c r="J18" s="623">
        <f>Reconcil!G184</f>
        <v>950.98896615384615</v>
      </c>
      <c r="K18" s="623"/>
      <c r="L18" s="623">
        <v>1695.1615384615384</v>
      </c>
      <c r="N18" s="623">
        <f t="shared" si="1"/>
        <v>-744.17257230769223</v>
      </c>
    </row>
    <row r="19" spans="1:14">
      <c r="A19" s="569" t="s">
        <v>32</v>
      </c>
      <c r="B19" s="623">
        <f>Reconcil!B184</f>
        <v>32611.98690923076</v>
      </c>
      <c r="C19" s="623"/>
      <c r="D19" s="623">
        <v>29879.984615384616</v>
      </c>
      <c r="F19" s="623">
        <f t="shared" si="0"/>
        <v>2732.0022938461443</v>
      </c>
      <c r="I19" s="617" t="s">
        <v>15</v>
      </c>
      <c r="J19" s="623">
        <f>Reconcil!G185</f>
        <v>0</v>
      </c>
      <c r="K19" s="623"/>
      <c r="L19" s="623">
        <v>0</v>
      </c>
      <c r="N19" s="623">
        <f t="shared" si="1"/>
        <v>0</v>
      </c>
    </row>
    <row r="20" spans="1:14">
      <c r="A20" s="569" t="s">
        <v>33</v>
      </c>
      <c r="B20" s="623">
        <f>Reconcil!B185</f>
        <v>719.62726615384599</v>
      </c>
      <c r="C20" s="623"/>
      <c r="D20" s="623">
        <v>656.63323307692315</v>
      </c>
      <c r="F20" s="623">
        <f t="shared" si="0"/>
        <v>62.994033076922847</v>
      </c>
      <c r="I20" s="617" t="s">
        <v>1705</v>
      </c>
      <c r="J20" s="623">
        <f>Reconcil!G186</f>
        <v>0</v>
      </c>
      <c r="K20" s="623"/>
      <c r="L20" s="623">
        <v>0</v>
      </c>
      <c r="N20" s="623">
        <f t="shared" si="1"/>
        <v>0</v>
      </c>
    </row>
    <row r="21" spans="1:14">
      <c r="A21" s="569" t="s">
        <v>34</v>
      </c>
      <c r="B21" s="623">
        <f>Reconcil!B186</f>
        <v>-1274.3423323076922</v>
      </c>
      <c r="C21" s="623"/>
      <c r="D21" s="623">
        <v>-1229.3563099999999</v>
      </c>
      <c r="F21" s="623">
        <f t="shared" si="0"/>
        <v>-44.986022307692338</v>
      </c>
      <c r="I21" s="569" t="s">
        <v>211</v>
      </c>
      <c r="J21" s="623">
        <f>Reconcil!G187</f>
        <v>0</v>
      </c>
      <c r="K21" s="623"/>
      <c r="L21" s="623">
        <v>0</v>
      </c>
      <c r="N21" s="623">
        <f t="shared" si="1"/>
        <v>0</v>
      </c>
    </row>
    <row r="22" spans="1:14">
      <c r="A22" s="569" t="s">
        <v>35</v>
      </c>
      <c r="B22" s="623">
        <f>Reconcil!B187</f>
        <v>9869.4890892307703</v>
      </c>
      <c r="C22" s="623"/>
      <c r="D22" s="623">
        <v>8345.3153846153855</v>
      </c>
      <c r="F22" s="623">
        <f t="shared" si="0"/>
        <v>1524.1737046153848</v>
      </c>
      <c r="I22" s="617" t="s">
        <v>16</v>
      </c>
      <c r="J22" s="623">
        <f>Reconcil!G188</f>
        <v>17159.939034615389</v>
      </c>
      <c r="K22" s="623"/>
      <c r="L22" s="623">
        <v>16023.799999999997</v>
      </c>
      <c r="N22" s="623">
        <f t="shared" si="1"/>
        <v>1136.1390346153912</v>
      </c>
    </row>
    <row r="23" spans="1:14">
      <c r="A23" s="569" t="s">
        <v>36</v>
      </c>
      <c r="B23" s="623">
        <f>Reconcil!B188</f>
        <v>1388.0251230769229</v>
      </c>
      <c r="C23" s="623"/>
      <c r="D23" s="623">
        <v>941.60000000000025</v>
      </c>
      <c r="F23" s="623">
        <f t="shared" si="0"/>
        <v>446.42512307692266</v>
      </c>
      <c r="I23" s="617" t="s">
        <v>18</v>
      </c>
      <c r="J23" s="623">
        <f>Reconcil!G189</f>
        <v>4201.1235276923071</v>
      </c>
      <c r="K23" s="623"/>
      <c r="L23" s="623">
        <v>6458.2538461538452</v>
      </c>
      <c r="N23" s="623">
        <f t="shared" si="1"/>
        <v>-2257.1303184615381</v>
      </c>
    </row>
    <row r="24" spans="1:14">
      <c r="A24" s="569" t="s">
        <v>37</v>
      </c>
      <c r="B24" s="623">
        <f>Reconcil!B189</f>
        <v>3801.8913284615383</v>
      </c>
      <c r="C24" s="623"/>
      <c r="D24" s="623">
        <v>2603.8307692307694</v>
      </c>
      <c r="F24" s="623">
        <f t="shared" si="0"/>
        <v>1198.0605592307688</v>
      </c>
      <c r="I24" s="617" t="s">
        <v>212</v>
      </c>
      <c r="J24" s="623">
        <f>Reconcil!G190</f>
        <v>39762.355414615391</v>
      </c>
      <c r="K24" s="623"/>
      <c r="L24" s="623">
        <v>35774.392307692302</v>
      </c>
      <c r="N24" s="623">
        <f t="shared" si="1"/>
        <v>3987.9631069230891</v>
      </c>
    </row>
    <row r="25" spans="1:14">
      <c r="A25" s="569" t="s">
        <v>38</v>
      </c>
      <c r="B25" s="623">
        <f>Reconcil!B190</f>
        <v>0</v>
      </c>
      <c r="C25" s="623"/>
      <c r="D25" s="623">
        <v>0</v>
      </c>
      <c r="F25" s="623">
        <f t="shared" si="0"/>
        <v>0</v>
      </c>
      <c r="I25" s="617" t="s">
        <v>475</v>
      </c>
      <c r="J25" s="623">
        <f>Reconcil!G191</f>
        <v>0</v>
      </c>
      <c r="K25" s="623"/>
      <c r="L25" s="623">
        <v>0</v>
      </c>
      <c r="N25" s="623">
        <f t="shared" si="1"/>
        <v>0</v>
      </c>
    </row>
    <row r="26" spans="1:14">
      <c r="A26" s="569" t="s">
        <v>39</v>
      </c>
      <c r="B26" s="623">
        <f>Reconcil!B191</f>
        <v>0</v>
      </c>
      <c r="C26" s="623"/>
      <c r="D26" s="623">
        <v>0</v>
      </c>
      <c r="F26" s="623">
        <f t="shared" si="0"/>
        <v>0</v>
      </c>
      <c r="K26" s="623"/>
    </row>
    <row r="27" spans="1:14">
      <c r="A27" s="569" t="s">
        <v>40</v>
      </c>
      <c r="B27" s="623">
        <f>Reconcil!B192</f>
        <v>3097.3689969230768</v>
      </c>
      <c r="C27" s="623"/>
      <c r="D27" s="623">
        <v>2863.584615384616</v>
      </c>
      <c r="F27" s="623">
        <f t="shared" si="0"/>
        <v>233.78438153846082</v>
      </c>
      <c r="I27" s="617"/>
      <c r="J27" s="623"/>
      <c r="K27" s="623"/>
    </row>
    <row r="28" spans="1:14">
      <c r="A28" s="569" t="s">
        <v>41</v>
      </c>
      <c r="B28" s="623">
        <f>Reconcil!B193</f>
        <v>17989.610126153846</v>
      </c>
      <c r="C28" s="623"/>
      <c r="D28" s="623">
        <v>16192.092307692308</v>
      </c>
      <c r="F28" s="623">
        <f t="shared" si="0"/>
        <v>1797.5178184615379</v>
      </c>
      <c r="I28" s="617"/>
      <c r="J28" s="623"/>
      <c r="K28" s="623"/>
    </row>
    <row r="29" spans="1:14">
      <c r="A29" s="569" t="s">
        <v>42</v>
      </c>
      <c r="B29" s="623">
        <f>Reconcil!B194</f>
        <v>0</v>
      </c>
      <c r="C29" s="623"/>
      <c r="D29" s="623">
        <v>0</v>
      </c>
      <c r="F29" s="623">
        <f t="shared" si="0"/>
        <v>0</v>
      </c>
      <c r="I29" s="617"/>
      <c r="J29" s="623"/>
      <c r="K29" s="623"/>
    </row>
    <row r="30" spans="1:14">
      <c r="A30" s="569" t="s">
        <v>43</v>
      </c>
      <c r="B30" s="623">
        <f>Reconcil!B195</f>
        <v>3748.4481515384609</v>
      </c>
      <c r="C30" s="623"/>
      <c r="D30" s="623">
        <v>3893.8615384615387</v>
      </c>
      <c r="F30" s="623">
        <f t="shared" si="0"/>
        <v>-145.41338692307772</v>
      </c>
      <c r="I30" s="617"/>
      <c r="J30" s="623"/>
      <c r="K30" s="623"/>
    </row>
    <row r="31" spans="1:14">
      <c r="A31" s="48" t="s">
        <v>1855</v>
      </c>
      <c r="B31" s="623">
        <f>Reconcil!B196</f>
        <v>0</v>
      </c>
      <c r="C31" s="623"/>
      <c r="D31" s="623">
        <v>0</v>
      </c>
      <c r="F31" s="623">
        <f t="shared" si="0"/>
        <v>0</v>
      </c>
      <c r="I31" s="569"/>
      <c r="J31" s="623"/>
      <c r="K31" s="623"/>
    </row>
    <row r="32" spans="1:14">
      <c r="A32" s="569" t="s">
        <v>44</v>
      </c>
      <c r="B32" s="623">
        <f>Reconcil!B197</f>
        <v>0</v>
      </c>
      <c r="C32" s="623"/>
      <c r="D32" s="623">
        <v>0</v>
      </c>
      <c r="F32" s="623">
        <f t="shared" si="0"/>
        <v>0</v>
      </c>
      <c r="I32" s="617"/>
      <c r="J32" s="623"/>
      <c r="K32" s="623"/>
    </row>
    <row r="33" spans="1:16">
      <c r="A33" s="569" t="s">
        <v>45</v>
      </c>
      <c r="B33" s="623">
        <f>Reconcil!B198</f>
        <v>62823.505099999995</v>
      </c>
      <c r="C33" s="623"/>
      <c r="D33" s="623">
        <v>56088.653846153844</v>
      </c>
      <c r="F33" s="623">
        <f t="shared" si="0"/>
        <v>6734.8512538461509</v>
      </c>
      <c r="I33" s="617"/>
      <c r="J33" s="623"/>
      <c r="K33" s="623"/>
    </row>
    <row r="34" spans="1:16">
      <c r="A34" s="47" t="s">
        <v>1853</v>
      </c>
      <c r="B34" s="623">
        <f>Reconcil!B199</f>
        <v>546.88146153846151</v>
      </c>
      <c r="C34" s="623"/>
      <c r="D34" s="623">
        <v>1048.1923076923076</v>
      </c>
      <c r="F34" s="623">
        <f t="shared" si="0"/>
        <v>-501.31084615384611</v>
      </c>
      <c r="I34" s="617"/>
      <c r="J34" s="623"/>
      <c r="K34" s="623"/>
    </row>
    <row r="35" spans="1:16">
      <c r="A35" s="47" t="s">
        <v>1854</v>
      </c>
      <c r="B35" s="623">
        <f>Reconcil!B200</f>
        <v>2145.6032307692312</v>
      </c>
      <c r="C35" s="623"/>
      <c r="D35" s="623">
        <v>1984.4538461538459</v>
      </c>
      <c r="F35" s="623">
        <f t="shared" si="0"/>
        <v>161.14938461538532</v>
      </c>
      <c r="I35" s="617"/>
      <c r="J35" s="623"/>
      <c r="K35" s="623"/>
    </row>
    <row r="36" spans="1:16">
      <c r="A36" s="569" t="s">
        <v>46</v>
      </c>
      <c r="B36" s="623">
        <f>Reconcil!B201</f>
        <v>0</v>
      </c>
      <c r="C36" s="623"/>
      <c r="D36" s="623">
        <v>0</v>
      </c>
      <c r="F36" s="623">
        <f t="shared" si="0"/>
        <v>0</v>
      </c>
      <c r="I36" s="573"/>
      <c r="J36" s="625"/>
      <c r="K36" s="625"/>
    </row>
    <row r="37" spans="1:16">
      <c r="A37" s="569" t="s">
        <v>47</v>
      </c>
      <c r="B37" s="623">
        <f>Reconcil!B202</f>
        <v>1052.6875738461536</v>
      </c>
      <c r="C37" s="623"/>
      <c r="D37" s="623">
        <v>1030.1307692307691</v>
      </c>
      <c r="F37" s="623">
        <f t="shared" si="0"/>
        <v>22.556804615384408</v>
      </c>
      <c r="I37" s="569"/>
      <c r="J37" s="623"/>
      <c r="K37" s="623"/>
    </row>
    <row r="38" spans="1:16">
      <c r="A38" s="569" t="s">
        <v>48</v>
      </c>
      <c r="B38" s="623">
        <f>Reconcil!B203</f>
        <v>-938.2624415384621</v>
      </c>
      <c r="C38" s="623"/>
      <c r="D38" s="623">
        <v>-3058.4230769230826</v>
      </c>
      <c r="F38" s="623">
        <f t="shared" si="0"/>
        <v>2120.1606353846205</v>
      </c>
      <c r="I38" s="569"/>
      <c r="J38" s="623"/>
      <c r="K38" s="623"/>
    </row>
    <row r="39" spans="1:16">
      <c r="A39" s="569" t="s">
        <v>478</v>
      </c>
      <c r="B39" s="623">
        <f>Reconcil!B204</f>
        <v>0</v>
      </c>
      <c r="C39" s="623"/>
      <c r="D39" s="623">
        <v>0</v>
      </c>
      <c r="F39" s="623">
        <f t="shared" si="0"/>
        <v>0</v>
      </c>
      <c r="I39" s="554"/>
      <c r="J39" s="623"/>
      <c r="K39" s="623"/>
    </row>
    <row r="40" spans="1:16">
      <c r="A40" s="569"/>
      <c r="B40" s="627"/>
      <c r="C40" s="1323"/>
      <c r="D40" s="627"/>
      <c r="E40" s="1323"/>
      <c r="F40" s="627"/>
      <c r="I40" s="554"/>
      <c r="J40" s="627"/>
      <c r="K40" s="1323"/>
      <c r="L40" s="627"/>
      <c r="N40" s="627"/>
    </row>
    <row r="41" spans="1:16" ht="13.5" thickBot="1">
      <c r="A41" s="620" t="s">
        <v>1</v>
      </c>
      <c r="B41" s="628">
        <f>SUM(B11:B39)</f>
        <v>133171.00439153847</v>
      </c>
      <c r="C41" s="1324"/>
      <c r="D41" s="628">
        <f>SUM(D11:D39)</f>
        <v>123487.88461538462</v>
      </c>
      <c r="E41" s="1324"/>
      <c r="F41" s="628">
        <f>SUM(F11:F39)</f>
        <v>9683.1197761538351</v>
      </c>
      <c r="I41" s="620" t="s">
        <v>1</v>
      </c>
      <c r="J41" s="628">
        <f>SUM(J11:J39)</f>
        <v>160717.02831538461</v>
      </c>
      <c r="K41" s="1324"/>
      <c r="L41" s="628">
        <f>SUM(L11:L39)</f>
        <v>142271.38683681813</v>
      </c>
      <c r="N41" s="628">
        <f>SUM(N11:N39)</f>
        <v>18445.641478566526</v>
      </c>
    </row>
    <row r="42" spans="1:16" ht="13.5" thickTop="1"/>
    <row r="44" spans="1:16" ht="13.5" thickBot="1">
      <c r="N44" s="1325" t="s">
        <v>2781</v>
      </c>
      <c r="P44" s="628">
        <f>Reconcil!I209</f>
        <v>-27546.023923846136</v>
      </c>
    </row>
    <row r="45" spans="1:16" ht="13.5" thickTop="1"/>
    <row r="46" spans="1:16" ht="13.5" thickBot="1">
      <c r="N46" s="1325" t="s">
        <v>2782</v>
      </c>
      <c r="P46" s="628">
        <v>-18783.502221433504</v>
      </c>
    </row>
    <row r="47" spans="1:16" ht="13.5" thickTop="1"/>
    <row r="48" spans="1:16">
      <c r="N48" s="1325" t="s">
        <v>2779</v>
      </c>
      <c r="P48" s="1324">
        <f>P44-P46</f>
        <v>-8762.5217024126323</v>
      </c>
    </row>
  </sheetData>
  <mergeCells count="10">
    <mergeCell ref="N6:N10"/>
    <mergeCell ref="A4:O4"/>
    <mergeCell ref="A3:O3"/>
    <mergeCell ref="A1:O1"/>
    <mergeCell ref="A2:O2"/>
    <mergeCell ref="D6:D7"/>
    <mergeCell ref="B6:B7"/>
    <mergeCell ref="J6:J7"/>
    <mergeCell ref="L6:L7"/>
    <mergeCell ref="F6:F10"/>
  </mergeCells>
  <pageMargins left="0.7" right="0.7" top="0.75" bottom="0.75" header="0.3" footer="0.3"/>
  <pageSetup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pageSetUpPr fitToPage="1"/>
  </sheetPr>
  <dimension ref="A1:AG371"/>
  <sheetViews>
    <sheetView topLeftCell="A8" workbookViewId="0">
      <selection activeCell="J164" sqref="J164"/>
    </sheetView>
  </sheetViews>
  <sheetFormatPr defaultColWidth="13.5703125" defaultRowHeight="12.75"/>
  <cols>
    <col min="1" max="1" width="31.140625" customWidth="1"/>
    <col min="2" max="2" width="14.140625" customWidth="1"/>
    <col min="3" max="3" width="2.28515625" customWidth="1"/>
    <col min="4" max="4" width="10.7109375" customWidth="1"/>
    <col min="5" max="5" width="2.28515625" customWidth="1"/>
    <col min="6" max="6" width="11" bestFit="1" customWidth="1"/>
    <col min="7" max="7" width="2.28515625" customWidth="1"/>
    <col min="8" max="8" width="9.7109375" customWidth="1"/>
    <col min="9" max="9" width="2.28515625" customWidth="1"/>
    <col min="10" max="10" width="11" customWidth="1"/>
    <col min="11" max="11" width="2.28515625" customWidth="1"/>
    <col min="12" max="12" width="10.85546875" customWidth="1"/>
    <col min="13" max="13" width="4.28515625" customWidth="1"/>
    <col min="14" max="14" width="12.28515625" customWidth="1"/>
    <col min="15" max="15" width="2.28515625" customWidth="1"/>
    <col min="16" max="16" width="9.7109375" customWidth="1"/>
    <col min="17" max="17" width="2.28515625" customWidth="1"/>
    <col min="18" max="18" width="9.7109375" customWidth="1"/>
    <col min="19" max="19" width="2.28515625" customWidth="1"/>
    <col min="20" max="20" width="9.7109375" customWidth="1"/>
    <col min="21" max="21" width="2.28515625" customWidth="1"/>
    <col min="22" max="22" width="9.7109375" customWidth="1"/>
    <col min="23" max="23" width="13.28515625" bestFit="1" customWidth="1"/>
    <col min="24" max="24" width="14" customWidth="1"/>
    <col min="25" max="26" width="13.5703125" customWidth="1"/>
    <col min="27" max="27" width="2.5703125" customWidth="1"/>
    <col min="28" max="28" width="19.28515625" bestFit="1" customWidth="1"/>
    <col min="29" max="29" width="8.85546875" bestFit="1" customWidth="1"/>
    <col min="32" max="32" width="19.28515625" bestFit="1" customWidth="1"/>
  </cols>
  <sheetData>
    <row r="1" spans="1:29">
      <c r="A1" s="950" t="str">
        <f>+Report!A1</f>
        <v xml:space="preserve">                                PEOPLES GAS SYSTEM</v>
      </c>
      <c r="B1" s="951"/>
      <c r="C1" s="951"/>
      <c r="D1" s="951"/>
      <c r="E1" s="951"/>
      <c r="F1" s="951"/>
      <c r="G1" s="951"/>
      <c r="H1" s="951"/>
      <c r="I1" s="951"/>
      <c r="J1" s="951"/>
      <c r="K1" s="952"/>
      <c r="L1" s="952"/>
      <c r="M1" s="951"/>
      <c r="N1" s="951" t="s">
        <v>92</v>
      </c>
      <c r="O1" s="952"/>
      <c r="P1" s="953"/>
      <c r="Q1" s="953"/>
      <c r="R1" s="953"/>
      <c r="S1" s="953"/>
      <c r="T1" s="953"/>
      <c r="U1" s="953"/>
      <c r="V1" s="953"/>
      <c r="W1" s="953"/>
      <c r="X1" s="953"/>
      <c r="Y1" s="953"/>
      <c r="Z1" s="953"/>
      <c r="AA1" s="953"/>
      <c r="AB1" s="953"/>
      <c r="AC1" s="953"/>
    </row>
    <row r="2" spans="1:29" ht="12.95" customHeight="1">
      <c r="A2" s="950" t="str">
        <f>+Report!A2</f>
        <v>EARNINGS SURVEILLANCE REPORT SUMMARY</v>
      </c>
      <c r="B2" s="951"/>
      <c r="C2" s="951"/>
      <c r="D2" s="951"/>
      <c r="E2" s="951"/>
      <c r="F2" s="951"/>
      <c r="G2" s="951"/>
      <c r="H2" s="951"/>
      <c r="I2" s="951"/>
      <c r="J2" s="951"/>
      <c r="K2" s="951"/>
      <c r="L2" s="951"/>
      <c r="M2" s="951"/>
      <c r="N2" s="952"/>
      <c r="O2" s="952"/>
      <c r="P2" s="953"/>
      <c r="Q2" s="953"/>
      <c r="R2" s="953"/>
      <c r="S2" s="953"/>
      <c r="T2" s="953"/>
      <c r="U2" s="953"/>
      <c r="V2" s="953"/>
      <c r="W2" s="953"/>
      <c r="X2" s="953"/>
      <c r="Y2" s="953"/>
      <c r="Z2" s="953"/>
      <c r="AA2" s="953"/>
      <c r="AB2" s="953"/>
      <c r="AC2" s="953"/>
    </row>
    <row r="3" spans="1:29" ht="12.95" customHeight="1">
      <c r="A3" s="261" t="str">
        <f>+Report!A3</f>
        <v>December 2021</v>
      </c>
      <c r="B3" s="951"/>
      <c r="C3" s="951"/>
      <c r="D3" s="951"/>
      <c r="E3" s="951"/>
      <c r="F3" s="951"/>
      <c r="G3" s="951"/>
      <c r="H3" s="951"/>
      <c r="I3" s="951"/>
      <c r="J3" s="951"/>
      <c r="K3" s="951"/>
      <c r="L3" s="951"/>
      <c r="M3" s="951"/>
      <c r="N3" s="952"/>
      <c r="O3" s="952"/>
      <c r="P3" s="953"/>
      <c r="Q3" s="953"/>
      <c r="R3" s="953"/>
      <c r="S3" s="953"/>
      <c r="T3" s="953"/>
      <c r="U3" s="953"/>
      <c r="V3" s="953"/>
      <c r="W3" s="953"/>
      <c r="X3" s="953"/>
      <c r="Y3" s="953"/>
      <c r="Z3" s="953"/>
      <c r="AA3" s="953"/>
      <c r="AB3" s="953"/>
      <c r="AC3" s="953"/>
    </row>
    <row r="4" spans="1:29">
      <c r="A4" s="261" t="str">
        <f>+Report!A4</f>
        <v>(In $ Thousands)</v>
      </c>
      <c r="B4" s="951"/>
      <c r="C4" s="951"/>
      <c r="D4" s="951"/>
      <c r="E4" s="951"/>
      <c r="F4" s="951"/>
      <c r="G4" s="951"/>
      <c r="H4" s="951"/>
      <c r="I4" s="951"/>
      <c r="J4" s="951"/>
      <c r="K4" s="951"/>
      <c r="L4" s="951"/>
      <c r="M4" s="951"/>
      <c r="N4" s="952"/>
      <c r="O4" s="952"/>
      <c r="P4" s="953"/>
      <c r="Q4" s="953"/>
      <c r="R4" s="953"/>
      <c r="S4" s="953"/>
      <c r="T4" s="953"/>
      <c r="U4" s="953"/>
      <c r="V4" s="953"/>
      <c r="W4" s="953"/>
      <c r="X4" s="953"/>
      <c r="Y4" s="953"/>
      <c r="Z4" s="953"/>
      <c r="AA4" s="953"/>
      <c r="AB4" s="953"/>
      <c r="AC4" s="953"/>
    </row>
    <row r="5" spans="1:29">
      <c r="P5" s="42"/>
    </row>
    <row r="6" spans="1:29">
      <c r="A6" s="954"/>
      <c r="P6" s="42"/>
    </row>
    <row r="7" spans="1:29">
      <c r="A7" s="955"/>
      <c r="B7" s="955"/>
      <c r="C7" s="955"/>
      <c r="D7" s="953"/>
      <c r="E7" s="955"/>
      <c r="F7" s="956" t="s">
        <v>94</v>
      </c>
      <c r="G7" s="955"/>
      <c r="H7" s="956" t="s">
        <v>95</v>
      </c>
      <c r="I7" s="955"/>
      <c r="J7" s="956" t="s">
        <v>96</v>
      </c>
      <c r="K7" s="955"/>
      <c r="L7" s="956" t="s">
        <v>97</v>
      </c>
      <c r="M7" s="955"/>
      <c r="N7" s="956" t="s">
        <v>98</v>
      </c>
      <c r="O7" s="953"/>
      <c r="P7" s="953"/>
      <c r="Q7" s="953"/>
      <c r="R7" s="953"/>
      <c r="S7" s="953"/>
      <c r="T7" s="953"/>
      <c r="U7" s="953"/>
      <c r="V7" s="953"/>
      <c r="W7" s="953"/>
      <c r="X7" s="953"/>
      <c r="Y7" s="953"/>
      <c r="Z7" s="953"/>
      <c r="AA7" s="953"/>
      <c r="AB7" s="953"/>
      <c r="AC7" s="953"/>
    </row>
    <row r="8" spans="1:29">
      <c r="A8" s="955"/>
      <c r="B8" s="955"/>
      <c r="C8" s="955"/>
      <c r="D8" s="953"/>
      <c r="E8" s="955"/>
      <c r="F8" s="956" t="s">
        <v>214</v>
      </c>
      <c r="G8" s="955"/>
      <c r="H8" s="956" t="s">
        <v>99</v>
      </c>
      <c r="I8" s="955"/>
      <c r="J8" s="956" t="s">
        <v>99</v>
      </c>
      <c r="K8" s="955"/>
      <c r="L8" s="956" t="s">
        <v>327</v>
      </c>
      <c r="M8" s="955"/>
      <c r="N8" s="956" t="s">
        <v>327</v>
      </c>
      <c r="O8" s="953"/>
      <c r="P8" s="953"/>
      <c r="Q8" s="953"/>
      <c r="R8" s="953"/>
      <c r="S8" s="953"/>
      <c r="T8" s="953"/>
      <c r="U8" s="953"/>
      <c r="V8" s="953"/>
      <c r="W8" s="953"/>
      <c r="X8" s="953"/>
      <c r="Y8" s="953"/>
      <c r="Z8" s="953"/>
      <c r="AA8" s="953"/>
      <c r="AB8" s="953"/>
      <c r="AC8" s="953"/>
    </row>
    <row r="9" spans="1:29">
      <c r="A9" s="955"/>
      <c r="B9" s="955"/>
      <c r="C9" s="955"/>
      <c r="D9" s="953"/>
      <c r="E9" s="955"/>
      <c r="F9" s="957" t="s">
        <v>326</v>
      </c>
      <c r="G9" s="955"/>
      <c r="H9" s="957" t="s">
        <v>206</v>
      </c>
      <c r="I9" s="955"/>
      <c r="J9" s="957" t="s">
        <v>203</v>
      </c>
      <c r="K9" s="955"/>
      <c r="L9" s="957" t="s">
        <v>206</v>
      </c>
      <c r="M9" s="955"/>
      <c r="N9" s="957" t="s">
        <v>203</v>
      </c>
      <c r="O9" s="953"/>
      <c r="P9" s="953"/>
      <c r="Q9" s="953"/>
      <c r="R9" s="953"/>
      <c r="S9" s="953"/>
      <c r="T9" s="953"/>
      <c r="U9" s="953"/>
      <c r="V9" s="953"/>
      <c r="W9" s="953"/>
      <c r="X9" s="953"/>
      <c r="Y9" s="953"/>
      <c r="Z9" s="953"/>
      <c r="AA9" s="953"/>
      <c r="AB9" s="953"/>
      <c r="AC9" s="953"/>
    </row>
    <row r="10" spans="1:29">
      <c r="A10" s="955" t="s">
        <v>103</v>
      </c>
      <c r="B10" s="955"/>
      <c r="C10" s="955"/>
      <c r="D10" s="953"/>
      <c r="E10" s="955"/>
      <c r="F10" s="955"/>
      <c r="G10" s="955"/>
      <c r="H10" s="955"/>
      <c r="I10" s="955"/>
      <c r="J10" s="955"/>
      <c r="K10" s="955"/>
      <c r="L10" s="955"/>
      <c r="M10" s="955"/>
      <c r="N10" s="955"/>
      <c r="O10" s="953"/>
      <c r="P10" s="953"/>
      <c r="Q10" s="953"/>
      <c r="R10" s="953"/>
      <c r="S10" s="953"/>
      <c r="T10" s="953"/>
      <c r="U10" s="953"/>
      <c r="V10" s="953"/>
      <c r="W10" s="953"/>
      <c r="X10" s="953"/>
      <c r="Y10" s="953"/>
      <c r="Z10" s="953"/>
      <c r="AA10" s="953"/>
      <c r="AB10" s="953"/>
      <c r="AC10" s="953"/>
    </row>
    <row r="11" spans="1:29">
      <c r="A11" s="958" t="s">
        <v>104</v>
      </c>
      <c r="B11" s="958"/>
      <c r="C11" s="955"/>
      <c r="D11" s="953"/>
      <c r="E11" s="955"/>
      <c r="F11" s="955"/>
      <c r="G11" s="955"/>
      <c r="H11" s="955"/>
      <c r="I11" s="955"/>
      <c r="J11" s="955"/>
      <c r="K11" s="955"/>
      <c r="L11" s="955"/>
      <c r="M11" s="955"/>
      <c r="N11" s="955"/>
      <c r="O11" s="953"/>
      <c r="P11" s="953"/>
      <c r="Q11" s="953"/>
      <c r="R11" s="953"/>
      <c r="S11" s="953"/>
      <c r="T11" s="953"/>
      <c r="U11" s="953"/>
      <c r="V11" s="953"/>
      <c r="W11" s="953"/>
      <c r="X11" s="953"/>
      <c r="Y11" s="953"/>
      <c r="Z11" s="953"/>
      <c r="AA11" s="953"/>
      <c r="AB11" s="953"/>
      <c r="AC11" s="953"/>
    </row>
    <row r="12" spans="1:29">
      <c r="A12" s="955" t="s">
        <v>0</v>
      </c>
      <c r="B12" s="955"/>
      <c r="C12" s="955"/>
      <c r="D12" s="953"/>
      <c r="E12" s="955" t="s">
        <v>105</v>
      </c>
      <c r="F12" s="959">
        <f>V106</f>
        <v>90827.397169999836</v>
      </c>
      <c r="G12" s="960" t="s">
        <v>105</v>
      </c>
      <c r="H12" s="959">
        <f>V126</f>
        <v>1006.1319359887111</v>
      </c>
      <c r="I12" s="960" t="s">
        <v>105</v>
      </c>
      <c r="J12" s="959">
        <f>F12+H12</f>
        <v>91833.529105988549</v>
      </c>
      <c r="K12" s="960" t="s">
        <v>105</v>
      </c>
      <c r="L12" s="959">
        <f>V139</f>
        <v>0</v>
      </c>
      <c r="M12" s="960" t="s">
        <v>105</v>
      </c>
      <c r="N12" s="959">
        <f>J12+L12</f>
        <v>91833.529105988549</v>
      </c>
      <c r="O12" s="953"/>
      <c r="P12" s="953"/>
      <c r="Q12" s="953"/>
      <c r="R12" s="953"/>
      <c r="S12" s="953"/>
      <c r="T12" s="953"/>
      <c r="U12" s="953"/>
      <c r="V12" s="953"/>
      <c r="W12" s="953"/>
      <c r="X12" s="953"/>
      <c r="Y12" s="953"/>
      <c r="Z12" s="953"/>
      <c r="AA12" s="953"/>
      <c r="AB12" s="953"/>
      <c r="AC12" s="953"/>
    </row>
    <row r="13" spans="1:29">
      <c r="A13" s="955"/>
      <c r="B13" s="955"/>
      <c r="C13" s="955"/>
      <c r="D13" s="953"/>
      <c r="E13" s="955"/>
      <c r="F13" s="960"/>
      <c r="G13" s="960"/>
      <c r="H13" s="960"/>
      <c r="I13" s="960"/>
      <c r="J13" s="960"/>
      <c r="K13" s="960"/>
      <c r="L13" s="960"/>
      <c r="M13" s="960"/>
      <c r="N13" s="960"/>
      <c r="O13" s="953"/>
      <c r="P13" s="953"/>
      <c r="Q13" s="953"/>
      <c r="R13" s="953"/>
      <c r="S13" s="953"/>
      <c r="T13" s="953"/>
      <c r="U13" s="953"/>
      <c r="V13" s="953"/>
      <c r="W13" s="953"/>
      <c r="X13" s="953"/>
      <c r="Y13" s="953"/>
      <c r="Z13" s="953"/>
      <c r="AA13" s="953"/>
      <c r="AB13" s="953"/>
      <c r="AC13" s="953"/>
    </row>
    <row r="14" spans="1:29">
      <c r="A14" s="955" t="s">
        <v>106</v>
      </c>
      <c r="B14" s="955"/>
      <c r="C14" s="955"/>
      <c r="D14" s="953"/>
      <c r="E14" s="955" t="s">
        <v>105</v>
      </c>
      <c r="F14" s="959">
        <f>T55</f>
        <v>1762033.3362699996</v>
      </c>
      <c r="G14" s="960" t="s">
        <v>105</v>
      </c>
      <c r="H14" s="959">
        <f>T77</f>
        <v>-128611.65256767535</v>
      </c>
      <c r="I14" s="960" t="s">
        <v>105</v>
      </c>
      <c r="J14" s="959">
        <f>F14+H14</f>
        <v>1633421.6837023243</v>
      </c>
      <c r="K14" s="960" t="s">
        <v>105</v>
      </c>
      <c r="L14" s="959">
        <f>T89</f>
        <v>0</v>
      </c>
      <c r="M14" s="960" t="s">
        <v>105</v>
      </c>
      <c r="N14" s="959">
        <f>J14+L14</f>
        <v>1633421.6837023243</v>
      </c>
      <c r="O14" s="953"/>
      <c r="P14" s="953"/>
      <c r="Q14" s="953"/>
      <c r="R14" s="953"/>
      <c r="S14" s="953"/>
      <c r="T14" s="953"/>
      <c r="U14" s="953"/>
      <c r="V14" s="953"/>
      <c r="W14" s="953"/>
      <c r="X14" s="953"/>
      <c r="Y14" s="953"/>
      <c r="Z14" s="953"/>
      <c r="AA14" s="953"/>
      <c r="AB14" s="953"/>
      <c r="AC14" s="953"/>
    </row>
    <row r="15" spans="1:29">
      <c r="A15" s="955" t="s">
        <v>7</v>
      </c>
      <c r="B15" s="955"/>
      <c r="C15" s="955"/>
      <c r="D15" s="953"/>
      <c r="E15" s="955"/>
      <c r="F15" s="955"/>
      <c r="G15" s="955"/>
      <c r="H15" s="955"/>
      <c r="I15" s="955"/>
      <c r="J15" s="955"/>
      <c r="K15" s="955"/>
      <c r="L15" s="953"/>
      <c r="M15" s="955"/>
      <c r="N15" s="955"/>
      <c r="O15" s="953"/>
      <c r="P15" s="953"/>
      <c r="Q15" s="953"/>
      <c r="R15" s="953"/>
      <c r="S15" s="953"/>
      <c r="T15" s="953"/>
      <c r="U15" s="953"/>
      <c r="V15" s="953"/>
      <c r="W15" s="953"/>
      <c r="X15" s="953"/>
      <c r="Y15" s="953"/>
      <c r="Z15" s="953"/>
      <c r="AA15" s="953"/>
      <c r="AB15" s="953"/>
      <c r="AC15" s="953"/>
    </row>
    <row r="16" spans="1:29">
      <c r="A16" s="955" t="s">
        <v>107</v>
      </c>
      <c r="B16" s="955"/>
      <c r="C16" s="955"/>
      <c r="D16" s="953"/>
      <c r="E16" s="955"/>
      <c r="F16" s="961">
        <f>ROUND(F12/F14*100,4)</f>
        <v>5.1547000000000001</v>
      </c>
      <c r="G16" s="962" t="s">
        <v>108</v>
      </c>
      <c r="H16" s="962"/>
      <c r="I16" s="962" t="s">
        <v>7</v>
      </c>
      <c r="J16" s="961">
        <f>ROUND(J12/J14*100,4)</f>
        <v>5.6222000000000003</v>
      </c>
      <c r="K16" s="962" t="s">
        <v>108</v>
      </c>
      <c r="L16" s="963"/>
      <c r="M16" s="962"/>
      <c r="N16" s="961">
        <f>ROUND(N12/N14*100,4)</f>
        <v>5.6222000000000003</v>
      </c>
      <c r="O16" s="955" t="s">
        <v>108</v>
      </c>
      <c r="P16" s="953"/>
      <c r="Q16" s="953"/>
      <c r="R16" s="953"/>
      <c r="S16" s="953"/>
      <c r="T16" s="953"/>
      <c r="U16" s="953"/>
      <c r="V16" s="953"/>
      <c r="W16" s="953"/>
      <c r="X16" s="953"/>
      <c r="Y16" s="953"/>
      <c r="Z16" s="953"/>
      <c r="AA16" s="953"/>
      <c r="AB16" s="953"/>
      <c r="AC16" s="953"/>
    </row>
    <row r="17" spans="1:29">
      <c r="A17" s="955"/>
      <c r="B17" s="955"/>
      <c r="C17" s="955"/>
      <c r="D17" s="953"/>
      <c r="E17" s="955"/>
      <c r="F17" s="955"/>
      <c r="G17" s="955"/>
      <c r="H17" s="955"/>
      <c r="I17" s="955"/>
      <c r="J17" s="955"/>
      <c r="K17" s="955"/>
      <c r="L17" s="955"/>
      <c r="M17" s="955"/>
      <c r="N17" s="953"/>
      <c r="O17" s="955"/>
      <c r="P17" s="953"/>
      <c r="Q17" s="953"/>
      <c r="R17" s="953"/>
      <c r="S17" s="953"/>
      <c r="T17" s="953"/>
      <c r="U17" s="953"/>
      <c r="V17" s="953"/>
      <c r="W17" s="953"/>
      <c r="X17" s="953"/>
      <c r="Y17" s="953"/>
      <c r="Z17" s="953"/>
      <c r="AA17" s="953"/>
      <c r="AB17" s="953"/>
      <c r="AC17" s="953"/>
    </row>
    <row r="18" spans="1:29">
      <c r="A18" s="955"/>
      <c r="B18" s="955"/>
      <c r="C18" s="955"/>
      <c r="D18" s="953"/>
      <c r="E18" s="955"/>
      <c r="F18" s="955"/>
      <c r="G18" s="955"/>
      <c r="H18" s="955"/>
      <c r="I18" s="955"/>
      <c r="J18" s="955"/>
      <c r="K18" s="955"/>
      <c r="L18" s="955"/>
      <c r="M18" s="955"/>
      <c r="N18" s="953"/>
      <c r="O18" s="955"/>
      <c r="P18" s="953"/>
      <c r="Q18" s="953"/>
      <c r="R18" s="953"/>
      <c r="S18" s="953"/>
      <c r="T18" s="953"/>
      <c r="U18" s="953"/>
      <c r="V18" s="953"/>
      <c r="W18" s="953"/>
      <c r="X18" s="953"/>
      <c r="Y18" s="953"/>
      <c r="Z18" s="953"/>
      <c r="AA18" s="953"/>
      <c r="AB18" s="953"/>
      <c r="AC18" s="953"/>
    </row>
    <row r="19" spans="1:29" ht="13.5" thickBot="1">
      <c r="A19" s="964"/>
      <c r="B19" s="964"/>
      <c r="C19" s="964"/>
      <c r="D19" s="965"/>
      <c r="E19" s="964"/>
      <c r="F19" s="964"/>
      <c r="G19" s="964"/>
      <c r="H19" s="964"/>
      <c r="I19" s="964"/>
      <c r="J19" s="964"/>
      <c r="K19" s="964"/>
      <c r="L19" s="964"/>
      <c r="M19" s="964"/>
      <c r="N19" s="965"/>
      <c r="O19" s="955"/>
      <c r="P19" s="953"/>
      <c r="Q19" s="953"/>
      <c r="R19" s="953"/>
      <c r="S19" s="953"/>
      <c r="T19" s="953"/>
      <c r="U19" s="953"/>
      <c r="V19" s="953"/>
      <c r="W19" s="953"/>
      <c r="X19" s="953"/>
      <c r="Y19" s="953"/>
      <c r="Z19" s="953"/>
      <c r="AA19" s="953"/>
      <c r="AB19" s="953"/>
      <c r="AC19" s="953"/>
    </row>
    <row r="20" spans="1:29" ht="13.5" thickTop="1">
      <c r="A20" s="955"/>
      <c r="B20" s="955"/>
      <c r="C20" s="955"/>
      <c r="D20" s="953"/>
      <c r="E20" s="955"/>
      <c r="F20" s="955"/>
      <c r="G20" s="955"/>
      <c r="H20" s="955"/>
      <c r="I20" s="955"/>
      <c r="J20" s="955"/>
      <c r="K20" s="955"/>
      <c r="L20" s="955"/>
      <c r="M20" s="955"/>
      <c r="N20" s="953"/>
      <c r="O20" s="955"/>
      <c r="P20" s="953"/>
      <c r="Q20" s="953"/>
      <c r="R20" s="953"/>
      <c r="S20" s="953"/>
      <c r="T20" s="953"/>
      <c r="U20" s="953"/>
      <c r="V20" s="953"/>
      <c r="W20" s="953"/>
      <c r="X20" s="953"/>
      <c r="Y20" s="953"/>
      <c r="Z20" s="953"/>
      <c r="AA20" s="953"/>
      <c r="AB20" s="953"/>
      <c r="AC20" s="953"/>
    </row>
    <row r="21" spans="1:29">
      <c r="A21" s="955" t="s">
        <v>425</v>
      </c>
      <c r="B21" s="955"/>
      <c r="C21" s="955"/>
      <c r="D21" s="953"/>
      <c r="E21" s="955"/>
      <c r="F21" s="955"/>
      <c r="G21" s="953"/>
      <c r="H21" s="953"/>
      <c r="I21" s="966" t="s">
        <v>426</v>
      </c>
      <c r="J21" s="953"/>
      <c r="K21" s="955"/>
      <c r="L21" s="955"/>
      <c r="M21" s="955"/>
      <c r="N21" s="953"/>
      <c r="O21" s="953"/>
      <c r="P21" s="953"/>
      <c r="Q21" s="953"/>
      <c r="R21" s="953"/>
      <c r="S21" s="953"/>
      <c r="T21" s="953"/>
      <c r="U21" s="953"/>
      <c r="V21" s="953"/>
      <c r="W21" s="953"/>
      <c r="X21" s="953"/>
      <c r="Y21" s="953"/>
      <c r="Z21" s="953"/>
      <c r="AA21" s="953"/>
      <c r="AB21" s="953"/>
      <c r="AC21" s="953"/>
    </row>
    <row r="22" spans="1:29">
      <c r="A22" s="955" t="s">
        <v>109</v>
      </c>
      <c r="B22" s="955"/>
      <c r="C22" s="955"/>
      <c r="D22" s="953"/>
      <c r="E22" s="955"/>
      <c r="F22" s="955"/>
      <c r="G22" s="953"/>
      <c r="H22" s="953"/>
      <c r="I22" s="953"/>
      <c r="J22" s="953"/>
      <c r="K22" s="953"/>
      <c r="L22" s="953"/>
      <c r="M22" s="955"/>
      <c r="N22" s="953"/>
      <c r="O22" s="953"/>
      <c r="P22" s="953"/>
      <c r="Q22" s="953"/>
      <c r="R22" s="953"/>
      <c r="S22" s="953"/>
      <c r="T22" s="953"/>
      <c r="U22" s="953"/>
      <c r="V22" s="953"/>
      <c r="W22" s="953"/>
      <c r="X22" s="953"/>
      <c r="Y22" s="953"/>
      <c r="Z22" s="953"/>
      <c r="AA22" s="953"/>
      <c r="AB22" s="953"/>
      <c r="AC22" s="953"/>
    </row>
    <row r="23" spans="1:29">
      <c r="A23" s="958" t="s">
        <v>110</v>
      </c>
      <c r="B23" s="958"/>
      <c r="C23" s="955"/>
      <c r="D23" s="953"/>
      <c r="E23" s="955"/>
      <c r="F23" s="955"/>
      <c r="G23" s="953"/>
      <c r="H23" s="953"/>
      <c r="I23" s="953"/>
      <c r="J23" s="953"/>
      <c r="K23" s="953"/>
      <c r="L23" s="956" t="s">
        <v>99</v>
      </c>
      <c r="M23" s="967"/>
      <c r="N23" s="956" t="s">
        <v>100</v>
      </c>
      <c r="O23" s="953"/>
      <c r="P23" s="953"/>
      <c r="Q23" s="953"/>
      <c r="R23" s="953"/>
      <c r="S23" s="953"/>
      <c r="T23" s="953"/>
      <c r="U23" s="953"/>
      <c r="V23" s="953"/>
      <c r="W23" s="953"/>
      <c r="X23" s="953"/>
      <c r="Y23" s="953"/>
      <c r="Z23" s="953"/>
      <c r="AA23" s="953"/>
      <c r="AB23" s="953"/>
      <c r="AC23" s="953"/>
    </row>
    <row r="24" spans="1:29">
      <c r="A24" s="953"/>
      <c r="B24" s="955" t="s">
        <v>111</v>
      </c>
      <c r="C24" s="955"/>
      <c r="D24" s="961">
        <f>N171</f>
        <v>5.29</v>
      </c>
      <c r="E24" s="955" t="s">
        <v>108</v>
      </c>
      <c r="F24" s="953"/>
      <c r="G24" s="953"/>
      <c r="H24" s="953"/>
      <c r="I24" s="953"/>
      <c r="J24" s="953"/>
      <c r="K24" s="953"/>
      <c r="L24" s="968" t="s">
        <v>102</v>
      </c>
      <c r="M24" s="967"/>
      <c r="N24" s="968" t="s">
        <v>102</v>
      </c>
      <c r="O24" s="953"/>
      <c r="P24" s="953"/>
      <c r="Q24" s="953"/>
      <c r="R24" s="953"/>
      <c r="S24" s="953"/>
      <c r="T24" s="953"/>
      <c r="U24" s="953"/>
      <c r="V24" s="953"/>
      <c r="W24" s="953"/>
      <c r="X24" s="953"/>
      <c r="Y24" s="953"/>
      <c r="Z24" s="953"/>
      <c r="AA24" s="953"/>
      <c r="AB24" s="953"/>
      <c r="AC24" s="953"/>
    </row>
    <row r="25" spans="1:29">
      <c r="A25" s="953"/>
      <c r="B25" s="955"/>
      <c r="C25" s="955"/>
      <c r="D25" s="962"/>
      <c r="E25" s="955"/>
      <c r="F25" s="953"/>
      <c r="G25" s="955" t="s">
        <v>112</v>
      </c>
      <c r="H25" s="953"/>
      <c r="I25" s="955"/>
      <c r="J25" s="955"/>
      <c r="K25" s="955"/>
      <c r="L25" s="953"/>
      <c r="M25" s="955"/>
      <c r="N25" s="953"/>
      <c r="O25" s="953"/>
      <c r="P25" s="969"/>
      <c r="Q25" s="953"/>
      <c r="R25" s="953"/>
      <c r="S25" s="953"/>
      <c r="T25" s="953"/>
      <c r="U25" s="953"/>
      <c r="V25" s="953"/>
      <c r="W25" s="953"/>
      <c r="X25" s="953"/>
      <c r="Y25" s="953"/>
      <c r="Z25" s="953"/>
      <c r="AA25" s="953"/>
      <c r="AB25" s="953"/>
      <c r="AC25" s="953"/>
    </row>
    <row r="26" spans="1:29">
      <c r="A26" s="953"/>
      <c r="B26" s="955" t="s">
        <v>113</v>
      </c>
      <c r="C26" s="955"/>
      <c r="D26" s="961">
        <f>R171</f>
        <v>5.75</v>
      </c>
      <c r="E26" s="955" t="s">
        <v>108</v>
      </c>
      <c r="F26" s="953"/>
      <c r="G26" s="955" t="s">
        <v>114</v>
      </c>
      <c r="H26" s="953"/>
      <c r="I26" s="955"/>
      <c r="J26" s="955"/>
      <c r="K26" s="955"/>
      <c r="L26" s="961">
        <f>H203</f>
        <v>9.6218000000000004</v>
      </c>
      <c r="M26" s="955" t="s">
        <v>108</v>
      </c>
      <c r="N26" s="970">
        <f>H264</f>
        <v>9.6218000000000004</v>
      </c>
      <c r="O26" s="955" t="s">
        <v>108</v>
      </c>
      <c r="P26" s="953"/>
      <c r="Q26" s="953"/>
      <c r="R26" s="963"/>
      <c r="S26" s="953"/>
      <c r="T26" s="953"/>
      <c r="U26" s="953"/>
      <c r="V26" s="953"/>
      <c r="W26" s="953"/>
      <c r="X26" s="953"/>
      <c r="Y26" s="953"/>
      <c r="Z26" s="953"/>
      <c r="AA26" s="953"/>
      <c r="AB26" s="953"/>
      <c r="AC26" s="953"/>
    </row>
    <row r="27" spans="1:29">
      <c r="A27" s="953"/>
      <c r="B27" s="955"/>
      <c r="C27" s="955"/>
      <c r="D27" s="962"/>
      <c r="E27" s="955"/>
      <c r="F27" s="953"/>
      <c r="G27" s="953"/>
      <c r="H27" s="953"/>
      <c r="I27" s="953"/>
      <c r="J27" s="953"/>
      <c r="K27" s="953"/>
      <c r="L27" s="953"/>
      <c r="M27" s="955"/>
      <c r="N27" s="953"/>
      <c r="O27" s="953"/>
      <c r="P27" s="953"/>
      <c r="Q27" s="953"/>
      <c r="R27" s="953"/>
      <c r="S27" s="953"/>
      <c r="T27" s="953"/>
      <c r="U27" s="953"/>
      <c r="V27" s="953"/>
      <c r="W27" s="953"/>
      <c r="X27" s="953"/>
      <c r="Y27" s="953"/>
      <c r="Z27" s="953"/>
      <c r="AA27" s="953"/>
      <c r="AB27" s="953"/>
      <c r="AC27" s="953"/>
    </row>
    <row r="28" spans="1:29">
      <c r="A28" s="953"/>
      <c r="B28" s="955" t="s">
        <v>115</v>
      </c>
      <c r="C28" s="955"/>
      <c r="D28" s="961">
        <f>V171</f>
        <v>6.2600000000000007</v>
      </c>
      <c r="E28" s="955" t="s">
        <v>108</v>
      </c>
      <c r="F28" s="953"/>
      <c r="G28" s="955" t="s">
        <v>116</v>
      </c>
      <c r="H28" s="953"/>
      <c r="I28" s="955"/>
      <c r="J28" s="955"/>
      <c r="K28" s="955"/>
      <c r="L28" s="953"/>
      <c r="M28" s="955"/>
      <c r="N28" s="953"/>
      <c r="O28" s="953"/>
      <c r="P28" s="953"/>
      <c r="Q28" s="953"/>
      <c r="R28" s="953"/>
      <c r="S28" s="953"/>
      <c r="T28" s="953"/>
      <c r="U28" s="953"/>
      <c r="V28" s="953"/>
      <c r="W28" s="953"/>
      <c r="X28" s="953"/>
      <c r="Y28" s="953"/>
      <c r="Z28" s="953"/>
      <c r="AA28" s="953"/>
      <c r="AB28" s="953"/>
      <c r="AC28" s="953"/>
    </row>
    <row r="29" spans="1:29">
      <c r="A29" s="955"/>
      <c r="B29" s="955"/>
      <c r="C29" s="955"/>
      <c r="D29" s="955"/>
      <c r="E29" s="955"/>
      <c r="F29" s="955"/>
      <c r="G29" s="955" t="s">
        <v>114</v>
      </c>
      <c r="H29" s="955"/>
      <c r="I29" s="955"/>
      <c r="J29" s="955"/>
      <c r="K29" s="955"/>
      <c r="L29" s="961">
        <f>H230</f>
        <v>9.2476184257843865</v>
      </c>
      <c r="M29" s="955" t="s">
        <v>108</v>
      </c>
      <c r="N29" s="961">
        <f>H291</f>
        <v>9.2476184257843865</v>
      </c>
      <c r="O29" s="955" t="s">
        <v>108</v>
      </c>
      <c r="P29" s="953"/>
      <c r="Q29" s="953"/>
      <c r="R29" s="953"/>
      <c r="S29" s="953"/>
      <c r="T29" s="953"/>
      <c r="U29" s="953"/>
      <c r="V29" s="953"/>
      <c r="W29" s="953"/>
      <c r="X29" s="953"/>
      <c r="Y29" s="953"/>
      <c r="Z29" s="953"/>
      <c r="AA29" s="953"/>
      <c r="AB29" s="953"/>
      <c r="AC29" s="953"/>
    </row>
    <row r="30" spans="1:29">
      <c r="A30" s="955"/>
      <c r="B30" s="955"/>
      <c r="C30" s="955"/>
      <c r="D30" s="955"/>
      <c r="E30" s="955"/>
      <c r="F30" s="955"/>
      <c r="G30" s="955"/>
      <c r="H30" s="955"/>
      <c r="I30" s="955"/>
      <c r="J30" s="955"/>
      <c r="K30" s="955"/>
      <c r="L30" s="955"/>
      <c r="M30" s="955"/>
      <c r="N30" s="953"/>
      <c r="O30" s="955"/>
      <c r="P30" s="953"/>
      <c r="Q30" s="953"/>
      <c r="R30" s="953"/>
      <c r="S30" s="953"/>
      <c r="T30" s="953"/>
      <c r="U30" s="953"/>
      <c r="V30" s="953"/>
      <c r="W30" s="953"/>
      <c r="X30" s="953"/>
      <c r="Y30" s="953"/>
      <c r="Z30" s="953"/>
      <c r="AA30" s="953"/>
      <c r="AB30" s="953"/>
      <c r="AC30" s="953"/>
    </row>
    <row r="31" spans="1:29">
      <c r="A31" s="955"/>
      <c r="B31" s="955"/>
      <c r="C31" s="955" t="s">
        <v>7</v>
      </c>
      <c r="D31" s="955"/>
      <c r="E31" s="955"/>
      <c r="F31" s="955"/>
      <c r="G31" s="955"/>
      <c r="H31" s="955"/>
      <c r="I31" s="955"/>
      <c r="J31" s="955"/>
      <c r="K31" s="955"/>
      <c r="L31" s="955"/>
      <c r="M31" s="955"/>
      <c r="N31" s="953"/>
      <c r="O31" s="955"/>
      <c r="P31" s="953"/>
      <c r="Q31" s="953"/>
      <c r="R31" s="953"/>
      <c r="S31" s="953"/>
      <c r="T31" s="953"/>
      <c r="U31" s="953"/>
      <c r="V31" s="953"/>
      <c r="W31" s="953"/>
      <c r="X31" s="953"/>
      <c r="Y31" s="953"/>
      <c r="Z31" s="953"/>
      <c r="AA31" s="953"/>
      <c r="AB31" s="953"/>
      <c r="AC31" s="953"/>
    </row>
    <row r="32" spans="1:29">
      <c r="A32" s="971" t="s">
        <v>117</v>
      </c>
      <c r="B32" s="972"/>
      <c r="C32" s="972"/>
      <c r="D32" s="972"/>
      <c r="E32" s="972"/>
      <c r="F32" s="972"/>
      <c r="G32" s="972"/>
      <c r="H32" s="972"/>
      <c r="I32" s="972"/>
      <c r="J32" s="972"/>
      <c r="K32" s="972"/>
      <c r="L32" s="973"/>
      <c r="M32" s="955"/>
      <c r="N32" s="953"/>
      <c r="O32" s="955"/>
      <c r="P32" s="953"/>
      <c r="Q32" s="953"/>
      <c r="R32" s="953"/>
      <c r="S32" s="953"/>
      <c r="T32" s="953"/>
      <c r="U32" s="953"/>
      <c r="V32" s="953"/>
      <c r="W32" s="953"/>
      <c r="X32" s="953"/>
      <c r="Y32" s="953"/>
      <c r="Z32" s="953"/>
      <c r="AA32" s="953"/>
      <c r="AB32" s="953"/>
      <c r="AC32" s="953"/>
    </row>
    <row r="33" spans="1:29">
      <c r="A33" s="974"/>
      <c r="B33" s="955"/>
      <c r="C33" s="955"/>
      <c r="D33" s="955"/>
      <c r="E33" s="955"/>
      <c r="F33" s="955"/>
      <c r="G33" s="955"/>
      <c r="H33" s="955"/>
      <c r="I33" s="955"/>
      <c r="J33" s="955"/>
      <c r="K33" s="955"/>
      <c r="L33" s="975"/>
      <c r="M33" s="955"/>
      <c r="N33" s="953"/>
      <c r="O33" s="955"/>
      <c r="P33" s="953"/>
      <c r="Q33" s="953"/>
      <c r="R33" s="953"/>
      <c r="S33" s="953"/>
      <c r="T33" s="953"/>
      <c r="U33" s="953"/>
      <c r="V33" s="953"/>
      <c r="W33" s="953"/>
      <c r="X33" s="953"/>
      <c r="Y33" s="953"/>
      <c r="Z33" s="953"/>
      <c r="AA33" s="953"/>
      <c r="AB33" s="953"/>
      <c r="AC33" s="953"/>
    </row>
    <row r="34" spans="1:29">
      <c r="A34" s="974"/>
      <c r="B34" s="955" t="s">
        <v>118</v>
      </c>
      <c r="C34" s="955"/>
      <c r="D34" s="955"/>
      <c r="E34" s="955"/>
      <c r="F34" s="955"/>
      <c r="G34" s="955"/>
      <c r="H34" s="955"/>
      <c r="I34" s="955"/>
      <c r="J34" s="955"/>
      <c r="K34" s="955"/>
      <c r="L34" s="975"/>
      <c r="M34" s="955"/>
      <c r="N34" s="953"/>
      <c r="O34" s="955"/>
      <c r="P34" s="953"/>
      <c r="Q34" s="953"/>
      <c r="R34" s="953"/>
      <c r="S34" s="953"/>
      <c r="T34" s="953"/>
      <c r="U34" s="953"/>
      <c r="V34" s="953"/>
      <c r="W34" s="953"/>
      <c r="X34" s="953"/>
      <c r="Y34" s="953"/>
      <c r="Z34" s="953"/>
      <c r="AA34" s="953"/>
      <c r="AB34" s="953"/>
      <c r="AC34" s="953"/>
    </row>
    <row r="35" spans="1:29">
      <c r="A35" s="974"/>
      <c r="B35" s="955" t="s">
        <v>427</v>
      </c>
      <c r="C35" s="955"/>
      <c r="D35" s="955"/>
      <c r="E35" s="955"/>
      <c r="F35" s="955"/>
      <c r="G35" s="955"/>
      <c r="H35" s="955"/>
      <c r="I35" s="955"/>
      <c r="J35" s="955"/>
      <c r="K35" s="955"/>
      <c r="L35" s="975"/>
      <c r="M35" s="955"/>
      <c r="N35" s="953"/>
      <c r="O35" s="955"/>
      <c r="P35" s="953"/>
      <c r="Q35" s="953"/>
      <c r="R35" s="953"/>
      <c r="S35" s="953"/>
      <c r="T35" s="953"/>
      <c r="U35" s="953"/>
      <c r="V35" s="953"/>
      <c r="W35" s="953"/>
      <c r="X35" s="953"/>
      <c r="Y35" s="953"/>
      <c r="Z35" s="953"/>
      <c r="AA35" s="953"/>
      <c r="AB35" s="953"/>
      <c r="AC35" s="953"/>
    </row>
    <row r="36" spans="1:29">
      <c r="A36" s="974"/>
      <c r="B36" s="955" t="s">
        <v>119</v>
      </c>
      <c r="C36" s="955"/>
      <c r="D36" s="955"/>
      <c r="E36" s="955"/>
      <c r="F36" s="955"/>
      <c r="G36" s="955"/>
      <c r="H36" s="955"/>
      <c r="I36" s="955"/>
      <c r="J36" s="955"/>
      <c r="K36" s="955"/>
      <c r="L36" s="975"/>
      <c r="M36" s="955"/>
      <c r="N36" s="953"/>
      <c r="O36" s="955"/>
      <c r="P36" s="953"/>
      <c r="Q36" s="953"/>
      <c r="R36" s="953"/>
      <c r="S36" s="953"/>
      <c r="T36" s="953"/>
      <c r="U36" s="953"/>
      <c r="V36" s="953"/>
      <c r="W36" s="953"/>
      <c r="X36" s="953"/>
      <c r="Y36" s="953"/>
      <c r="Z36" s="953"/>
      <c r="AA36" s="953"/>
      <c r="AB36" s="953"/>
      <c r="AC36" s="953"/>
    </row>
    <row r="37" spans="1:29">
      <c r="A37" s="974"/>
      <c r="B37" s="955" t="s">
        <v>428</v>
      </c>
      <c r="C37" s="955"/>
      <c r="D37" s="955"/>
      <c r="E37" s="955"/>
      <c r="F37" s="955"/>
      <c r="G37" s="955"/>
      <c r="H37" s="955"/>
      <c r="I37" s="955"/>
      <c r="J37" s="955"/>
      <c r="K37" s="955"/>
      <c r="L37" s="975"/>
      <c r="M37" s="955"/>
      <c r="N37" s="953"/>
      <c r="O37" s="955"/>
      <c r="P37" s="953"/>
      <c r="Q37" s="953"/>
      <c r="R37" s="953"/>
      <c r="S37" s="953"/>
      <c r="T37" s="953"/>
      <c r="U37" s="953"/>
      <c r="V37" s="953"/>
      <c r="W37" s="953"/>
      <c r="X37" s="953"/>
      <c r="Y37" s="953"/>
      <c r="Z37" s="953"/>
      <c r="AA37" s="953"/>
      <c r="AB37" s="953"/>
      <c r="AC37" s="953"/>
    </row>
    <row r="38" spans="1:29">
      <c r="A38" s="974"/>
      <c r="B38" s="955"/>
      <c r="C38" s="955"/>
      <c r="D38" s="955"/>
      <c r="E38" s="955"/>
      <c r="F38" s="955"/>
      <c r="G38" s="955"/>
      <c r="H38" s="955"/>
      <c r="I38" s="955"/>
      <c r="J38" s="955"/>
      <c r="K38" s="955"/>
      <c r="L38" s="975"/>
      <c r="M38" s="955"/>
      <c r="N38" s="953"/>
      <c r="O38" s="955"/>
      <c r="P38" s="953"/>
      <c r="Q38" s="953"/>
      <c r="R38" s="953"/>
      <c r="S38" s="953"/>
      <c r="T38" s="953"/>
      <c r="U38" s="953"/>
      <c r="V38" s="953"/>
      <c r="W38" s="953"/>
      <c r="X38" s="953"/>
      <c r="Y38" s="953"/>
      <c r="Z38" s="953"/>
      <c r="AA38" s="953"/>
      <c r="AB38" s="953"/>
      <c r="AC38" s="953"/>
    </row>
    <row r="39" spans="1:29">
      <c r="A39" s="974" t="str">
        <f>+Report!A39</f>
        <v>/s/ Rachel B. Parsons, VP of Finance and Planning</v>
      </c>
      <c r="B39" s="955"/>
      <c r="C39" s="955"/>
      <c r="D39" s="955"/>
      <c r="E39" s="955"/>
      <c r="F39" s="955"/>
      <c r="G39" s="955"/>
      <c r="H39" s="955"/>
      <c r="I39" s="955"/>
      <c r="J39" s="955"/>
      <c r="K39" s="955"/>
      <c r="L39" s="975"/>
      <c r="M39" s="955"/>
      <c r="N39" s="953"/>
      <c r="O39" s="955"/>
      <c r="P39" s="953"/>
      <c r="Q39" s="953"/>
      <c r="R39" s="953"/>
      <c r="S39" s="953"/>
      <c r="T39" s="953"/>
      <c r="U39" s="953"/>
      <c r="V39" s="953"/>
      <c r="W39" s="953"/>
      <c r="X39" s="953"/>
      <c r="Y39" s="953"/>
      <c r="Z39" s="953"/>
      <c r="AA39" s="953"/>
      <c r="AB39" s="953"/>
      <c r="AC39" s="953"/>
    </row>
    <row r="40" spans="1:29">
      <c r="A40" s="971" t="s">
        <v>424</v>
      </c>
      <c r="B40" s="972"/>
      <c r="C40" s="955"/>
      <c r="D40" s="955"/>
      <c r="E40" s="972" t="s">
        <v>120</v>
      </c>
      <c r="F40" s="972"/>
      <c r="G40" s="972"/>
      <c r="H40" s="972"/>
      <c r="I40" s="976"/>
      <c r="J40" s="953"/>
      <c r="K40" s="976"/>
      <c r="L40" s="977" t="s">
        <v>121</v>
      </c>
      <c r="M40" s="955"/>
      <c r="N40" s="953"/>
      <c r="O40" s="955"/>
      <c r="P40" s="953"/>
      <c r="Q40" s="953"/>
      <c r="R40" s="953"/>
      <c r="S40" s="953"/>
      <c r="T40" s="953"/>
      <c r="U40" s="953"/>
      <c r="V40" s="953"/>
      <c r="W40" s="953"/>
      <c r="X40" s="953"/>
      <c r="Y40" s="953"/>
      <c r="Z40" s="953"/>
      <c r="AA40" s="953"/>
      <c r="AB40" s="953"/>
      <c r="AC40" s="953"/>
    </row>
    <row r="41" spans="1:29">
      <c r="A41" s="978"/>
      <c r="B41" s="958"/>
      <c r="C41" s="958"/>
      <c r="D41" s="958"/>
      <c r="E41" s="958"/>
      <c r="F41" s="958"/>
      <c r="G41" s="958"/>
      <c r="H41" s="958"/>
      <c r="I41" s="958"/>
      <c r="J41" s="958"/>
      <c r="K41" s="958"/>
      <c r="L41" s="979"/>
      <c r="M41" s="955"/>
      <c r="N41" s="980" t="s">
        <v>122</v>
      </c>
      <c r="O41" s="955"/>
      <c r="P41" s="953"/>
      <c r="Q41" s="953"/>
      <c r="R41" s="953"/>
      <c r="S41" s="953"/>
      <c r="T41" s="953"/>
      <c r="U41" s="953"/>
      <c r="V41" s="953"/>
      <c r="W41" s="953"/>
      <c r="X41" s="953"/>
      <c r="Y41" s="953"/>
      <c r="Z41" s="953"/>
      <c r="AA41" s="953"/>
      <c r="AB41" s="953"/>
      <c r="AC41" s="953"/>
    </row>
    <row r="45" spans="1:29">
      <c r="A45" s="950" t="str">
        <f>+Report!A45</f>
        <v>PEOPLES GAS SYSTEM</v>
      </c>
      <c r="B45" s="951"/>
      <c r="C45" s="951"/>
      <c r="D45" s="951"/>
      <c r="E45" s="951"/>
      <c r="F45" s="951"/>
      <c r="G45" s="952"/>
      <c r="H45" s="5"/>
      <c r="I45" s="951"/>
      <c r="J45" s="951"/>
      <c r="K45" s="951"/>
      <c r="L45" s="951"/>
      <c r="M45" s="951"/>
      <c r="N45" s="951"/>
      <c r="O45" s="951"/>
      <c r="P45" s="951"/>
      <c r="Q45" s="952"/>
      <c r="R45" s="952"/>
      <c r="S45" s="953"/>
      <c r="T45" s="951" t="s">
        <v>123</v>
      </c>
      <c r="U45" s="953"/>
      <c r="V45" s="953"/>
      <c r="W45" s="953"/>
      <c r="X45" s="953"/>
      <c r="Y45" s="953"/>
      <c r="Z45" s="953"/>
      <c r="AA45" s="953"/>
      <c r="AB45" s="953"/>
      <c r="AC45" s="953"/>
    </row>
    <row r="46" spans="1:29">
      <c r="A46" s="950" t="s">
        <v>1755</v>
      </c>
      <c r="B46" s="951"/>
      <c r="C46" s="951"/>
      <c r="D46" s="951"/>
      <c r="E46" s="951"/>
      <c r="F46" s="951"/>
      <c r="G46" s="951"/>
      <c r="H46" s="5"/>
      <c r="I46" s="951"/>
      <c r="J46" s="951"/>
      <c r="K46" s="951"/>
      <c r="L46" s="951"/>
      <c r="M46" s="951"/>
      <c r="N46" s="951"/>
      <c r="O46" s="951"/>
      <c r="P46" s="952"/>
      <c r="Q46" s="952"/>
      <c r="R46" s="952"/>
      <c r="S46" s="953"/>
      <c r="T46" s="951"/>
      <c r="U46" s="953"/>
      <c r="V46" s="953"/>
      <c r="W46" s="953"/>
      <c r="X46" s="953"/>
      <c r="Y46" s="953"/>
      <c r="Z46" s="953"/>
      <c r="AA46" s="953"/>
      <c r="AB46" s="953"/>
      <c r="AC46" s="953"/>
    </row>
    <row r="47" spans="1:29">
      <c r="A47" s="950" t="str">
        <f>+Report!A47</f>
        <v>December 2021</v>
      </c>
      <c r="B47" s="951"/>
      <c r="C47" s="951"/>
      <c r="D47" s="951"/>
      <c r="E47" s="951"/>
      <c r="F47" s="951"/>
      <c r="G47" s="951"/>
      <c r="H47" s="5"/>
      <c r="I47" s="951"/>
      <c r="J47" s="951"/>
      <c r="K47" s="951"/>
      <c r="L47" s="951"/>
      <c r="M47" s="951"/>
      <c r="N47" s="951"/>
      <c r="O47" s="951"/>
      <c r="P47" s="952"/>
      <c r="Q47" s="952"/>
      <c r="R47" s="952"/>
      <c r="S47" s="953"/>
      <c r="T47" s="951"/>
      <c r="U47" s="953"/>
      <c r="V47" s="953"/>
      <c r="W47" s="953"/>
      <c r="X47" s="953"/>
      <c r="Y47" s="953"/>
      <c r="Z47" s="953"/>
      <c r="AA47" s="953"/>
      <c r="AB47" s="953"/>
      <c r="AC47" s="953"/>
    </row>
    <row r="48" spans="1:29">
      <c r="A48" s="950" t="str">
        <f>+Report!A48</f>
        <v>(In $ Thousands)</v>
      </c>
      <c r="B48" s="951"/>
      <c r="C48" s="951"/>
      <c r="D48" s="951"/>
      <c r="E48" s="951"/>
      <c r="F48" s="951"/>
      <c r="G48" s="951"/>
      <c r="H48" s="950"/>
      <c r="I48" s="952"/>
      <c r="J48" s="951"/>
      <c r="K48" s="951"/>
      <c r="L48" s="951"/>
      <c r="M48" s="951"/>
      <c r="N48" s="951"/>
      <c r="O48" s="951"/>
      <c r="P48" s="951"/>
      <c r="Q48" s="952"/>
      <c r="R48" s="952"/>
      <c r="S48" s="982"/>
      <c r="T48" s="982"/>
      <c r="U48" s="982"/>
      <c r="V48" s="953"/>
      <c r="W48" s="953"/>
      <c r="X48" s="953"/>
      <c r="Y48" s="953"/>
      <c r="Z48" s="953"/>
      <c r="AA48" s="953"/>
      <c r="AB48" s="953"/>
      <c r="AC48" s="953"/>
    </row>
    <row r="49" spans="1:29">
      <c r="A49" s="955"/>
      <c r="B49" s="983"/>
      <c r="C49" s="983"/>
      <c r="D49" s="983"/>
      <c r="E49" s="983"/>
      <c r="F49" s="983"/>
      <c r="G49" s="983"/>
      <c r="H49" s="983"/>
      <c r="I49" s="983"/>
      <c r="J49" s="983"/>
      <c r="K49" s="983"/>
      <c r="L49" s="983"/>
      <c r="M49" s="983"/>
      <c r="N49" s="983"/>
      <c r="O49" s="983"/>
      <c r="P49" s="983"/>
      <c r="Q49" s="983"/>
      <c r="R49" s="983"/>
      <c r="S49" s="983"/>
      <c r="T49" s="983"/>
      <c r="U49" s="953"/>
      <c r="V49" s="953"/>
      <c r="W49" s="953"/>
      <c r="X49" s="953"/>
      <c r="Y49" s="953"/>
      <c r="Z49" s="953"/>
      <c r="AA49" s="953"/>
      <c r="AB49" s="953"/>
      <c r="AC49" s="953"/>
    </row>
    <row r="50" spans="1:29">
      <c r="B50" s="165"/>
      <c r="C50" s="165"/>
      <c r="D50" s="165"/>
      <c r="E50" s="165"/>
      <c r="F50" s="165"/>
      <c r="G50" s="165"/>
      <c r="H50" s="165"/>
      <c r="I50" s="165"/>
      <c r="J50" s="165"/>
      <c r="K50" s="165"/>
      <c r="L50" s="165"/>
      <c r="M50" s="165"/>
      <c r="N50" s="165"/>
      <c r="O50" s="165"/>
      <c r="P50" s="165"/>
      <c r="Q50" s="165"/>
      <c r="R50" s="165"/>
      <c r="S50" s="165"/>
      <c r="T50" s="165"/>
    </row>
    <row r="51" spans="1:29">
      <c r="A51" s="953"/>
      <c r="B51" s="967" t="s">
        <v>94</v>
      </c>
      <c r="C51" s="953"/>
      <c r="D51" s="967" t="s">
        <v>95</v>
      </c>
      <c r="E51" s="953"/>
      <c r="F51" s="967" t="s">
        <v>96</v>
      </c>
      <c r="G51" s="953"/>
      <c r="H51" s="967" t="s">
        <v>97</v>
      </c>
      <c r="I51" s="953"/>
      <c r="J51" s="967" t="s">
        <v>98</v>
      </c>
      <c r="K51" s="953"/>
      <c r="L51" s="967" t="s">
        <v>124</v>
      </c>
      <c r="M51" s="953"/>
      <c r="N51" s="967" t="s">
        <v>125</v>
      </c>
      <c r="O51" s="953"/>
      <c r="P51" s="967" t="s">
        <v>126</v>
      </c>
      <c r="Q51" s="953"/>
      <c r="R51" s="967" t="s">
        <v>127</v>
      </c>
      <c r="S51" s="953"/>
      <c r="T51" s="967" t="s">
        <v>128</v>
      </c>
      <c r="U51" s="953"/>
      <c r="V51" s="953"/>
      <c r="W51" s="953"/>
      <c r="X51" s="953"/>
      <c r="Y51" s="953"/>
      <c r="Z51" s="953"/>
      <c r="AA51" s="953"/>
      <c r="AB51" s="953"/>
      <c r="AC51" s="953"/>
    </row>
    <row r="52" spans="1:29">
      <c r="A52" s="953"/>
      <c r="B52" s="953"/>
      <c r="C52" s="953"/>
      <c r="D52" s="967" t="s">
        <v>333</v>
      </c>
      <c r="E52" s="953"/>
      <c r="F52" s="967" t="s">
        <v>328</v>
      </c>
      <c r="G52" s="953"/>
      <c r="H52" s="967" t="s">
        <v>338</v>
      </c>
      <c r="I52" s="953"/>
      <c r="J52" s="967" t="s">
        <v>339</v>
      </c>
      <c r="K52" s="953"/>
      <c r="L52" s="953"/>
      <c r="M52" s="953"/>
      <c r="N52" s="967" t="s">
        <v>337</v>
      </c>
      <c r="O52" s="953"/>
      <c r="P52" s="953"/>
      <c r="Q52" s="953"/>
      <c r="R52" s="953"/>
      <c r="S52" s="953"/>
      <c r="T52" s="953"/>
      <c r="U52" s="953"/>
      <c r="V52" s="953"/>
      <c r="W52" s="953"/>
      <c r="X52" s="953"/>
      <c r="Y52" s="953"/>
      <c r="Z52" s="953"/>
      <c r="AA52" s="953"/>
      <c r="AB52" s="953"/>
      <c r="AC52" s="953"/>
    </row>
    <row r="53" spans="1:29">
      <c r="A53" s="953"/>
      <c r="B53" s="967" t="s">
        <v>331</v>
      </c>
      <c r="C53" s="953"/>
      <c r="D53" s="967" t="s">
        <v>334</v>
      </c>
      <c r="E53" s="953"/>
      <c r="F53" s="967" t="s">
        <v>329</v>
      </c>
      <c r="G53" s="953"/>
      <c r="H53" s="967" t="s">
        <v>336</v>
      </c>
      <c r="I53" s="953"/>
      <c r="J53" s="967" t="s">
        <v>331</v>
      </c>
      <c r="K53" s="953"/>
      <c r="L53" s="967" t="s">
        <v>341</v>
      </c>
      <c r="M53" s="953"/>
      <c r="N53" s="967" t="s">
        <v>343</v>
      </c>
      <c r="O53" s="953"/>
      <c r="P53" s="967" t="s">
        <v>339</v>
      </c>
      <c r="Q53" s="953"/>
      <c r="R53" s="967" t="s">
        <v>345</v>
      </c>
      <c r="S53" s="953"/>
      <c r="T53" s="967" t="s">
        <v>347</v>
      </c>
      <c r="U53" s="953"/>
      <c r="V53" s="967"/>
      <c r="W53" s="953"/>
      <c r="X53" s="953"/>
      <c r="Y53" s="953"/>
      <c r="Z53" s="953"/>
      <c r="AA53" s="953"/>
      <c r="AB53" s="953"/>
      <c r="AC53" s="953"/>
    </row>
    <row r="54" spans="1:29">
      <c r="A54" s="953"/>
      <c r="B54" s="984" t="s">
        <v>332</v>
      </c>
      <c r="C54" s="953"/>
      <c r="D54" s="984" t="s">
        <v>335</v>
      </c>
      <c r="E54" s="953"/>
      <c r="F54" s="984" t="s">
        <v>330</v>
      </c>
      <c r="G54" s="953"/>
      <c r="H54" s="984" t="s">
        <v>337</v>
      </c>
      <c r="I54" s="953"/>
      <c r="J54" s="984" t="s">
        <v>340</v>
      </c>
      <c r="K54" s="953"/>
      <c r="L54" s="984" t="s">
        <v>342</v>
      </c>
      <c r="M54" s="953"/>
      <c r="N54" s="984" t="s">
        <v>344</v>
      </c>
      <c r="O54" s="953"/>
      <c r="P54" s="984" t="s">
        <v>217</v>
      </c>
      <c r="Q54" s="953"/>
      <c r="R54" s="984" t="s">
        <v>346</v>
      </c>
      <c r="S54" s="953"/>
      <c r="T54" s="984" t="s">
        <v>348</v>
      </c>
      <c r="U54" s="953"/>
      <c r="V54" s="967"/>
      <c r="W54" s="953"/>
      <c r="X54" s="953"/>
      <c r="Y54" s="953"/>
      <c r="Z54" s="953"/>
      <c r="AA54" s="953"/>
      <c r="AB54" s="953"/>
      <c r="AC54" s="953"/>
    </row>
    <row r="55" spans="1:29" ht="13.9" customHeight="1">
      <c r="A55" s="953" t="str">
        <f>+Report!A55</f>
        <v>PER BOOKS</v>
      </c>
      <c r="B55" s="936">
        <f>Reconcil!B57</f>
        <v>2478715.9542</v>
      </c>
      <c r="C55" s="937"/>
      <c r="D55" s="936">
        <f>Reconcil!B60</f>
        <v>5031.8972400000002</v>
      </c>
      <c r="E55" s="937"/>
      <c r="F55" s="936">
        <f>-Reconcil!B63</f>
        <v>854647.54587999999</v>
      </c>
      <c r="G55" s="937"/>
      <c r="H55" s="936">
        <f>Reconcil!B149</f>
        <v>18210.107640000002</v>
      </c>
      <c r="I55" s="937"/>
      <c r="J55" s="936">
        <f>B55+D55-F55-H55</f>
        <v>1610890.1979199997</v>
      </c>
      <c r="K55" s="937"/>
      <c r="L55" s="936">
        <f>Reconcil!B58</f>
        <v>1939.5515500000001</v>
      </c>
      <c r="M55" s="937"/>
      <c r="N55" s="936">
        <f>Reconcil!B59</f>
        <v>147483.84961</v>
      </c>
      <c r="O55" s="937"/>
      <c r="P55" s="936">
        <f>J55+L55+N55</f>
        <v>1760313.5990799996</v>
      </c>
      <c r="Q55" s="937"/>
      <c r="R55" s="936">
        <f>Reconcil!I211</f>
        <v>1719.7371899999853</v>
      </c>
      <c r="S55" s="937"/>
      <c r="T55" s="936">
        <f>P55+R55</f>
        <v>1762033.3362699996</v>
      </c>
      <c r="U55" s="986"/>
      <c r="V55" s="985"/>
      <c r="W55" s="953"/>
      <c r="X55" s="986"/>
      <c r="Y55" s="986"/>
      <c r="Z55" s="986"/>
      <c r="AA55" s="986"/>
      <c r="AB55" s="986"/>
      <c r="AC55" s="986"/>
    </row>
    <row r="56" spans="1:29">
      <c r="A56" s="953"/>
      <c r="B56" s="938"/>
      <c r="C56" s="938"/>
      <c r="D56" s="938"/>
      <c r="E56" s="938"/>
      <c r="F56" s="938"/>
      <c r="G56" s="938"/>
      <c r="H56" s="938"/>
      <c r="I56" s="938"/>
      <c r="J56" s="938"/>
      <c r="K56" s="938"/>
      <c r="L56" s="938"/>
      <c r="M56" s="938"/>
      <c r="N56" s="938"/>
      <c r="O56" s="938"/>
      <c r="P56" s="938"/>
      <c r="Q56" s="938"/>
      <c r="R56" s="938"/>
      <c r="S56" s="938"/>
      <c r="T56" s="938"/>
      <c r="U56" s="986"/>
      <c r="V56" s="985"/>
      <c r="W56" s="953"/>
      <c r="X56" s="986"/>
      <c r="Y56" s="986"/>
      <c r="Z56" s="986"/>
      <c r="AA56" s="986"/>
      <c r="AB56" s="986"/>
      <c r="AC56" s="986"/>
    </row>
    <row r="57" spans="1:29">
      <c r="A57" s="1050" t="str">
        <f>+Report!A57</f>
        <v>FPSC ADJUSTMENTS:</v>
      </c>
      <c r="B57" s="938"/>
      <c r="C57" s="938"/>
      <c r="D57" s="938"/>
      <c r="E57" s="938"/>
      <c r="F57" s="938"/>
      <c r="G57" s="938"/>
      <c r="H57" s="938"/>
      <c r="I57" s="938"/>
      <c r="J57" s="938"/>
      <c r="K57" s="938"/>
      <c r="L57" s="938"/>
      <c r="M57" s="938"/>
      <c r="N57" s="938"/>
      <c r="O57" s="938"/>
      <c r="P57" s="938"/>
      <c r="Q57" s="938"/>
      <c r="R57" s="938"/>
      <c r="S57" s="938"/>
      <c r="T57" s="938"/>
      <c r="U57" s="986"/>
      <c r="V57" s="985"/>
      <c r="W57" s="953"/>
      <c r="X57" s="986"/>
      <c r="Y57" s="986"/>
      <c r="Z57" s="986"/>
      <c r="AA57" s="986"/>
      <c r="AB57" s="986"/>
      <c r="AC57" s="986"/>
    </row>
    <row r="58" spans="1:29">
      <c r="A58" s="953" t="str">
        <f>+Report!A58</f>
        <v xml:space="preserve"> Property for Future Use</v>
      </c>
      <c r="B58" s="937"/>
      <c r="C58" s="937"/>
      <c r="D58" s="937"/>
      <c r="E58" s="937"/>
      <c r="F58" s="937"/>
      <c r="G58" s="937"/>
      <c r="H58" s="937"/>
      <c r="I58" s="937"/>
      <c r="J58" s="937"/>
      <c r="K58" s="937"/>
      <c r="L58" s="937">
        <f>-L55</f>
        <v>-1939.5515500000001</v>
      </c>
      <c r="M58" s="937"/>
      <c r="N58" s="937"/>
      <c r="O58" s="937"/>
      <c r="P58" s="937">
        <f>J58+L58+N58</f>
        <v>-1939.5515500000001</v>
      </c>
      <c r="Q58" s="937"/>
      <c r="R58" s="937"/>
      <c r="S58" s="937"/>
      <c r="T58" s="937">
        <f t="shared" ref="T58:T74" si="0">P58+R58</f>
        <v>-1939.5515500000001</v>
      </c>
      <c r="U58" s="986"/>
      <c r="V58" s="985"/>
      <c r="W58" s="953"/>
      <c r="X58" s="986"/>
      <c r="Y58" s="986"/>
      <c r="Z58" s="986"/>
      <c r="AA58" s="986"/>
      <c r="AB58" s="986"/>
      <c r="AC58" s="986"/>
    </row>
    <row r="59" spans="1:29">
      <c r="A59" s="953" t="str">
        <f>+Report!A59</f>
        <v xml:space="preserve"> Temporary Cash Investment</v>
      </c>
      <c r="B59" s="937"/>
      <c r="C59" s="937"/>
      <c r="D59" s="937"/>
      <c r="E59" s="937"/>
      <c r="F59" s="937"/>
      <c r="G59" s="937"/>
      <c r="H59" s="937"/>
      <c r="I59" s="937"/>
      <c r="J59" s="937"/>
      <c r="K59" s="937"/>
      <c r="L59" s="937"/>
      <c r="M59" s="937"/>
      <c r="N59" s="937"/>
      <c r="O59" s="937"/>
      <c r="P59" s="937"/>
      <c r="Q59" s="937"/>
      <c r="R59" s="937">
        <f>-Reconcil!B76</f>
        <v>-2.95</v>
      </c>
      <c r="S59" s="937"/>
      <c r="T59" s="937">
        <f t="shared" si="0"/>
        <v>-2.95</v>
      </c>
      <c r="U59" s="986"/>
      <c r="V59" s="985"/>
      <c r="W59" s="985"/>
      <c r="X59" s="986"/>
      <c r="Y59" s="986"/>
      <c r="Z59" s="986"/>
      <c r="AA59" s="986"/>
      <c r="AB59" s="986"/>
      <c r="AC59" s="986"/>
    </row>
    <row r="60" spans="1:29">
      <c r="A60" s="953" t="str">
        <f>+Report!A60</f>
        <v xml:space="preserve"> Notes Receivable</v>
      </c>
      <c r="B60" s="937"/>
      <c r="C60" s="937"/>
      <c r="D60" s="937"/>
      <c r="E60" s="937"/>
      <c r="F60" s="937"/>
      <c r="G60" s="937"/>
      <c r="H60" s="937"/>
      <c r="I60" s="937"/>
      <c r="J60" s="937"/>
      <c r="K60" s="937"/>
      <c r="L60" s="937"/>
      <c r="M60" s="937"/>
      <c r="N60" s="937"/>
      <c r="O60" s="937"/>
      <c r="P60" s="937"/>
      <c r="Q60" s="937"/>
      <c r="R60" s="937">
        <f>-Reconcil!B77</f>
        <v>0</v>
      </c>
      <c r="S60" s="937"/>
      <c r="T60" s="937">
        <f t="shared" si="0"/>
        <v>0</v>
      </c>
      <c r="U60" s="986"/>
      <c r="V60" s="985"/>
      <c r="W60" s="953"/>
      <c r="X60" s="986"/>
      <c r="Y60" s="986"/>
      <c r="Z60" s="986"/>
      <c r="AA60" s="986"/>
      <c r="AB60" s="986"/>
      <c r="AC60" s="986"/>
    </row>
    <row r="61" spans="1:29">
      <c r="A61" s="953" t="str">
        <f>+Report!A61</f>
        <v xml:space="preserve"> Accounts Rec./Pay. - Assoc Companies</v>
      </c>
      <c r="B61" s="937"/>
      <c r="C61" s="937"/>
      <c r="D61" s="937"/>
      <c r="E61" s="937"/>
      <c r="F61" s="937"/>
      <c r="G61" s="937"/>
      <c r="H61" s="937"/>
      <c r="I61" s="937"/>
      <c r="J61" s="937"/>
      <c r="K61" s="937"/>
      <c r="L61" s="937"/>
      <c r="M61" s="937"/>
      <c r="N61" s="937"/>
      <c r="O61" s="937"/>
      <c r="P61" s="937"/>
      <c r="Q61" s="937"/>
      <c r="R61" s="937">
        <f>-Reconcil!$B$81+Reconcil!$B$129</f>
        <v>-9985.2147299999997</v>
      </c>
      <c r="S61" s="937"/>
      <c r="T61" s="937">
        <f t="shared" si="0"/>
        <v>-9985.2147299999997</v>
      </c>
      <c r="U61" s="986"/>
      <c r="V61" s="985"/>
      <c r="W61" s="953"/>
      <c r="X61" s="986"/>
      <c r="Y61" s="986"/>
      <c r="Z61" s="986"/>
      <c r="AA61" s="986"/>
      <c r="AB61" s="986"/>
      <c r="AC61" s="986"/>
    </row>
    <row r="62" spans="1:29">
      <c r="A62" s="953" t="str">
        <f>+Report!A62</f>
        <v xml:space="preserve"> Other Accounts Receivable</v>
      </c>
      <c r="B62" s="937"/>
      <c r="C62" s="937"/>
      <c r="D62" s="937"/>
      <c r="E62" s="937"/>
      <c r="F62" s="937"/>
      <c r="G62" s="937"/>
      <c r="H62" s="937"/>
      <c r="I62" s="937"/>
      <c r="J62" s="937"/>
      <c r="K62" s="937"/>
      <c r="L62" s="937"/>
      <c r="M62" s="937"/>
      <c r="N62" s="937"/>
      <c r="O62" s="937"/>
      <c r="P62" s="937"/>
      <c r="Q62" s="937"/>
      <c r="R62" s="937">
        <f>-Reconcil!$B$79</f>
        <v>-4473.6198099999992</v>
      </c>
      <c r="S62" s="937"/>
      <c r="T62" s="937">
        <f t="shared" si="0"/>
        <v>-4473.6198099999992</v>
      </c>
      <c r="U62" s="986"/>
      <c r="V62" s="985"/>
      <c r="W62" s="953"/>
      <c r="X62" s="986"/>
      <c r="Y62" s="986"/>
      <c r="Z62" s="986"/>
      <c r="AA62" s="986"/>
      <c r="AB62" s="986"/>
      <c r="AC62" s="986"/>
    </row>
    <row r="63" spans="1:29">
      <c r="A63" s="953" t="str">
        <f>+Report!A63</f>
        <v xml:space="preserve"> Non-Utility Allocation</v>
      </c>
      <c r="B63" s="1199">
        <f>+-'Input Plant'!CL11/1000</f>
        <v>-1282.3845892135719</v>
      </c>
      <c r="C63" s="938"/>
      <c r="D63" s="938"/>
      <c r="E63" s="938"/>
      <c r="F63" s="1199">
        <f>+'Input Plant'!CL23/1000</f>
        <v>-398.35157153822513</v>
      </c>
      <c r="G63" s="937"/>
      <c r="H63" s="937"/>
      <c r="I63" s="937"/>
      <c r="J63" s="937">
        <f>B63+D63-F63-H63</f>
        <v>-884.03301767534674</v>
      </c>
      <c r="K63" s="937"/>
      <c r="L63" s="937"/>
      <c r="M63" s="937"/>
      <c r="N63" s="937"/>
      <c r="O63" s="937"/>
      <c r="P63" s="937">
        <f>J63+L63+N63</f>
        <v>-884.03301767534674</v>
      </c>
      <c r="Q63" s="937"/>
      <c r="R63" s="937"/>
      <c r="S63" s="937"/>
      <c r="T63" s="937">
        <f t="shared" si="0"/>
        <v>-884.03301767534674</v>
      </c>
      <c r="U63" s="986"/>
      <c r="V63" s="985"/>
      <c r="W63" s="953"/>
      <c r="X63" s="986"/>
      <c r="Y63" s="986"/>
      <c r="Z63" s="986"/>
      <c r="AA63" s="986"/>
      <c r="AB63" s="986"/>
      <c r="AC63" s="986"/>
    </row>
    <row r="64" spans="1:29" ht="12" customHeight="1">
      <c r="A64" s="953" t="str">
        <f>+Report!A64</f>
        <v xml:space="preserve"> Remove Unamort. Debt Expense</v>
      </c>
      <c r="B64" s="937"/>
      <c r="C64" s="937"/>
      <c r="D64" s="937"/>
      <c r="E64" s="937"/>
      <c r="F64" s="937"/>
      <c r="G64" s="937"/>
      <c r="H64" s="937"/>
      <c r="I64" s="937"/>
      <c r="J64" s="937"/>
      <c r="K64" s="937"/>
      <c r="L64" s="937"/>
      <c r="M64" s="937"/>
      <c r="N64" s="937"/>
      <c r="O64" s="937"/>
      <c r="P64" s="937"/>
      <c r="Q64" s="937"/>
      <c r="R64" s="937">
        <f>-Reconcil!$B$92</f>
        <v>-4248.9452799999999</v>
      </c>
      <c r="S64" s="937"/>
      <c r="T64" s="937">
        <f t="shared" si="0"/>
        <v>-4248.9452799999999</v>
      </c>
      <c r="U64" s="986"/>
      <c r="V64" s="985"/>
      <c r="W64" s="953"/>
      <c r="X64" s="986"/>
      <c r="Y64" s="986"/>
      <c r="Z64" s="986"/>
      <c r="AA64" s="986"/>
      <c r="AB64" s="986"/>
      <c r="AC64" s="986"/>
    </row>
    <row r="65" spans="1:29">
      <c r="A65" s="953" t="str">
        <f>+Report!A65</f>
        <v xml:space="preserve"> Remove Unrecovered Gas Cost</v>
      </c>
      <c r="B65" s="937"/>
      <c r="C65" s="937"/>
      <c r="D65" s="937"/>
      <c r="E65" s="937"/>
      <c r="F65" s="937"/>
      <c r="G65" s="937"/>
      <c r="H65" s="937"/>
      <c r="I65" s="937"/>
      <c r="J65" s="937"/>
      <c r="K65" s="937"/>
      <c r="L65" s="937"/>
      <c r="M65" s="937"/>
      <c r="N65" s="937"/>
      <c r="O65" s="937"/>
      <c r="P65" s="937"/>
      <c r="Q65" s="937"/>
      <c r="R65" s="937">
        <f>IF(Reconcil!$B$100&gt;0,Reconcil!$B$100*-1,0)</f>
        <v>-12048.953949999999</v>
      </c>
      <c r="S65" s="937"/>
      <c r="T65" s="937">
        <f t="shared" si="0"/>
        <v>-12048.953949999999</v>
      </c>
      <c r="U65" s="986"/>
      <c r="V65" s="985"/>
      <c r="W65" s="953"/>
      <c r="X65" s="986"/>
      <c r="Y65" s="986"/>
      <c r="Z65" s="986"/>
      <c r="AA65" s="986"/>
      <c r="AB65" s="986"/>
      <c r="AC65" s="986"/>
    </row>
    <row r="66" spans="1:29">
      <c r="A66" s="953" t="str">
        <f>+Report!A66</f>
        <v xml:space="preserve"> Remove Dividends Declared</v>
      </c>
      <c r="B66" s="937"/>
      <c r="C66" s="937"/>
      <c r="D66" s="937"/>
      <c r="E66" s="937"/>
      <c r="F66" s="937"/>
      <c r="G66" s="937"/>
      <c r="H66" s="937"/>
      <c r="I66" s="937"/>
      <c r="J66" s="937"/>
      <c r="K66" s="937"/>
      <c r="L66" s="937"/>
      <c r="M66" s="937"/>
      <c r="N66" s="937"/>
      <c r="O66" s="937"/>
      <c r="P66" s="937"/>
      <c r="Q66" s="937"/>
      <c r="R66" s="937">
        <f>Reconcil!$B$135</f>
        <v>0</v>
      </c>
      <c r="S66" s="937"/>
      <c r="T66" s="937">
        <f t="shared" si="0"/>
        <v>0</v>
      </c>
      <c r="U66" s="986"/>
      <c r="V66" s="985"/>
      <c r="W66" s="953"/>
      <c r="X66" s="986"/>
      <c r="Y66" s="986"/>
      <c r="Z66" s="986"/>
      <c r="AA66" s="986"/>
      <c r="AB66" s="986"/>
      <c r="AC66" s="986"/>
    </row>
    <row r="67" spans="1:29">
      <c r="A67" s="953" t="str">
        <f>+Report!A67</f>
        <v xml:space="preserve"> Remove Unrec. Conservation Costs</v>
      </c>
      <c r="B67" s="937"/>
      <c r="C67" s="937"/>
      <c r="D67" s="937"/>
      <c r="E67" s="937"/>
      <c r="F67" s="937"/>
      <c r="G67" s="937"/>
      <c r="H67" s="937"/>
      <c r="I67" s="937"/>
      <c r="J67" s="937"/>
      <c r="K67" s="937"/>
      <c r="L67" s="937"/>
      <c r="M67" s="937"/>
      <c r="N67" s="937"/>
      <c r="O67" s="937"/>
      <c r="P67" s="937"/>
      <c r="Q67" s="937"/>
      <c r="R67" s="937">
        <f>IF((Reconcil!$B$138-Reconcil!$B$96)&lt;0,(Reconcil!$B$138-Reconcil!$B$96),0)</f>
        <v>-601.75800000000004</v>
      </c>
      <c r="S67" s="937"/>
      <c r="T67" s="937">
        <f t="shared" si="0"/>
        <v>-601.75800000000004</v>
      </c>
      <c r="U67" s="986"/>
      <c r="V67" s="985"/>
      <c r="W67" s="953"/>
      <c r="X67" s="986"/>
      <c r="Y67" s="986"/>
      <c r="Z67" s="986"/>
      <c r="AA67" s="986"/>
      <c r="AB67" s="986"/>
      <c r="AC67" s="986"/>
    </row>
    <row r="68" spans="1:29">
      <c r="A68" s="953" t="str">
        <f>+Report!A68</f>
        <v xml:space="preserve"> Remove Unrec. CIBSR Costs</v>
      </c>
      <c r="B68" s="843"/>
      <c r="C68" s="843"/>
      <c r="D68" s="843"/>
      <c r="E68" s="843"/>
      <c r="F68" s="843"/>
      <c r="G68" s="843"/>
      <c r="H68" s="843"/>
      <c r="I68" s="843"/>
      <c r="J68" s="843"/>
      <c r="K68" s="843"/>
      <c r="L68" s="843"/>
      <c r="M68" s="843"/>
      <c r="N68" s="843"/>
      <c r="O68" s="843"/>
      <c r="P68" s="843"/>
      <c r="Q68" s="843"/>
      <c r="R68" s="843">
        <f>IF((Reconcil!$B$139-Reconcil!$B$97)&lt;0,(Reconcil!$B$139-Reconcil!$B$97),0)</f>
        <v>-563.79399999999998</v>
      </c>
      <c r="S68" s="843"/>
      <c r="T68" s="843">
        <f>P68+R68</f>
        <v>-563.79399999999998</v>
      </c>
      <c r="U68" s="986"/>
      <c r="V68" s="985"/>
      <c r="W68" s="953"/>
      <c r="X68" s="986"/>
      <c r="Y68" s="986"/>
      <c r="Z68" s="986"/>
      <c r="AA68" s="986"/>
      <c r="AB68" s="986"/>
      <c r="AC68" s="986"/>
    </row>
    <row r="69" spans="1:29">
      <c r="A69" s="953" t="str">
        <f>+Report!A69</f>
        <v xml:space="preserve"> Remove Competitve Rate Adjustment</v>
      </c>
      <c r="B69" s="937"/>
      <c r="C69" s="937"/>
      <c r="D69" s="937"/>
      <c r="E69" s="937"/>
      <c r="F69" s="937"/>
      <c r="G69" s="937"/>
      <c r="H69" s="937"/>
      <c r="I69" s="937"/>
      <c r="J69" s="937"/>
      <c r="K69" s="937"/>
      <c r="L69" s="937"/>
      <c r="M69" s="937"/>
      <c r="N69" s="937"/>
      <c r="O69" s="937"/>
      <c r="P69" s="937"/>
      <c r="Q69" s="937"/>
      <c r="R69" s="1200">
        <f>-Input!EP10/1000</f>
        <v>-3752.7729900000004</v>
      </c>
      <c r="S69" s="937"/>
      <c r="T69" s="937">
        <f t="shared" si="0"/>
        <v>-3752.7729900000004</v>
      </c>
      <c r="U69" s="986"/>
      <c r="V69" s="985"/>
      <c r="W69" s="985"/>
      <c r="X69" s="986"/>
      <c r="Y69" s="986"/>
      <c r="Z69" s="986"/>
      <c r="AA69" s="986"/>
      <c r="AB69" s="986"/>
      <c r="AC69" s="986"/>
    </row>
    <row r="70" spans="1:29">
      <c r="A70" s="953" t="str">
        <f>+Report!A70</f>
        <v xml:space="preserve"> Remove Unamortized Rate Case Expense</v>
      </c>
      <c r="B70" s="937"/>
      <c r="C70" s="937"/>
      <c r="D70" s="937"/>
      <c r="E70" s="937"/>
      <c r="F70" s="937"/>
      <c r="G70" s="937"/>
      <c r="H70" s="937"/>
      <c r="I70" s="937"/>
      <c r="J70" s="937"/>
      <c r="K70" s="937"/>
      <c r="L70" s="937"/>
      <c r="M70" s="937"/>
      <c r="N70" s="937"/>
      <c r="O70" s="937"/>
      <c r="P70" s="937"/>
      <c r="Q70" s="937"/>
      <c r="R70" s="937">
        <f>-Reconcil!$B$99</f>
        <v>-846.95283999999992</v>
      </c>
      <c r="S70" s="937"/>
      <c r="T70" s="937">
        <f t="shared" si="0"/>
        <v>-846.95283999999992</v>
      </c>
      <c r="U70" s="986"/>
      <c r="V70" s="985"/>
      <c r="W70" s="953"/>
      <c r="X70" s="986"/>
      <c r="Y70" s="986"/>
      <c r="Z70" s="986"/>
      <c r="AA70" s="986"/>
      <c r="AB70" s="986"/>
      <c r="AC70" s="986"/>
    </row>
    <row r="71" spans="1:29">
      <c r="A71" s="953" t="str">
        <f>+Report!A71</f>
        <v xml:space="preserve"> Gain on Sale of Property</v>
      </c>
      <c r="B71" s="937"/>
      <c r="C71" s="937"/>
      <c r="D71" s="937"/>
      <c r="E71" s="937"/>
      <c r="F71" s="937"/>
      <c r="G71" s="937"/>
      <c r="H71" s="937"/>
      <c r="I71" s="937"/>
      <c r="J71" s="937"/>
      <c r="K71" s="937"/>
      <c r="L71" s="937"/>
      <c r="M71" s="937"/>
      <c r="N71" s="937"/>
      <c r="O71" s="937"/>
      <c r="P71" s="937"/>
      <c r="Q71" s="937"/>
      <c r="R71" s="939">
        <v>0</v>
      </c>
      <c r="S71" s="937"/>
      <c r="T71" s="937">
        <f t="shared" si="0"/>
        <v>0</v>
      </c>
      <c r="U71" s="986"/>
      <c r="V71" s="985"/>
      <c r="W71" s="953"/>
      <c r="X71" s="986"/>
      <c r="Y71" s="986"/>
      <c r="Z71" s="986"/>
      <c r="AA71" s="986"/>
      <c r="AB71" s="986"/>
      <c r="AC71" s="986"/>
    </row>
    <row r="72" spans="1:29">
      <c r="A72" s="953" t="str">
        <f>+Report!A72</f>
        <v xml:space="preserve"> Remove Acquis. Adjustment (WFNG)</v>
      </c>
      <c r="B72" s="937"/>
      <c r="C72" s="937"/>
      <c r="D72" s="1060">
        <f>-'Input WFNG'!B254</f>
        <v>-2947</v>
      </c>
      <c r="E72" s="937"/>
      <c r="F72" s="1060">
        <f>-'Input WFNG'!D254</f>
        <v>-2947</v>
      </c>
      <c r="G72" s="937"/>
      <c r="H72" s="937"/>
      <c r="I72" s="937"/>
      <c r="J72" s="937">
        <f>B72+D72-F72-H72</f>
        <v>0</v>
      </c>
      <c r="K72" s="937"/>
      <c r="L72" s="937"/>
      <c r="M72" s="937"/>
      <c r="N72" s="937"/>
      <c r="O72" s="937"/>
      <c r="P72" s="937">
        <f>J72+L72+N72</f>
        <v>0</v>
      </c>
      <c r="Q72" s="937"/>
      <c r="R72" s="937"/>
      <c r="S72" s="937"/>
      <c r="T72" s="937">
        <f t="shared" si="0"/>
        <v>0</v>
      </c>
      <c r="U72" s="986"/>
      <c r="V72" s="985"/>
      <c r="W72" s="953"/>
      <c r="X72" s="986"/>
      <c r="Y72" s="986"/>
      <c r="Z72" s="986"/>
      <c r="AA72" s="986"/>
      <c r="AB72" s="986"/>
      <c r="AC72" s="986"/>
    </row>
    <row r="73" spans="1:29">
      <c r="A73" s="953" t="str">
        <f>+Report!A73</f>
        <v xml:space="preserve"> Remove Derivative (FAS 133)</v>
      </c>
      <c r="B73" s="937"/>
      <c r="C73" s="937"/>
      <c r="D73" s="937"/>
      <c r="E73" s="937"/>
      <c r="F73" s="937"/>
      <c r="G73" s="937"/>
      <c r="H73" s="937"/>
      <c r="I73" s="937"/>
      <c r="J73" s="937"/>
      <c r="K73" s="937"/>
      <c r="L73" s="937"/>
      <c r="M73" s="937"/>
      <c r="N73" s="937"/>
      <c r="O73" s="937"/>
      <c r="P73" s="937"/>
      <c r="Q73" s="937"/>
      <c r="R73" s="937">
        <f>(-Reconcil!B88+Reconcil!B141)*0</f>
        <v>0</v>
      </c>
      <c r="S73" s="937"/>
      <c r="T73" s="937">
        <f t="shared" si="0"/>
        <v>0</v>
      </c>
      <c r="U73" s="986"/>
      <c r="V73" s="985"/>
      <c r="W73" s="953"/>
      <c r="X73" s="986"/>
      <c r="Y73" s="986"/>
      <c r="Z73" s="986"/>
      <c r="AA73" s="986"/>
      <c r="AB73" s="986"/>
      <c r="AC73" s="986"/>
    </row>
    <row r="74" spans="1:29">
      <c r="A74" s="953" t="str">
        <f>+Report!A74</f>
        <v xml:space="preserve"> Cast Iron/Bare Steel Rider (CIBSR)</v>
      </c>
      <c r="B74" s="1171">
        <v>-23549.936050000015</v>
      </c>
      <c r="C74" s="940"/>
      <c r="D74" s="940"/>
      <c r="E74" s="940"/>
      <c r="F74" s="1171">
        <v>82.002529999999439</v>
      </c>
      <c r="G74" s="937"/>
      <c r="H74" s="937"/>
      <c r="I74" s="937"/>
      <c r="J74" s="937">
        <f>B74+D74-F74-H74</f>
        <v>-23631.938580000013</v>
      </c>
      <c r="K74" s="937"/>
      <c r="L74" s="937"/>
      <c r="M74" s="937"/>
      <c r="N74" s="1171">
        <v>-17609.019299999993</v>
      </c>
      <c r="O74" s="937"/>
      <c r="P74" s="937">
        <f>J74+L74+N74</f>
        <v>-41240.957880000002</v>
      </c>
      <c r="Q74" s="937"/>
      <c r="R74" s="937"/>
      <c r="S74" s="937"/>
      <c r="T74" s="937">
        <f t="shared" si="0"/>
        <v>-41240.957880000002</v>
      </c>
      <c r="U74" s="986"/>
      <c r="V74" s="985"/>
      <c r="W74" s="953"/>
      <c r="X74" s="986"/>
      <c r="Y74" s="986"/>
      <c r="Z74" s="986"/>
      <c r="AA74" s="986"/>
      <c r="AB74" s="986"/>
      <c r="AC74" s="986"/>
    </row>
    <row r="75" spans="1:29">
      <c r="A75" s="953" t="str">
        <f>+Report!A75</f>
        <v xml:space="preserve"> AFUDC - Eligible CWIP</v>
      </c>
      <c r="B75" s="937"/>
      <c r="C75" s="940"/>
      <c r="D75" s="940"/>
      <c r="E75" s="940"/>
      <c r="F75" s="937"/>
      <c r="G75" s="937"/>
      <c r="H75" s="937"/>
      <c r="I75" s="937"/>
      <c r="J75" s="937"/>
      <c r="K75" s="937"/>
      <c r="L75" s="937"/>
      <c r="M75" s="937"/>
      <c r="N75" s="1171">
        <f>-'Input Plant'!CJ40/1000</f>
        <v>-46994.371800000008</v>
      </c>
      <c r="O75" s="937"/>
      <c r="P75" s="937">
        <f>J75+L75+N75</f>
        <v>-46994.371800000008</v>
      </c>
      <c r="Q75" s="937"/>
      <c r="R75" s="937"/>
      <c r="S75" s="937"/>
      <c r="T75" s="937">
        <f>P75+R75</f>
        <v>-46994.371800000008</v>
      </c>
      <c r="U75" s="986"/>
      <c r="V75" s="985"/>
      <c r="W75" s="953"/>
      <c r="X75" s="986"/>
      <c r="Y75" s="986"/>
      <c r="Z75" s="986"/>
      <c r="AA75" s="986"/>
      <c r="AB75" s="986"/>
      <c r="AC75" s="986"/>
    </row>
    <row r="76" spans="1:29" ht="12.95" customHeight="1">
      <c r="A76" s="953" t="str">
        <f>+Report!A76</f>
        <v xml:space="preserve"> Remove Investment in Subsidiaries</v>
      </c>
      <c r="B76" s="936"/>
      <c r="C76" s="937"/>
      <c r="D76" s="936"/>
      <c r="E76" s="937"/>
      <c r="F76" s="936"/>
      <c r="G76" s="937"/>
      <c r="H76" s="936"/>
      <c r="I76" s="937"/>
      <c r="J76" s="936"/>
      <c r="K76" s="937"/>
      <c r="L76" s="936"/>
      <c r="M76" s="937"/>
      <c r="N76" s="936"/>
      <c r="O76" s="937"/>
      <c r="P76" s="936"/>
      <c r="Q76" s="937"/>
      <c r="R76" s="941">
        <f>-Reconcil!B67</f>
        <v>-1027.7767200000001</v>
      </c>
      <c r="S76" s="937"/>
      <c r="T76" s="941">
        <f>P76+R76</f>
        <v>-1027.7767200000001</v>
      </c>
      <c r="U76" s="986"/>
      <c r="V76" s="985"/>
      <c r="W76" s="953"/>
      <c r="X76" s="986"/>
      <c r="Y76" s="986"/>
      <c r="Z76" s="986"/>
      <c r="AA76" s="986"/>
      <c r="AB76" s="986"/>
      <c r="AC76" s="986"/>
    </row>
    <row r="77" spans="1:29">
      <c r="A77" s="953" t="str">
        <f>+Report!A77</f>
        <v>TOTAL FPSC ADJUSTMENTS</v>
      </c>
      <c r="B77" s="936">
        <f>SUM(B58:B76)</f>
        <v>-24832.320639213587</v>
      </c>
      <c r="C77" s="937"/>
      <c r="D77" s="936">
        <f>SUM(D58:D76)</f>
        <v>-2947</v>
      </c>
      <c r="E77" s="937"/>
      <c r="F77" s="936">
        <f>SUM(F58:F76)</f>
        <v>-3263.3490415382257</v>
      </c>
      <c r="G77" s="937"/>
      <c r="H77" s="936">
        <f>SUM(H58:H76)</f>
        <v>0</v>
      </c>
      <c r="I77" s="937"/>
      <c r="J77" s="936">
        <f>SUM(J58:J76)</f>
        <v>-24515.971597675358</v>
      </c>
      <c r="K77" s="937"/>
      <c r="L77" s="936">
        <f>SUM(L58:L76)</f>
        <v>-1939.5515500000001</v>
      </c>
      <c r="M77" s="937"/>
      <c r="N77" s="936">
        <f>SUM(N58:N76)</f>
        <v>-64603.391100000001</v>
      </c>
      <c r="O77" s="937"/>
      <c r="P77" s="936">
        <f>SUM(P58:P76)</f>
        <v>-91058.914247675362</v>
      </c>
      <c r="Q77" s="937"/>
      <c r="R77" s="936">
        <f>SUM(R58:R76)</f>
        <v>-37552.738320000004</v>
      </c>
      <c r="S77" s="937"/>
      <c r="T77" s="936">
        <f>SUM(T58:T76)</f>
        <v>-128611.65256767535</v>
      </c>
      <c r="U77" s="986"/>
      <c r="V77" s="986"/>
      <c r="W77" s="953"/>
      <c r="X77" s="986"/>
      <c r="Y77" s="986"/>
      <c r="Z77" s="986"/>
      <c r="AA77" s="986"/>
      <c r="AB77" s="986"/>
      <c r="AC77" s="986"/>
    </row>
    <row r="78" spans="1:29">
      <c r="A78" s="953"/>
      <c r="B78" s="712" t="s">
        <v>7</v>
      </c>
      <c r="C78" s="712"/>
      <c r="D78" s="712" t="s">
        <v>7</v>
      </c>
      <c r="E78" s="712"/>
      <c r="F78" s="712" t="s">
        <v>7</v>
      </c>
      <c r="G78" s="712"/>
      <c r="H78" s="712" t="s">
        <v>7</v>
      </c>
      <c r="I78" s="712"/>
      <c r="J78" s="712" t="s">
        <v>7</v>
      </c>
      <c r="K78" s="712"/>
      <c r="L78" s="712" t="s">
        <v>7</v>
      </c>
      <c r="M78" s="712"/>
      <c r="N78" s="712" t="s">
        <v>7</v>
      </c>
      <c r="O78" s="712"/>
      <c r="P78" s="712" t="s">
        <v>7</v>
      </c>
      <c r="Q78" s="712"/>
      <c r="R78" s="712" t="s">
        <v>7</v>
      </c>
      <c r="S78" s="712"/>
      <c r="T78" s="712" t="s">
        <v>7</v>
      </c>
      <c r="U78" s="985"/>
      <c r="V78" s="985"/>
      <c r="W78" s="953"/>
      <c r="X78" s="986"/>
      <c r="Y78" s="986"/>
      <c r="Z78" s="986"/>
      <c r="AA78" s="986"/>
      <c r="AB78" s="986"/>
      <c r="AC78" s="986"/>
    </row>
    <row r="79" spans="1:29" ht="13.5" thickBot="1">
      <c r="A79" s="953" t="str">
        <f>+Report!A79</f>
        <v>FPSC ADJUSTED</v>
      </c>
      <c r="B79" s="719">
        <f>B55+B77</f>
        <v>2453883.6335607865</v>
      </c>
      <c r="C79" s="712"/>
      <c r="D79" s="719">
        <f>D55+D77</f>
        <v>2084.8972400000002</v>
      </c>
      <c r="E79" s="712"/>
      <c r="F79" s="719">
        <f>F55+F77</f>
        <v>851384.19683846179</v>
      </c>
      <c r="G79" s="712"/>
      <c r="H79" s="719">
        <f>H55+H77</f>
        <v>18210.107640000002</v>
      </c>
      <c r="I79" s="712"/>
      <c r="J79" s="719">
        <f>J55+J77</f>
        <v>1586374.2263223242</v>
      </c>
      <c r="K79" s="712"/>
      <c r="L79" s="719">
        <f>L55+L77</f>
        <v>0</v>
      </c>
      <c r="M79" s="712"/>
      <c r="N79" s="719">
        <f>N55+N77</f>
        <v>82880.458509999997</v>
      </c>
      <c r="O79" s="712"/>
      <c r="P79" s="719">
        <f>P55+P77</f>
        <v>1669254.6848323243</v>
      </c>
      <c r="Q79" s="712"/>
      <c r="R79" s="719">
        <f>R55+R77</f>
        <v>-35833.001130000019</v>
      </c>
      <c r="S79" s="712"/>
      <c r="T79" s="719">
        <f>T55+T77</f>
        <v>1633421.6837023243</v>
      </c>
      <c r="U79" s="986"/>
      <c r="V79" s="986"/>
      <c r="W79" s="953"/>
      <c r="X79" s="986"/>
      <c r="Y79" s="986"/>
      <c r="Z79" s="986"/>
      <c r="AA79" s="986"/>
      <c r="AB79" s="986"/>
      <c r="AC79" s="986"/>
    </row>
    <row r="80" spans="1:29" ht="13.5" thickTop="1">
      <c r="A80" s="953"/>
      <c r="B80" s="712"/>
      <c r="C80" s="712"/>
      <c r="D80" s="712"/>
      <c r="E80" s="712"/>
      <c r="F80" s="712"/>
      <c r="G80" s="712"/>
      <c r="H80" s="712"/>
      <c r="I80" s="712"/>
      <c r="J80" s="712"/>
      <c r="K80" s="712"/>
      <c r="L80" s="712"/>
      <c r="M80" s="712"/>
      <c r="N80" s="712"/>
      <c r="O80" s="712"/>
      <c r="P80" s="712"/>
      <c r="Q80" s="712"/>
      <c r="R80" s="712"/>
      <c r="S80" s="712"/>
      <c r="T80" s="712"/>
      <c r="U80" s="986"/>
      <c r="V80" s="986"/>
      <c r="W80" s="953"/>
      <c r="X80" s="986"/>
      <c r="Y80" s="986"/>
      <c r="Z80" s="986"/>
      <c r="AA80" s="986"/>
      <c r="AB80" s="986"/>
      <c r="AC80" s="986"/>
    </row>
    <row r="81" spans="1:29">
      <c r="A81" s="953" t="str">
        <f>+Report!A81</f>
        <v>FLEX RATE REVENUES</v>
      </c>
      <c r="B81" s="711"/>
      <c r="C81" s="712"/>
      <c r="D81" s="711"/>
      <c r="E81" s="712"/>
      <c r="F81" s="711"/>
      <c r="G81" s="712"/>
      <c r="H81" s="711"/>
      <c r="I81" s="712"/>
      <c r="J81" s="711"/>
      <c r="K81" s="712"/>
      <c r="L81" s="711"/>
      <c r="M81" s="712"/>
      <c r="N81" s="711"/>
      <c r="O81" s="712"/>
      <c r="P81" s="711"/>
      <c r="Q81" s="712"/>
      <c r="R81" s="711"/>
      <c r="S81" s="712"/>
      <c r="T81" s="711"/>
      <c r="U81" s="986"/>
      <c r="V81" s="986"/>
      <c r="W81" s="953"/>
      <c r="X81" s="986"/>
      <c r="Y81" s="986"/>
      <c r="Z81" s="986"/>
      <c r="AA81" s="986"/>
      <c r="AB81" s="986"/>
      <c r="AC81" s="986"/>
    </row>
    <row r="82" spans="1:29">
      <c r="A82" s="953" t="str">
        <f>+Report!A82</f>
        <v>ADJUSTED FOR</v>
      </c>
      <c r="B82" s="712"/>
      <c r="C82" s="712"/>
      <c r="D82" s="712"/>
      <c r="E82" s="712"/>
      <c r="F82" s="712"/>
      <c r="G82" s="712"/>
      <c r="H82" s="712"/>
      <c r="I82" s="712"/>
      <c r="J82" s="712"/>
      <c r="K82" s="712"/>
      <c r="L82" s="712"/>
      <c r="M82" s="712"/>
      <c r="N82" s="712"/>
      <c r="O82" s="712"/>
      <c r="P82" s="712"/>
      <c r="Q82" s="712"/>
      <c r="R82" s="712"/>
      <c r="S82" s="712"/>
      <c r="T82" s="712"/>
      <c r="U82" s="986"/>
      <c r="V82" s="985"/>
      <c r="W82" s="953"/>
      <c r="X82" s="986"/>
      <c r="Y82" s="986"/>
      <c r="Z82" s="986"/>
      <c r="AA82" s="986"/>
      <c r="AB82" s="986"/>
      <c r="AC82" s="986"/>
    </row>
    <row r="83" spans="1:29" ht="13.5" thickBot="1">
      <c r="A83" s="953" t="str">
        <f>+Report!A83</f>
        <v>FLEX RATE REVENUES</v>
      </c>
      <c r="B83" s="719">
        <f>B79+B81</f>
        <v>2453883.6335607865</v>
      </c>
      <c r="C83" s="712"/>
      <c r="D83" s="719">
        <f>D79+D81</f>
        <v>2084.8972400000002</v>
      </c>
      <c r="E83" s="712"/>
      <c r="F83" s="719">
        <f>F79+F81</f>
        <v>851384.19683846179</v>
      </c>
      <c r="G83" s="712"/>
      <c r="H83" s="719">
        <f>H79+H81</f>
        <v>18210.107640000002</v>
      </c>
      <c r="I83" s="712"/>
      <c r="J83" s="719">
        <f>J79+J81</f>
        <v>1586374.2263223242</v>
      </c>
      <c r="K83" s="712"/>
      <c r="L83" s="719">
        <f>L79+L81</f>
        <v>0</v>
      </c>
      <c r="M83" s="712"/>
      <c r="N83" s="719">
        <f>N79+N81</f>
        <v>82880.458509999997</v>
      </c>
      <c r="O83" s="712"/>
      <c r="P83" s="719">
        <f>P79+P81</f>
        <v>1669254.6848323243</v>
      </c>
      <c r="Q83" s="712"/>
      <c r="R83" s="719">
        <f>R79+R81</f>
        <v>-35833.001130000019</v>
      </c>
      <c r="S83" s="712"/>
      <c r="T83" s="719">
        <f>T79+T81</f>
        <v>1633421.6837023243</v>
      </c>
      <c r="U83" s="986"/>
      <c r="V83" s="986"/>
      <c r="W83" s="953"/>
      <c r="X83" s="986"/>
      <c r="Y83" s="986"/>
      <c r="Z83" s="986"/>
      <c r="AA83" s="986"/>
      <c r="AB83" s="986"/>
      <c r="AC83" s="986"/>
    </row>
    <row r="84" spans="1:29" ht="13.5" thickTop="1">
      <c r="A84" s="953"/>
      <c r="B84" s="712"/>
      <c r="C84" s="712"/>
      <c r="D84" s="712"/>
      <c r="E84" s="712"/>
      <c r="F84" s="712"/>
      <c r="G84" s="712"/>
      <c r="H84" s="712"/>
      <c r="I84" s="712"/>
      <c r="J84" s="712"/>
      <c r="K84" s="712"/>
      <c r="L84" s="712"/>
      <c r="M84" s="712"/>
      <c r="N84" s="712"/>
      <c r="O84" s="712"/>
      <c r="P84" s="712"/>
      <c r="Q84" s="712"/>
      <c r="R84" s="712"/>
      <c r="S84" s="712"/>
      <c r="T84" s="712"/>
      <c r="U84" s="986"/>
      <c r="V84" s="986"/>
      <c r="W84" s="953"/>
      <c r="X84" s="986"/>
      <c r="Y84" s="986"/>
      <c r="Z84" s="986"/>
      <c r="AA84" s="986"/>
      <c r="AB84" s="986"/>
      <c r="AC84" s="986"/>
    </row>
    <row r="85" spans="1:29">
      <c r="A85" s="953" t="str">
        <f>+Report!A85</f>
        <v>PRO FORMA REVENUE INCREASE AND</v>
      </c>
      <c r="B85" s="712"/>
      <c r="C85" s="712"/>
      <c r="D85" s="712"/>
      <c r="E85" s="712"/>
      <c r="F85" s="712"/>
      <c r="G85" s="712"/>
      <c r="H85" s="712"/>
      <c r="I85" s="712"/>
      <c r="J85" s="712"/>
      <c r="K85" s="712"/>
      <c r="L85" s="712"/>
      <c r="M85" s="712"/>
      <c r="N85" s="712"/>
      <c r="O85" s="712"/>
      <c r="P85" s="712"/>
      <c r="Q85" s="712"/>
      <c r="R85" s="712"/>
      <c r="S85" s="712"/>
      <c r="T85" s="712"/>
      <c r="U85" s="986"/>
      <c r="V85" s="986"/>
      <c r="W85" s="953"/>
      <c r="X85" s="986"/>
      <c r="Y85" s="986"/>
      <c r="Z85" s="986"/>
      <c r="AA85" s="986"/>
      <c r="AB85" s="986"/>
      <c r="AC85" s="986"/>
    </row>
    <row r="86" spans="1:29">
      <c r="A86" s="953" t="str">
        <f>+Report!A86</f>
        <v xml:space="preserve">  ANNUALIZATION ADJUSTMENTS:</v>
      </c>
      <c r="B86" s="712"/>
      <c r="C86" s="712"/>
      <c r="D86" s="712"/>
      <c r="E86" s="712"/>
      <c r="F86" s="712"/>
      <c r="G86" s="712"/>
      <c r="H86" s="712"/>
      <c r="I86" s="712"/>
      <c r="J86" s="712"/>
      <c r="K86" s="712"/>
      <c r="L86" s="712"/>
      <c r="M86" s="712"/>
      <c r="N86" s="712"/>
      <c r="O86" s="712"/>
      <c r="P86" s="712"/>
      <c r="Q86" s="712"/>
      <c r="R86" s="712"/>
      <c r="S86" s="712"/>
      <c r="T86" s="712"/>
      <c r="U86" s="986"/>
      <c r="V86" s="986"/>
      <c r="W86" s="953"/>
      <c r="X86" s="986"/>
      <c r="Y86" s="986"/>
      <c r="Z86" s="986"/>
      <c r="AA86" s="986"/>
      <c r="AB86" s="986"/>
      <c r="AC86" s="986"/>
    </row>
    <row r="87" spans="1:29">
      <c r="A87" s="953"/>
      <c r="B87" s="712"/>
      <c r="C87" s="712"/>
      <c r="D87" s="712"/>
      <c r="E87" s="712"/>
      <c r="F87" s="712"/>
      <c r="G87" s="712"/>
      <c r="H87" s="712"/>
      <c r="I87" s="712"/>
      <c r="J87" s="712"/>
      <c r="K87" s="712"/>
      <c r="L87" s="712"/>
      <c r="M87" s="712"/>
      <c r="N87" s="712"/>
      <c r="O87" s="712"/>
      <c r="P87" s="712"/>
      <c r="Q87" s="712"/>
      <c r="R87" s="712"/>
      <c r="S87" s="712"/>
      <c r="T87" s="712"/>
      <c r="U87" s="986"/>
      <c r="V87" s="985"/>
      <c r="W87" s="953"/>
      <c r="X87" s="986"/>
      <c r="Y87" s="986"/>
      <c r="Z87" s="986"/>
      <c r="AA87" s="986"/>
      <c r="AB87" s="986"/>
      <c r="AC87" s="986"/>
    </row>
    <row r="88" spans="1:29">
      <c r="A88" s="953"/>
      <c r="B88" s="712"/>
      <c r="C88" s="712"/>
      <c r="D88" s="712"/>
      <c r="E88" s="712"/>
      <c r="F88" s="712"/>
      <c r="G88" s="712"/>
      <c r="H88" s="712"/>
      <c r="I88" s="712"/>
      <c r="J88" s="712"/>
      <c r="K88" s="712"/>
      <c r="L88" s="712"/>
      <c r="M88" s="712"/>
      <c r="N88" s="712"/>
      <c r="O88" s="712"/>
      <c r="P88" s="712"/>
      <c r="Q88" s="712"/>
      <c r="R88" s="712"/>
      <c r="S88" s="712"/>
      <c r="T88" s="712">
        <f>P88+R88</f>
        <v>0</v>
      </c>
      <c r="U88" s="986"/>
      <c r="V88" s="986"/>
      <c r="W88" s="953"/>
      <c r="X88" s="986"/>
      <c r="Y88" s="986"/>
      <c r="Z88" s="986"/>
      <c r="AA88" s="986"/>
      <c r="AB88" s="986"/>
      <c r="AC88" s="986"/>
    </row>
    <row r="89" spans="1:29" ht="12.95" customHeight="1">
      <c r="A89" s="953"/>
      <c r="B89" s="711"/>
      <c r="C89" s="712"/>
      <c r="D89" s="711"/>
      <c r="E89" s="712"/>
      <c r="F89" s="711"/>
      <c r="G89" s="712"/>
      <c r="H89" s="711"/>
      <c r="I89" s="712"/>
      <c r="J89" s="711"/>
      <c r="K89" s="712"/>
      <c r="L89" s="711"/>
      <c r="M89" s="712"/>
      <c r="N89" s="711"/>
      <c r="O89" s="712"/>
      <c r="P89" s="711"/>
      <c r="Q89" s="712"/>
      <c r="R89" s="711"/>
      <c r="S89" s="712"/>
      <c r="T89" s="711"/>
      <c r="U89" s="986"/>
      <c r="V89" s="985"/>
      <c r="W89" s="953"/>
      <c r="X89" s="986"/>
      <c r="Y89" s="986"/>
      <c r="Z89" s="986"/>
      <c r="AA89" s="986"/>
      <c r="AB89" s="986"/>
      <c r="AC89" s="986"/>
    </row>
    <row r="90" spans="1:29">
      <c r="A90" s="953" t="str">
        <f>+Report!A90</f>
        <v>TOTAL PRO FORMA ADJUSTMENTS</v>
      </c>
      <c r="B90" s="711">
        <f>SUM(B88:B88)</f>
        <v>0</v>
      </c>
      <c r="C90" s="712"/>
      <c r="D90" s="711">
        <f>SUM(D88:D88)</f>
        <v>0</v>
      </c>
      <c r="E90" s="712"/>
      <c r="F90" s="711">
        <f>SUM(F88:F88)</f>
        <v>0</v>
      </c>
      <c r="G90" s="712"/>
      <c r="H90" s="711">
        <f>SUM(H88:H88)</f>
        <v>0</v>
      </c>
      <c r="I90" s="712"/>
      <c r="J90" s="711">
        <f>SUM(J88:J88)</f>
        <v>0</v>
      </c>
      <c r="K90" s="712"/>
      <c r="L90" s="711">
        <f>SUM(L88:L88)</f>
        <v>0</v>
      </c>
      <c r="M90" s="712"/>
      <c r="N90" s="711">
        <f>SUM(N88:N88)</f>
        <v>0</v>
      </c>
      <c r="O90" s="712"/>
      <c r="P90" s="711">
        <f>SUM(P88:P88)</f>
        <v>0</v>
      </c>
      <c r="Q90" s="712"/>
      <c r="R90" s="711">
        <f>SUM(R88:R88)</f>
        <v>0</v>
      </c>
      <c r="S90" s="712"/>
      <c r="T90" s="711">
        <f>SUM(T88:T88)</f>
        <v>0</v>
      </c>
      <c r="U90" s="986"/>
      <c r="V90" s="986"/>
      <c r="W90" s="953"/>
      <c r="X90" s="986"/>
      <c r="Y90" s="986"/>
      <c r="Z90" s="986"/>
      <c r="AA90" s="986"/>
      <c r="AB90" s="986"/>
      <c r="AC90" s="986"/>
    </row>
    <row r="91" spans="1:29">
      <c r="A91" s="953"/>
      <c r="B91" s="712"/>
      <c r="C91" s="712"/>
      <c r="D91" s="712"/>
      <c r="E91" s="712"/>
      <c r="F91" s="712"/>
      <c r="G91" s="712"/>
      <c r="H91" s="712"/>
      <c r="I91" s="712"/>
      <c r="J91" s="712"/>
      <c r="K91" s="712"/>
      <c r="L91" s="712"/>
      <c r="M91" s="712"/>
      <c r="N91" s="712"/>
      <c r="O91" s="712"/>
      <c r="P91" s="712"/>
      <c r="Q91" s="712"/>
      <c r="R91" s="712"/>
      <c r="S91" s="712"/>
      <c r="T91" s="712"/>
      <c r="U91" s="986"/>
      <c r="V91" s="985"/>
      <c r="W91" s="953"/>
      <c r="X91" s="986"/>
      <c r="Y91" s="986"/>
      <c r="Z91" s="986"/>
      <c r="AA91" s="986"/>
      <c r="AB91" s="986"/>
      <c r="AC91" s="986"/>
    </row>
    <row r="92" spans="1:29" ht="13.5" thickBot="1">
      <c r="A92" s="953" t="str">
        <f>+Report!A92</f>
        <v>PRO FORMA ADJUSTED</v>
      </c>
      <c r="B92" s="719">
        <f>B83+B90</f>
        <v>2453883.6335607865</v>
      </c>
      <c r="C92" s="712"/>
      <c r="D92" s="719">
        <f>D83+D90</f>
        <v>2084.8972400000002</v>
      </c>
      <c r="E92" s="712"/>
      <c r="F92" s="719">
        <f>F83+F90</f>
        <v>851384.19683846179</v>
      </c>
      <c r="G92" s="712"/>
      <c r="H92" s="719">
        <f>H83+H90</f>
        <v>18210.107640000002</v>
      </c>
      <c r="I92" s="712"/>
      <c r="J92" s="719">
        <f>J83+J90</f>
        <v>1586374.2263223242</v>
      </c>
      <c r="K92" s="712"/>
      <c r="L92" s="719">
        <f>L83+L90</f>
        <v>0</v>
      </c>
      <c r="M92" s="712"/>
      <c r="N92" s="719">
        <f>N83+N90</f>
        <v>82880.458509999997</v>
      </c>
      <c r="O92" s="712"/>
      <c r="P92" s="719">
        <f>P83+P90</f>
        <v>1669254.6848323243</v>
      </c>
      <c r="Q92" s="712"/>
      <c r="R92" s="719">
        <f>R83+R90</f>
        <v>-35833.001130000019</v>
      </c>
      <c r="S92" s="712"/>
      <c r="T92" s="719">
        <f>T83+T90</f>
        <v>1633421.6837023243</v>
      </c>
      <c r="U92" s="986"/>
      <c r="V92" s="986"/>
      <c r="W92" s="986"/>
      <c r="X92" s="986"/>
      <c r="Y92" s="986"/>
      <c r="Z92" s="986"/>
      <c r="AA92" s="986"/>
      <c r="AB92" s="986"/>
      <c r="AC92" s="986"/>
    </row>
    <row r="93" spans="1:29" ht="13.5" thickTop="1">
      <c r="A93" s="953"/>
      <c r="B93" s="1051"/>
      <c r="C93" s="712"/>
      <c r="D93" s="1051"/>
      <c r="E93" s="712"/>
      <c r="F93" s="1051"/>
      <c r="G93" s="712"/>
      <c r="H93" s="1051"/>
      <c r="I93" s="712"/>
      <c r="J93" s="1051"/>
      <c r="K93" s="712"/>
      <c r="L93" s="1051"/>
      <c r="M93" s="712"/>
      <c r="N93" s="1051"/>
      <c r="O93" s="712"/>
      <c r="P93" s="1051"/>
      <c r="Q93" s="712"/>
      <c r="R93" s="1051"/>
      <c r="S93" s="712"/>
      <c r="T93" s="1051"/>
      <c r="U93" s="986"/>
      <c r="V93" s="986"/>
      <c r="W93" s="986"/>
      <c r="X93" s="986"/>
      <c r="Y93" s="986"/>
      <c r="Z93" s="986"/>
      <c r="AA93" s="986"/>
      <c r="AB93" s="986"/>
      <c r="AC93" s="986"/>
    </row>
    <row r="94" spans="1:29">
      <c r="A94" s="953"/>
      <c r="B94" s="983"/>
      <c r="C94" s="983"/>
      <c r="D94" s="983"/>
      <c r="E94" s="983"/>
      <c r="F94" s="983"/>
      <c r="G94" s="983"/>
      <c r="H94" s="983"/>
      <c r="I94" s="983"/>
      <c r="J94" s="983"/>
      <c r="K94" s="983"/>
      <c r="L94" s="983"/>
      <c r="M94" s="983"/>
      <c r="N94" s="983"/>
      <c r="O94" s="983"/>
      <c r="P94" s="983"/>
      <c r="Q94" s="983"/>
      <c r="R94" s="983"/>
      <c r="S94" s="983"/>
      <c r="T94" s="983"/>
      <c r="U94" s="986"/>
      <c r="V94" s="986"/>
      <c r="W94" s="986"/>
      <c r="X94" s="986"/>
      <c r="Y94" s="986"/>
      <c r="Z94" s="986"/>
      <c r="AA94" s="986"/>
      <c r="AB94" s="986"/>
      <c r="AC94" s="986"/>
    </row>
    <row r="95" spans="1:29" ht="15.75">
      <c r="A95" s="721" t="str">
        <f>+Report!A95</f>
        <v>PEOPLES GAS SYSTEM</v>
      </c>
      <c r="B95" s="722"/>
      <c r="C95" s="722"/>
      <c r="D95" s="722"/>
      <c r="E95" s="722"/>
      <c r="F95" s="723"/>
      <c r="G95" s="722"/>
      <c r="H95" s="724"/>
      <c r="I95" s="723"/>
      <c r="J95" s="723"/>
      <c r="K95" s="722"/>
      <c r="L95" s="722"/>
      <c r="M95" s="722"/>
      <c r="N95" s="722"/>
      <c r="O95" s="722"/>
      <c r="P95" s="722"/>
      <c r="Q95" s="722"/>
      <c r="R95" s="722"/>
      <c r="S95" s="722"/>
      <c r="T95" s="929" t="s">
        <v>159</v>
      </c>
      <c r="U95" s="723"/>
      <c r="V95" s="722"/>
      <c r="W95" s="986"/>
      <c r="X95" s="986"/>
      <c r="Y95" s="986"/>
      <c r="Z95" s="986"/>
      <c r="AA95" s="986"/>
      <c r="AB95" s="986"/>
      <c r="AC95" s="986"/>
    </row>
    <row r="96" spans="1:29" ht="15.75">
      <c r="A96" s="721" t="str">
        <f>+Report!A96</f>
        <v>NET OPERATING INCOME</v>
      </c>
      <c r="B96" s="722"/>
      <c r="C96" s="722"/>
      <c r="D96" s="722"/>
      <c r="E96" s="722"/>
      <c r="F96" s="723"/>
      <c r="G96" s="722"/>
      <c r="H96" s="724"/>
      <c r="I96" s="723"/>
      <c r="J96" s="723"/>
      <c r="K96" s="722"/>
      <c r="L96" s="722"/>
      <c r="M96" s="722"/>
      <c r="N96" s="722"/>
      <c r="O96" s="722"/>
      <c r="P96" s="722"/>
      <c r="Q96" s="722"/>
      <c r="R96" s="722"/>
      <c r="S96" s="722"/>
      <c r="T96" s="726"/>
      <c r="U96" s="726"/>
      <c r="V96" s="726"/>
      <c r="W96" s="986"/>
      <c r="X96" s="986"/>
      <c r="Y96" s="986"/>
      <c r="Z96" s="986"/>
      <c r="AA96" s="986"/>
      <c r="AB96" s="986"/>
      <c r="AC96" s="986"/>
    </row>
    <row r="97" spans="1:29" ht="15.75">
      <c r="A97" s="721" t="str">
        <f>+Report!A97</f>
        <v>December 2021</v>
      </c>
      <c r="B97" s="722"/>
      <c r="C97" s="722"/>
      <c r="D97" s="722"/>
      <c r="E97" s="722"/>
      <c r="F97" s="722"/>
      <c r="G97" s="724"/>
      <c r="H97" s="722"/>
      <c r="I97" s="723"/>
      <c r="J97" s="723"/>
      <c r="K97" s="722"/>
      <c r="L97" s="722"/>
      <c r="M97" s="722"/>
      <c r="N97" s="722"/>
      <c r="O97" s="722"/>
      <c r="P97" s="722"/>
      <c r="Q97" s="722"/>
      <c r="R97" s="722"/>
      <c r="S97" s="722"/>
      <c r="T97" s="726"/>
      <c r="U97" s="726"/>
      <c r="V97" s="726"/>
      <c r="W97" s="986"/>
      <c r="X97" s="986"/>
      <c r="Y97" s="986"/>
      <c r="Z97" s="986"/>
      <c r="AA97" s="986"/>
      <c r="AB97" s="986"/>
      <c r="AC97" s="986"/>
    </row>
    <row r="98" spans="1:29" ht="15.75">
      <c r="A98" s="721" t="str">
        <f>+Report!A98</f>
        <v>(In $ Thousands)</v>
      </c>
      <c r="B98" s="722"/>
      <c r="C98" s="722"/>
      <c r="D98" s="722"/>
      <c r="E98" s="722"/>
      <c r="F98" s="722"/>
      <c r="G98" s="724"/>
      <c r="H98" s="722"/>
      <c r="I98" s="723"/>
      <c r="J98" s="723"/>
      <c r="K98" s="722"/>
      <c r="L98" s="722"/>
      <c r="M98" s="722"/>
      <c r="N98" s="722"/>
      <c r="O98" s="722"/>
      <c r="P98" s="722"/>
      <c r="Q98" s="722"/>
      <c r="R98" s="722"/>
      <c r="S98" s="722"/>
      <c r="T98" s="726"/>
      <c r="U98" s="726"/>
      <c r="V98" s="726"/>
      <c r="W98" s="986"/>
      <c r="X98" s="986"/>
      <c r="Y98" s="986"/>
      <c r="Z98" s="986"/>
      <c r="AA98" s="986"/>
      <c r="AB98" s="986"/>
      <c r="AC98" s="986"/>
    </row>
    <row r="99" spans="1:29">
      <c r="A99" s="953"/>
      <c r="B99" s="986"/>
      <c r="C99" s="986"/>
      <c r="D99" s="986"/>
      <c r="E99" s="986"/>
      <c r="F99" s="986"/>
      <c r="G99" s="986"/>
      <c r="H99" s="986"/>
      <c r="I99" s="953"/>
      <c r="J99" s="986"/>
      <c r="K99" s="986"/>
      <c r="L99" s="986"/>
      <c r="M99" s="986"/>
      <c r="N99" s="986"/>
      <c r="O99" s="986"/>
      <c r="P99" s="986"/>
      <c r="Q99" s="986"/>
      <c r="R99" s="986"/>
      <c r="S99" s="986"/>
      <c r="T99" s="986"/>
      <c r="U99" s="986"/>
      <c r="V99" s="986"/>
      <c r="W99" s="986"/>
      <c r="X99" s="986"/>
      <c r="Y99" s="986"/>
      <c r="Z99" s="986"/>
      <c r="AA99" s="986"/>
      <c r="AB99" s="986"/>
      <c r="AC99" s="986"/>
    </row>
    <row r="100" spans="1:29">
      <c r="A100" s="953"/>
      <c r="B100" s="983"/>
      <c r="C100" s="983"/>
      <c r="D100" s="983"/>
      <c r="E100" s="983"/>
      <c r="F100" s="983"/>
      <c r="G100" s="983"/>
      <c r="H100" s="983"/>
      <c r="I100" s="983"/>
      <c r="J100" s="983"/>
      <c r="K100" s="983"/>
      <c r="L100" s="983"/>
      <c r="M100" s="983"/>
      <c r="N100" s="983"/>
      <c r="O100" s="983"/>
      <c r="P100" s="983"/>
      <c r="Q100" s="983"/>
      <c r="R100" s="983"/>
      <c r="S100" s="983"/>
      <c r="T100" s="983"/>
      <c r="U100" s="986"/>
      <c r="V100" s="983"/>
      <c r="W100" s="986"/>
      <c r="X100" s="986"/>
      <c r="Y100" s="986"/>
      <c r="Z100" s="986"/>
      <c r="AA100" s="986"/>
      <c r="AB100" s="986"/>
      <c r="AC100" s="986"/>
    </row>
    <row r="101" spans="1:29">
      <c r="A101" s="953"/>
      <c r="B101" s="986"/>
      <c r="C101" s="986"/>
      <c r="D101" s="986"/>
      <c r="E101" s="986"/>
      <c r="F101" s="986"/>
      <c r="G101" s="986"/>
      <c r="H101" s="986"/>
      <c r="I101" s="986"/>
      <c r="J101" s="986"/>
      <c r="K101" s="986"/>
      <c r="L101" s="986"/>
      <c r="M101" s="986"/>
      <c r="N101" s="986"/>
      <c r="O101" s="986"/>
      <c r="P101" s="986"/>
      <c r="Q101" s="986"/>
      <c r="R101" s="986"/>
      <c r="S101" s="986"/>
      <c r="T101" s="986"/>
      <c r="U101" s="986"/>
      <c r="V101" s="986"/>
      <c r="W101" s="986"/>
      <c r="X101" s="986"/>
      <c r="Y101" s="986"/>
      <c r="Z101" s="986"/>
      <c r="AA101" s="986"/>
      <c r="AB101" s="986"/>
      <c r="AC101" s="986"/>
    </row>
    <row r="102" spans="1:29">
      <c r="A102" s="953"/>
      <c r="B102" s="995" t="s">
        <v>94</v>
      </c>
      <c r="C102" s="986"/>
      <c r="D102" s="995" t="s">
        <v>95</v>
      </c>
      <c r="E102" s="986"/>
      <c r="F102" s="995" t="s">
        <v>96</v>
      </c>
      <c r="G102" s="986"/>
      <c r="H102" s="995" t="s">
        <v>97</v>
      </c>
      <c r="I102" s="953"/>
      <c r="J102" s="995" t="s">
        <v>98</v>
      </c>
      <c r="K102" s="986"/>
      <c r="L102" s="995" t="s">
        <v>147</v>
      </c>
      <c r="M102" s="986"/>
      <c r="N102" s="995" t="s">
        <v>124</v>
      </c>
      <c r="O102" s="986"/>
      <c r="P102" s="995" t="s">
        <v>125</v>
      </c>
      <c r="Q102" s="986"/>
      <c r="R102" s="1332" t="s">
        <v>126</v>
      </c>
      <c r="S102" s="986"/>
      <c r="T102" s="995" t="s">
        <v>127</v>
      </c>
      <c r="U102" s="986"/>
      <c r="V102" s="995" t="s">
        <v>128</v>
      </c>
      <c r="W102" s="986"/>
      <c r="X102" s="986"/>
      <c r="Y102" s="986"/>
      <c r="Z102" s="986"/>
      <c r="AA102" s="986"/>
      <c r="AB102" s="986"/>
      <c r="AC102" s="986"/>
    </row>
    <row r="103" spans="1:29">
      <c r="A103" s="953"/>
      <c r="B103" s="986"/>
      <c r="C103" s="986"/>
      <c r="D103" s="986"/>
      <c r="E103" s="986"/>
      <c r="F103" s="986"/>
      <c r="G103" s="986"/>
      <c r="H103" s="995" t="s">
        <v>148</v>
      </c>
      <c r="I103" s="953"/>
      <c r="J103" s="986"/>
      <c r="K103" s="986"/>
      <c r="L103" s="986"/>
      <c r="M103" s="986"/>
      <c r="N103" s="995" t="s">
        <v>356</v>
      </c>
      <c r="O103" s="986"/>
      <c r="P103" s="995" t="s">
        <v>359</v>
      </c>
      <c r="Q103" s="986"/>
      <c r="R103" s="986"/>
      <c r="S103" s="986"/>
      <c r="T103" s="995" t="s">
        <v>347</v>
      </c>
      <c r="U103" s="986"/>
      <c r="V103" s="995" t="s">
        <v>339</v>
      </c>
      <c r="W103" s="986"/>
      <c r="X103" s="986"/>
      <c r="Y103" s="986"/>
      <c r="Z103" s="986"/>
      <c r="AA103" s="986"/>
      <c r="AB103" s="986"/>
      <c r="AC103" s="986"/>
    </row>
    <row r="104" spans="1:29">
      <c r="A104" s="953"/>
      <c r="B104" s="995" t="s">
        <v>349</v>
      </c>
      <c r="C104" s="986"/>
      <c r="D104" s="995" t="s">
        <v>149</v>
      </c>
      <c r="E104" s="986"/>
      <c r="F104" s="995" t="s">
        <v>149</v>
      </c>
      <c r="G104" s="986"/>
      <c r="H104" s="995" t="s">
        <v>329</v>
      </c>
      <c r="I104" s="953"/>
      <c r="J104" s="995" t="s">
        <v>352</v>
      </c>
      <c r="K104" s="986"/>
      <c r="L104" s="995" t="s">
        <v>354</v>
      </c>
      <c r="M104" s="986"/>
      <c r="N104" s="995" t="s">
        <v>354</v>
      </c>
      <c r="O104" s="986"/>
      <c r="P104" s="995" t="s">
        <v>358</v>
      </c>
      <c r="Q104" s="986"/>
      <c r="R104" s="995" t="s">
        <v>360</v>
      </c>
      <c r="S104" s="986"/>
      <c r="T104" s="995" t="s">
        <v>349</v>
      </c>
      <c r="U104" s="986"/>
      <c r="V104" s="995" t="s">
        <v>349</v>
      </c>
      <c r="W104" s="995"/>
      <c r="X104" s="986"/>
      <c r="Y104" s="986"/>
      <c r="Z104" s="986"/>
      <c r="AA104" s="986"/>
      <c r="AB104" s="986"/>
      <c r="AC104" s="986"/>
    </row>
    <row r="105" spans="1:29">
      <c r="A105" s="953"/>
      <c r="B105" s="996" t="s">
        <v>350</v>
      </c>
      <c r="C105" s="986"/>
      <c r="D105" s="996" t="s">
        <v>351</v>
      </c>
      <c r="E105" s="986"/>
      <c r="F105" s="996" t="s">
        <v>261</v>
      </c>
      <c r="G105" s="986"/>
      <c r="H105" s="996" t="s">
        <v>330</v>
      </c>
      <c r="I105" s="953"/>
      <c r="J105" s="996" t="s">
        <v>353</v>
      </c>
      <c r="K105" s="986"/>
      <c r="L105" s="996" t="s">
        <v>355</v>
      </c>
      <c r="M105" s="986"/>
      <c r="N105" s="996" t="s">
        <v>357</v>
      </c>
      <c r="O105" s="986"/>
      <c r="P105" s="996" t="s">
        <v>357</v>
      </c>
      <c r="Q105" s="986"/>
      <c r="R105" s="996" t="s">
        <v>361</v>
      </c>
      <c r="S105" s="986"/>
      <c r="T105" s="996" t="s">
        <v>362</v>
      </c>
      <c r="U105" s="986"/>
      <c r="V105" s="996" t="s">
        <v>363</v>
      </c>
      <c r="W105" s="967"/>
      <c r="X105" s="995"/>
      <c r="Y105" s="986"/>
      <c r="Z105" s="986"/>
      <c r="AA105" s="986"/>
      <c r="AB105" s="986"/>
      <c r="AC105" s="986"/>
    </row>
    <row r="106" spans="1:29" ht="13.9" customHeight="1">
      <c r="A106" s="953" t="str">
        <f>+Report!A106</f>
        <v>PER BOOKS</v>
      </c>
      <c r="B106" s="711">
        <f>+IncomeStmt!B9</f>
        <v>517145.58792999992</v>
      </c>
      <c r="C106" s="937"/>
      <c r="D106" s="711">
        <f>+IncomeStmt!$B$10</f>
        <v>161278.81740999999</v>
      </c>
      <c r="E106" s="937"/>
      <c r="F106" s="711">
        <f>+IncomeStmt!$B$13</f>
        <v>140031.48268000002</v>
      </c>
      <c r="G106" s="712"/>
      <c r="H106" s="711">
        <f>SUM(IncomeStmt!$B$14:$B$17)</f>
        <v>55696.881180000004</v>
      </c>
      <c r="I106" s="712"/>
      <c r="J106" s="711">
        <f>+IncomeStmt!$B$18</f>
        <v>47718.677969999997</v>
      </c>
      <c r="K106" s="712"/>
      <c r="L106" s="711">
        <f>+IncomeStmt!$B$19</f>
        <v>8238.5524800000003</v>
      </c>
      <c r="M106" s="712"/>
      <c r="N106" s="711">
        <f>+IncomeStmt!$B$20</f>
        <v>13291.795559999999</v>
      </c>
      <c r="O106" s="712"/>
      <c r="P106" s="711">
        <f>+IncomeStmt!$B$21</f>
        <v>0</v>
      </c>
      <c r="Q106" s="712"/>
      <c r="R106" s="1177">
        <f>(SUM('Input IS ACCTS'!CJ362:CU362)+SUM('Input IS ACCTS'!CJ369:CU369))/1000</f>
        <v>61.98348</v>
      </c>
      <c r="S106" s="712"/>
      <c r="T106" s="711">
        <f>SUM(D106:R106)</f>
        <v>426318.19076000008</v>
      </c>
      <c r="U106" s="712"/>
      <c r="V106" s="711">
        <f>+B106-T106</f>
        <v>90827.397169999836</v>
      </c>
      <c r="W106" s="985"/>
      <c r="X106" s="985"/>
      <c r="Y106" s="986"/>
      <c r="Z106" s="986"/>
      <c r="AA106" s="986"/>
      <c r="AB106" s="986"/>
      <c r="AC106" s="986"/>
    </row>
    <row r="107" spans="1:29">
      <c r="A107" s="953"/>
      <c r="B107" s="937"/>
      <c r="C107" s="937"/>
      <c r="D107" s="937"/>
      <c r="E107" s="937"/>
      <c r="F107" s="937"/>
      <c r="G107" s="937"/>
      <c r="H107" s="937"/>
      <c r="I107" s="937"/>
      <c r="J107" s="937"/>
      <c r="K107" s="937"/>
      <c r="L107" s="937"/>
      <c r="M107" s="937"/>
      <c r="N107" s="937"/>
      <c r="O107" s="937"/>
      <c r="P107" s="937"/>
      <c r="Q107" s="937"/>
      <c r="R107" s="937"/>
      <c r="S107" s="937"/>
      <c r="T107" s="937"/>
      <c r="U107" s="937"/>
      <c r="V107" s="937"/>
      <c r="W107" s="985"/>
      <c r="X107" s="986"/>
      <c r="Y107" s="986"/>
      <c r="Z107" s="986"/>
      <c r="AA107" s="986"/>
      <c r="AB107" s="986"/>
      <c r="AC107" s="986"/>
    </row>
    <row r="108" spans="1:29">
      <c r="A108" s="988" t="str">
        <f>+Report!A108</f>
        <v>FPSC ADJUSTMENTS:</v>
      </c>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985"/>
      <c r="X108" s="986"/>
      <c r="Y108" s="986"/>
      <c r="Z108" s="986"/>
      <c r="AA108" s="986"/>
      <c r="AB108" s="986"/>
      <c r="AC108" s="986"/>
    </row>
    <row r="109" spans="1:29">
      <c r="A109" s="997" t="str">
        <f>+Report!A109</f>
        <v>Remove Conservation Charges</v>
      </c>
      <c r="B109" s="1172">
        <f>-Input!EP19/1000</f>
        <v>-19628.651889999997</v>
      </c>
      <c r="C109" s="937"/>
      <c r="D109" s="937"/>
      <c r="E109" s="937"/>
      <c r="F109" s="1172">
        <f>-Input!EP15/1000</f>
        <v>-19628.651469999997</v>
      </c>
      <c r="G109" s="937"/>
      <c r="H109" s="937"/>
      <c r="I109" s="937"/>
      <c r="J109" s="937"/>
      <c r="K109" s="937"/>
      <c r="L109" s="942">
        <f>((B109-D109-F109-H109-J109)*'Input Tax Rate'!$B$36)</f>
        <v>-9.9929130072292548E-5</v>
      </c>
      <c r="M109" s="937"/>
      <c r="N109" s="937"/>
      <c r="O109" s="937"/>
      <c r="P109" s="937"/>
      <c r="Q109" s="937"/>
      <c r="R109" s="937"/>
      <c r="S109" s="937"/>
      <c r="T109" s="937">
        <f t="shared" ref="T109:T125" si="1">SUM(D109:R109)</f>
        <v>-19628.651569929127</v>
      </c>
      <c r="U109" s="937"/>
      <c r="V109" s="943">
        <f t="shared" ref="V109:V125" si="2">B109-T109</f>
        <v>-3.2007087065721862E-4</v>
      </c>
      <c r="W109" s="998" t="s">
        <v>535</v>
      </c>
      <c r="X109" s="985"/>
      <c r="Y109" s="986"/>
      <c r="Z109" s="986"/>
      <c r="AA109" s="986"/>
      <c r="AB109" s="986"/>
      <c r="AC109" s="986"/>
    </row>
    <row r="110" spans="1:29">
      <c r="A110" s="997" t="str">
        <f>+Report!A110</f>
        <v>Non-Utility Allocation</v>
      </c>
      <c r="B110" s="937"/>
      <c r="C110" s="937"/>
      <c r="D110" s="937"/>
      <c r="E110" s="937"/>
      <c r="F110" s="937"/>
      <c r="G110" s="937"/>
      <c r="H110" s="1170">
        <f>+-'Input Plant'!CK34/1000</f>
        <v>-41.12526429385079</v>
      </c>
      <c r="I110" s="937"/>
      <c r="J110" s="944">
        <v>0</v>
      </c>
      <c r="K110" s="937"/>
      <c r="L110" s="942">
        <f>((B110-D110-F110-H110-J110)*'Input Tax Rate'!$B$36)</f>
        <v>9.7847901950108902</v>
      </c>
      <c r="M110" s="937"/>
      <c r="N110" s="937"/>
      <c r="O110" s="937"/>
      <c r="P110" s="937"/>
      <c r="Q110" s="937"/>
      <c r="R110" s="937"/>
      <c r="S110" s="937"/>
      <c r="T110" s="937">
        <f t="shared" si="1"/>
        <v>-31.340474098839898</v>
      </c>
      <c r="U110" s="937"/>
      <c r="V110" s="937">
        <f t="shared" si="2"/>
        <v>31.340474098839898</v>
      </c>
      <c r="W110" s="985"/>
      <c r="X110" s="985"/>
      <c r="Y110" s="986"/>
      <c r="Z110" s="986"/>
      <c r="AA110" s="986"/>
      <c r="AB110" s="986"/>
      <c r="AC110" s="986"/>
    </row>
    <row r="111" spans="1:29">
      <c r="A111" s="997" t="str">
        <f>+Report!A111</f>
        <v>Interest Synchronization</v>
      </c>
      <c r="B111" s="937"/>
      <c r="C111" s="937"/>
      <c r="D111" s="937"/>
      <c r="E111" s="937"/>
      <c r="F111" s="937"/>
      <c r="G111" s="937"/>
      <c r="H111" s="937"/>
      <c r="I111" s="937"/>
      <c r="J111" s="937"/>
      <c r="K111" s="937"/>
      <c r="L111" s="1172">
        <f>-'Int Synch'!E31</f>
        <v>92.409253235451331</v>
      </c>
      <c r="M111" s="937"/>
      <c r="N111" s="937"/>
      <c r="O111" s="937"/>
      <c r="P111" s="937"/>
      <c r="Q111" s="937"/>
      <c r="R111" s="937"/>
      <c r="S111" s="937"/>
      <c r="T111" s="937">
        <f>SUM(D111:R111)</f>
        <v>92.409253235451331</v>
      </c>
      <c r="U111" s="937"/>
      <c r="V111" s="937">
        <f t="shared" si="2"/>
        <v>-92.409253235451331</v>
      </c>
      <c r="W111" s="985"/>
      <c r="X111" s="985"/>
      <c r="Y111" s="986"/>
      <c r="Z111" s="986"/>
      <c r="AA111" s="986"/>
      <c r="AB111" s="986"/>
      <c r="AC111" s="986"/>
    </row>
    <row r="112" spans="1:29">
      <c r="A112" s="997" t="str">
        <f>+Report!A112</f>
        <v>Parent Debt Adjustment</v>
      </c>
      <c r="B112" s="937"/>
      <c r="C112" s="937"/>
      <c r="D112" s="937"/>
      <c r="E112" s="937"/>
      <c r="F112" s="937"/>
      <c r="G112" s="937"/>
      <c r="H112" s="937"/>
      <c r="I112" s="937"/>
      <c r="J112" s="937"/>
      <c r="K112" s="937"/>
      <c r="L112" s="1079">
        <f>+Report!L112</f>
        <v>-2099</v>
      </c>
      <c r="M112" s="937"/>
      <c r="N112" s="937"/>
      <c r="O112" s="937"/>
      <c r="P112" s="937"/>
      <c r="Q112" s="937"/>
      <c r="R112" s="937"/>
      <c r="S112" s="937"/>
      <c r="T112" s="937">
        <f t="shared" si="1"/>
        <v>-2099</v>
      </c>
      <c r="U112" s="937"/>
      <c r="V112" s="937">
        <f t="shared" si="2"/>
        <v>2099</v>
      </c>
      <c r="W112" s="985"/>
      <c r="X112" s="985"/>
      <c r="Y112" s="986"/>
      <c r="Z112" s="986"/>
      <c r="AA112" s="986"/>
      <c r="AB112" s="986"/>
      <c r="AC112" s="986"/>
    </row>
    <row r="113" spans="1:33">
      <c r="A113" s="997" t="str">
        <f>+Report!A113</f>
        <v>Remove Fuel Revenues</v>
      </c>
      <c r="B113" s="1172">
        <f>-D106+J113</f>
        <v>-161973.31740999999</v>
      </c>
      <c r="C113" s="937"/>
      <c r="D113" s="937">
        <f>-D106</f>
        <v>-161278.81740999999</v>
      </c>
      <c r="E113" s="937"/>
      <c r="F113" s="937"/>
      <c r="G113" s="937"/>
      <c r="H113" s="937"/>
      <c r="I113" s="937"/>
      <c r="J113" s="1172">
        <f>+-Input!EP46/1000</f>
        <v>-694.5</v>
      </c>
      <c r="K113" s="937"/>
      <c r="L113" s="942">
        <f>((B113-D113-F113-H113-J113)*'Input Tax Rate'!$B$36)</f>
        <v>0</v>
      </c>
      <c r="M113" s="937"/>
      <c r="N113" s="937"/>
      <c r="O113" s="937"/>
      <c r="P113" s="937"/>
      <c r="Q113" s="937"/>
      <c r="R113" s="937"/>
      <c r="S113" s="937"/>
      <c r="T113" s="937">
        <f t="shared" si="1"/>
        <v>-161973.31740999999</v>
      </c>
      <c r="U113" s="937"/>
      <c r="V113" s="943">
        <f t="shared" si="2"/>
        <v>0</v>
      </c>
      <c r="W113" s="998" t="s">
        <v>535</v>
      </c>
      <c r="X113" s="985"/>
      <c r="Y113" s="986"/>
      <c r="Z113" s="986"/>
      <c r="AA113" s="986"/>
      <c r="AB113" s="986"/>
      <c r="AC113" s="986"/>
    </row>
    <row r="114" spans="1:33">
      <c r="A114" s="997" t="str">
        <f>+Report!A114</f>
        <v>Economic Development Adjustment</v>
      </c>
      <c r="B114" s="937"/>
      <c r="C114" s="937"/>
      <c r="D114" s="937"/>
      <c r="E114" s="937"/>
      <c r="F114" s="1170">
        <f>-Input!EP24/1000</f>
        <v>-18.620854000000001</v>
      </c>
      <c r="G114" s="937"/>
      <c r="H114" s="937"/>
      <c r="I114" s="937"/>
      <c r="J114" s="937"/>
      <c r="K114" s="937"/>
      <c r="L114" s="942">
        <f>((B114-D114-F114-H114-J114)*'Input Tax Rate'!$B$36)</f>
        <v>4.4303946192310004</v>
      </c>
      <c r="M114" s="937"/>
      <c r="N114" s="937"/>
      <c r="O114" s="937"/>
      <c r="P114" s="937"/>
      <c r="Q114" s="937"/>
      <c r="R114" s="937"/>
      <c r="S114" s="937"/>
      <c r="T114" s="937">
        <f t="shared" si="1"/>
        <v>-14.190459380769001</v>
      </c>
      <c r="U114" s="937"/>
      <c r="V114" s="937">
        <f t="shared" si="2"/>
        <v>14.190459380769001</v>
      </c>
      <c r="W114" s="985"/>
      <c r="X114" s="985"/>
      <c r="Y114" s="986"/>
      <c r="Z114" s="986"/>
      <c r="AA114" s="986"/>
      <c r="AB114" s="986"/>
      <c r="AC114" s="986"/>
    </row>
    <row r="115" spans="1:33">
      <c r="A115" s="997" t="str">
        <f>+Report!A115</f>
        <v>Employee Activities</v>
      </c>
      <c r="B115" s="937"/>
      <c r="C115" s="937"/>
      <c r="D115" s="937"/>
      <c r="E115" s="937"/>
      <c r="F115" s="1170">
        <f>-Input!EP57/1000</f>
        <v>-69.856849999999994</v>
      </c>
      <c r="G115" s="937"/>
      <c r="H115" s="937"/>
      <c r="I115" s="937"/>
      <c r="J115" s="937"/>
      <c r="K115" s="937"/>
      <c r="L115" s="942">
        <f>((B115-D115-F115-H115-J115)*'Input Tax Rate'!$B$36)</f>
        <v>16.620795821525</v>
      </c>
      <c r="M115" s="937"/>
      <c r="N115" s="937"/>
      <c r="O115" s="937"/>
      <c r="P115" s="937"/>
      <c r="Q115" s="937"/>
      <c r="R115" s="937"/>
      <c r="S115" s="937"/>
      <c r="T115" s="937">
        <f t="shared" si="1"/>
        <v>-53.236054178474994</v>
      </c>
      <c r="U115" s="937"/>
      <c r="V115" s="937">
        <f t="shared" si="2"/>
        <v>53.236054178474994</v>
      </c>
      <c r="X115" s="985"/>
      <c r="Y115" s="985"/>
      <c r="Z115" s="986"/>
      <c r="AA115" s="986"/>
      <c r="AB115" s="986"/>
      <c r="AC115" s="986"/>
    </row>
    <row r="116" spans="1:33">
      <c r="A116" s="997" t="str">
        <f>+Report!A116</f>
        <v>Franchise/Gross Receipts Taxes</v>
      </c>
      <c r="B116" s="1170">
        <f>Input!EP34/1000</f>
        <v>-29071.52102</v>
      </c>
      <c r="C116" s="937"/>
      <c r="D116" s="937"/>
      <c r="E116" s="937"/>
      <c r="F116" s="937"/>
      <c r="G116" s="937"/>
      <c r="H116" s="937"/>
      <c r="I116" s="937"/>
      <c r="J116" s="1170">
        <f>-Input!EP29/1000</f>
        <v>-28891.917550000006</v>
      </c>
      <c r="K116" s="937"/>
      <c r="L116" s="942">
        <f>((B116-D116-F116-H116-J116)*'Input Tax Rate'!$B$36)</f>
        <v>-42.732425004953704</v>
      </c>
      <c r="M116" s="937"/>
      <c r="N116" s="937"/>
      <c r="O116" s="937"/>
      <c r="P116" s="937"/>
      <c r="Q116" s="937"/>
      <c r="R116" s="937"/>
      <c r="S116" s="937"/>
      <c r="T116" s="937">
        <f>SUM(D116:R116)</f>
        <v>-28934.649975004959</v>
      </c>
      <c r="U116" s="937"/>
      <c r="V116" s="937">
        <f t="shared" si="2"/>
        <v>-136.8710449950413</v>
      </c>
      <c r="W116" s="985"/>
      <c r="X116" s="985"/>
      <c r="Y116" s="986"/>
      <c r="Z116" s="986"/>
      <c r="AA116" s="986"/>
      <c r="AB116" s="985"/>
      <c r="AC116" s="986"/>
      <c r="AD116" s="986"/>
      <c r="AE116" s="986"/>
      <c r="AF116" s="986"/>
      <c r="AG116" s="986"/>
    </row>
    <row r="117" spans="1:33">
      <c r="A117" s="997" t="str">
        <f>+Report!A117</f>
        <v>Maintenance of General Plant</v>
      </c>
      <c r="B117" s="937"/>
      <c r="C117" s="937"/>
      <c r="D117" s="937"/>
      <c r="E117" s="937"/>
      <c r="F117" s="1170">
        <f>-('Input IS ACCTS'!CV507)*0.1328/1000</f>
        <v>-38.448500351999996</v>
      </c>
      <c r="G117" s="937"/>
      <c r="H117" s="937"/>
      <c r="I117" s="937"/>
      <c r="J117" s="937"/>
      <c r="K117" s="937"/>
      <c r="L117" s="942">
        <f>((B117-D117-F117-H117-J117)*'Input Tax Rate'!$B$36)</f>
        <v>9.1479171190001285</v>
      </c>
      <c r="M117" s="937"/>
      <c r="N117" s="937"/>
      <c r="O117" s="937"/>
      <c r="P117" s="937"/>
      <c r="Q117" s="937"/>
      <c r="R117" s="937"/>
      <c r="S117" s="937"/>
      <c r="T117" s="937">
        <f t="shared" si="1"/>
        <v>-29.30058323299987</v>
      </c>
      <c r="U117" s="937"/>
      <c r="V117" s="937">
        <f t="shared" si="2"/>
        <v>29.30058323299987</v>
      </c>
      <c r="W117" s="985"/>
      <c r="X117" s="985"/>
      <c r="Y117" s="986"/>
      <c r="Z117" s="986"/>
      <c r="AA117" s="986"/>
      <c r="AB117" s="986"/>
      <c r="AC117" s="986"/>
    </row>
    <row r="118" spans="1:33">
      <c r="A118" s="997" t="str">
        <f>+Report!A118</f>
        <v>Maint. of Structures and Improvements</v>
      </c>
      <c r="B118" s="937"/>
      <c r="C118" s="937"/>
      <c r="D118" s="937"/>
      <c r="E118" s="937"/>
      <c r="F118" s="1170">
        <f>-('Input IS ACCTS'!CV479)*0.031/1000</f>
        <v>-5.9299689200000003</v>
      </c>
      <c r="G118" s="937"/>
      <c r="H118" s="937"/>
      <c r="I118" s="937"/>
      <c r="J118" s="937"/>
      <c r="K118" s="937"/>
      <c r="L118" s="942">
        <f>((B118-D118-F118-H118-J118)*'Input Tax Rate'!$B$36)</f>
        <v>1.4108967502443801</v>
      </c>
      <c r="M118" s="937"/>
      <c r="N118" s="937"/>
      <c r="O118" s="937"/>
      <c r="P118" s="937"/>
      <c r="Q118" s="937"/>
      <c r="R118" s="937"/>
      <c r="S118" s="937"/>
      <c r="T118" s="937">
        <f t="shared" si="1"/>
        <v>-4.5190721697556206</v>
      </c>
      <c r="U118" s="937"/>
      <c r="V118" s="937">
        <f t="shared" si="2"/>
        <v>4.5190721697556206</v>
      </c>
      <c r="W118" s="985"/>
      <c r="X118" s="985"/>
      <c r="Y118" s="986"/>
      <c r="Z118" s="986"/>
      <c r="AA118" s="986"/>
      <c r="AB118" s="986"/>
      <c r="AC118" s="986"/>
    </row>
    <row r="119" spans="1:33">
      <c r="A119" s="997" t="str">
        <f>+Report!A119</f>
        <v>Remove Acquisition Adj. Amortiz. (WFNG)</v>
      </c>
      <c r="B119" s="937"/>
      <c r="C119" s="937"/>
      <c r="D119" s="937"/>
      <c r="E119" s="937"/>
      <c r="F119" s="937"/>
      <c r="G119" s="937"/>
      <c r="H119" s="1170">
        <f>+-'Input WFNG'!T268/1000</f>
        <v>-44.704999999999998</v>
      </c>
      <c r="I119" s="937"/>
      <c r="J119" s="937"/>
      <c r="K119" s="937"/>
      <c r="L119" s="942">
        <f>((B119-D119-F119-H119-J119)*'Input Tax Rate'!$B$36)</f>
        <v>10.6365041825</v>
      </c>
      <c r="M119" s="937"/>
      <c r="N119" s="937"/>
      <c r="O119" s="937"/>
      <c r="P119" s="937"/>
      <c r="Q119" s="937"/>
      <c r="R119" s="937"/>
      <c r="S119" s="937"/>
      <c r="T119" s="937">
        <f t="shared" si="1"/>
        <v>-34.068495817500001</v>
      </c>
      <c r="U119" s="937"/>
      <c r="V119" s="937">
        <f t="shared" si="2"/>
        <v>34.068495817500001</v>
      </c>
      <c r="W119" s="985"/>
      <c r="X119" s="985"/>
      <c r="Y119" s="986"/>
      <c r="Z119" s="986"/>
      <c r="AA119" s="986"/>
      <c r="AB119" s="986"/>
      <c r="AC119" s="986"/>
    </row>
    <row r="120" spans="1:33">
      <c r="A120" s="997" t="str">
        <f>+Report!A120</f>
        <v>Gain on Sale of Property</v>
      </c>
      <c r="B120" s="937"/>
      <c r="C120" s="937"/>
      <c r="D120" s="937"/>
      <c r="E120" s="937"/>
      <c r="F120" s="939"/>
      <c r="G120" s="937"/>
      <c r="H120" s="937"/>
      <c r="I120" s="937"/>
      <c r="J120" s="937"/>
      <c r="K120" s="937"/>
      <c r="L120" s="942">
        <f>((B120-D120-F120-H120-J120)*'Input Tax Rate'!$B$36)</f>
        <v>0</v>
      </c>
      <c r="M120" s="937"/>
      <c r="N120" s="937"/>
      <c r="O120" s="937"/>
      <c r="P120" s="937"/>
      <c r="Q120" s="937"/>
      <c r="R120" s="937"/>
      <c r="S120" s="937"/>
      <c r="T120" s="937">
        <f>SUM(D120:R120)</f>
        <v>0</v>
      </c>
      <c r="U120" s="937"/>
      <c r="V120" s="937">
        <f t="shared" si="2"/>
        <v>0</v>
      </c>
      <c r="W120" s="985"/>
      <c r="X120" s="985"/>
      <c r="Y120" s="986"/>
      <c r="Z120" s="986"/>
      <c r="AA120" s="986"/>
      <c r="AB120" s="986"/>
      <c r="AC120" s="986"/>
    </row>
    <row r="121" spans="1:33">
      <c r="A121" s="997" t="str">
        <f>+Report!A121</f>
        <v>Lease of PHFFU</v>
      </c>
      <c r="B121" s="1172">
        <f>-Input!EP51/1000</f>
        <v>-108.53180999999999</v>
      </c>
      <c r="C121" s="937"/>
      <c r="D121" s="937"/>
      <c r="E121" s="937"/>
      <c r="F121" s="939"/>
      <c r="G121" s="937"/>
      <c r="H121" s="937"/>
      <c r="I121" s="937"/>
      <c r="J121" s="937"/>
      <c r="K121" s="937"/>
      <c r="L121" s="942">
        <f>((B121-D121-F121-H121-J121)*'Input Tax Rate'!$B$36)</f>
        <v>-25.822593691965</v>
      </c>
      <c r="M121" s="937"/>
      <c r="N121" s="937"/>
      <c r="O121" s="937"/>
      <c r="P121" s="937"/>
      <c r="Q121" s="937"/>
      <c r="R121" s="937"/>
      <c r="S121" s="937"/>
      <c r="T121" s="937">
        <f>SUM(D121:R121)</f>
        <v>-25.822593691965</v>
      </c>
      <c r="U121" s="937"/>
      <c r="V121" s="937">
        <f t="shared" si="2"/>
        <v>-82.709216308034996</v>
      </c>
      <c r="W121" s="985"/>
      <c r="X121" s="985"/>
      <c r="Y121" s="986"/>
      <c r="Z121" s="986"/>
      <c r="AA121" s="986"/>
      <c r="AB121" s="986"/>
      <c r="AC121" s="986"/>
    </row>
    <row r="122" spans="1:33">
      <c r="A122" s="997" t="str">
        <f>+Report!A122</f>
        <v>Remove  ITC Amortization</v>
      </c>
      <c r="B122" s="937"/>
      <c r="C122" s="937"/>
      <c r="D122" s="937"/>
      <c r="E122" s="937"/>
      <c r="F122" s="937"/>
      <c r="G122" s="937"/>
      <c r="H122" s="937"/>
      <c r="I122" s="937"/>
      <c r="J122" s="937"/>
      <c r="K122" s="937"/>
      <c r="L122" s="942">
        <f>((B122-D122-F122-H122-J122)*'Input Tax Rate'!$B$36)</f>
        <v>0</v>
      </c>
      <c r="M122" s="937"/>
      <c r="N122" s="937"/>
      <c r="O122" s="937"/>
      <c r="P122" s="937">
        <f>-P106</f>
        <v>0</v>
      </c>
      <c r="Q122" s="937"/>
      <c r="R122" s="937"/>
      <c r="S122" s="937"/>
      <c r="T122" s="937">
        <f t="shared" si="1"/>
        <v>0</v>
      </c>
      <c r="U122" s="937"/>
      <c r="V122" s="937">
        <f t="shared" si="2"/>
        <v>0</v>
      </c>
      <c r="W122" s="985"/>
      <c r="X122" s="985"/>
      <c r="Y122" s="986"/>
      <c r="Z122" s="986"/>
      <c r="AA122" s="986"/>
      <c r="AB122" s="986"/>
      <c r="AC122" s="986"/>
    </row>
    <row r="123" spans="1:33">
      <c r="A123" s="997" t="str">
        <f>+Report!A123</f>
        <v>Cast Iron/Bare Steel Rider (CIBSR)</v>
      </c>
      <c r="B123" s="1175">
        <v>-4764.6855999999998</v>
      </c>
      <c r="C123" s="940"/>
      <c r="D123" s="940"/>
      <c r="E123" s="940"/>
      <c r="F123" s="1175">
        <v>-4795.0159999999996</v>
      </c>
      <c r="G123" s="940"/>
      <c r="H123" s="1171">
        <v>-71.212999999999965</v>
      </c>
      <c r="I123" s="940"/>
      <c r="J123" s="1171">
        <v>101.54457999999998</v>
      </c>
      <c r="K123" s="937"/>
      <c r="L123" s="942">
        <f>((B123-D123-F123-H123-J123)*'Input Tax Rate'!$B$36)</f>
        <v>-2.8075327004516013E-4</v>
      </c>
      <c r="M123" s="937"/>
      <c r="N123" s="937"/>
      <c r="O123" s="937"/>
      <c r="P123" s="937"/>
      <c r="Q123" s="937"/>
      <c r="R123" s="937"/>
      <c r="S123" s="937"/>
      <c r="T123" s="937">
        <f>SUM(D123:R123)</f>
        <v>-4764.6847007532697</v>
      </c>
      <c r="U123" s="937"/>
      <c r="V123" s="943">
        <f t="shared" si="2"/>
        <v>-8.992467301141005E-4</v>
      </c>
      <c r="W123" s="998" t="s">
        <v>535</v>
      </c>
      <c r="X123" s="985"/>
      <c r="Y123" s="986"/>
      <c r="Z123" s="986"/>
      <c r="AA123" s="986"/>
      <c r="AB123" s="986"/>
      <c r="AC123" s="986"/>
    </row>
    <row r="124" spans="1:33">
      <c r="A124" s="997" t="str">
        <f>+Report!A124</f>
        <v>Cast Iron/Bare Steel Rider (CIBSR) - ROI</v>
      </c>
      <c r="B124" s="1171">
        <v>-1243.3610000000001</v>
      </c>
      <c r="C124" s="940"/>
      <c r="D124" s="940"/>
      <c r="E124" s="940"/>
      <c r="F124" s="940"/>
      <c r="G124" s="940"/>
      <c r="H124" s="940"/>
      <c r="I124" s="940"/>
      <c r="J124" s="940"/>
      <c r="K124" s="937"/>
      <c r="L124" s="942">
        <f>((B124-D124-F124-H124-J124)*'Input Tax Rate'!$B$36)</f>
        <v>-295.82853096650007</v>
      </c>
      <c r="M124" s="937"/>
      <c r="N124" s="937"/>
      <c r="O124" s="937"/>
      <c r="P124" s="937"/>
      <c r="Q124" s="937"/>
      <c r="R124" s="937"/>
      <c r="S124" s="937"/>
      <c r="T124" s="937">
        <f>SUM(D124:R124)</f>
        <v>-295.82853096650007</v>
      </c>
      <c r="U124" s="937"/>
      <c r="V124" s="937">
        <f t="shared" si="2"/>
        <v>-947.53246903350009</v>
      </c>
      <c r="W124" s="985"/>
      <c r="X124" s="985"/>
      <c r="Y124" s="986"/>
      <c r="Z124" s="986"/>
      <c r="AA124" s="986"/>
      <c r="AB124" s="986"/>
      <c r="AC124" s="986"/>
    </row>
    <row r="125" spans="1:33">
      <c r="A125" s="732" t="str">
        <f>+Report!A125</f>
        <v>OSS Adjustment</v>
      </c>
      <c r="B125" s="936">
        <v>0</v>
      </c>
      <c r="C125" s="937"/>
      <c r="D125" s="936"/>
      <c r="E125" s="937"/>
      <c r="F125" s="936"/>
      <c r="G125" s="937"/>
      <c r="H125" s="936"/>
      <c r="I125" s="937"/>
      <c r="J125" s="936"/>
      <c r="K125" s="937"/>
      <c r="L125" s="942">
        <f>((B125-D125-F125-H125-J125)*'Input Tax Rate'!$B$36)</f>
        <v>0</v>
      </c>
      <c r="M125" s="937"/>
      <c r="N125" s="936"/>
      <c r="O125" s="937"/>
      <c r="P125" s="936"/>
      <c r="Q125" s="937"/>
      <c r="R125" s="936"/>
      <c r="S125" s="937"/>
      <c r="T125" s="941">
        <f t="shared" si="1"/>
        <v>0</v>
      </c>
      <c r="U125" s="937"/>
      <c r="V125" s="941">
        <f t="shared" si="2"/>
        <v>0</v>
      </c>
      <c r="W125" s="985"/>
      <c r="X125" s="985"/>
      <c r="Y125" s="986"/>
      <c r="Z125" s="986"/>
      <c r="AA125" s="986"/>
      <c r="AB125" s="986"/>
      <c r="AC125" s="986"/>
    </row>
    <row r="126" spans="1:33" ht="12.95" customHeight="1">
      <c r="A126" s="674" t="str">
        <f>+Report!A126</f>
        <v>TOTAL FPSC ADJUSTMENTS</v>
      </c>
      <c r="B126" s="936">
        <f>SUM(B109:B125)</f>
        <v>-216790.06872999997</v>
      </c>
      <c r="C126" s="937"/>
      <c r="D126" s="936">
        <f>SUM(D109:D125)</f>
        <v>-161278.81740999999</v>
      </c>
      <c r="E126" s="937"/>
      <c r="F126" s="936">
        <f>SUM(F109:F125)</f>
        <v>-24556.523643271998</v>
      </c>
      <c r="G126" s="937"/>
      <c r="H126" s="936">
        <f>SUM(H109:H125)</f>
        <v>-157.04326429385077</v>
      </c>
      <c r="I126" s="937"/>
      <c r="J126" s="936">
        <f>SUM(J109:J125)</f>
        <v>-29484.872970000004</v>
      </c>
      <c r="K126" s="937"/>
      <c r="L126" s="936">
        <f>SUM(L109:L125)</f>
        <v>-2318.9433784228563</v>
      </c>
      <c r="M126" s="937"/>
      <c r="N126" s="936">
        <f>SUM(N109:N125)</f>
        <v>0</v>
      </c>
      <c r="O126" s="937"/>
      <c r="P126" s="936">
        <f>SUM(P109:P125)</f>
        <v>0</v>
      </c>
      <c r="Q126" s="937"/>
      <c r="R126" s="936">
        <f>SUM(R109:R125)</f>
        <v>0</v>
      </c>
      <c r="S126" s="937"/>
      <c r="T126" s="936">
        <f>SUM(T109:T125)</f>
        <v>-217796.20066598873</v>
      </c>
      <c r="U126" s="937"/>
      <c r="V126" s="936">
        <f>SUM(V109:V125)</f>
        <v>1006.1319359887111</v>
      </c>
      <c r="W126" s="985"/>
      <c r="X126" s="985"/>
      <c r="Y126" s="986"/>
      <c r="Z126" s="986"/>
      <c r="AA126" s="986"/>
      <c r="AB126" s="986"/>
      <c r="AC126" s="986"/>
    </row>
    <row r="127" spans="1:33">
      <c r="A127" s="953"/>
      <c r="B127" s="937"/>
      <c r="C127" s="937"/>
      <c r="D127" s="937"/>
      <c r="E127" s="937"/>
      <c r="F127" s="937"/>
      <c r="G127" s="937"/>
      <c r="H127" s="937"/>
      <c r="I127" s="937"/>
      <c r="J127" s="937"/>
      <c r="K127" s="937"/>
      <c r="L127" s="937"/>
      <c r="M127" s="937"/>
      <c r="N127" s="937"/>
      <c r="O127" s="937"/>
      <c r="P127" s="937"/>
      <c r="Q127" s="937"/>
      <c r="R127" s="937"/>
      <c r="S127" s="937"/>
      <c r="T127" s="937"/>
      <c r="U127" s="937"/>
      <c r="V127" s="937"/>
      <c r="W127" s="985"/>
      <c r="X127" s="985"/>
      <c r="Y127" s="986"/>
      <c r="Z127" s="986"/>
      <c r="AA127" s="986"/>
      <c r="AB127" s="986"/>
      <c r="AC127" s="986"/>
    </row>
    <row r="128" spans="1:33" ht="13.5" thickBot="1">
      <c r="A128" s="953" t="str">
        <f>+Report!A128</f>
        <v>FPSC ADJUSTED</v>
      </c>
      <c r="B128" s="946">
        <f>B106+B126</f>
        <v>300355.51919999998</v>
      </c>
      <c r="C128" s="937"/>
      <c r="D128" s="946">
        <f>D106+D126</f>
        <v>0</v>
      </c>
      <c r="E128" s="937"/>
      <c r="F128" s="946">
        <f>F106+F126</f>
        <v>115474.95903672802</v>
      </c>
      <c r="G128" s="937"/>
      <c r="H128" s="946">
        <f>H106+H126</f>
        <v>55539.83791570615</v>
      </c>
      <c r="I128" s="937"/>
      <c r="J128" s="946">
        <f>J106+J126</f>
        <v>18233.804999999993</v>
      </c>
      <c r="K128" s="937"/>
      <c r="L128" s="946">
        <f>L106+L126</f>
        <v>5919.6091015771435</v>
      </c>
      <c r="M128" s="937"/>
      <c r="N128" s="946">
        <f>N106+N126</f>
        <v>13291.795559999999</v>
      </c>
      <c r="O128" s="937"/>
      <c r="P128" s="946">
        <f>P106+P126</f>
        <v>0</v>
      </c>
      <c r="Q128" s="937"/>
      <c r="R128" s="946">
        <f>R106+R126</f>
        <v>61.98348</v>
      </c>
      <c r="S128" s="937"/>
      <c r="T128" s="946">
        <f>T106+T126</f>
        <v>208521.99009401136</v>
      </c>
      <c r="U128" s="937"/>
      <c r="V128" s="946">
        <f>V106+V126</f>
        <v>91833.529105988549</v>
      </c>
      <c r="W128" s="985"/>
      <c r="X128" s="985"/>
      <c r="Y128" s="986"/>
      <c r="Z128" s="986"/>
      <c r="AA128" s="986"/>
      <c r="AB128" s="986"/>
      <c r="AC128" s="986"/>
    </row>
    <row r="129" spans="1:29" ht="13.5" thickTop="1">
      <c r="A129" s="953"/>
      <c r="B129" s="712"/>
      <c r="C129" s="712"/>
      <c r="D129" s="712"/>
      <c r="E129" s="712"/>
      <c r="F129" s="712"/>
      <c r="G129" s="712"/>
      <c r="H129" s="712"/>
      <c r="I129" s="712"/>
      <c r="J129" s="712"/>
      <c r="K129" s="712"/>
      <c r="L129" s="712"/>
      <c r="M129" s="712"/>
      <c r="N129" s="712"/>
      <c r="O129" s="712"/>
      <c r="P129" s="712"/>
      <c r="Q129" s="712"/>
      <c r="R129" s="712"/>
      <c r="S129" s="712"/>
      <c r="T129" s="712"/>
      <c r="U129" s="712"/>
      <c r="V129" s="712"/>
      <c r="W129" s="985"/>
      <c r="X129" s="985"/>
      <c r="Y129" s="999"/>
      <c r="Z129" s="986"/>
      <c r="AA129" s="986"/>
      <c r="AB129" s="986"/>
      <c r="AC129" s="986"/>
    </row>
    <row r="130" spans="1:29">
      <c r="A130" s="988" t="str">
        <f>+Report!A130</f>
        <v>FLEX RATE REVENUES</v>
      </c>
      <c r="B130" s="1174">
        <f>-Input!EP61/1000</f>
        <v>-3726.5816599999994</v>
      </c>
      <c r="C130" s="712"/>
      <c r="D130" s="711"/>
      <c r="E130" s="712"/>
      <c r="F130" s="711"/>
      <c r="G130" s="712"/>
      <c r="H130" s="711"/>
      <c r="I130" s="712"/>
      <c r="J130" s="711"/>
      <c r="K130" s="712"/>
      <c r="L130" s="1333">
        <f>((B130-D130-F130-H130-J130)*'Input Tax Rate'!$B$36)</f>
        <v>-886.65253132798989</v>
      </c>
      <c r="M130" s="712"/>
      <c r="N130" s="711"/>
      <c r="O130" s="712"/>
      <c r="P130" s="711"/>
      <c r="Q130" s="712"/>
      <c r="R130" s="711"/>
      <c r="S130" s="712"/>
      <c r="T130" s="711">
        <f>SUM(D130:R130)</f>
        <v>-886.65253132798989</v>
      </c>
      <c r="U130" s="712"/>
      <c r="V130" s="711">
        <f>B130-T130</f>
        <v>-2839.9291286720095</v>
      </c>
      <c r="W130" s="985"/>
      <c r="X130" s="985"/>
      <c r="Y130" s="986"/>
      <c r="Z130" s="986"/>
      <c r="AA130" s="986"/>
      <c r="AB130" s="986"/>
      <c r="AC130" s="986"/>
    </row>
    <row r="131" spans="1:29">
      <c r="A131" s="953" t="str">
        <f>+Report!A131</f>
        <v>ADJUSTED FOR</v>
      </c>
      <c r="B131" s="712"/>
      <c r="C131" s="712"/>
      <c r="D131" s="712"/>
      <c r="E131" s="712"/>
      <c r="F131" s="712"/>
      <c r="G131" s="712"/>
      <c r="H131" s="712"/>
      <c r="I131" s="712"/>
      <c r="J131" s="712"/>
      <c r="K131" s="712"/>
      <c r="L131" s="712"/>
      <c r="M131" s="712"/>
      <c r="N131" s="712"/>
      <c r="O131" s="712"/>
      <c r="P131" s="712"/>
      <c r="Q131" s="712"/>
      <c r="R131" s="712"/>
      <c r="S131" s="712"/>
      <c r="T131" s="712"/>
      <c r="U131" s="712"/>
      <c r="V131" s="712"/>
      <c r="W131" s="985"/>
      <c r="X131" s="985"/>
      <c r="Y131" s="986"/>
      <c r="Z131" s="986"/>
      <c r="AA131" s="986"/>
      <c r="AB131" s="986"/>
      <c r="AC131" s="986"/>
    </row>
    <row r="132" spans="1:29" ht="13.5" thickBot="1">
      <c r="A132" s="953" t="str">
        <f>+Report!A132</f>
        <v>FLEX RATE REVENUES</v>
      </c>
      <c r="B132" s="719">
        <f>B128+B130</f>
        <v>296628.93753999996</v>
      </c>
      <c r="C132" s="712"/>
      <c r="D132" s="719">
        <f>D128+D130</f>
        <v>0</v>
      </c>
      <c r="E132" s="712"/>
      <c r="F132" s="719">
        <f>F128+F130</f>
        <v>115474.95903672802</v>
      </c>
      <c r="G132" s="712"/>
      <c r="H132" s="719">
        <f>H128+H130</f>
        <v>55539.83791570615</v>
      </c>
      <c r="I132" s="712"/>
      <c r="J132" s="719">
        <f>J128+J130</f>
        <v>18233.804999999993</v>
      </c>
      <c r="K132" s="712"/>
      <c r="L132" s="719">
        <f>L128+L130</f>
        <v>5032.9565702491536</v>
      </c>
      <c r="M132" s="712"/>
      <c r="N132" s="719">
        <f>N128+N130</f>
        <v>13291.795559999999</v>
      </c>
      <c r="O132" s="712"/>
      <c r="P132" s="719">
        <f>P128+P130</f>
        <v>0</v>
      </c>
      <c r="Q132" s="712"/>
      <c r="R132" s="719">
        <f>R128+R130</f>
        <v>61.98348</v>
      </c>
      <c r="S132" s="712"/>
      <c r="T132" s="719">
        <f>T128+T130</f>
        <v>207635.33756268336</v>
      </c>
      <c r="U132" s="712"/>
      <c r="V132" s="719">
        <f>V128+V130</f>
        <v>88993.599977316539</v>
      </c>
      <c r="W132" s="985"/>
      <c r="X132" s="985"/>
      <c r="Y132" s="986"/>
      <c r="Z132" s="986"/>
      <c r="AA132" s="986"/>
      <c r="AB132" s="986"/>
      <c r="AC132" s="986"/>
    </row>
    <row r="133" spans="1:29" ht="13.5" thickTop="1">
      <c r="A133" s="953"/>
      <c r="B133" s="713"/>
      <c r="C133" s="713"/>
      <c r="D133" s="713"/>
      <c r="E133" s="713"/>
      <c r="F133" s="713"/>
      <c r="G133" s="713"/>
      <c r="H133" s="713"/>
      <c r="I133" s="713"/>
      <c r="J133" s="713"/>
      <c r="K133" s="713"/>
      <c r="L133" s="713"/>
      <c r="M133" s="713"/>
      <c r="N133" s="713"/>
      <c r="O133" s="713"/>
      <c r="P133" s="713"/>
      <c r="Q133" s="713"/>
      <c r="R133" s="713"/>
      <c r="S133" s="713"/>
      <c r="T133" s="713"/>
      <c r="U133" s="713"/>
      <c r="V133" s="713"/>
      <c r="W133" s="985"/>
      <c r="X133" s="986"/>
      <c r="Y133" s="986"/>
      <c r="Z133" s="986"/>
      <c r="AA133" s="986"/>
      <c r="AB133" s="986"/>
      <c r="AC133" s="986"/>
    </row>
    <row r="134" spans="1:29">
      <c r="A134" s="953" t="str">
        <f>+Report!A134</f>
        <v>PRO FORMA REVENUE INCREASE AND</v>
      </c>
      <c r="B134" s="712"/>
      <c r="C134" s="713"/>
      <c r="D134" s="713"/>
      <c r="E134" s="713"/>
      <c r="F134" s="713"/>
      <c r="G134" s="713"/>
      <c r="H134" s="713"/>
      <c r="I134" s="734"/>
      <c r="J134" s="713"/>
      <c r="K134" s="713"/>
      <c r="L134" s="713"/>
      <c r="M134" s="713"/>
      <c r="N134" s="713"/>
      <c r="O134" s="713"/>
      <c r="P134" s="713"/>
      <c r="Q134" s="713"/>
      <c r="R134" s="713"/>
      <c r="S134" s="713"/>
      <c r="T134" s="713"/>
      <c r="U134" s="713"/>
      <c r="V134" s="713"/>
      <c r="W134" s="985"/>
      <c r="X134" s="986"/>
      <c r="Y134" s="986"/>
      <c r="Z134" s="986"/>
      <c r="AA134" s="986"/>
      <c r="AB134" s="986"/>
      <c r="AC134" s="986"/>
    </row>
    <row r="135" spans="1:29">
      <c r="A135" s="988" t="str">
        <f>+Report!A135</f>
        <v xml:space="preserve">  ANNUALIZATION ADJUSTMENTS:</v>
      </c>
      <c r="B135" s="713"/>
      <c r="C135" s="713"/>
      <c r="D135" s="713"/>
      <c r="E135" s="713"/>
      <c r="F135" s="713"/>
      <c r="G135" s="713"/>
      <c r="H135" s="713"/>
      <c r="I135" s="723"/>
      <c r="J135" s="713"/>
      <c r="K135" s="713"/>
      <c r="L135" s="713"/>
      <c r="M135" s="713"/>
      <c r="N135" s="713"/>
      <c r="O135" s="713"/>
      <c r="P135" s="713"/>
      <c r="Q135" s="713"/>
      <c r="R135" s="713"/>
      <c r="S135" s="713"/>
      <c r="T135" s="713"/>
      <c r="U135" s="713"/>
      <c r="V135" s="713"/>
      <c r="W135" s="985"/>
      <c r="X135" s="986"/>
      <c r="Y135" s="986"/>
      <c r="Z135" s="986"/>
      <c r="AA135" s="986"/>
      <c r="AB135" s="986"/>
      <c r="AC135" s="986"/>
    </row>
    <row r="136" spans="1:29">
      <c r="A136" s="953"/>
      <c r="B136" s="713"/>
      <c r="C136" s="713"/>
      <c r="D136" s="713"/>
      <c r="E136" s="713"/>
      <c r="F136" s="713"/>
      <c r="G136" s="713"/>
      <c r="H136" s="713"/>
      <c r="I136" s="723"/>
      <c r="J136" s="713"/>
      <c r="K136" s="713"/>
      <c r="L136" s="713"/>
      <c r="M136" s="713"/>
      <c r="N136" s="713"/>
      <c r="O136" s="713"/>
      <c r="P136" s="713"/>
      <c r="Q136" s="713"/>
      <c r="R136" s="713"/>
      <c r="S136" s="713"/>
      <c r="T136" s="712"/>
      <c r="U136" s="712"/>
      <c r="V136" s="712"/>
      <c r="W136" s="985"/>
      <c r="X136" s="985"/>
      <c r="Y136" s="986"/>
      <c r="Z136" s="986"/>
      <c r="AA136" s="986"/>
      <c r="AB136" s="986"/>
      <c r="AC136" s="986"/>
    </row>
    <row r="137" spans="1:29">
      <c r="A137" s="1000" t="str">
        <f>+Report!A137</f>
        <v xml:space="preserve">Deferred Tax True-up </v>
      </c>
      <c r="B137" s="713"/>
      <c r="C137" s="713"/>
      <c r="D137" s="713"/>
      <c r="E137" s="713"/>
      <c r="F137" s="713"/>
      <c r="G137" s="713"/>
      <c r="H137" s="713"/>
      <c r="I137" s="736"/>
      <c r="J137" s="713"/>
      <c r="K137" s="713"/>
      <c r="L137" s="737">
        <v>0</v>
      </c>
      <c r="M137" s="713"/>
      <c r="N137" s="713"/>
      <c r="O137" s="713"/>
      <c r="P137" s="713"/>
      <c r="Q137" s="713"/>
      <c r="R137" s="738"/>
      <c r="S137" s="713"/>
      <c r="T137" s="712">
        <f>SUM(D137:R137)</f>
        <v>0</v>
      </c>
      <c r="U137" s="712"/>
      <c r="V137" s="712">
        <f>B137-T137</f>
        <v>0</v>
      </c>
      <c r="W137" s="985"/>
      <c r="X137" s="985"/>
      <c r="Y137" s="986"/>
      <c r="Z137" s="986"/>
      <c r="AA137" s="986"/>
      <c r="AB137" s="986"/>
      <c r="AC137" s="986"/>
    </row>
    <row r="138" spans="1:29">
      <c r="A138" s="1000"/>
      <c r="B138" s="739"/>
      <c r="C138" s="713"/>
      <c r="D138" s="739"/>
      <c r="E138" s="713"/>
      <c r="F138" s="740"/>
      <c r="G138" s="713"/>
      <c r="H138" s="739"/>
      <c r="I138" s="713"/>
      <c r="J138" s="739"/>
      <c r="K138" s="713"/>
      <c r="L138" s="718"/>
      <c r="M138" s="713"/>
      <c r="N138" s="739"/>
      <c r="O138" s="713"/>
      <c r="P138" s="739"/>
      <c r="Q138" s="713"/>
      <c r="R138" s="741"/>
      <c r="S138" s="713"/>
      <c r="T138" s="718"/>
      <c r="U138" s="712"/>
      <c r="V138" s="718"/>
      <c r="W138" s="985"/>
      <c r="X138" s="986"/>
      <c r="Y138" s="986"/>
      <c r="Z138" s="986"/>
      <c r="AA138" s="986"/>
      <c r="AB138" s="986"/>
      <c r="AC138" s="986"/>
    </row>
    <row r="139" spans="1:29" ht="12.95" customHeight="1">
      <c r="A139" s="953" t="str">
        <f>+Report!A139</f>
        <v>TOTAL PRO FORMA ADJUSTMENTS</v>
      </c>
      <c r="B139" s="711">
        <f>SUM(B137:B138)</f>
        <v>0</v>
      </c>
      <c r="C139" s="712"/>
      <c r="D139" s="711"/>
      <c r="E139" s="712"/>
      <c r="F139" s="711">
        <f>SUM(F137:F138)</f>
        <v>0</v>
      </c>
      <c r="G139" s="712"/>
      <c r="H139" s="711"/>
      <c r="I139" s="712"/>
      <c r="J139" s="711"/>
      <c r="K139" s="712"/>
      <c r="L139" s="711">
        <f>SUM(L137:L138)</f>
        <v>0</v>
      </c>
      <c r="M139" s="712"/>
      <c r="N139" s="711"/>
      <c r="O139" s="712"/>
      <c r="P139" s="711"/>
      <c r="Q139" s="712"/>
      <c r="R139" s="711">
        <f>SUM(R137:R138)</f>
        <v>0</v>
      </c>
      <c r="S139" s="712"/>
      <c r="T139" s="711">
        <f>SUM(T137:T138)</f>
        <v>0</v>
      </c>
      <c r="U139" s="712"/>
      <c r="V139" s="711">
        <f>SUM(V137:V138)</f>
        <v>0</v>
      </c>
      <c r="W139" s="985"/>
      <c r="X139" s="985"/>
      <c r="Y139" s="986"/>
      <c r="Z139" s="986"/>
      <c r="AA139" s="986"/>
      <c r="AB139" s="986"/>
      <c r="AC139" s="986"/>
    </row>
    <row r="140" spans="1:29">
      <c r="A140" s="953"/>
      <c r="B140" s="712"/>
      <c r="C140" s="712"/>
      <c r="D140" s="712"/>
      <c r="E140" s="712"/>
      <c r="F140" s="712"/>
      <c r="G140" s="712"/>
      <c r="H140" s="712"/>
      <c r="I140" s="712"/>
      <c r="J140" s="712"/>
      <c r="K140" s="712"/>
      <c r="L140" s="712"/>
      <c r="M140" s="712"/>
      <c r="N140" s="712"/>
      <c r="O140" s="712"/>
      <c r="P140" s="712"/>
      <c r="Q140" s="712"/>
      <c r="R140" s="712"/>
      <c r="S140" s="712"/>
      <c r="T140" s="712"/>
      <c r="U140" s="712"/>
      <c r="V140" s="712"/>
      <c r="W140" s="985"/>
      <c r="X140" s="986"/>
      <c r="Y140" s="986"/>
      <c r="Z140" s="986"/>
      <c r="AA140" s="986"/>
      <c r="AB140" s="986"/>
      <c r="AC140" s="986"/>
    </row>
    <row r="141" spans="1:29" ht="13.5" thickBot="1">
      <c r="A141" s="953" t="str">
        <f>+Report!A141</f>
        <v>PRO FORMA ADJUSTED</v>
      </c>
      <c r="B141" s="719">
        <f>B128+B139</f>
        <v>300355.51919999998</v>
      </c>
      <c r="C141" s="712"/>
      <c r="D141" s="719">
        <f>D128+D139</f>
        <v>0</v>
      </c>
      <c r="E141" s="712"/>
      <c r="F141" s="719">
        <f>F128+F139</f>
        <v>115474.95903672802</v>
      </c>
      <c r="G141" s="712"/>
      <c r="H141" s="719">
        <f>H128+H139</f>
        <v>55539.83791570615</v>
      </c>
      <c r="I141" s="712"/>
      <c r="J141" s="719">
        <f>J128+J139</f>
        <v>18233.804999999993</v>
      </c>
      <c r="K141" s="712"/>
      <c r="L141" s="719">
        <f>L128+L139</f>
        <v>5919.6091015771435</v>
      </c>
      <c r="M141" s="712"/>
      <c r="N141" s="719">
        <f>N128+N139</f>
        <v>13291.795559999999</v>
      </c>
      <c r="O141" s="712"/>
      <c r="P141" s="719">
        <f>P128+P139</f>
        <v>0</v>
      </c>
      <c r="Q141" s="712"/>
      <c r="R141" s="719">
        <f>R128+R139</f>
        <v>61.98348</v>
      </c>
      <c r="S141" s="712"/>
      <c r="T141" s="719">
        <f>T128+T139</f>
        <v>208521.99009401136</v>
      </c>
      <c r="U141" s="712"/>
      <c r="V141" s="719">
        <f>V128+V139</f>
        <v>91833.529105988549</v>
      </c>
      <c r="W141" s="985"/>
      <c r="X141" s="985"/>
      <c r="Y141" s="986"/>
      <c r="Z141" s="986"/>
      <c r="AA141" s="986"/>
      <c r="AB141" s="986"/>
      <c r="AC141" s="986"/>
    </row>
    <row r="142" spans="1:29" ht="13.5" thickTop="1">
      <c r="A142" s="953"/>
      <c r="B142" s="712"/>
      <c r="C142" s="712"/>
      <c r="D142" s="712"/>
      <c r="E142" s="712"/>
      <c r="F142" s="712"/>
      <c r="G142" s="712"/>
      <c r="H142" s="712"/>
      <c r="I142" s="712"/>
      <c r="J142" s="712"/>
      <c r="K142" s="712"/>
      <c r="L142" s="712"/>
      <c r="M142" s="712"/>
      <c r="N142" s="712"/>
      <c r="O142" s="712"/>
      <c r="P142" s="712"/>
      <c r="Q142" s="712"/>
      <c r="R142" s="712"/>
      <c r="S142" s="712"/>
      <c r="T142" s="712"/>
      <c r="U142" s="712"/>
      <c r="V142" s="712"/>
      <c r="W142" s="985"/>
      <c r="X142" s="986"/>
      <c r="Y142" s="986"/>
      <c r="Z142" s="986"/>
      <c r="AA142" s="986"/>
      <c r="AB142" s="986"/>
      <c r="AC142" s="986"/>
    </row>
    <row r="143" spans="1:29">
      <c r="A143" s="953" t="str">
        <f>+Report!A143</f>
        <v>PER BOOKS</v>
      </c>
      <c r="B143" s="712"/>
      <c r="C143" s="712"/>
      <c r="D143" s="712"/>
      <c r="E143" s="712"/>
      <c r="F143" s="712"/>
      <c r="G143" s="712"/>
      <c r="H143" s="712"/>
      <c r="I143" s="712"/>
      <c r="J143" s="712"/>
      <c r="K143" s="712"/>
      <c r="L143" s="712"/>
      <c r="M143" s="712"/>
      <c r="N143" s="712"/>
      <c r="O143" s="712"/>
      <c r="P143" s="712"/>
      <c r="Q143" s="712"/>
      <c r="R143" s="712"/>
      <c r="S143" s="712"/>
      <c r="T143" s="712"/>
      <c r="U143" s="712"/>
      <c r="V143" s="712"/>
      <c r="W143" s="985"/>
      <c r="X143" s="986"/>
      <c r="Y143" s="986"/>
      <c r="Z143" s="986"/>
      <c r="AA143" s="986"/>
      <c r="AB143" s="986"/>
      <c r="AC143" s="986"/>
    </row>
    <row r="144" spans="1:29" ht="13.5" thickBot="1">
      <c r="A144" s="953" t="str">
        <f>+Report!A144</f>
        <v>CURRENT MONTH AMOUNT</v>
      </c>
      <c r="B144" s="742">
        <f>+IncomeStmt!$D$9</f>
        <v>50551.45953</v>
      </c>
      <c r="C144" s="712"/>
      <c r="D144" s="742">
        <f>+IncomeStmt!$D$10</f>
        <v>17167.27015</v>
      </c>
      <c r="E144" s="712"/>
      <c r="F144" s="742">
        <f>+IncomeStmt!$D$13</f>
        <v>15466.521239999996</v>
      </c>
      <c r="G144" s="712"/>
      <c r="H144" s="742">
        <f>SUM(IncomeStmt!$D$14:$D$17)</f>
        <v>4904.558500000001</v>
      </c>
      <c r="I144" s="712"/>
      <c r="J144" s="742">
        <f>+IncomeStmt!$D$18</f>
        <v>4388.5839100000003</v>
      </c>
      <c r="K144" s="712"/>
      <c r="L144" s="742">
        <f>SUM(IncomeStmt!$D$19:$D$19)</f>
        <v>3978.2824700000001</v>
      </c>
      <c r="M144" s="712"/>
      <c r="N144" s="742">
        <f>SUM(IncomeStmt!$D$20:$D$20)</f>
        <v>-2616.5281</v>
      </c>
      <c r="O144" s="712"/>
      <c r="P144" s="742">
        <f>+IncomeStmt!$D$21</f>
        <v>0</v>
      </c>
      <c r="Q144" s="712"/>
      <c r="R144" s="743">
        <v>0</v>
      </c>
      <c r="S144" s="712"/>
      <c r="T144" s="719">
        <f>SUM(D144:R144)</f>
        <v>43288.688169999994</v>
      </c>
      <c r="U144" s="712"/>
      <c r="V144" s="1173">
        <f>B144-T144</f>
        <v>7262.7713600000061</v>
      </c>
      <c r="W144" s="985"/>
      <c r="X144" s="985"/>
      <c r="Y144" s="986"/>
      <c r="Z144" s="986"/>
      <c r="AA144" s="986"/>
      <c r="AB144" s="986"/>
      <c r="AC144" s="986"/>
    </row>
    <row r="145" spans="1:33" ht="13.5" thickTop="1">
      <c r="B145" s="987"/>
      <c r="C145" s="987"/>
      <c r="D145" s="987"/>
      <c r="E145" s="987"/>
      <c r="F145" s="987"/>
      <c r="G145" s="987"/>
      <c r="H145" s="987"/>
      <c r="I145" s="987"/>
      <c r="J145" s="987"/>
      <c r="K145" s="987"/>
      <c r="L145" s="987"/>
      <c r="M145" s="987"/>
      <c r="N145" s="987"/>
      <c r="O145" s="987"/>
      <c r="P145" s="987"/>
      <c r="Q145" s="987"/>
      <c r="R145" s="987"/>
      <c r="S145" s="987"/>
      <c r="T145" s="987"/>
      <c r="U145" s="987"/>
      <c r="V145" s="987"/>
      <c r="W145" s="986"/>
      <c r="X145" s="986"/>
      <c r="Y145" s="986"/>
      <c r="Z145" s="986"/>
      <c r="AA145" s="986"/>
      <c r="AB145" s="986"/>
      <c r="AC145" s="986"/>
    </row>
    <row r="146" spans="1:33">
      <c r="A146" s="953"/>
      <c r="B146" s="983"/>
      <c r="C146" s="983"/>
      <c r="D146" s="983"/>
      <c r="E146" s="983"/>
      <c r="F146" s="983"/>
      <c r="G146" s="983"/>
      <c r="H146" s="983"/>
      <c r="I146" s="983"/>
      <c r="J146" s="983"/>
      <c r="K146" s="983"/>
      <c r="L146" s="983"/>
      <c r="M146" s="983"/>
      <c r="N146" s="983"/>
      <c r="O146" s="983"/>
      <c r="P146" s="983"/>
      <c r="Q146" s="983"/>
      <c r="R146" s="983"/>
      <c r="S146" s="983"/>
      <c r="T146" s="983"/>
      <c r="U146" s="983"/>
      <c r="V146" s="983"/>
      <c r="W146" s="986"/>
      <c r="X146" s="986"/>
      <c r="Y146" s="986"/>
      <c r="Z146" s="986"/>
      <c r="AA146" s="986"/>
      <c r="AB146" s="986"/>
      <c r="AC146" s="986"/>
    </row>
    <row r="147" spans="1:33">
      <c r="A147" s="953"/>
      <c r="B147" s="986"/>
      <c r="C147" s="986"/>
      <c r="D147" s="986"/>
      <c r="E147" s="986"/>
      <c r="F147" s="986"/>
      <c r="G147" s="986"/>
      <c r="H147" s="986"/>
      <c r="I147" s="986"/>
      <c r="J147" s="986"/>
      <c r="K147" s="986"/>
      <c r="L147" s="986"/>
      <c r="M147" s="986"/>
      <c r="N147" s="986"/>
      <c r="O147" s="986"/>
      <c r="P147" s="986"/>
      <c r="Q147" s="986"/>
      <c r="R147" s="986"/>
      <c r="S147" s="986"/>
      <c r="T147" s="986"/>
      <c r="U147" s="986"/>
      <c r="V147" s="986"/>
      <c r="W147" s="986"/>
      <c r="X147" s="986"/>
      <c r="Y147" s="986"/>
      <c r="Z147" s="986"/>
      <c r="AA147" s="986"/>
      <c r="AB147" s="986"/>
      <c r="AC147" s="986"/>
    </row>
    <row r="148" spans="1:33" ht="15.75">
      <c r="A148" s="993" t="str">
        <f>+Report!A148</f>
        <v>PEOPLES GAS SYSTEM</v>
      </c>
      <c r="B148" s="991"/>
      <c r="C148" s="991"/>
      <c r="D148" s="991"/>
      <c r="E148" s="991"/>
      <c r="F148" s="990"/>
      <c r="G148" s="990"/>
      <c r="H148" s="991"/>
      <c r="I148" s="991"/>
      <c r="J148" s="991"/>
      <c r="K148" s="991"/>
      <c r="L148" s="991"/>
      <c r="M148" s="991"/>
      <c r="N148" s="991"/>
      <c r="O148" s="991"/>
      <c r="P148" s="991"/>
      <c r="Q148" s="991"/>
      <c r="R148" s="991"/>
      <c r="S148" s="991"/>
      <c r="T148" s="994" t="s">
        <v>160</v>
      </c>
      <c r="U148" s="1001"/>
      <c r="V148" s="1001"/>
      <c r="W148" s="960"/>
      <c r="X148" s="986"/>
      <c r="Y148" s="986"/>
      <c r="Z148" s="986"/>
      <c r="AA148" s="986"/>
      <c r="AB148" s="986"/>
      <c r="AC148" s="986"/>
    </row>
    <row r="149" spans="1:33" ht="15.75">
      <c r="A149" s="993" t="str">
        <f>+Report!A149</f>
        <v>CAPITAL STRUCTURE</v>
      </c>
      <c r="B149" s="991"/>
      <c r="C149" s="991"/>
      <c r="D149" s="991"/>
      <c r="E149" s="991"/>
      <c r="F149" s="990"/>
      <c r="G149" s="990"/>
      <c r="H149" s="991"/>
      <c r="I149" s="990"/>
      <c r="J149" s="991"/>
      <c r="K149" s="991"/>
      <c r="L149" s="991"/>
      <c r="M149" s="991"/>
      <c r="N149" s="991"/>
      <c r="O149" s="991"/>
      <c r="P149" s="991"/>
      <c r="Q149" s="991"/>
      <c r="R149" s="991"/>
      <c r="S149" s="991"/>
      <c r="T149" s="994"/>
      <c r="U149" s="994"/>
      <c r="V149" s="994"/>
      <c r="W149" s="960"/>
      <c r="X149" s="986"/>
      <c r="Y149" s="986"/>
      <c r="Z149" s="986"/>
      <c r="AA149" s="986"/>
      <c r="AB149" s="986"/>
      <c r="AC149" s="986"/>
    </row>
    <row r="150" spans="1:33" ht="15.75">
      <c r="A150" s="993" t="str">
        <f>+Report!A150</f>
        <v>FPSC ADJUSTED BASIS</v>
      </c>
      <c r="B150" s="991"/>
      <c r="C150" s="991"/>
      <c r="D150" s="991"/>
      <c r="E150" s="991"/>
      <c r="F150" s="991"/>
      <c r="G150" s="990"/>
      <c r="H150" s="990"/>
      <c r="I150" s="990"/>
      <c r="J150" s="991"/>
      <c r="K150" s="991"/>
      <c r="L150" s="991"/>
      <c r="M150" s="991"/>
      <c r="N150" s="991"/>
      <c r="O150" s="991"/>
      <c r="P150" s="991"/>
      <c r="Q150" s="991"/>
      <c r="R150" s="991"/>
      <c r="S150" s="991"/>
      <c r="T150" s="994"/>
      <c r="U150" s="994"/>
      <c r="V150" s="994"/>
      <c r="W150" s="960"/>
      <c r="X150" s="986"/>
      <c r="Y150" s="986"/>
      <c r="Z150" s="986"/>
      <c r="AA150" s="986"/>
      <c r="AB150" s="986"/>
      <c r="AC150" s="986"/>
    </row>
    <row r="151" spans="1:33" ht="15.75">
      <c r="A151" s="993" t="str">
        <f>+Report!A151</f>
        <v>December 2021</v>
      </c>
      <c r="B151" s="991"/>
      <c r="C151" s="991"/>
      <c r="D151" s="991"/>
      <c r="E151" s="991"/>
      <c r="F151" s="991"/>
      <c r="G151" s="990"/>
      <c r="H151" s="990"/>
      <c r="I151" s="990"/>
      <c r="J151" s="991"/>
      <c r="K151" s="991"/>
      <c r="L151" s="991"/>
      <c r="M151" s="991"/>
      <c r="N151" s="991"/>
      <c r="O151" s="991"/>
      <c r="P151" s="991"/>
      <c r="Q151" s="991"/>
      <c r="R151" s="991"/>
      <c r="S151" s="991"/>
      <c r="T151" s="994"/>
      <c r="U151" s="994"/>
      <c r="V151" s="994"/>
      <c r="W151" s="960"/>
      <c r="X151" s="986"/>
      <c r="Y151" s="986"/>
      <c r="Z151" s="986"/>
      <c r="AA151" s="986"/>
      <c r="AB151" s="986"/>
      <c r="AC151" s="986"/>
    </row>
    <row r="152" spans="1:33" ht="15.75">
      <c r="A152" s="993" t="str">
        <f>+Report!A152</f>
        <v>(In $ Thousands)</v>
      </c>
      <c r="B152" s="991"/>
      <c r="C152" s="991"/>
      <c r="D152" s="991"/>
      <c r="E152" s="991"/>
      <c r="F152" s="990"/>
      <c r="G152" s="990"/>
      <c r="H152" s="991"/>
      <c r="I152" s="990"/>
      <c r="J152" s="991"/>
      <c r="K152" s="991"/>
      <c r="L152" s="991"/>
      <c r="M152" s="991"/>
      <c r="N152" s="991"/>
      <c r="O152" s="991"/>
      <c r="P152" s="991"/>
      <c r="Q152" s="991"/>
      <c r="R152" s="991"/>
      <c r="S152" s="991"/>
      <c r="T152" s="994"/>
      <c r="U152" s="994"/>
      <c r="V152" s="994"/>
      <c r="W152" s="960"/>
      <c r="X152" s="986"/>
      <c r="Y152" s="986"/>
      <c r="Z152" s="986"/>
      <c r="AA152" s="986"/>
      <c r="AB152" s="986"/>
      <c r="AC152" s="986"/>
    </row>
    <row r="153" spans="1:33">
      <c r="A153" s="953"/>
      <c r="B153" s="986"/>
      <c r="C153" s="986"/>
      <c r="D153" s="986"/>
      <c r="E153" s="986"/>
      <c r="F153" s="986"/>
      <c r="G153" s="986"/>
      <c r="H153" s="986"/>
      <c r="I153" s="986"/>
      <c r="J153" s="986"/>
      <c r="K153" s="986"/>
      <c r="L153" s="986"/>
      <c r="M153" s="986"/>
      <c r="N153" s="986"/>
      <c r="O153" s="986"/>
      <c r="P153" s="986"/>
      <c r="Q153" s="986"/>
      <c r="R153" s="986"/>
      <c r="S153" s="986"/>
      <c r="T153" s="986"/>
      <c r="U153" s="986"/>
      <c r="V153" s="986"/>
      <c r="W153" s="960"/>
      <c r="X153" s="986"/>
      <c r="Y153" s="986"/>
      <c r="Z153" s="986"/>
      <c r="AA153" s="986"/>
      <c r="AB153" s="986"/>
      <c r="AC153" s="986"/>
    </row>
    <row r="154" spans="1:33">
      <c r="A154" s="953"/>
      <c r="B154" s="986"/>
      <c r="C154" s="986"/>
      <c r="D154" s="986"/>
      <c r="E154" s="986"/>
      <c r="F154" s="986"/>
      <c r="G154" s="986"/>
      <c r="H154" s="986"/>
      <c r="I154" s="986"/>
      <c r="J154" s="986"/>
      <c r="K154" s="986"/>
      <c r="L154" s="986"/>
      <c r="M154" s="986"/>
      <c r="N154" s="986"/>
      <c r="O154" s="986"/>
      <c r="P154" s="986"/>
      <c r="Q154" s="986"/>
      <c r="R154" s="986"/>
      <c r="S154" s="986"/>
      <c r="T154" s="986"/>
      <c r="U154" s="986"/>
      <c r="V154" s="986"/>
      <c r="W154" s="960"/>
      <c r="X154" s="986"/>
      <c r="Y154" s="986"/>
      <c r="Z154" s="986"/>
      <c r="AA154" s="986"/>
      <c r="AB154" s="986"/>
      <c r="AC154" s="986"/>
    </row>
    <row r="155" spans="1:33">
      <c r="A155" s="953"/>
      <c r="B155" s="986"/>
      <c r="C155" s="986"/>
      <c r="D155" s="986"/>
      <c r="E155" s="986"/>
      <c r="F155" s="986"/>
      <c r="G155" s="986"/>
      <c r="H155" s="986"/>
      <c r="I155" s="986"/>
      <c r="J155" s="986"/>
      <c r="K155" s="986"/>
      <c r="L155" s="986"/>
      <c r="M155" s="986"/>
      <c r="N155" s="986"/>
      <c r="O155" s="986"/>
      <c r="P155" s="986"/>
      <c r="Q155" s="986"/>
      <c r="R155" s="986"/>
      <c r="S155" s="986"/>
      <c r="T155" s="986"/>
      <c r="U155" s="986"/>
      <c r="V155" s="986"/>
      <c r="W155" s="960"/>
      <c r="X155" s="986"/>
      <c r="Y155" s="986"/>
      <c r="Z155" s="986"/>
      <c r="AA155" s="986"/>
      <c r="AB155" s="986"/>
      <c r="AC155" s="986"/>
    </row>
    <row r="156" spans="1:33">
      <c r="A156" s="1002"/>
      <c r="B156" s="1003"/>
      <c r="C156" s="1004"/>
      <c r="D156" s="1003"/>
      <c r="E156" s="1004"/>
      <c r="F156" s="1003"/>
      <c r="G156" s="1004"/>
      <c r="H156" s="1003"/>
      <c r="I156" s="1004"/>
      <c r="J156" s="1004"/>
      <c r="K156" s="1004"/>
      <c r="L156" s="1005" t="s">
        <v>163</v>
      </c>
      <c r="M156" s="1005"/>
      <c r="N156" s="1005"/>
      <c r="O156" s="1004"/>
      <c r="P156" s="1005" t="s">
        <v>164</v>
      </c>
      <c r="Q156" s="1005"/>
      <c r="R156" s="1005"/>
      <c r="S156" s="1004"/>
      <c r="T156" s="1005" t="s">
        <v>165</v>
      </c>
      <c r="U156" s="1005"/>
      <c r="V156" s="1005"/>
      <c r="W156" s="960"/>
      <c r="X156" s="986"/>
      <c r="Y156" s="986"/>
      <c r="Z156" s="986"/>
      <c r="AA156" s="986"/>
      <c r="AB156" s="986"/>
      <c r="AC156" s="986"/>
    </row>
    <row r="157" spans="1:33" ht="13.9" customHeight="1" thickBot="1">
      <c r="A157" s="1002"/>
      <c r="B157" s="1004"/>
      <c r="C157" s="1004"/>
      <c r="D157" s="1004"/>
      <c r="E157" s="1004"/>
      <c r="F157" s="1004"/>
      <c r="G157" s="1004"/>
      <c r="H157" s="1004"/>
      <c r="I157" s="1004"/>
      <c r="J157" s="1004"/>
      <c r="K157" s="1004"/>
      <c r="L157" s="1006" t="s">
        <v>166</v>
      </c>
      <c r="M157" s="1004"/>
      <c r="N157" s="1006" t="s">
        <v>167</v>
      </c>
      <c r="O157" s="1004"/>
      <c r="P157" s="1006" t="s">
        <v>166</v>
      </c>
      <c r="Q157" s="1004"/>
      <c r="R157" s="1006" t="s">
        <v>167</v>
      </c>
      <c r="S157" s="1004"/>
      <c r="T157" s="1006" t="s">
        <v>166</v>
      </c>
      <c r="U157" s="1004"/>
      <c r="V157" s="1006" t="s">
        <v>167</v>
      </c>
      <c r="W157" s="960"/>
      <c r="X157" s="986"/>
      <c r="Y157" s="986"/>
      <c r="Z157" s="986"/>
      <c r="AA157" s="986"/>
      <c r="AB157" s="986"/>
      <c r="AC157" s="986"/>
    </row>
    <row r="158" spans="1:33" ht="13.9" customHeight="1">
      <c r="A158" s="1002"/>
      <c r="B158" s="1004"/>
      <c r="C158" s="1004"/>
      <c r="D158" s="1005" t="s">
        <v>61</v>
      </c>
      <c r="E158" s="1005"/>
      <c r="F158" s="1005"/>
      <c r="G158" s="1004"/>
      <c r="H158" s="1004"/>
      <c r="I158" s="1004"/>
      <c r="J158" s="1006" t="s">
        <v>168</v>
      </c>
      <c r="K158" s="1004"/>
      <c r="L158" s="1006" t="s">
        <v>169</v>
      </c>
      <c r="M158" s="1004"/>
      <c r="N158" s="1006" t="s">
        <v>166</v>
      </c>
      <c r="O158" s="1004"/>
      <c r="P158" s="1006" t="s">
        <v>169</v>
      </c>
      <c r="Q158" s="1004"/>
      <c r="R158" s="1006" t="s">
        <v>166</v>
      </c>
      <c r="S158" s="1004"/>
      <c r="T158" s="1006" t="s">
        <v>169</v>
      </c>
      <c r="U158" s="1004"/>
      <c r="V158" s="1006" t="s">
        <v>166</v>
      </c>
      <c r="W158" s="960"/>
      <c r="X158" s="1007" t="s">
        <v>570</v>
      </c>
      <c r="Y158" s="1008"/>
      <c r="Z158" s="1009"/>
      <c r="AA158" s="1010"/>
      <c r="AB158" s="1007"/>
      <c r="AC158" s="1008"/>
      <c r="AD158" s="1009"/>
      <c r="AE158" s="1010"/>
      <c r="AF158" s="1011" t="s">
        <v>1417</v>
      </c>
      <c r="AG158" s="1012"/>
    </row>
    <row r="159" spans="1:33" ht="13.9" customHeight="1" thickBot="1">
      <c r="A159" s="1013" t="s">
        <v>3</v>
      </c>
      <c r="B159" s="1014" t="s">
        <v>101</v>
      </c>
      <c r="C159" s="1004"/>
      <c r="D159" s="1014" t="s">
        <v>170</v>
      </c>
      <c r="E159" s="1004"/>
      <c r="F159" s="1014" t="s">
        <v>171</v>
      </c>
      <c r="G159" s="1004"/>
      <c r="H159" s="1014" t="s">
        <v>172</v>
      </c>
      <c r="I159" s="1004"/>
      <c r="J159" s="1014" t="s">
        <v>173</v>
      </c>
      <c r="K159" s="1004"/>
      <c r="L159" s="1014" t="s">
        <v>173</v>
      </c>
      <c r="M159" s="1004"/>
      <c r="N159" s="1014" t="s">
        <v>173</v>
      </c>
      <c r="O159" s="1004"/>
      <c r="P159" s="1014" t="s">
        <v>173</v>
      </c>
      <c r="Q159" s="1004"/>
      <c r="R159" s="1014" t="s">
        <v>173</v>
      </c>
      <c r="S159" s="1004"/>
      <c r="T159" s="1014" t="s">
        <v>173</v>
      </c>
      <c r="U159" s="1004"/>
      <c r="V159" s="1014" t="s">
        <v>173</v>
      </c>
      <c r="W159" s="960"/>
      <c r="X159" s="1015" t="s">
        <v>571</v>
      </c>
      <c r="Y159" s="1016"/>
      <c r="Z159" s="1017"/>
      <c r="AA159" s="641"/>
      <c r="AB159" s="1015" t="s">
        <v>2513</v>
      </c>
      <c r="AC159" s="1016"/>
      <c r="AD159" s="1017"/>
      <c r="AE159" s="641"/>
      <c r="AF159" s="1018" t="s">
        <v>1418</v>
      </c>
      <c r="AG159" s="1018" t="s">
        <v>1419</v>
      </c>
    </row>
    <row r="160" spans="1:33" ht="13.9" customHeight="1">
      <c r="A160" s="1002" t="s">
        <v>174</v>
      </c>
      <c r="B160" s="754">
        <f>Reconcil!B120+Reconcil!B121</f>
        <v>518351.22366999998</v>
      </c>
      <c r="C160" s="754"/>
      <c r="D160" s="754">
        <f>+'Reconcil YE'!D43</f>
        <v>-4645.6114973155081</v>
      </c>
      <c r="E160" s="754"/>
      <c r="F160" s="754">
        <f>ROUND('Reconcil YE'!$K$43*Y160,9)+ROUND('Reconcil YE'!$J$43*AC160,9)</f>
        <v>-33891.385521342003</v>
      </c>
      <c r="G160" s="754"/>
      <c r="H160" s="1078">
        <f>B160+D160+F160+('Cap Str 54.7%'!C17*'Cap Str 54.7%'!C8)</f>
        <v>459334.86658481992</v>
      </c>
      <c r="I160" s="749"/>
      <c r="J160" s="755">
        <f>ROUND(H160/$H$171,4)</f>
        <v>0.28120000000000001</v>
      </c>
      <c r="K160" s="749"/>
      <c r="L160" s="756">
        <f>+'Debt &amp; Cust Dep'!DR35*100</f>
        <v>3.7900000000000005</v>
      </c>
      <c r="M160" s="749"/>
      <c r="N160" s="756">
        <f>ROUND(L160*J160,2)</f>
        <v>1.07</v>
      </c>
      <c r="O160" s="749"/>
      <c r="P160" s="756">
        <f>L160</f>
        <v>3.7900000000000005</v>
      </c>
      <c r="Q160" s="749"/>
      <c r="R160" s="756">
        <f>ROUND(P160*J160,2)</f>
        <v>1.07</v>
      </c>
      <c r="S160" s="749"/>
      <c r="T160" s="756">
        <f>L160</f>
        <v>3.7900000000000005</v>
      </c>
      <c r="U160" s="749"/>
      <c r="V160" s="756">
        <f>ROUND(T160*J160,2)</f>
        <v>1.07</v>
      </c>
      <c r="W160" s="960"/>
      <c r="X160" s="1019">
        <f>B160+D160</f>
        <v>513705.61217268446</v>
      </c>
      <c r="Y160" s="1020">
        <f>X160/$X$171</f>
        <v>0.34566885720257645</v>
      </c>
      <c r="Z160" s="1021"/>
      <c r="AA160" s="986"/>
      <c r="AB160" s="1019">
        <f>B160+D160</f>
        <v>513705.61217268446</v>
      </c>
      <c r="AC160" s="1020">
        <f>AB160/$AB$171</f>
        <v>0.29472051418713557</v>
      </c>
      <c r="AD160" s="1021"/>
      <c r="AE160" s="986"/>
      <c r="AF160" s="1022">
        <f>+H160</f>
        <v>459334.86658481992</v>
      </c>
      <c r="AG160" s="1023">
        <f>AF160/AF171</f>
        <v>0.33091507001322917</v>
      </c>
    </row>
    <row r="161" spans="1:33" ht="6" customHeight="1">
      <c r="A161" s="1002"/>
      <c r="B161" s="754"/>
      <c r="C161" s="754"/>
      <c r="D161" s="754"/>
      <c r="E161" s="754"/>
      <c r="F161" s="754"/>
      <c r="G161" s="754"/>
      <c r="H161" s="754"/>
      <c r="I161" s="749"/>
      <c r="J161" s="757"/>
      <c r="K161" s="749"/>
      <c r="L161" s="749"/>
      <c r="M161" s="749"/>
      <c r="N161" s="749"/>
      <c r="O161" s="749"/>
      <c r="P161" s="756"/>
      <c r="Q161" s="749"/>
      <c r="R161" s="756"/>
      <c r="S161" s="749"/>
      <c r="T161" s="756"/>
      <c r="U161" s="749"/>
      <c r="V161" s="756"/>
      <c r="W161" s="960"/>
      <c r="X161" s="1019"/>
      <c r="Y161" s="1020"/>
      <c r="Z161" s="1021"/>
      <c r="AA161" s="986"/>
      <c r="AB161" s="1019"/>
      <c r="AC161" s="1020"/>
      <c r="AD161" s="1021"/>
      <c r="AE161" s="986"/>
      <c r="AF161" s="1022"/>
      <c r="AG161" s="1023"/>
    </row>
    <row r="162" spans="1:33" ht="13.9" customHeight="1">
      <c r="A162" s="1002" t="s">
        <v>175</v>
      </c>
      <c r="B162" s="754">
        <f>Reconcil!B127</f>
        <v>189522.084</v>
      </c>
      <c r="C162" s="754"/>
      <c r="D162" s="754"/>
      <c r="E162" s="754"/>
      <c r="F162" s="754">
        <f>ROUND('Reconcil YE'!$K$43*Y162,9)+ROUND('Reconcil YE'!$J$43*AC162,9)</f>
        <v>-12503.593228202</v>
      </c>
      <c r="G162" s="754"/>
      <c r="H162" s="1078">
        <f>B162+D162+F162+('Cap Str 54.7%'!C17*'Cap Str 54.7%'!C9)</f>
        <v>169463.01365256219</v>
      </c>
      <c r="I162" s="749"/>
      <c r="J162" s="755">
        <f>ROUND(H162/$H$171,4)</f>
        <v>0.1037</v>
      </c>
      <c r="K162" s="749"/>
      <c r="L162" s="756">
        <f>+'Debt &amp; Cust Dep'!DR44*100</f>
        <v>0.42013965045351337</v>
      </c>
      <c r="M162" s="749"/>
      <c r="N162" s="756">
        <f>ROUND(L162*J162,2)</f>
        <v>0.04</v>
      </c>
      <c r="O162" s="749"/>
      <c r="P162" s="756">
        <f>L162</f>
        <v>0.42013965045351337</v>
      </c>
      <c r="Q162" s="749"/>
      <c r="R162" s="756">
        <f>ROUND(P162*J162,2)</f>
        <v>0.04</v>
      </c>
      <c r="S162" s="749"/>
      <c r="T162" s="756">
        <f>L162</f>
        <v>0.42013965045351337</v>
      </c>
      <c r="U162" s="749"/>
      <c r="V162" s="756">
        <f>ROUND(T162*J162,2)</f>
        <v>0.04</v>
      </c>
      <c r="W162" s="960"/>
      <c r="X162" s="1019">
        <f>B162+D162</f>
        <v>189522.084</v>
      </c>
      <c r="Y162" s="1020">
        <f>X162/$X$171</f>
        <v>0.12752806400898065</v>
      </c>
      <c r="Z162" s="1021"/>
      <c r="AA162" s="986"/>
      <c r="AB162" s="1019">
        <f>B162+D162</f>
        <v>189522.084</v>
      </c>
      <c r="AC162" s="1020">
        <f>AB162/$AB$171</f>
        <v>0.10873162512291423</v>
      </c>
      <c r="AD162" s="1021"/>
      <c r="AE162" s="986"/>
      <c r="AF162" s="1022">
        <f>+H162</f>
        <v>169463.01365256219</v>
      </c>
      <c r="AG162" s="1023">
        <f>AF162/$AF$171</f>
        <v>0.12208492998677076</v>
      </c>
    </row>
    <row r="163" spans="1:33" ht="6" customHeight="1">
      <c r="A163" s="1002"/>
      <c r="B163" s="754"/>
      <c r="C163" s="754"/>
      <c r="D163" s="754"/>
      <c r="E163" s="754"/>
      <c r="F163" s="754"/>
      <c r="G163" s="754"/>
      <c r="H163" s="754"/>
      <c r="I163" s="749"/>
      <c r="J163" s="757"/>
      <c r="K163" s="749"/>
      <c r="L163" s="756"/>
      <c r="M163" s="749"/>
      <c r="N163" s="756"/>
      <c r="O163" s="749"/>
      <c r="P163" s="756"/>
      <c r="Q163" s="749"/>
      <c r="R163" s="756"/>
      <c r="S163" s="749"/>
      <c r="T163" s="756"/>
      <c r="U163" s="749"/>
      <c r="V163" s="756"/>
      <c r="W163" s="960"/>
      <c r="X163" s="1019"/>
      <c r="Y163" s="1020"/>
      <c r="Z163" s="1021"/>
      <c r="AA163" s="986"/>
      <c r="AB163" s="1019"/>
      <c r="AC163" s="1020"/>
      <c r="AD163" s="1021"/>
      <c r="AE163" s="986"/>
      <c r="AF163" s="1022"/>
      <c r="AG163" s="1023"/>
    </row>
    <row r="164" spans="1:33" ht="13.9" customHeight="1">
      <c r="A164" s="1002" t="s">
        <v>17</v>
      </c>
      <c r="B164" s="754">
        <f>Reconcil!B131+Reconcil!B150+Reconcil!B137</f>
        <v>27105.698580000004</v>
      </c>
      <c r="C164" s="754"/>
      <c r="D164" s="754"/>
      <c r="E164" s="754"/>
      <c r="F164" s="754">
        <f>ROUND('Reconcil YE'!$J$43*AC164,9)</f>
        <v>-1219.5516097300001</v>
      </c>
      <c r="G164" s="754"/>
      <c r="H164" s="754">
        <f>B164+D164+F164</f>
        <v>25886.146970270005</v>
      </c>
      <c r="I164" s="749"/>
      <c r="J164" s="930">
        <f>ROUND(H164/$H$171,4)+0.0001</f>
        <v>1.5900000000000001E-2</v>
      </c>
      <c r="K164" s="749"/>
      <c r="L164" s="756">
        <f>+'Debt &amp; Cust Dep'!DR92*100</f>
        <v>2.42</v>
      </c>
      <c r="M164" s="749"/>
      <c r="N164" s="756">
        <f>ROUND(L164*J164,2)</f>
        <v>0.04</v>
      </c>
      <c r="O164" s="749"/>
      <c r="P164" s="756">
        <f>L164</f>
        <v>2.42</v>
      </c>
      <c r="Q164" s="749"/>
      <c r="R164" s="756">
        <f>ROUND(P164*J164,2)</f>
        <v>0.04</v>
      </c>
      <c r="S164" s="749"/>
      <c r="T164" s="756">
        <f>L164</f>
        <v>2.42</v>
      </c>
      <c r="U164" s="749"/>
      <c r="V164" s="756">
        <f>ROUND(T164*J164,2)</f>
        <v>0.04</v>
      </c>
      <c r="W164" s="960"/>
      <c r="X164" s="1024">
        <v>0</v>
      </c>
      <c r="Y164" s="1020">
        <f>X164/$X$171</f>
        <v>0</v>
      </c>
      <c r="Z164" s="1021"/>
      <c r="AA164" s="986"/>
      <c r="AB164" s="1019">
        <f>B164+D164</f>
        <v>27105.698580000004</v>
      </c>
      <c r="AC164" s="1020">
        <f>AB164/$AB$171</f>
        <v>1.5550940526251649E-2</v>
      </c>
      <c r="AD164" s="1021"/>
      <c r="AE164" s="986"/>
      <c r="AF164" s="1022"/>
      <c r="AG164" s="1023"/>
    </row>
    <row r="165" spans="1:33" ht="6" customHeight="1">
      <c r="A165" s="1002"/>
      <c r="B165" s="754"/>
      <c r="C165" s="754"/>
      <c r="D165" s="754"/>
      <c r="E165" s="754"/>
      <c r="F165" s="754"/>
      <c r="G165" s="754"/>
      <c r="H165" s="754"/>
      <c r="I165" s="749"/>
      <c r="J165" s="757"/>
      <c r="K165" s="749"/>
      <c r="L165" s="756"/>
      <c r="M165" s="749"/>
      <c r="N165" s="756"/>
      <c r="O165" s="749"/>
      <c r="P165" s="756"/>
      <c r="Q165" s="749"/>
      <c r="R165" s="756"/>
      <c r="S165" s="749"/>
      <c r="T165" s="756"/>
      <c r="U165" s="749"/>
      <c r="V165" s="756"/>
      <c r="W165" s="960"/>
      <c r="X165" s="1019"/>
      <c r="Y165" s="1020"/>
      <c r="Z165" s="1021"/>
      <c r="AA165" s="986"/>
      <c r="AB165" s="1019"/>
      <c r="AC165" s="1020"/>
      <c r="AD165" s="1021"/>
      <c r="AE165" s="986"/>
      <c r="AF165" s="1022"/>
      <c r="AG165" s="1023"/>
    </row>
    <row r="166" spans="1:33" ht="13.9" customHeight="1">
      <c r="A166" s="1002" t="s">
        <v>176</v>
      </c>
      <c r="B166" s="754">
        <f>Reconcil!B117</f>
        <v>786234.5798500001</v>
      </c>
      <c r="C166" s="754"/>
      <c r="D166" s="754">
        <f>+'Reconcil YE'!G43</f>
        <v>-3341.6681958954132</v>
      </c>
      <c r="E166" s="754"/>
      <c r="F166" s="754">
        <f>ROUND('Reconcil YE'!$K$43*Y166,9)+ROUND('Reconcil YE'!$J$43*AC166,9)</f>
        <v>-51650.838266246996</v>
      </c>
      <c r="G166" s="754"/>
      <c r="H166" s="1078">
        <f>B166+D166+F166-'Cap Str 54.7%'!C17</f>
        <v>759276.91057361616</v>
      </c>
      <c r="I166" s="749"/>
      <c r="J166" s="755">
        <f>ROUND(H166/$H$171,4)</f>
        <v>0.46479999999999999</v>
      </c>
      <c r="K166" s="749"/>
      <c r="L166" s="758">
        <f>P166-1</f>
        <v>8.9</v>
      </c>
      <c r="M166" s="749"/>
      <c r="N166" s="756">
        <f>ROUND(L166*J166,2)</f>
        <v>4.1399999999999997</v>
      </c>
      <c r="O166" s="749"/>
      <c r="P166" s="759">
        <f>+Report!P166</f>
        <v>9.9</v>
      </c>
      <c r="Q166" s="749"/>
      <c r="R166" s="756">
        <f>ROUND(P166*J166,2)</f>
        <v>4.5999999999999996</v>
      </c>
      <c r="S166" s="749"/>
      <c r="T166" s="760">
        <f>P166+1.1</f>
        <v>11</v>
      </c>
      <c r="U166" s="749"/>
      <c r="V166" s="756">
        <f>ROUND(T166*J166,2)</f>
        <v>5.1100000000000003</v>
      </c>
      <c r="W166" s="960"/>
      <c r="X166" s="1019">
        <f>B166+D166</f>
        <v>782892.91165410471</v>
      </c>
      <c r="Y166" s="1020">
        <f>X166/$X$171</f>
        <v>0.5268030787884429</v>
      </c>
      <c r="Z166" s="1021"/>
      <c r="AA166" s="986"/>
      <c r="AB166" s="1019">
        <f>B166+D166</f>
        <v>782892.91165410471</v>
      </c>
      <c r="AC166" s="1020">
        <f>AB166/$AB$171</f>
        <v>0.44915725273135415</v>
      </c>
      <c r="AD166" s="1021"/>
      <c r="AE166" s="986"/>
      <c r="AF166" s="1022">
        <f>+H166</f>
        <v>759276.91057361616</v>
      </c>
      <c r="AG166" s="1023">
        <f>AF166/$AF$171</f>
        <v>0.54700000000000004</v>
      </c>
    </row>
    <row r="167" spans="1:33" ht="6" customHeight="1">
      <c r="A167" s="1002"/>
      <c r="B167" s="754"/>
      <c r="C167" s="754"/>
      <c r="D167" s="754"/>
      <c r="E167" s="754"/>
      <c r="F167" s="754"/>
      <c r="G167" s="754"/>
      <c r="H167" s="754"/>
      <c r="I167" s="749"/>
      <c r="J167" s="757"/>
      <c r="K167" s="749"/>
      <c r="L167" s="756"/>
      <c r="M167" s="749"/>
      <c r="N167" s="756"/>
      <c r="O167" s="749"/>
      <c r="P167" s="756"/>
      <c r="Q167" s="749"/>
      <c r="R167" s="756"/>
      <c r="S167" s="749"/>
      <c r="T167" s="756"/>
      <c r="U167" s="749"/>
      <c r="V167" s="756"/>
      <c r="W167" s="960"/>
      <c r="X167" s="1019"/>
      <c r="Y167" s="1020"/>
      <c r="Z167" s="1021"/>
      <c r="AA167" s="986"/>
      <c r="AB167" s="1019"/>
      <c r="AC167" s="1020"/>
      <c r="AD167" s="1021"/>
      <c r="AE167" s="986"/>
      <c r="AF167" s="1022"/>
      <c r="AG167" s="1023"/>
    </row>
    <row r="168" spans="1:33" ht="13.9" customHeight="1">
      <c r="A168" s="1002" t="s">
        <v>177</v>
      </c>
      <c r="B168" s="754">
        <f>Reconcil!B146++Reconcil!B147+Reconcil!B148-Reconcil!B93</f>
        <v>240819.75017000004</v>
      </c>
      <c r="C168" s="754"/>
      <c r="D168" s="754">
        <f>+'Reconcil YE'!H43</f>
        <v>-11019.740307191742</v>
      </c>
      <c r="E168" s="754"/>
      <c r="F168" s="754">
        <f>ROUND('Reconcil YE'!$J$43*AC168,9)</f>
        <v>-10339.263941751</v>
      </c>
      <c r="G168" s="754"/>
      <c r="H168" s="754">
        <f>B168+D168+F168</f>
        <v>219460.7459210573</v>
      </c>
      <c r="I168" s="749"/>
      <c r="J168" s="755">
        <f>ROUND(H168/$H$171,4)</f>
        <v>0.13439999999999999</v>
      </c>
      <c r="K168" s="749"/>
      <c r="L168" s="756"/>
      <c r="M168" s="749"/>
      <c r="N168" s="756"/>
      <c r="O168" s="749"/>
      <c r="P168" s="756"/>
      <c r="Q168" s="749"/>
      <c r="R168" s="756"/>
      <c r="S168" s="749"/>
      <c r="T168" s="756"/>
      <c r="U168" s="749"/>
      <c r="V168" s="756"/>
      <c r="W168" s="960"/>
      <c r="X168" s="1024">
        <v>0</v>
      </c>
      <c r="Y168" s="1020">
        <f>X168/$X$171</f>
        <v>0</v>
      </c>
      <c r="Z168" s="1021"/>
      <c r="AA168" s="986"/>
      <c r="AB168" s="1019">
        <f>B168+D168</f>
        <v>229800.00986280831</v>
      </c>
      <c r="AC168" s="1020">
        <f>AB168/$AB$171</f>
        <v>0.13183966743234454</v>
      </c>
      <c r="AD168" s="1021"/>
      <c r="AE168" s="986"/>
      <c r="AF168" s="1022"/>
      <c r="AG168" s="1023"/>
    </row>
    <row r="169" spans="1:33" ht="6" customHeight="1">
      <c r="A169" s="1002"/>
      <c r="B169" s="754"/>
      <c r="C169" s="754"/>
      <c r="D169" s="754"/>
      <c r="E169" s="754"/>
      <c r="F169" s="754"/>
      <c r="G169" s="754"/>
      <c r="H169" s="754"/>
      <c r="I169" s="749"/>
      <c r="J169" s="757"/>
      <c r="K169" s="749"/>
      <c r="L169" s="756"/>
      <c r="M169" s="749"/>
      <c r="N169" s="756"/>
      <c r="O169" s="749"/>
      <c r="P169" s="756"/>
      <c r="Q169" s="749"/>
      <c r="R169" s="756"/>
      <c r="S169" s="749"/>
      <c r="T169" s="756"/>
      <c r="U169" s="749"/>
      <c r="V169" s="756"/>
      <c r="W169" s="960"/>
      <c r="X169" s="1019"/>
      <c r="Y169" s="1020"/>
      <c r="Z169" s="1021"/>
      <c r="AA169" s="986"/>
      <c r="AB169" s="1019"/>
      <c r="AC169" s="1020"/>
      <c r="AD169" s="1021"/>
      <c r="AE169" s="986"/>
      <c r="AF169" s="1022"/>
      <c r="AG169" s="1023"/>
    </row>
    <row r="170" spans="1:33" ht="13.9" customHeight="1">
      <c r="A170" s="1002" t="s">
        <v>178</v>
      </c>
      <c r="B170" s="761">
        <v>0</v>
      </c>
      <c r="C170" s="754"/>
      <c r="D170" s="761">
        <v>0</v>
      </c>
      <c r="E170" s="754"/>
      <c r="F170" s="761">
        <f>ROUND('Reconcil YE'!$K$43*Y170,9)+ROUND('Reconcil YE'!$J$43*AC170,9)</f>
        <v>0</v>
      </c>
      <c r="G170" s="754"/>
      <c r="H170" s="761">
        <f>B170+D170+F170</f>
        <v>0</v>
      </c>
      <c r="I170" s="749"/>
      <c r="J170" s="762">
        <f>ROUND(H170/$H$171,4)</f>
        <v>0</v>
      </c>
      <c r="K170" s="749"/>
      <c r="L170" s="756"/>
      <c r="M170" s="749"/>
      <c r="N170" s="763"/>
      <c r="O170" s="749"/>
      <c r="P170" s="756"/>
      <c r="Q170" s="749"/>
      <c r="R170" s="763"/>
      <c r="S170" s="749"/>
      <c r="T170" s="756"/>
      <c r="U170" s="749"/>
      <c r="V170" s="763"/>
      <c r="W170" s="960"/>
      <c r="X170" s="1024">
        <v>0</v>
      </c>
      <c r="Y170" s="1020">
        <f>X170/$X$171</f>
        <v>0</v>
      </c>
      <c r="Z170" s="1021"/>
      <c r="AA170" s="986"/>
      <c r="AB170" s="1019">
        <f>B170+D170</f>
        <v>0</v>
      </c>
      <c r="AC170" s="1020">
        <f>AB170/$AB$171</f>
        <v>0</v>
      </c>
      <c r="AD170" s="1021"/>
      <c r="AE170" s="986"/>
      <c r="AF170" s="1022"/>
      <c r="AG170" s="1023"/>
    </row>
    <row r="171" spans="1:33" ht="15.95" customHeight="1" thickBot="1">
      <c r="A171" s="1002" t="s">
        <v>1</v>
      </c>
      <c r="B171" s="764">
        <f>SUM(B160:B170)</f>
        <v>1762033.3362700001</v>
      </c>
      <c r="C171" s="749"/>
      <c r="D171" s="764">
        <f>SUM(D160:D170)</f>
        <v>-19007.020000402663</v>
      </c>
      <c r="E171" s="749"/>
      <c r="F171" s="764">
        <f>ROUND(('Reconcil YE'!K43+'Reconcil YE'!J43),9)</f>
        <v>-109604.632567273</v>
      </c>
      <c r="G171" s="749"/>
      <c r="H171" s="764">
        <f>T92</f>
        <v>1633421.6837023243</v>
      </c>
      <c r="I171" s="749"/>
      <c r="J171" s="922">
        <f>SUM(J160:J170)</f>
        <v>1</v>
      </c>
      <c r="K171" s="749"/>
      <c r="L171" s="756"/>
      <c r="M171" s="756"/>
      <c r="N171" s="765">
        <f>SUM(N160:N166)</f>
        <v>5.29</v>
      </c>
      <c r="O171" s="756"/>
      <c r="P171" s="756"/>
      <c r="Q171" s="756"/>
      <c r="R171" s="765">
        <f>SUM(R160:R166)</f>
        <v>5.75</v>
      </c>
      <c r="S171" s="756"/>
      <c r="T171" s="756"/>
      <c r="U171" s="756"/>
      <c r="V171" s="765">
        <f>SUM(V160:V166)</f>
        <v>6.2600000000000007</v>
      </c>
      <c r="W171" s="960"/>
      <c r="X171" s="1019">
        <f>SUM(X160:X170)</f>
        <v>1486120.6078267891</v>
      </c>
      <c r="Y171" s="1020">
        <f>SUM(Y160:Y170)</f>
        <v>1</v>
      </c>
      <c r="Z171" s="1021"/>
      <c r="AA171" s="986"/>
      <c r="AB171" s="1019">
        <f>SUM(AB160:AB170)</f>
        <v>1743026.3162695973</v>
      </c>
      <c r="AC171" s="1020">
        <f>SUM(AC160:AC170)</f>
        <v>1.0000000000000002</v>
      </c>
      <c r="AD171" s="1021"/>
      <c r="AE171" s="986"/>
      <c r="AF171" s="1022">
        <f>SUM(AF160:AF170)</f>
        <v>1388074.7908109983</v>
      </c>
      <c r="AG171" s="1023">
        <f>SUM(AG160:AG170)</f>
        <v>1</v>
      </c>
    </row>
    <row r="172" spans="1:33" ht="9" customHeight="1" thickTop="1" thickBot="1">
      <c r="A172" s="1002"/>
      <c r="B172" s="1004"/>
      <c r="C172" s="1004"/>
      <c r="D172" s="1004"/>
      <c r="E172" s="1004"/>
      <c r="F172" s="1004"/>
      <c r="G172" s="1004"/>
      <c r="H172" s="1004"/>
      <c r="I172" s="1004"/>
      <c r="J172" s="1004"/>
      <c r="K172" s="1004"/>
      <c r="L172" s="1004"/>
      <c r="M172" s="1004"/>
      <c r="N172" s="1004"/>
      <c r="O172" s="1004"/>
      <c r="P172" s="1004"/>
      <c r="Q172" s="1004"/>
      <c r="R172" s="1004"/>
      <c r="S172" s="1004"/>
      <c r="T172" s="1004"/>
      <c r="U172" s="1004"/>
      <c r="V172" s="1004"/>
      <c r="W172" s="960"/>
      <c r="X172" s="1025"/>
      <c r="Y172" s="1026"/>
      <c r="Z172" s="1027"/>
      <c r="AA172" s="986"/>
      <c r="AB172" s="1025"/>
      <c r="AC172" s="1026"/>
      <c r="AD172" s="1027"/>
      <c r="AE172" s="986"/>
      <c r="AF172" s="1028"/>
      <c r="AG172" s="1028"/>
    </row>
    <row r="173" spans="1:33">
      <c r="A173" s="1002"/>
      <c r="B173" s="1003">
        <f>+B171-T55</f>
        <v>0</v>
      </c>
      <c r="C173" s="1004"/>
      <c r="D173" s="1003">
        <f>+D171-SUM('Reconcil YE'!D43:I43)</f>
        <v>0</v>
      </c>
      <c r="E173" s="1004"/>
      <c r="F173" s="1003">
        <f>+F171-'Reconcil YE'!J43-'Reconcil YE'!K43</f>
        <v>-3.092281986027956E-10</v>
      </c>
      <c r="G173" s="1004"/>
      <c r="H173" s="1003">
        <f>H171-T92</f>
        <v>0</v>
      </c>
      <c r="I173" s="1004"/>
      <c r="J173" s="1029">
        <f>1-J171</f>
        <v>0</v>
      </c>
      <c r="K173" s="1004"/>
      <c r="L173" s="1004"/>
      <c r="M173" s="1004"/>
      <c r="N173" s="1004"/>
      <c r="O173" s="1004"/>
      <c r="P173" s="1004"/>
      <c r="Q173" s="1004"/>
      <c r="R173" s="1004"/>
      <c r="S173" s="1004"/>
      <c r="T173" s="1004"/>
      <c r="U173" s="1004"/>
      <c r="V173" s="1004"/>
      <c r="W173" s="986"/>
      <c r="X173" s="1003">
        <f>+B160+B162+B166+D160+D166-X171</f>
        <v>0</v>
      </c>
      <c r="Y173" s="986"/>
      <c r="Z173" s="986"/>
      <c r="AA173" s="986"/>
      <c r="AB173" s="1003">
        <f>+AB171-B171-D171</f>
        <v>-1.5279510989785194E-10</v>
      </c>
      <c r="AC173" s="986"/>
      <c r="AD173" s="986"/>
      <c r="AE173" s="986"/>
      <c r="AF173" s="986"/>
      <c r="AG173" s="986"/>
    </row>
    <row r="174" spans="1:33">
      <c r="A174" s="1002"/>
      <c r="B174" s="1004"/>
      <c r="C174" s="1004"/>
      <c r="D174" s="1004"/>
      <c r="E174" s="1004"/>
      <c r="F174" s="1003">
        <f>SUM(F160:F170)-F171</f>
        <v>1.0040821507573128E-9</v>
      </c>
      <c r="G174" s="1004"/>
      <c r="H174" s="1004"/>
      <c r="I174" s="1004"/>
      <c r="J174" s="1004"/>
      <c r="K174" s="1004"/>
      <c r="L174" s="1004"/>
      <c r="M174" s="1004"/>
      <c r="N174" s="1004"/>
      <c r="O174" s="1004"/>
      <c r="P174" s="1004"/>
      <c r="Q174" s="1004"/>
      <c r="R174" s="1004"/>
      <c r="S174" s="1004"/>
      <c r="T174" s="1004"/>
      <c r="U174" s="1004"/>
      <c r="V174" s="1004"/>
      <c r="W174" s="986"/>
      <c r="X174" s="986"/>
      <c r="Y174" s="986"/>
      <c r="Z174" s="986"/>
      <c r="AA174" s="986"/>
      <c r="AB174" s="986"/>
      <c r="AC174" s="986"/>
    </row>
    <row r="175" spans="1:33">
      <c r="A175" s="1002"/>
      <c r="B175" s="1004"/>
      <c r="C175" s="1004"/>
      <c r="D175" s="1004"/>
      <c r="E175" s="1004"/>
      <c r="F175" s="1004"/>
      <c r="G175" s="1004"/>
      <c r="H175" s="1004"/>
      <c r="I175" s="1004"/>
      <c r="J175" s="1004"/>
      <c r="K175" s="1004"/>
      <c r="L175" s="1004"/>
      <c r="M175" s="1004"/>
      <c r="N175" s="1004"/>
      <c r="O175" s="1004"/>
      <c r="P175" s="1004"/>
      <c r="Q175" s="1004"/>
      <c r="R175" s="1004"/>
      <c r="S175" s="1004"/>
      <c r="T175" s="1004"/>
      <c r="U175" s="1004"/>
      <c r="V175" s="1004"/>
      <c r="W175" s="986"/>
      <c r="X175" s="986"/>
      <c r="Y175" s="986"/>
      <c r="Z175" s="986"/>
      <c r="AA175" s="986"/>
      <c r="AB175" s="986"/>
      <c r="AC175" s="986"/>
    </row>
    <row r="176" spans="1:33" ht="15">
      <c r="A176" s="1030" t="str">
        <f>+Report!A176</f>
        <v>PEOPLES GAS SYSTEM</v>
      </c>
      <c r="B176" s="1031"/>
      <c r="C176" s="952"/>
      <c r="D176" s="5"/>
      <c r="E176" s="1031"/>
      <c r="F176" s="1031"/>
      <c r="G176" s="1031"/>
      <c r="H176" s="1031"/>
      <c r="I176" s="992"/>
      <c r="J176" s="5"/>
      <c r="K176" s="1031"/>
      <c r="L176" s="960" t="s">
        <v>179</v>
      </c>
      <c r="M176" s="1001"/>
      <c r="N176" s="1032"/>
      <c r="O176" s="1032"/>
      <c r="P176" s="1033"/>
      <c r="Q176" s="986"/>
      <c r="R176" s="1033"/>
      <c r="S176" s="986"/>
      <c r="T176" s="1034"/>
      <c r="U176" s="986"/>
      <c r="V176" s="1034"/>
      <c r="W176" s="986"/>
      <c r="X176" s="986"/>
      <c r="Y176" s="986"/>
      <c r="Z176" s="986"/>
      <c r="AA176" s="986"/>
      <c r="AB176" s="986"/>
      <c r="AC176" s="986"/>
    </row>
    <row r="177" spans="1:29" ht="15">
      <c r="A177" s="1030" t="str">
        <f>+Report!A177</f>
        <v>EARNED RETURN ON COMMON EQUITY</v>
      </c>
      <c r="B177" s="1031"/>
      <c r="C177" s="1031"/>
      <c r="D177" s="1031"/>
      <c r="E177" s="1031"/>
      <c r="F177" s="1031"/>
      <c r="G177" s="1031"/>
      <c r="H177" s="1031"/>
      <c r="I177" s="1031"/>
      <c r="J177" s="1031"/>
      <c r="K177" s="1031"/>
      <c r="L177" s="1035"/>
      <c r="M177" s="994"/>
      <c r="N177" s="1032"/>
      <c r="O177" s="1032"/>
      <c r="P177" s="1033"/>
      <c r="Q177" s="986"/>
      <c r="R177" s="1033"/>
      <c r="S177" s="986"/>
      <c r="T177" s="1034"/>
      <c r="U177" s="986"/>
      <c r="V177" s="1034"/>
      <c r="W177" s="986"/>
      <c r="X177" s="986"/>
      <c r="Y177" s="986"/>
      <c r="Z177" s="986"/>
      <c r="AA177" s="986"/>
      <c r="AB177" s="986"/>
      <c r="AC177" s="986"/>
    </row>
    <row r="178" spans="1:29" ht="15">
      <c r="A178" s="1030" t="str">
        <f>+Report!A178</f>
        <v>FPSC ADJUSTED BASIS</v>
      </c>
      <c r="B178" s="1031"/>
      <c r="C178" s="1031"/>
      <c r="D178" s="1031"/>
      <c r="E178" s="1031"/>
      <c r="F178" s="1031"/>
      <c r="G178" s="1031"/>
      <c r="H178" s="1031"/>
      <c r="I178" s="1031"/>
      <c r="J178" s="1031"/>
      <c r="K178" s="1031"/>
      <c r="L178" s="1035"/>
      <c r="M178" s="994"/>
      <c r="N178" s="1032"/>
      <c r="O178" s="1032"/>
      <c r="P178" s="1033"/>
      <c r="Q178" s="986"/>
      <c r="R178" s="1033"/>
      <c r="S178" s="986"/>
      <c r="T178" s="1034"/>
      <c r="U178" s="986"/>
      <c r="V178" s="1034"/>
      <c r="W178" s="986"/>
      <c r="X178" s="986"/>
      <c r="Y178" s="986"/>
      <c r="Z178" s="986"/>
      <c r="AA178" s="986"/>
      <c r="AB178" s="986"/>
      <c r="AC178" s="986"/>
    </row>
    <row r="179" spans="1:29" ht="15">
      <c r="A179" s="1030" t="str">
        <f>+Report!A179</f>
        <v>December 2021</v>
      </c>
      <c r="B179" s="1031"/>
      <c r="C179" s="1031"/>
      <c r="D179" s="1031"/>
      <c r="E179" s="1031"/>
      <c r="F179" s="1031"/>
      <c r="G179" s="1031"/>
      <c r="H179" s="1031"/>
      <c r="I179" s="1031"/>
      <c r="J179" s="1031"/>
      <c r="K179" s="1031"/>
      <c r="L179" s="1035"/>
      <c r="M179" s="994"/>
      <c r="N179" s="1032"/>
      <c r="O179" s="1032"/>
      <c r="P179" s="1033"/>
      <c r="Q179" s="986"/>
      <c r="R179" s="1033"/>
      <c r="S179" s="986"/>
      <c r="T179" s="1034"/>
      <c r="U179" s="986"/>
      <c r="V179" s="1034"/>
      <c r="W179" s="986"/>
      <c r="X179" s="986"/>
      <c r="Y179" s="986"/>
      <c r="Z179" s="986"/>
      <c r="AA179" s="986"/>
      <c r="AB179" s="986"/>
      <c r="AC179" s="986"/>
    </row>
    <row r="180" spans="1:29" ht="15">
      <c r="A180" s="1030" t="str">
        <f>+Report!A180</f>
        <v>(In $ Thousands)</v>
      </c>
      <c r="B180" s="1031"/>
      <c r="C180" s="1031"/>
      <c r="D180" s="1031"/>
      <c r="E180" s="1031"/>
      <c r="F180" s="1031"/>
      <c r="G180" s="1031"/>
      <c r="H180" s="1031"/>
      <c r="I180" s="1031"/>
      <c r="J180" s="1031"/>
      <c r="K180" s="1031"/>
      <c r="L180" s="1035"/>
      <c r="M180" s="994"/>
      <c r="N180" s="986"/>
      <c r="O180" s="986"/>
      <c r="P180" s="1033"/>
      <c r="Q180" s="986"/>
      <c r="R180" s="1033"/>
      <c r="S180" s="986"/>
      <c r="T180" s="1034"/>
      <c r="U180" s="986"/>
      <c r="V180" s="1034"/>
      <c r="W180" s="986"/>
      <c r="X180" s="986"/>
      <c r="Y180" s="986"/>
      <c r="Z180" s="986"/>
      <c r="AA180" s="986"/>
      <c r="AB180" s="986"/>
      <c r="AC180" s="986"/>
    </row>
    <row r="181" spans="1:29">
      <c r="A181" s="953"/>
      <c r="B181" s="986"/>
      <c r="C181" s="986"/>
      <c r="D181" s="986"/>
      <c r="E181" s="986"/>
      <c r="F181" s="986"/>
      <c r="G181" s="986"/>
      <c r="H181" s="986"/>
      <c r="I181" s="986"/>
      <c r="J181" s="986"/>
      <c r="K181" s="986"/>
      <c r="L181" s="986"/>
      <c r="M181" s="986"/>
      <c r="N181" s="1036"/>
      <c r="O181" s="986"/>
      <c r="P181" s="999"/>
      <c r="Q181" s="986"/>
      <c r="R181" s="1033"/>
      <c r="S181" s="986"/>
      <c r="T181" s="986"/>
      <c r="U181" s="986"/>
      <c r="V181" s="986"/>
      <c r="W181" s="986"/>
      <c r="X181" s="986"/>
      <c r="Y181" s="986"/>
      <c r="Z181" s="986"/>
      <c r="AA181" s="986"/>
      <c r="AB181" s="986"/>
      <c r="AC181" s="986"/>
    </row>
    <row r="182" spans="1:29">
      <c r="A182" s="953"/>
      <c r="B182" s="986"/>
      <c r="C182" s="986"/>
      <c r="D182" s="986"/>
      <c r="E182" s="986"/>
      <c r="F182" s="986"/>
      <c r="G182" s="986"/>
      <c r="H182" s="986"/>
      <c r="I182" s="986"/>
      <c r="J182" s="986"/>
      <c r="K182" s="986"/>
      <c r="L182" s="986"/>
      <c r="M182" s="986"/>
      <c r="N182" s="986"/>
      <c r="O182" s="986"/>
      <c r="P182" s="986"/>
      <c r="Q182" s="986"/>
      <c r="R182" s="986"/>
      <c r="S182" s="986"/>
      <c r="T182" s="986"/>
      <c r="U182" s="986"/>
      <c r="V182" s="986"/>
      <c r="W182" s="986"/>
      <c r="X182" s="986"/>
      <c r="Y182" s="986"/>
      <c r="Z182" s="986"/>
      <c r="AA182" s="986"/>
      <c r="AB182" s="986"/>
      <c r="AC182" s="986"/>
    </row>
    <row r="183" spans="1:29">
      <c r="A183" s="953"/>
      <c r="B183" s="986"/>
      <c r="C183" s="986"/>
      <c r="D183" s="986"/>
      <c r="E183" s="986"/>
      <c r="F183" s="986"/>
      <c r="G183" s="986"/>
      <c r="H183" s="986"/>
      <c r="I183" s="986"/>
      <c r="J183" s="986"/>
      <c r="K183" s="986"/>
      <c r="L183" s="986"/>
      <c r="M183" s="986"/>
      <c r="N183" s="986"/>
      <c r="O183" s="986"/>
      <c r="P183" s="999"/>
      <c r="Q183" s="986"/>
      <c r="R183" s="986"/>
      <c r="S183" s="986"/>
      <c r="T183" s="1037"/>
      <c r="U183" s="986"/>
      <c r="V183" s="986"/>
      <c r="W183" s="986"/>
      <c r="X183" s="986"/>
      <c r="Y183" s="986"/>
      <c r="Z183" s="986"/>
      <c r="AA183" s="986"/>
      <c r="AB183" s="986"/>
      <c r="AC183" s="986"/>
    </row>
    <row r="184" spans="1:29" ht="12.95" customHeight="1">
      <c r="A184" s="953"/>
      <c r="B184" s="986"/>
      <c r="C184" s="986"/>
      <c r="D184" s="986"/>
      <c r="E184" s="986"/>
      <c r="F184" s="986"/>
      <c r="G184" s="986"/>
      <c r="H184" s="986"/>
      <c r="I184" s="986"/>
      <c r="J184" s="986"/>
      <c r="K184" s="986"/>
      <c r="L184" s="986"/>
      <c r="M184" s="986"/>
      <c r="N184" s="960"/>
      <c r="O184" s="960"/>
      <c r="P184" s="986"/>
      <c r="Q184" s="986"/>
      <c r="R184" s="1037"/>
      <c r="S184" s="986"/>
      <c r="T184" s="986"/>
      <c r="U184" s="986"/>
      <c r="V184" s="986"/>
      <c r="W184" s="986"/>
      <c r="X184" s="986"/>
      <c r="Y184" s="986"/>
      <c r="Z184" s="986"/>
      <c r="AA184" s="986"/>
      <c r="AB184" s="986"/>
      <c r="AC184" s="986"/>
    </row>
    <row r="185" spans="1:29" ht="12.95" customHeight="1">
      <c r="A185" s="966" t="s">
        <v>181</v>
      </c>
      <c r="B185" s="960"/>
      <c r="C185" s="960"/>
      <c r="D185" s="960"/>
      <c r="E185" s="960"/>
      <c r="F185" s="960"/>
      <c r="G185" s="960"/>
      <c r="H185" s="960"/>
      <c r="I185" s="960"/>
      <c r="J185" s="960"/>
      <c r="K185" s="960"/>
      <c r="L185" s="960"/>
      <c r="M185" s="960"/>
      <c r="N185" s="960"/>
      <c r="O185" s="960"/>
      <c r="P185" s="999"/>
      <c r="Q185" s="986"/>
      <c r="R185" s="986"/>
      <c r="S185" s="986"/>
      <c r="T185" s="986"/>
      <c r="U185" s="986"/>
      <c r="V185" s="986"/>
      <c r="W185" s="986"/>
      <c r="X185" s="986"/>
      <c r="Y185" s="986"/>
      <c r="Z185" s="986"/>
      <c r="AA185" s="986"/>
      <c r="AB185" s="986"/>
      <c r="AC185" s="986"/>
    </row>
    <row r="186" spans="1:29" ht="12.95" customHeight="1">
      <c r="A186" s="966" t="s">
        <v>182</v>
      </c>
      <c r="B186" s="960"/>
      <c r="C186" s="960"/>
      <c r="D186" s="960"/>
      <c r="E186" s="960"/>
      <c r="F186" s="960"/>
      <c r="G186" s="960"/>
      <c r="H186" s="960"/>
      <c r="I186" s="960"/>
      <c r="J186" s="960"/>
      <c r="K186" s="960"/>
      <c r="L186" s="960"/>
      <c r="M186" s="960"/>
      <c r="N186" s="960"/>
      <c r="O186" s="960"/>
      <c r="P186" s="986"/>
      <c r="Q186" s="986"/>
      <c r="R186" s="986"/>
      <c r="S186" s="986"/>
      <c r="T186" s="986"/>
      <c r="U186" s="986"/>
      <c r="V186" s="986"/>
      <c r="W186" s="986"/>
      <c r="X186" s="986"/>
      <c r="Y186" s="986"/>
      <c r="Z186" s="986"/>
      <c r="AA186" s="986"/>
      <c r="AB186" s="986"/>
      <c r="AC186" s="986"/>
    </row>
    <row r="187" spans="1:29" ht="12.95" customHeight="1">
      <c r="A187" s="955"/>
      <c r="B187" s="960"/>
      <c r="C187" s="960"/>
      <c r="D187" s="960"/>
      <c r="E187" s="960"/>
      <c r="F187" s="960"/>
      <c r="G187" s="960"/>
      <c r="H187" s="683"/>
      <c r="I187" s="960"/>
      <c r="J187" s="960"/>
      <c r="K187" s="960"/>
      <c r="L187" s="960"/>
      <c r="M187" s="960"/>
      <c r="N187" s="960"/>
      <c r="O187" s="960"/>
      <c r="P187" s="986"/>
      <c r="Q187" s="986"/>
      <c r="R187" s="986"/>
      <c r="S187" s="986"/>
      <c r="T187" s="986"/>
      <c r="U187" s="986"/>
      <c r="V187" s="986"/>
      <c r="W187" s="986"/>
      <c r="X187" s="986"/>
      <c r="Y187" s="986"/>
      <c r="Z187" s="986"/>
      <c r="AA187" s="986"/>
      <c r="AB187" s="986"/>
      <c r="AC187" s="986"/>
    </row>
    <row r="188" spans="1:29" ht="12.95" customHeight="1">
      <c r="A188" s="955"/>
      <c r="B188" s="960"/>
      <c r="C188" s="960"/>
      <c r="D188" s="960"/>
      <c r="E188" s="960"/>
      <c r="F188" s="960"/>
      <c r="G188" s="960"/>
      <c r="H188" s="683"/>
      <c r="I188" s="960"/>
      <c r="J188" s="960"/>
      <c r="K188" s="960"/>
      <c r="L188" s="960"/>
      <c r="M188" s="960"/>
      <c r="N188" s="960"/>
      <c r="O188" s="960"/>
      <c r="P188" s="986"/>
      <c r="Q188" s="986"/>
      <c r="R188" s="986"/>
      <c r="S188" s="986"/>
      <c r="T188" s="986"/>
      <c r="U188" s="986"/>
      <c r="V188" s="986"/>
      <c r="W188" s="986"/>
      <c r="X188" s="986"/>
      <c r="Y188" s="986"/>
      <c r="Z188" s="986"/>
      <c r="AA188" s="986"/>
      <c r="AB188" s="986"/>
      <c r="AC188" s="986"/>
    </row>
    <row r="189" spans="1:29" ht="12.95" customHeight="1">
      <c r="A189" s="955" t="s">
        <v>183</v>
      </c>
      <c r="B189" s="960"/>
      <c r="C189" s="960"/>
      <c r="D189" s="960"/>
      <c r="E189" s="960"/>
      <c r="F189" s="960"/>
      <c r="G189" s="960"/>
      <c r="H189" s="684">
        <f>J16</f>
        <v>5.6222000000000003</v>
      </c>
      <c r="I189" s="960" t="s">
        <v>108</v>
      </c>
      <c r="J189" s="960" t="s">
        <v>184</v>
      </c>
      <c r="K189" s="960"/>
      <c r="L189" s="960"/>
      <c r="M189" s="960"/>
      <c r="N189" s="960"/>
      <c r="O189" s="960"/>
      <c r="P189" s="986"/>
      <c r="Q189" s="986"/>
      <c r="R189" s="986"/>
      <c r="S189" s="986"/>
      <c r="T189" s="986"/>
      <c r="U189" s="986"/>
      <c r="V189" s="986"/>
      <c r="W189" s="986"/>
      <c r="X189" s="986"/>
      <c r="Y189" s="986"/>
      <c r="Z189" s="986"/>
      <c r="AA189" s="986"/>
      <c r="AB189" s="986"/>
      <c r="AC189" s="986"/>
    </row>
    <row r="190" spans="1:29" ht="12.95" customHeight="1">
      <c r="A190" s="955" t="s">
        <v>185</v>
      </c>
      <c r="B190" s="960"/>
      <c r="C190" s="960"/>
      <c r="D190" s="960"/>
      <c r="E190" s="960"/>
      <c r="F190" s="960"/>
      <c r="G190" s="960"/>
      <c r="H190" s="683"/>
      <c r="I190" s="960"/>
      <c r="J190" s="960"/>
      <c r="K190" s="960"/>
      <c r="L190" s="960"/>
      <c r="M190" s="960"/>
      <c r="N190" s="960"/>
      <c r="O190" s="960"/>
      <c r="P190" s="986"/>
      <c r="Q190" s="986"/>
      <c r="R190" s="986"/>
      <c r="S190" s="986"/>
      <c r="T190" s="986"/>
      <c r="U190" s="986"/>
      <c r="V190" s="986"/>
      <c r="W190" s="986"/>
      <c r="X190" s="986"/>
      <c r="Y190" s="986"/>
      <c r="Z190" s="986"/>
      <c r="AA190" s="986"/>
      <c r="AB190" s="986"/>
      <c r="AC190" s="986"/>
    </row>
    <row r="191" spans="1:29" ht="12.95" customHeight="1">
      <c r="A191" s="955" t="s">
        <v>186</v>
      </c>
      <c r="B191" s="960"/>
      <c r="C191" s="960"/>
      <c r="D191" s="960"/>
      <c r="E191" s="960"/>
      <c r="F191" s="960"/>
      <c r="G191" s="960"/>
      <c r="H191" s="683"/>
      <c r="I191" s="960"/>
      <c r="J191" s="960"/>
      <c r="K191" s="960"/>
      <c r="L191" s="960"/>
      <c r="M191" s="960"/>
      <c r="N191" s="960"/>
      <c r="O191" s="960"/>
      <c r="P191" s="986"/>
      <c r="Q191" s="986"/>
      <c r="R191" s="986"/>
      <c r="S191" s="986"/>
      <c r="T191" s="986"/>
      <c r="U191" s="986"/>
      <c r="V191" s="986"/>
      <c r="W191" s="986"/>
      <c r="X191" s="986"/>
      <c r="Y191" s="986"/>
      <c r="Z191" s="986"/>
      <c r="AA191" s="986"/>
      <c r="AB191" s="986"/>
      <c r="AC191" s="986"/>
    </row>
    <row r="192" spans="1:29" ht="12.95" customHeight="1">
      <c r="A192" s="955" t="s">
        <v>174</v>
      </c>
      <c r="B192" s="960"/>
      <c r="C192" s="960"/>
      <c r="D192" s="960"/>
      <c r="E192" s="960"/>
      <c r="F192" s="960"/>
      <c r="G192" s="960"/>
      <c r="H192" s="774">
        <f>-R160</f>
        <v>-1.07</v>
      </c>
      <c r="I192" s="960" t="s">
        <v>108</v>
      </c>
      <c r="J192" s="960"/>
      <c r="K192" s="960"/>
      <c r="L192" s="960"/>
      <c r="M192" s="960"/>
      <c r="N192" s="960"/>
      <c r="O192" s="960"/>
      <c r="P192" s="986"/>
      <c r="Q192" s="986"/>
      <c r="R192" s="986"/>
      <c r="S192" s="986"/>
      <c r="T192" s="986"/>
      <c r="U192" s="986"/>
      <c r="V192" s="986"/>
      <c r="W192" s="986"/>
      <c r="X192" s="986"/>
      <c r="Y192" s="986"/>
      <c r="Z192" s="986"/>
      <c r="AA192" s="986"/>
      <c r="AB192" s="986"/>
      <c r="AC192" s="986"/>
    </row>
    <row r="193" spans="1:29" ht="12.95" customHeight="1">
      <c r="A193" s="955" t="s">
        <v>175</v>
      </c>
      <c r="B193" s="960"/>
      <c r="C193" s="960"/>
      <c r="D193" s="960"/>
      <c r="E193" s="960"/>
      <c r="F193" s="960"/>
      <c r="G193" s="960"/>
      <c r="H193" s="774">
        <f>-R162</f>
        <v>-0.04</v>
      </c>
      <c r="I193" s="960" t="s">
        <v>108</v>
      </c>
      <c r="J193" s="960"/>
      <c r="K193" s="960"/>
      <c r="L193" s="960"/>
      <c r="M193" s="960"/>
      <c r="N193" s="960"/>
      <c r="O193" s="960"/>
      <c r="P193" s="986"/>
      <c r="Q193" s="986"/>
      <c r="R193" s="986"/>
      <c r="S193" s="986"/>
      <c r="T193" s="986"/>
      <c r="U193" s="986"/>
      <c r="V193" s="986"/>
      <c r="W193" s="986"/>
      <c r="X193" s="986"/>
      <c r="Y193" s="986"/>
      <c r="Z193" s="986"/>
      <c r="AA193" s="986"/>
      <c r="AB193" s="986"/>
      <c r="AC193" s="986"/>
    </row>
    <row r="194" spans="1:29" ht="12.95" customHeight="1">
      <c r="A194" s="955" t="s">
        <v>187</v>
      </c>
      <c r="B194" s="960"/>
      <c r="C194" s="960"/>
      <c r="D194" s="960"/>
      <c r="E194" s="960"/>
      <c r="F194" s="960"/>
      <c r="G194" s="960"/>
      <c r="H194" s="775">
        <v>0</v>
      </c>
      <c r="I194" s="960" t="s">
        <v>108</v>
      </c>
      <c r="J194" s="960"/>
      <c r="K194" s="960"/>
      <c r="L194" s="960"/>
      <c r="M194" s="960"/>
      <c r="N194" s="960"/>
      <c r="O194" s="960"/>
      <c r="P194" s="986"/>
      <c r="Q194" s="986"/>
      <c r="R194" s="986"/>
      <c r="S194" s="986"/>
      <c r="T194" s="986"/>
      <c r="U194" s="986"/>
      <c r="V194" s="986"/>
      <c r="W194" s="986"/>
      <c r="X194" s="986"/>
      <c r="Y194" s="986"/>
      <c r="Z194" s="986"/>
      <c r="AA194" s="986"/>
      <c r="AB194" s="986"/>
      <c r="AC194" s="986"/>
    </row>
    <row r="195" spans="1:29" ht="12.95" customHeight="1">
      <c r="A195" s="955" t="s">
        <v>17</v>
      </c>
      <c r="B195" s="960"/>
      <c r="C195" s="960"/>
      <c r="D195" s="960"/>
      <c r="E195" s="960"/>
      <c r="F195" s="960"/>
      <c r="G195" s="960"/>
      <c r="H195" s="774">
        <f>-R164</f>
        <v>-0.04</v>
      </c>
      <c r="I195" s="960" t="s">
        <v>108</v>
      </c>
      <c r="J195" s="960"/>
      <c r="K195" s="960"/>
      <c r="L195" s="960"/>
      <c r="M195" s="960"/>
      <c r="N195" s="960"/>
      <c r="O195" s="960"/>
      <c r="P195" s="986"/>
      <c r="Q195" s="986"/>
      <c r="R195" s="986"/>
      <c r="S195" s="986"/>
      <c r="T195" s="986"/>
      <c r="U195" s="986"/>
      <c r="V195" s="986"/>
      <c r="W195" s="986"/>
      <c r="X195" s="986"/>
      <c r="Y195" s="986"/>
      <c r="Z195" s="986"/>
      <c r="AA195" s="986"/>
      <c r="AB195" s="986"/>
      <c r="AC195" s="986"/>
    </row>
    <row r="196" spans="1:29" ht="12.95" customHeight="1">
      <c r="A196" s="955" t="s">
        <v>188</v>
      </c>
      <c r="B196" s="960"/>
      <c r="C196" s="960"/>
      <c r="D196" s="960"/>
      <c r="E196" s="960"/>
      <c r="F196" s="960"/>
      <c r="G196" s="960"/>
      <c r="H196" s="775">
        <v>0</v>
      </c>
      <c r="I196" s="960" t="s">
        <v>108</v>
      </c>
      <c r="J196" s="960"/>
      <c r="K196" s="960"/>
      <c r="L196" s="960"/>
      <c r="M196" s="960"/>
      <c r="N196" s="960"/>
      <c r="O196" s="960"/>
      <c r="P196" s="986"/>
      <c r="Q196" s="986"/>
      <c r="R196" s="986"/>
      <c r="S196" s="986"/>
      <c r="T196" s="986"/>
      <c r="U196" s="986"/>
      <c r="V196" s="986"/>
      <c r="W196" s="986"/>
      <c r="X196" s="986"/>
      <c r="Y196" s="986"/>
      <c r="Z196" s="986"/>
      <c r="AA196" s="986"/>
      <c r="AB196" s="986"/>
      <c r="AC196" s="986"/>
    </row>
    <row r="197" spans="1:29" ht="12.95" customHeight="1">
      <c r="A197" s="955" t="s">
        <v>189</v>
      </c>
      <c r="B197" s="960"/>
      <c r="C197" s="960"/>
      <c r="D197" s="960"/>
      <c r="E197" s="960"/>
      <c r="F197" s="960"/>
      <c r="G197" s="960"/>
      <c r="H197" s="776">
        <f>SUM(H192:H196)</f>
        <v>-1.1500000000000001</v>
      </c>
      <c r="I197" s="960" t="s">
        <v>108</v>
      </c>
      <c r="J197" s="960"/>
      <c r="K197" s="960"/>
      <c r="L197" s="960"/>
      <c r="M197" s="960"/>
      <c r="N197" s="960"/>
      <c r="O197" s="960"/>
      <c r="P197" s="986"/>
      <c r="Q197" s="986"/>
      <c r="R197" s="986"/>
      <c r="S197" s="986"/>
      <c r="T197" s="986"/>
      <c r="U197" s="986"/>
      <c r="V197" s="986"/>
      <c r="W197" s="986"/>
      <c r="X197" s="986"/>
      <c r="Y197" s="986"/>
      <c r="Z197" s="986"/>
      <c r="AA197" s="986"/>
      <c r="AB197" s="986"/>
      <c r="AC197" s="986"/>
    </row>
    <row r="198" spans="1:29" ht="12.95" customHeight="1">
      <c r="A198" s="955"/>
      <c r="B198" s="960"/>
      <c r="C198" s="960"/>
      <c r="D198" s="960"/>
      <c r="E198" s="960"/>
      <c r="F198" s="960"/>
      <c r="G198" s="960"/>
      <c r="H198" s="683"/>
      <c r="I198" s="960"/>
      <c r="J198" s="960"/>
      <c r="K198" s="960"/>
      <c r="L198" s="960"/>
      <c r="M198" s="960"/>
      <c r="N198" s="960"/>
      <c r="O198" s="960"/>
      <c r="P198" s="986"/>
      <c r="Q198" s="986"/>
      <c r="R198" s="986"/>
      <c r="S198" s="986"/>
      <c r="T198" s="986"/>
      <c r="U198" s="986"/>
      <c r="V198" s="986"/>
      <c r="W198" s="986"/>
      <c r="X198" s="986"/>
      <c r="Y198" s="986"/>
      <c r="Z198" s="986"/>
      <c r="AA198" s="986"/>
      <c r="AB198" s="986"/>
      <c r="AC198" s="986"/>
    </row>
    <row r="199" spans="1:29" ht="12.95" customHeight="1">
      <c r="A199" s="955" t="s">
        <v>1</v>
      </c>
      <c r="B199" s="960"/>
      <c r="C199" s="960"/>
      <c r="D199" s="960"/>
      <c r="E199" s="960"/>
      <c r="F199" s="960"/>
      <c r="G199" s="960"/>
      <c r="H199" s="774">
        <f>ROUND(H189+H197,4)</f>
        <v>4.4722</v>
      </c>
      <c r="I199" s="960" t="s">
        <v>108</v>
      </c>
      <c r="J199" s="960"/>
      <c r="K199" s="960"/>
      <c r="L199" s="960"/>
      <c r="M199" s="960"/>
      <c r="N199" s="960"/>
      <c r="O199" s="960"/>
      <c r="P199" s="986"/>
      <c r="Q199" s="986"/>
      <c r="R199" s="986"/>
      <c r="S199" s="986"/>
      <c r="T199" s="986"/>
      <c r="U199" s="986"/>
      <c r="V199" s="986"/>
      <c r="W199" s="986"/>
      <c r="X199" s="986"/>
      <c r="Y199" s="986"/>
      <c r="Z199" s="986"/>
      <c r="AA199" s="986"/>
      <c r="AB199" s="986"/>
      <c r="AC199" s="986"/>
    </row>
    <row r="200" spans="1:29" ht="12.95" customHeight="1">
      <c r="A200" s="955"/>
      <c r="B200" s="960"/>
      <c r="C200" s="960"/>
      <c r="D200" s="960"/>
      <c r="E200" s="960"/>
      <c r="F200" s="960"/>
      <c r="G200" s="960"/>
      <c r="H200" s="683"/>
      <c r="I200" s="960"/>
      <c r="J200" s="960"/>
      <c r="K200" s="960"/>
      <c r="L200" s="960"/>
      <c r="M200" s="960"/>
      <c r="N200" s="960"/>
      <c r="O200" s="960"/>
      <c r="P200" s="986"/>
      <c r="Q200" s="986"/>
      <c r="R200" s="986"/>
      <c r="S200" s="986"/>
      <c r="T200" s="986"/>
      <c r="U200" s="986"/>
      <c r="V200" s="986"/>
      <c r="W200" s="986"/>
      <c r="X200" s="986"/>
      <c r="Y200" s="986"/>
      <c r="Z200" s="986"/>
      <c r="AA200" s="986"/>
      <c r="AB200" s="986"/>
      <c r="AC200" s="986"/>
    </row>
    <row r="201" spans="1:29" ht="12.95" customHeight="1">
      <c r="A201" s="955" t="s">
        <v>190</v>
      </c>
      <c r="B201" s="960"/>
      <c r="C201" s="960"/>
      <c r="D201" s="960"/>
      <c r="E201" s="960"/>
      <c r="F201" s="960"/>
      <c r="G201" s="960"/>
      <c r="H201" s="777">
        <f>ROUND(J166*100,4)</f>
        <v>46.48</v>
      </c>
      <c r="I201" s="960" t="s">
        <v>108</v>
      </c>
      <c r="J201" s="960"/>
      <c r="K201" s="960"/>
      <c r="L201" s="960"/>
      <c r="M201" s="960"/>
      <c r="N201" s="960"/>
      <c r="O201" s="960"/>
      <c r="P201" s="986"/>
      <c r="Q201" s="986"/>
      <c r="R201" s="986"/>
      <c r="S201" s="986"/>
      <c r="T201" s="986"/>
      <c r="U201" s="986"/>
      <c r="V201" s="986"/>
      <c r="W201" s="986"/>
      <c r="X201" s="986"/>
      <c r="Y201" s="986"/>
      <c r="Z201" s="986"/>
      <c r="AA201" s="986"/>
      <c r="AB201" s="986"/>
      <c r="AC201" s="986"/>
    </row>
    <row r="202" spans="1:29" ht="12.95" customHeight="1">
      <c r="A202" s="955"/>
      <c r="B202" s="960"/>
      <c r="C202" s="960"/>
      <c r="D202" s="960"/>
      <c r="E202" s="960"/>
      <c r="F202" s="960"/>
      <c r="G202" s="960"/>
      <c r="H202" s="683"/>
      <c r="I202" s="960"/>
      <c r="J202" s="960"/>
      <c r="K202" s="960"/>
      <c r="L202" s="960"/>
      <c r="M202" s="960"/>
      <c r="N202" s="960"/>
      <c r="O202" s="960"/>
      <c r="P202" s="986"/>
      <c r="Q202" s="986"/>
      <c r="R202" s="986"/>
      <c r="S202" s="986"/>
      <c r="T202" s="986"/>
      <c r="U202" s="986"/>
      <c r="V202" s="986"/>
      <c r="W202" s="986"/>
      <c r="X202" s="986"/>
      <c r="Y202" s="986"/>
      <c r="Z202" s="986"/>
      <c r="AA202" s="986"/>
      <c r="AB202" s="986"/>
      <c r="AC202" s="986"/>
    </row>
    <row r="203" spans="1:29" ht="12.95" customHeight="1" thickBot="1">
      <c r="A203" s="955" t="s">
        <v>191</v>
      </c>
      <c r="B203" s="960"/>
      <c r="C203" s="960"/>
      <c r="D203" s="960"/>
      <c r="E203" s="960"/>
      <c r="F203" s="960"/>
      <c r="G203" s="960"/>
      <c r="H203" s="778">
        <f>ROUND((H199)/(H201/100),4)</f>
        <v>9.6218000000000004</v>
      </c>
      <c r="I203" s="960" t="s">
        <v>108</v>
      </c>
      <c r="J203" s="960"/>
      <c r="K203" s="960"/>
      <c r="L203" s="960"/>
      <c r="M203" s="960"/>
      <c r="N203" s="960"/>
      <c r="O203" s="960"/>
      <c r="P203" s="986"/>
      <c r="Q203" s="986"/>
      <c r="R203" s="986"/>
      <c r="S203" s="986"/>
      <c r="T203" s="986"/>
      <c r="U203" s="986"/>
      <c r="V203" s="986"/>
      <c r="W203" s="986"/>
      <c r="X203" s="986"/>
      <c r="Y203" s="986"/>
      <c r="Z203" s="986"/>
      <c r="AA203" s="986"/>
      <c r="AB203" s="986"/>
      <c r="AC203" s="986"/>
    </row>
    <row r="204" spans="1:29" ht="12.95" customHeight="1" thickTop="1">
      <c r="A204" s="955"/>
      <c r="B204" s="960"/>
      <c r="C204" s="960"/>
      <c r="D204" s="960"/>
      <c r="E204" s="960"/>
      <c r="F204" s="960"/>
      <c r="G204" s="960"/>
      <c r="H204" s="683"/>
      <c r="I204" s="960"/>
      <c r="J204" s="960"/>
      <c r="K204" s="960"/>
      <c r="L204" s="960"/>
      <c r="M204" s="960"/>
      <c r="N204" s="960"/>
      <c r="O204" s="960"/>
      <c r="P204" s="986"/>
      <c r="Q204" s="986"/>
      <c r="R204" s="986"/>
      <c r="S204" s="986"/>
      <c r="T204" s="986"/>
      <c r="U204" s="986"/>
      <c r="V204" s="986"/>
      <c r="W204" s="986"/>
      <c r="X204" s="986"/>
      <c r="Y204" s="986"/>
      <c r="Z204" s="986"/>
      <c r="AA204" s="986"/>
      <c r="AB204" s="986"/>
      <c r="AC204" s="986"/>
    </row>
    <row r="205" spans="1:29">
      <c r="A205" s="955"/>
      <c r="B205" s="960"/>
      <c r="C205" s="960"/>
      <c r="D205" s="960"/>
      <c r="E205" s="960"/>
      <c r="F205" s="960"/>
      <c r="G205" s="960"/>
      <c r="H205" s="683"/>
      <c r="I205" s="960"/>
      <c r="J205" s="960"/>
      <c r="K205" s="960"/>
      <c r="L205" s="960"/>
      <c r="M205" s="960"/>
      <c r="N205" s="960"/>
      <c r="O205" s="960"/>
      <c r="P205" s="986"/>
      <c r="Q205" s="986"/>
      <c r="R205" s="986"/>
      <c r="S205" s="986"/>
      <c r="T205" s="986"/>
      <c r="U205" s="986"/>
      <c r="V205" s="986"/>
      <c r="W205" s="986"/>
      <c r="X205" s="986"/>
      <c r="Y205" s="986"/>
      <c r="Z205" s="986"/>
      <c r="AA205" s="986"/>
      <c r="AB205" s="986"/>
      <c r="AC205" s="986"/>
    </row>
    <row r="206" spans="1:29" ht="12.95" customHeight="1">
      <c r="A206" s="955"/>
      <c r="B206" s="960"/>
      <c r="C206" s="960"/>
      <c r="D206" s="960"/>
      <c r="E206" s="960"/>
      <c r="F206" s="960"/>
      <c r="G206" s="960"/>
      <c r="H206" s="683"/>
      <c r="I206" s="960"/>
      <c r="J206" s="960"/>
      <c r="K206" s="960"/>
      <c r="L206" s="960"/>
      <c r="M206" s="960"/>
      <c r="N206" s="960"/>
      <c r="O206" s="960"/>
      <c r="P206" s="986"/>
      <c r="Q206" s="986"/>
      <c r="R206" s="986"/>
      <c r="S206" s="986"/>
      <c r="T206" s="986"/>
      <c r="U206" s="986"/>
      <c r="V206" s="986"/>
      <c r="W206" s="986"/>
      <c r="X206" s="986"/>
      <c r="Y206" s="986"/>
      <c r="Z206" s="986"/>
      <c r="AA206" s="986"/>
      <c r="AB206" s="986"/>
      <c r="AC206" s="986"/>
    </row>
    <row r="207" spans="1:29" ht="12.95" customHeight="1">
      <c r="A207" s="955"/>
      <c r="B207" s="960"/>
      <c r="C207" s="960"/>
      <c r="D207" s="960"/>
      <c r="E207" s="960"/>
      <c r="F207" s="960"/>
      <c r="G207" s="960"/>
      <c r="H207" s="683"/>
      <c r="I207" s="960"/>
      <c r="J207" s="960"/>
      <c r="K207" s="960"/>
      <c r="L207" s="960"/>
      <c r="M207" s="960"/>
      <c r="N207" s="960"/>
      <c r="O207" s="960"/>
      <c r="P207" s="986"/>
      <c r="Q207" s="986"/>
      <c r="R207" s="986"/>
      <c r="S207" s="986"/>
      <c r="T207" s="986"/>
      <c r="U207" s="986"/>
      <c r="V207" s="986"/>
      <c r="W207" s="986"/>
      <c r="X207" s="986"/>
      <c r="Y207" s="986"/>
      <c r="Z207" s="986"/>
      <c r="AA207" s="986"/>
      <c r="AB207" s="986"/>
      <c r="AC207" s="986"/>
    </row>
    <row r="208" spans="1:29" ht="12.95" customHeight="1">
      <c r="A208" s="966" t="s">
        <v>192</v>
      </c>
      <c r="B208" s="960"/>
      <c r="C208" s="960"/>
      <c r="D208" s="960"/>
      <c r="E208" s="960"/>
      <c r="F208" s="960"/>
      <c r="G208" s="960"/>
      <c r="H208" s="683"/>
      <c r="I208" s="960"/>
      <c r="J208" s="960"/>
      <c r="K208" s="960"/>
      <c r="L208" s="960"/>
      <c r="M208" s="960"/>
      <c r="N208" s="960"/>
      <c r="O208" s="960"/>
      <c r="P208" s="986"/>
      <c r="Q208" s="986"/>
      <c r="R208" s="986"/>
      <c r="S208" s="986"/>
      <c r="T208" s="986"/>
      <c r="U208" s="986"/>
      <c r="V208" s="986"/>
      <c r="W208" s="986"/>
      <c r="X208" s="986"/>
      <c r="Y208" s="986"/>
      <c r="Z208" s="986"/>
      <c r="AA208" s="986"/>
      <c r="AB208" s="986"/>
      <c r="AC208" s="986"/>
    </row>
    <row r="209" spans="1:29" ht="12.95" customHeight="1">
      <c r="A209" s="966" t="s">
        <v>193</v>
      </c>
      <c r="B209" s="960"/>
      <c r="C209" s="960"/>
      <c r="D209" s="960"/>
      <c r="E209" s="960"/>
      <c r="F209" s="960"/>
      <c r="G209" s="960"/>
      <c r="H209" s="683"/>
      <c r="I209" s="960"/>
      <c r="J209" s="960"/>
      <c r="K209" s="960"/>
      <c r="L209" s="960"/>
      <c r="M209" s="960"/>
      <c r="N209" s="960"/>
      <c r="O209" s="960"/>
      <c r="P209" s="986"/>
      <c r="Q209" s="986"/>
      <c r="R209" s="986"/>
      <c r="S209" s="986"/>
      <c r="T209" s="986"/>
      <c r="U209" s="986"/>
      <c r="V209" s="986"/>
      <c r="W209" s="986"/>
      <c r="X209" s="986"/>
      <c r="Y209" s="986"/>
      <c r="Z209" s="986"/>
      <c r="AA209" s="986"/>
      <c r="AB209" s="986"/>
      <c r="AC209" s="986"/>
    </row>
    <row r="210" spans="1:29" ht="12.95" customHeight="1">
      <c r="A210" s="955"/>
      <c r="B210" s="960"/>
      <c r="C210" s="960"/>
      <c r="D210" s="960"/>
      <c r="E210" s="960"/>
      <c r="F210" s="960"/>
      <c r="G210" s="960"/>
      <c r="H210" s="683"/>
      <c r="I210" s="960"/>
      <c r="J210" s="960"/>
      <c r="K210" s="960"/>
      <c r="L210" s="960"/>
      <c r="M210" s="960"/>
      <c r="N210" s="960"/>
      <c r="O210" s="960"/>
      <c r="P210" s="986"/>
      <c r="Q210" s="986"/>
      <c r="R210" s="986"/>
      <c r="S210" s="986"/>
      <c r="T210" s="986"/>
      <c r="U210" s="986"/>
      <c r="V210" s="986"/>
      <c r="W210" s="986"/>
      <c r="X210" s="986"/>
      <c r="Y210" s="986"/>
      <c r="Z210" s="986"/>
      <c r="AA210" s="986"/>
      <c r="AB210" s="986"/>
      <c r="AC210" s="986"/>
    </row>
    <row r="211" spans="1:29" ht="12.95" customHeight="1">
      <c r="A211" s="955"/>
      <c r="B211" s="960"/>
      <c r="C211" s="960"/>
      <c r="D211" s="960"/>
      <c r="E211" s="960"/>
      <c r="F211" s="960"/>
      <c r="G211" s="960"/>
      <c r="H211" s="683"/>
      <c r="I211" s="960"/>
      <c r="J211" s="960"/>
      <c r="K211" s="960"/>
      <c r="L211" s="960"/>
      <c r="M211" s="960"/>
      <c r="N211" s="960"/>
      <c r="O211" s="960"/>
      <c r="P211" s="986"/>
      <c r="Q211" s="986"/>
      <c r="R211" s="986"/>
      <c r="S211" s="986"/>
      <c r="T211" s="986"/>
      <c r="U211" s="986"/>
      <c r="V211" s="986"/>
      <c r="W211" s="986"/>
      <c r="X211" s="986"/>
      <c r="Y211" s="986"/>
      <c r="Z211" s="986"/>
      <c r="AA211" s="986"/>
      <c r="AB211" s="986"/>
      <c r="AC211" s="986"/>
    </row>
    <row r="212" spans="1:29" ht="12.95" customHeight="1">
      <c r="A212" s="955" t="s">
        <v>194</v>
      </c>
      <c r="B212" s="960"/>
      <c r="C212" s="960"/>
      <c r="D212" s="960"/>
      <c r="E212" s="960"/>
      <c r="F212" s="960"/>
      <c r="G212" s="960" t="s">
        <v>105</v>
      </c>
      <c r="H212" s="683">
        <f>V132</f>
        <v>88993.599977316539</v>
      </c>
      <c r="I212" s="960"/>
      <c r="J212" s="960" t="s">
        <v>430</v>
      </c>
      <c r="K212" s="960"/>
      <c r="L212" s="960"/>
      <c r="M212" s="960"/>
      <c r="N212" s="960"/>
      <c r="O212" s="960"/>
      <c r="P212" s="986"/>
      <c r="Q212" s="986"/>
      <c r="R212" s="986"/>
      <c r="S212" s="986"/>
      <c r="T212" s="986"/>
      <c r="U212" s="986"/>
      <c r="V212" s="986"/>
      <c r="W212" s="986"/>
      <c r="X212" s="986"/>
      <c r="Y212" s="986"/>
      <c r="Z212" s="986"/>
      <c r="AA212" s="986"/>
      <c r="AB212" s="986"/>
      <c r="AC212" s="986"/>
    </row>
    <row r="213" spans="1:29" ht="12.95" customHeight="1">
      <c r="A213" s="955"/>
      <c r="B213" s="960"/>
      <c r="C213" s="960"/>
      <c r="D213" s="960"/>
      <c r="E213" s="960"/>
      <c r="F213" s="960"/>
      <c r="G213" s="960"/>
      <c r="H213" s="683"/>
      <c r="I213" s="960"/>
      <c r="J213" s="1038"/>
      <c r="K213" s="960"/>
      <c r="L213" s="960"/>
      <c r="M213" s="960"/>
      <c r="N213" s="960"/>
      <c r="O213" s="960"/>
      <c r="P213" s="986"/>
      <c r="Q213" s="986"/>
      <c r="R213" s="986"/>
      <c r="S213" s="986"/>
      <c r="T213" s="986"/>
      <c r="U213" s="986"/>
      <c r="V213" s="986"/>
      <c r="W213" s="986"/>
      <c r="X213" s="986"/>
      <c r="Y213" s="986"/>
      <c r="Z213" s="986"/>
      <c r="AA213" s="986"/>
      <c r="AB213" s="986"/>
      <c r="AC213" s="986"/>
    </row>
    <row r="214" spans="1:29" ht="12.95" customHeight="1">
      <c r="A214" s="955" t="s">
        <v>196</v>
      </c>
      <c r="B214" s="960"/>
      <c r="C214" s="960"/>
      <c r="D214" s="960"/>
      <c r="E214" s="960"/>
      <c r="F214" s="960"/>
      <c r="G214" s="960" t="s">
        <v>105</v>
      </c>
      <c r="H214" s="682">
        <f>T83</f>
        <v>1633421.6837023243</v>
      </c>
      <c r="I214" s="960"/>
      <c r="J214" s="960" t="s">
        <v>431</v>
      </c>
      <c r="K214" s="960"/>
      <c r="L214" s="960"/>
      <c r="M214" s="960"/>
      <c r="N214" s="960"/>
      <c r="O214" s="960"/>
      <c r="P214" s="986"/>
      <c r="Q214" s="986"/>
      <c r="R214" s="986"/>
      <c r="S214" s="986"/>
      <c r="T214" s="986"/>
      <c r="U214" s="986"/>
      <c r="V214" s="986"/>
      <c r="W214" s="986"/>
      <c r="X214" s="986"/>
      <c r="Y214" s="986"/>
      <c r="Z214" s="986"/>
      <c r="AA214" s="986"/>
      <c r="AB214" s="986"/>
      <c r="AC214" s="986"/>
    </row>
    <row r="215" spans="1:29" ht="12.95" customHeight="1">
      <c r="A215" s="955"/>
      <c r="B215" s="960"/>
      <c r="C215" s="960"/>
      <c r="D215" s="960"/>
      <c r="E215" s="960"/>
      <c r="F215" s="960"/>
      <c r="G215" s="960"/>
      <c r="H215" s="683"/>
      <c r="I215" s="960"/>
      <c r="J215" s="960"/>
      <c r="K215" s="960"/>
      <c r="L215" s="960"/>
      <c r="M215" s="960"/>
      <c r="N215" s="960"/>
      <c r="O215" s="960"/>
      <c r="P215" s="986"/>
      <c r="Q215" s="986"/>
      <c r="R215" s="986"/>
      <c r="S215" s="986"/>
      <c r="T215" s="986"/>
      <c r="U215" s="986"/>
      <c r="V215" s="986"/>
      <c r="W215" s="986"/>
      <c r="X215" s="986"/>
      <c r="Y215" s="986"/>
      <c r="Z215" s="986"/>
      <c r="AA215" s="986"/>
      <c r="AB215" s="986"/>
      <c r="AC215" s="986"/>
    </row>
    <row r="216" spans="1:29" ht="12.95" customHeight="1">
      <c r="A216" s="955" t="s">
        <v>183</v>
      </c>
      <c r="B216" s="960"/>
      <c r="C216" s="960"/>
      <c r="D216" s="960"/>
      <c r="E216" s="960"/>
      <c r="F216" s="960"/>
      <c r="G216" s="960"/>
      <c r="H216" s="777">
        <f>(H212/H214)*100</f>
        <v>5.4482930443045827</v>
      </c>
      <c r="I216" s="960" t="s">
        <v>108</v>
      </c>
      <c r="J216" s="960"/>
      <c r="K216" s="960"/>
      <c r="L216" s="960"/>
      <c r="M216" s="960"/>
      <c r="N216" s="960"/>
      <c r="O216" s="960"/>
      <c r="P216" s="986"/>
      <c r="Q216" s="986"/>
      <c r="R216" s="986"/>
      <c r="S216" s="986"/>
      <c r="T216" s="986"/>
      <c r="U216" s="986"/>
      <c r="V216" s="986"/>
      <c r="W216" s="986"/>
      <c r="X216" s="986"/>
      <c r="Y216" s="986"/>
      <c r="Z216" s="986"/>
      <c r="AA216" s="986"/>
      <c r="AB216" s="986"/>
      <c r="AC216" s="986"/>
    </row>
    <row r="217" spans="1:29" ht="12.95" customHeight="1">
      <c r="A217" s="955" t="s">
        <v>185</v>
      </c>
      <c r="B217" s="960"/>
      <c r="C217" s="960"/>
      <c r="D217" s="960"/>
      <c r="E217" s="960"/>
      <c r="F217" s="960"/>
      <c r="G217" s="960"/>
      <c r="H217" s="683"/>
      <c r="I217" s="960"/>
      <c r="J217" s="960"/>
      <c r="K217" s="960"/>
      <c r="L217" s="960"/>
      <c r="M217" s="960"/>
      <c r="N217" s="960"/>
      <c r="O217" s="960"/>
      <c r="P217" s="986"/>
      <c r="Q217" s="986"/>
      <c r="R217" s="986"/>
      <c r="S217" s="986"/>
      <c r="T217" s="986"/>
      <c r="U217" s="986"/>
      <c r="V217" s="986"/>
      <c r="W217" s="986"/>
      <c r="X217" s="986"/>
      <c r="Y217" s="986"/>
      <c r="Z217" s="986"/>
      <c r="AA217" s="986"/>
      <c r="AB217" s="986"/>
      <c r="AC217" s="986"/>
    </row>
    <row r="218" spans="1:29" ht="12.95" customHeight="1">
      <c r="A218" s="955" t="s">
        <v>186</v>
      </c>
      <c r="B218" s="960"/>
      <c r="C218" s="960"/>
      <c r="D218" s="960"/>
      <c r="E218" s="960"/>
      <c r="F218" s="960"/>
      <c r="G218" s="960"/>
      <c r="H218" s="683"/>
      <c r="I218" s="960"/>
      <c r="J218" s="960"/>
      <c r="K218" s="960"/>
      <c r="L218" s="960"/>
      <c r="M218" s="960"/>
      <c r="N218" s="960"/>
      <c r="O218" s="960"/>
      <c r="P218" s="986"/>
      <c r="Q218" s="986"/>
      <c r="R218" s="986"/>
      <c r="S218" s="986"/>
      <c r="T218" s="986"/>
      <c r="U218" s="986"/>
      <c r="V218" s="986"/>
      <c r="W218" s="986"/>
      <c r="X218" s="986"/>
      <c r="Y218" s="986"/>
      <c r="Z218" s="986"/>
      <c r="AA218" s="986"/>
      <c r="AB218" s="986"/>
      <c r="AC218" s="986"/>
    </row>
    <row r="219" spans="1:29" ht="12.95" customHeight="1">
      <c r="A219" s="955" t="s">
        <v>174</v>
      </c>
      <c r="B219" s="960"/>
      <c r="C219" s="960"/>
      <c r="D219" s="960"/>
      <c r="E219" s="960"/>
      <c r="F219" s="960"/>
      <c r="G219" s="960"/>
      <c r="H219" s="774">
        <f>H192</f>
        <v>-1.07</v>
      </c>
      <c r="I219" s="960" t="s">
        <v>108</v>
      </c>
      <c r="J219" s="960"/>
      <c r="K219" s="960"/>
      <c r="L219" s="960"/>
      <c r="M219" s="960"/>
      <c r="N219" s="960"/>
      <c r="O219" s="960"/>
      <c r="P219" s="986"/>
      <c r="Q219" s="986"/>
      <c r="R219" s="986"/>
      <c r="S219" s="986"/>
      <c r="T219" s="986"/>
      <c r="U219" s="986"/>
      <c r="V219" s="986"/>
      <c r="W219" s="986"/>
      <c r="X219" s="986"/>
      <c r="Y219" s="986"/>
      <c r="Z219" s="986"/>
      <c r="AA219" s="986"/>
      <c r="AB219" s="986"/>
      <c r="AC219" s="986"/>
    </row>
    <row r="220" spans="1:29" ht="12.95" customHeight="1">
      <c r="A220" s="955" t="s">
        <v>175</v>
      </c>
      <c r="B220" s="960"/>
      <c r="C220" s="960"/>
      <c r="D220" s="960"/>
      <c r="E220" s="960"/>
      <c r="F220" s="960"/>
      <c r="G220" s="960"/>
      <c r="H220" s="774">
        <f>H193</f>
        <v>-0.04</v>
      </c>
      <c r="I220" s="960" t="s">
        <v>108</v>
      </c>
      <c r="J220" s="960"/>
      <c r="K220" s="960"/>
      <c r="L220" s="960"/>
      <c r="M220" s="960"/>
      <c r="N220" s="960"/>
      <c r="O220" s="960"/>
      <c r="P220" s="986"/>
      <c r="Q220" s="986"/>
      <c r="R220" s="986"/>
      <c r="S220" s="986"/>
      <c r="T220" s="986"/>
      <c r="U220" s="986"/>
      <c r="V220" s="986"/>
      <c r="W220" s="986"/>
      <c r="X220" s="986"/>
      <c r="Y220" s="986"/>
      <c r="Z220" s="986"/>
      <c r="AA220" s="986"/>
      <c r="AB220" s="986"/>
      <c r="AC220" s="986"/>
    </row>
    <row r="221" spans="1:29" ht="12.95" customHeight="1">
      <c r="A221" s="955" t="s">
        <v>187</v>
      </c>
      <c r="B221" s="960"/>
      <c r="C221" s="960"/>
      <c r="D221" s="960"/>
      <c r="E221" s="960"/>
      <c r="F221" s="960"/>
      <c r="G221" s="960"/>
      <c r="H221" s="774">
        <f>H194</f>
        <v>0</v>
      </c>
      <c r="I221" s="960" t="s">
        <v>108</v>
      </c>
      <c r="J221" s="960"/>
      <c r="K221" s="960"/>
      <c r="L221" s="960"/>
      <c r="M221" s="960"/>
      <c r="N221" s="960"/>
      <c r="O221" s="960"/>
      <c r="P221" s="986"/>
      <c r="Q221" s="986"/>
      <c r="R221" s="986"/>
      <c r="S221" s="986"/>
      <c r="T221" s="986"/>
      <c r="U221" s="986"/>
      <c r="V221" s="986"/>
      <c r="W221" s="986"/>
      <c r="X221" s="986"/>
      <c r="Y221" s="986"/>
      <c r="Z221" s="986"/>
      <c r="AA221" s="986"/>
      <c r="AB221" s="986"/>
      <c r="AC221" s="986"/>
    </row>
    <row r="222" spans="1:29" ht="12.95" customHeight="1">
      <c r="A222" s="955" t="s">
        <v>17</v>
      </c>
      <c r="B222" s="960"/>
      <c r="C222" s="960"/>
      <c r="D222" s="960"/>
      <c r="E222" s="960"/>
      <c r="F222" s="960"/>
      <c r="G222" s="960"/>
      <c r="H222" s="774">
        <f>H195</f>
        <v>-0.04</v>
      </c>
      <c r="I222" s="960" t="s">
        <v>108</v>
      </c>
      <c r="J222" s="960"/>
      <c r="K222" s="960"/>
      <c r="L222" s="960"/>
      <c r="M222" s="960"/>
      <c r="N222" s="960"/>
      <c r="O222" s="960"/>
      <c r="P222" s="986"/>
      <c r="Q222" s="986"/>
      <c r="R222" s="986"/>
      <c r="S222" s="986"/>
      <c r="T222" s="986"/>
      <c r="U222" s="986"/>
      <c r="V222" s="986"/>
      <c r="W222" s="986"/>
      <c r="X222" s="986"/>
      <c r="Y222" s="986"/>
      <c r="Z222" s="986"/>
      <c r="AA222" s="986"/>
      <c r="AB222" s="986"/>
      <c r="AC222" s="986"/>
    </row>
    <row r="223" spans="1:29" ht="12.95" customHeight="1">
      <c r="A223" s="955" t="s">
        <v>188</v>
      </c>
      <c r="B223" s="960"/>
      <c r="C223" s="960"/>
      <c r="D223" s="960"/>
      <c r="E223" s="960"/>
      <c r="F223" s="960"/>
      <c r="G223" s="960"/>
      <c r="H223" s="774">
        <f>H196</f>
        <v>0</v>
      </c>
      <c r="I223" s="960" t="s">
        <v>108</v>
      </c>
      <c r="J223" s="960"/>
      <c r="K223" s="960"/>
      <c r="L223" s="960"/>
      <c r="M223" s="960"/>
      <c r="N223" s="960"/>
      <c r="O223" s="960"/>
      <c r="P223" s="986"/>
      <c r="Q223" s="986"/>
      <c r="R223" s="986"/>
      <c r="S223" s="986"/>
      <c r="T223" s="986"/>
      <c r="U223" s="986"/>
      <c r="V223" s="986"/>
      <c r="W223" s="986"/>
      <c r="X223" s="986"/>
      <c r="Y223" s="986"/>
      <c r="Z223" s="986"/>
      <c r="AA223" s="986"/>
      <c r="AB223" s="986"/>
      <c r="AC223" s="986"/>
    </row>
    <row r="224" spans="1:29" ht="12.95" customHeight="1">
      <c r="A224" s="955" t="s">
        <v>189</v>
      </c>
      <c r="B224" s="960"/>
      <c r="C224" s="960"/>
      <c r="D224" s="960"/>
      <c r="E224" s="960"/>
      <c r="F224" s="960"/>
      <c r="G224" s="960"/>
      <c r="H224" s="776">
        <f>SUM(H219:H223)</f>
        <v>-1.1500000000000001</v>
      </c>
      <c r="I224" s="960" t="s">
        <v>108</v>
      </c>
      <c r="J224" s="960"/>
      <c r="K224" s="960"/>
      <c r="L224" s="960"/>
      <c r="M224" s="960"/>
      <c r="N224" s="960"/>
      <c r="O224" s="960"/>
      <c r="P224" s="986"/>
      <c r="Q224" s="986"/>
      <c r="R224" s="986"/>
      <c r="S224" s="986"/>
      <c r="T224" s="986"/>
      <c r="U224" s="986"/>
      <c r="V224" s="986"/>
      <c r="W224" s="986"/>
      <c r="X224" s="986"/>
      <c r="Y224" s="986"/>
      <c r="Z224" s="986"/>
      <c r="AA224" s="986"/>
      <c r="AB224" s="986"/>
      <c r="AC224" s="986"/>
    </row>
    <row r="225" spans="1:29" ht="12.95" customHeight="1">
      <c r="A225" s="955"/>
      <c r="B225" s="960"/>
      <c r="C225" s="960"/>
      <c r="D225" s="960"/>
      <c r="E225" s="960"/>
      <c r="F225" s="960"/>
      <c r="G225" s="960"/>
      <c r="H225" s="683"/>
      <c r="I225" s="960"/>
      <c r="J225" s="960"/>
      <c r="K225" s="960"/>
      <c r="L225" s="960"/>
      <c r="M225" s="960"/>
      <c r="N225" s="960"/>
      <c r="O225" s="960"/>
      <c r="P225" s="986"/>
      <c r="Q225" s="986"/>
      <c r="R225" s="986"/>
      <c r="S225" s="986"/>
      <c r="T225" s="986"/>
      <c r="U225" s="986"/>
      <c r="V225" s="986"/>
      <c r="W225" s="986"/>
      <c r="X225" s="986"/>
      <c r="Y225" s="986"/>
      <c r="Z225" s="986"/>
      <c r="AA225" s="986"/>
      <c r="AB225" s="986"/>
      <c r="AC225" s="986"/>
    </row>
    <row r="226" spans="1:29" ht="12.95" customHeight="1">
      <c r="A226" s="955" t="s">
        <v>1</v>
      </c>
      <c r="B226" s="960"/>
      <c r="C226" s="960"/>
      <c r="D226" s="960"/>
      <c r="E226" s="960"/>
      <c r="F226" s="960"/>
      <c r="G226" s="960"/>
      <c r="H226" s="774">
        <f>H216+H224</f>
        <v>4.2982930443045824</v>
      </c>
      <c r="I226" s="960" t="s">
        <v>108</v>
      </c>
      <c r="J226" s="960"/>
      <c r="K226" s="960"/>
      <c r="L226" s="960"/>
      <c r="M226" s="960"/>
      <c r="N226" s="960"/>
      <c r="O226" s="960"/>
      <c r="P226" s="986"/>
      <c r="Q226" s="986"/>
      <c r="R226" s="986"/>
      <c r="S226" s="986"/>
      <c r="T226" s="986"/>
      <c r="U226" s="986"/>
      <c r="V226" s="986"/>
      <c r="W226" s="986"/>
      <c r="X226" s="986"/>
      <c r="Y226" s="986"/>
      <c r="Z226" s="986"/>
      <c r="AA226" s="986"/>
      <c r="AB226" s="986"/>
      <c r="AC226" s="986"/>
    </row>
    <row r="227" spans="1:29" ht="12.95" customHeight="1">
      <c r="A227" s="955"/>
      <c r="B227" s="960"/>
      <c r="C227" s="960"/>
      <c r="D227" s="960"/>
      <c r="E227" s="960"/>
      <c r="F227" s="960"/>
      <c r="G227" s="960"/>
      <c r="H227" s="683"/>
      <c r="I227" s="960"/>
      <c r="J227" s="960"/>
      <c r="K227" s="960"/>
      <c r="L227" s="960"/>
      <c r="M227" s="960"/>
      <c r="N227" s="960"/>
      <c r="O227" s="960"/>
      <c r="P227" s="986"/>
      <c r="Q227" s="986"/>
      <c r="R227" s="986"/>
      <c r="S227" s="986"/>
      <c r="T227" s="986"/>
      <c r="U227" s="986"/>
      <c r="V227" s="986"/>
      <c r="W227" s="986"/>
      <c r="X227" s="986"/>
      <c r="Y227" s="986"/>
      <c r="Z227" s="986"/>
      <c r="AA227" s="986"/>
      <c r="AB227" s="986"/>
      <c r="AC227" s="986"/>
    </row>
    <row r="228" spans="1:29" ht="12.95" customHeight="1">
      <c r="A228" s="955" t="s">
        <v>190</v>
      </c>
      <c r="B228" s="960"/>
      <c r="C228" s="960"/>
      <c r="D228" s="960"/>
      <c r="E228" s="960"/>
      <c r="F228" s="960"/>
      <c r="G228" s="960"/>
      <c r="H228" s="777">
        <f>H201</f>
        <v>46.48</v>
      </c>
      <c r="I228" s="960" t="s">
        <v>108</v>
      </c>
      <c r="J228" s="960"/>
      <c r="K228" s="960"/>
      <c r="L228" s="960"/>
      <c r="M228" s="960"/>
      <c r="N228" s="960"/>
      <c r="O228" s="960"/>
      <c r="P228" s="986"/>
      <c r="Q228" s="986"/>
      <c r="R228" s="986"/>
      <c r="S228" s="986"/>
      <c r="T228" s="986"/>
      <c r="U228" s="986"/>
      <c r="V228" s="986"/>
      <c r="W228" s="986"/>
      <c r="X228" s="986"/>
      <c r="Y228" s="986"/>
      <c r="Z228" s="986"/>
      <c r="AA228" s="986"/>
      <c r="AB228" s="986"/>
      <c r="AC228" s="986"/>
    </row>
    <row r="229" spans="1:29" ht="12.95" customHeight="1">
      <c r="A229" s="955"/>
      <c r="B229" s="960"/>
      <c r="C229" s="960"/>
      <c r="D229" s="960"/>
      <c r="E229" s="960"/>
      <c r="F229" s="960"/>
      <c r="G229" s="960"/>
      <c r="H229" s="683"/>
      <c r="I229" s="960"/>
      <c r="J229" s="960"/>
      <c r="K229" s="960"/>
      <c r="L229" s="960"/>
      <c r="M229" s="960"/>
      <c r="N229" s="960"/>
      <c r="O229" s="960"/>
      <c r="P229" s="986"/>
      <c r="Q229" s="986"/>
      <c r="R229" s="986"/>
      <c r="S229" s="986"/>
      <c r="T229" s="986"/>
      <c r="U229" s="986"/>
      <c r="V229" s="986"/>
      <c r="W229" s="986"/>
      <c r="X229" s="986"/>
      <c r="Y229" s="986"/>
      <c r="Z229" s="986"/>
      <c r="AA229" s="986"/>
      <c r="AB229" s="986"/>
      <c r="AC229" s="986"/>
    </row>
    <row r="230" spans="1:29" ht="12.95" customHeight="1" thickBot="1">
      <c r="A230" s="955" t="s">
        <v>191</v>
      </c>
      <c r="B230" s="960"/>
      <c r="C230" s="960"/>
      <c r="D230" s="960"/>
      <c r="E230" s="960"/>
      <c r="F230" s="960"/>
      <c r="G230" s="960"/>
      <c r="H230" s="778">
        <f>(H226)/(H228/100)</f>
        <v>9.2476184257843865</v>
      </c>
      <c r="I230" s="960" t="s">
        <v>108</v>
      </c>
      <c r="J230" s="960"/>
      <c r="K230" s="960"/>
      <c r="L230" s="960"/>
      <c r="M230" s="960"/>
      <c r="N230" s="960"/>
      <c r="O230" s="960"/>
      <c r="P230" s="986"/>
      <c r="Q230" s="986"/>
      <c r="R230" s="986"/>
      <c r="S230" s="986"/>
      <c r="T230" s="986"/>
      <c r="U230" s="986"/>
      <c r="V230" s="986"/>
      <c r="W230" s="986"/>
      <c r="X230" s="986"/>
      <c r="Y230" s="986"/>
      <c r="Z230" s="986"/>
      <c r="AA230" s="986"/>
      <c r="AB230" s="986"/>
      <c r="AC230" s="986"/>
    </row>
    <row r="231" spans="1:29" ht="13.5" thickTop="1">
      <c r="A231" s="955"/>
      <c r="B231" s="960"/>
      <c r="C231" s="960"/>
      <c r="D231" s="960"/>
      <c r="E231" s="960"/>
      <c r="F231" s="960"/>
      <c r="G231" s="960"/>
      <c r="H231" s="683"/>
      <c r="I231" s="960"/>
      <c r="J231" s="960"/>
      <c r="K231" s="960"/>
      <c r="L231" s="960"/>
      <c r="M231" s="960"/>
      <c r="N231" s="986"/>
      <c r="O231" s="986"/>
      <c r="P231" s="986"/>
      <c r="Q231" s="986"/>
      <c r="R231" s="986"/>
      <c r="S231" s="986"/>
      <c r="T231" s="986"/>
      <c r="U231" s="986"/>
      <c r="V231" s="986"/>
      <c r="W231" s="986"/>
      <c r="X231" s="986"/>
      <c r="Y231" s="986"/>
      <c r="Z231" s="986"/>
      <c r="AA231" s="986"/>
      <c r="AB231" s="986"/>
      <c r="AC231" s="986"/>
    </row>
    <row r="232" spans="1:29">
      <c r="A232" s="988"/>
      <c r="B232" s="986"/>
      <c r="C232" s="986"/>
      <c r="D232" s="986"/>
      <c r="E232" s="986"/>
      <c r="F232" s="986"/>
      <c r="G232" s="986"/>
      <c r="H232" s="986"/>
      <c r="I232" s="986"/>
      <c r="J232" s="986"/>
      <c r="K232" s="986"/>
      <c r="L232" s="986"/>
      <c r="M232" s="986"/>
      <c r="N232" s="986"/>
      <c r="O232" s="986"/>
      <c r="P232" s="986"/>
      <c r="Q232" s="986"/>
      <c r="R232" s="986"/>
      <c r="S232" s="986"/>
      <c r="T232" s="986"/>
      <c r="U232" s="986"/>
      <c r="V232" s="986"/>
      <c r="W232" s="986"/>
      <c r="X232" s="986"/>
      <c r="Y232" s="986"/>
      <c r="Z232" s="986"/>
      <c r="AA232" s="986"/>
      <c r="AB232" s="986"/>
      <c r="AC232" s="986"/>
    </row>
    <row r="233" spans="1:29">
      <c r="A233" s="988"/>
      <c r="B233" s="986"/>
      <c r="C233" s="986"/>
      <c r="D233" s="986"/>
      <c r="E233" s="986"/>
      <c r="F233" s="986"/>
      <c r="G233" s="986"/>
      <c r="H233" s="986"/>
      <c r="I233" s="986"/>
      <c r="J233" s="986"/>
      <c r="K233" s="986"/>
      <c r="L233" s="986"/>
      <c r="M233" s="986"/>
      <c r="N233" s="986"/>
      <c r="O233" s="986"/>
      <c r="P233" s="986"/>
      <c r="Q233" s="986"/>
      <c r="R233" s="986"/>
      <c r="S233" s="986"/>
      <c r="T233" s="986"/>
      <c r="U233" s="986"/>
      <c r="V233" s="986"/>
      <c r="W233" s="986"/>
      <c r="X233" s="986"/>
      <c r="Y233" s="986"/>
      <c r="Z233" s="986"/>
      <c r="AA233" s="986"/>
      <c r="AB233" s="986"/>
      <c r="AC233" s="986"/>
    </row>
    <row r="234" spans="1:29">
      <c r="A234" s="953"/>
      <c r="B234" s="986"/>
      <c r="C234" s="986"/>
      <c r="D234" s="986"/>
      <c r="E234" s="986"/>
      <c r="F234" s="986"/>
      <c r="G234" s="986"/>
      <c r="H234" s="986"/>
      <c r="I234" s="986"/>
      <c r="J234" s="986"/>
      <c r="K234" s="986"/>
      <c r="L234" s="986"/>
      <c r="M234" s="986"/>
      <c r="N234" s="986"/>
      <c r="O234" s="986"/>
      <c r="P234" s="986"/>
      <c r="Q234" s="986"/>
      <c r="R234" s="986"/>
      <c r="S234" s="986"/>
      <c r="T234" s="986"/>
      <c r="U234" s="986"/>
      <c r="V234" s="986"/>
      <c r="W234" s="986"/>
      <c r="X234" s="986"/>
      <c r="Y234" s="986"/>
      <c r="Z234" s="986"/>
      <c r="AA234" s="986"/>
      <c r="AB234" s="986"/>
      <c r="AC234" s="986"/>
    </row>
    <row r="238" spans="1:29">
      <c r="A238" s="950" t="s">
        <v>204</v>
      </c>
      <c r="B238" s="1031"/>
      <c r="C238" s="1031"/>
      <c r="D238" s="1031"/>
      <c r="E238" s="1031"/>
      <c r="F238" s="1031"/>
      <c r="G238" s="1031"/>
      <c r="H238" s="1031"/>
      <c r="I238" s="5"/>
      <c r="J238" s="952"/>
      <c r="K238" s="1031"/>
      <c r="L238" s="1035" t="s">
        <v>198</v>
      </c>
      <c r="M238" s="953"/>
      <c r="N238" s="953"/>
      <c r="O238" s="953"/>
      <c r="P238" s="953"/>
      <c r="Q238" s="953"/>
      <c r="R238" s="953"/>
      <c r="S238" s="953"/>
      <c r="T238" s="953"/>
      <c r="U238" s="953"/>
      <c r="V238" s="953"/>
      <c r="W238" s="953"/>
      <c r="X238" s="953"/>
      <c r="Y238" s="953"/>
      <c r="Z238" s="953"/>
      <c r="AA238" s="953"/>
      <c r="AB238" s="953"/>
      <c r="AC238" s="953"/>
    </row>
    <row r="239" spans="1:29">
      <c r="A239" s="950" t="s">
        <v>180</v>
      </c>
      <c r="B239" s="1031"/>
      <c r="C239" s="1031"/>
      <c r="D239" s="1031"/>
      <c r="E239" s="1031"/>
      <c r="F239" s="1031"/>
      <c r="G239" s="1031"/>
      <c r="H239" s="1031"/>
      <c r="I239" s="1031"/>
      <c r="J239" s="1031"/>
      <c r="K239" s="1031"/>
      <c r="L239" s="982"/>
      <c r="M239" s="982"/>
      <c r="N239" s="953"/>
      <c r="O239" s="953"/>
      <c r="P239" s="953"/>
      <c r="Q239" s="953"/>
      <c r="R239" s="953"/>
      <c r="S239" s="953"/>
      <c r="T239" s="953"/>
      <c r="U239" s="953"/>
      <c r="V239" s="953"/>
      <c r="W239" s="953"/>
      <c r="X239" s="953"/>
      <c r="Y239" s="953"/>
      <c r="Z239" s="953"/>
      <c r="AA239" s="953"/>
      <c r="AB239" s="953"/>
      <c r="AC239" s="953"/>
    </row>
    <row r="240" spans="1:29">
      <c r="A240" s="950" t="s">
        <v>199</v>
      </c>
      <c r="B240" s="1031"/>
      <c r="C240" s="1031"/>
      <c r="D240" s="1031"/>
      <c r="E240" s="1031"/>
      <c r="F240" s="1031"/>
      <c r="G240" s="1031"/>
      <c r="H240" s="1031"/>
      <c r="I240" s="1031"/>
      <c r="J240" s="1031"/>
      <c r="K240" s="1031"/>
      <c r="L240" s="982"/>
      <c r="M240" s="982"/>
      <c r="N240" s="953"/>
      <c r="O240" s="953"/>
      <c r="P240" s="953"/>
      <c r="Q240" s="953"/>
      <c r="R240" s="953"/>
      <c r="S240" s="953"/>
      <c r="T240" s="953"/>
      <c r="U240" s="953"/>
      <c r="V240" s="953"/>
      <c r="W240" s="953"/>
      <c r="X240" s="953"/>
      <c r="Y240" s="953"/>
      <c r="Z240" s="953"/>
      <c r="AA240" s="953"/>
      <c r="AB240" s="953"/>
      <c r="AC240" s="953"/>
    </row>
    <row r="241" spans="1:29">
      <c r="A241" s="981" t="str">
        <f>A4</f>
        <v>(In $ Thousands)</v>
      </c>
      <c r="B241" s="1031"/>
      <c r="C241" s="1031"/>
      <c r="D241" s="1031"/>
      <c r="E241" s="1031"/>
      <c r="F241" s="1031"/>
      <c r="G241" s="1031"/>
      <c r="H241" s="1031"/>
      <c r="I241" s="1031"/>
      <c r="J241" s="1031"/>
      <c r="K241" s="1031"/>
      <c r="L241" s="982"/>
      <c r="M241" s="982"/>
      <c r="N241" s="953"/>
      <c r="O241" s="953"/>
      <c r="P241" s="953"/>
      <c r="Q241" s="953"/>
      <c r="R241" s="953"/>
      <c r="S241" s="953"/>
      <c r="T241" s="953"/>
      <c r="U241" s="953"/>
      <c r="V241" s="953"/>
      <c r="W241" s="953"/>
      <c r="X241" s="953"/>
      <c r="Y241" s="953"/>
      <c r="Z241" s="953"/>
      <c r="AA241" s="953"/>
      <c r="AB241" s="953"/>
      <c r="AC241" s="953"/>
    </row>
    <row r="242" spans="1:29">
      <c r="A242" s="953"/>
      <c r="B242" s="986"/>
      <c r="C242" s="986"/>
      <c r="D242" s="986"/>
      <c r="E242" s="986"/>
      <c r="F242" s="986"/>
      <c r="G242" s="986"/>
      <c r="H242" s="986"/>
      <c r="I242" s="986"/>
      <c r="J242" s="986"/>
      <c r="K242" s="986"/>
      <c r="L242" s="953"/>
      <c r="M242" s="953"/>
      <c r="N242" s="953"/>
      <c r="O242" s="953"/>
      <c r="P242" s="953"/>
      <c r="Q242" s="953"/>
      <c r="R242" s="953"/>
      <c r="S242" s="953"/>
      <c r="T242" s="953"/>
      <c r="U242" s="953"/>
      <c r="V242" s="953"/>
      <c r="W242" s="953"/>
      <c r="X242" s="953"/>
      <c r="Y242" s="953"/>
      <c r="Z242" s="953"/>
      <c r="AA242" s="953"/>
      <c r="AB242" s="953"/>
      <c r="AC242" s="953"/>
    </row>
    <row r="243" spans="1:29">
      <c r="A243" s="953"/>
      <c r="B243" s="986"/>
      <c r="C243" s="986"/>
      <c r="D243" s="986"/>
      <c r="E243" s="986"/>
      <c r="F243" s="986"/>
      <c r="G243" s="986"/>
      <c r="H243" s="986"/>
      <c r="I243" s="986"/>
      <c r="J243" s="986"/>
      <c r="K243" s="986"/>
      <c r="L243" s="953"/>
      <c r="M243" s="953"/>
      <c r="N243" s="953"/>
      <c r="O243" s="953"/>
      <c r="P243" s="953"/>
      <c r="Q243" s="953"/>
      <c r="R243" s="953"/>
      <c r="S243" s="953"/>
      <c r="T243" s="953"/>
      <c r="U243" s="953"/>
      <c r="V243" s="953"/>
      <c r="W243" s="953"/>
      <c r="X243" s="953"/>
      <c r="Y243" s="953"/>
      <c r="Z243" s="953"/>
      <c r="AA243" s="953"/>
      <c r="AB243" s="953"/>
      <c r="AC243" s="953"/>
    </row>
    <row r="244" spans="1:29">
      <c r="A244" s="953"/>
      <c r="B244" s="986"/>
      <c r="C244" s="986"/>
      <c r="D244" s="986"/>
      <c r="E244" s="986"/>
      <c r="F244" s="986"/>
      <c r="G244" s="986"/>
      <c r="H244" s="986"/>
      <c r="I244" s="986"/>
      <c r="J244" s="986"/>
      <c r="K244" s="986"/>
      <c r="L244" s="953"/>
      <c r="M244" s="953"/>
      <c r="N244" s="953"/>
      <c r="O244" s="953"/>
      <c r="P244" s="953"/>
      <c r="Q244" s="953"/>
      <c r="R244" s="953"/>
      <c r="S244" s="953"/>
      <c r="T244" s="953"/>
      <c r="U244" s="953"/>
      <c r="V244" s="953"/>
      <c r="W244" s="953"/>
      <c r="X244" s="953"/>
      <c r="Y244" s="953"/>
      <c r="Z244" s="953"/>
      <c r="AA244" s="953"/>
      <c r="AB244" s="953"/>
      <c r="AC244" s="953"/>
    </row>
    <row r="245" spans="1:29">
      <c r="A245" s="953"/>
      <c r="B245" s="986"/>
      <c r="C245" s="986"/>
      <c r="D245" s="986"/>
      <c r="E245" s="986"/>
      <c r="F245" s="986"/>
      <c r="G245" s="986"/>
      <c r="H245" s="986"/>
      <c r="I245" s="986"/>
      <c r="J245" s="986"/>
      <c r="K245" s="986"/>
      <c r="L245" s="953"/>
      <c r="M245" s="953"/>
      <c r="N245" s="953"/>
      <c r="O245" s="953"/>
      <c r="P245" s="953"/>
      <c r="Q245" s="953"/>
      <c r="R245" s="953"/>
      <c r="S245" s="953"/>
      <c r="T245" s="953"/>
      <c r="U245" s="953"/>
      <c r="V245" s="953"/>
      <c r="W245" s="953"/>
      <c r="X245" s="953"/>
      <c r="Y245" s="953"/>
      <c r="Z245" s="953"/>
      <c r="AA245" s="953"/>
      <c r="AB245" s="953"/>
      <c r="AC245" s="953"/>
    </row>
    <row r="246" spans="1:29">
      <c r="A246" s="966" t="s">
        <v>200</v>
      </c>
      <c r="B246" s="960"/>
      <c r="C246" s="960"/>
      <c r="D246" s="960"/>
      <c r="E246" s="960"/>
      <c r="F246" s="960"/>
      <c r="G246" s="960"/>
      <c r="H246" s="960"/>
      <c r="I246" s="960"/>
      <c r="J246" s="960"/>
      <c r="K246" s="960"/>
      <c r="L246" s="953"/>
      <c r="M246" s="953"/>
      <c r="N246" s="953"/>
      <c r="O246" s="953"/>
      <c r="P246" s="953"/>
      <c r="Q246" s="953"/>
      <c r="R246" s="953"/>
      <c r="S246" s="953"/>
      <c r="T246" s="953"/>
      <c r="U246" s="953"/>
      <c r="V246" s="953"/>
      <c r="W246" s="953"/>
      <c r="X246" s="953"/>
      <c r="Y246" s="953"/>
      <c r="Z246" s="953"/>
      <c r="AA246" s="953"/>
      <c r="AB246" s="953"/>
      <c r="AC246" s="953"/>
    </row>
    <row r="247" spans="1:29">
      <c r="A247" s="966" t="s">
        <v>182</v>
      </c>
      <c r="B247" s="960"/>
      <c r="C247" s="960"/>
      <c r="D247" s="960"/>
      <c r="E247" s="960"/>
      <c r="F247" s="960"/>
      <c r="G247" s="960"/>
      <c r="H247" s="960"/>
      <c r="I247" s="960"/>
      <c r="J247" s="960"/>
      <c r="K247" s="960"/>
      <c r="L247" s="953"/>
      <c r="M247" s="953"/>
      <c r="N247" s="953"/>
      <c r="O247" s="953"/>
      <c r="P247" s="953"/>
      <c r="Q247" s="953"/>
      <c r="R247" s="953"/>
      <c r="S247" s="953"/>
      <c r="T247" s="953"/>
      <c r="U247" s="953"/>
      <c r="V247" s="953"/>
      <c r="W247" s="953"/>
      <c r="X247" s="953"/>
      <c r="Y247" s="953"/>
      <c r="Z247" s="953"/>
      <c r="AA247" s="953"/>
      <c r="AB247" s="953"/>
      <c r="AC247" s="953"/>
    </row>
    <row r="248" spans="1:29">
      <c r="A248" s="955"/>
      <c r="B248" s="960"/>
      <c r="C248" s="960"/>
      <c r="D248" s="960"/>
      <c r="E248" s="960"/>
      <c r="F248" s="960"/>
      <c r="G248" s="960"/>
      <c r="H248" s="960"/>
      <c r="I248" s="960"/>
      <c r="J248" s="960"/>
      <c r="K248" s="960"/>
      <c r="L248" s="953"/>
      <c r="M248" s="953"/>
      <c r="N248" s="953"/>
      <c r="O248" s="953"/>
      <c r="P248" s="953"/>
      <c r="Q248" s="953"/>
      <c r="R248" s="953"/>
      <c r="S248" s="953"/>
      <c r="T248" s="953"/>
      <c r="U248" s="953"/>
      <c r="V248" s="953"/>
      <c r="W248" s="953"/>
      <c r="X248" s="953"/>
      <c r="Y248" s="953"/>
      <c r="Z248" s="953"/>
      <c r="AA248" s="953"/>
      <c r="AB248" s="953"/>
      <c r="AC248" s="953"/>
    </row>
    <row r="249" spans="1:29">
      <c r="A249" s="955"/>
      <c r="B249" s="960"/>
      <c r="C249" s="960"/>
      <c r="D249" s="960"/>
      <c r="E249" s="960"/>
      <c r="F249" s="960"/>
      <c r="G249" s="960"/>
      <c r="H249" s="960"/>
      <c r="I249" s="960"/>
      <c r="J249" s="960"/>
      <c r="K249" s="960"/>
      <c r="L249" s="953"/>
      <c r="M249" s="953"/>
      <c r="N249" s="953"/>
      <c r="O249" s="953"/>
      <c r="P249" s="953"/>
      <c r="Q249" s="953"/>
      <c r="R249" s="953"/>
      <c r="S249" s="953"/>
      <c r="T249" s="953"/>
      <c r="U249" s="953"/>
      <c r="V249" s="953"/>
      <c r="W249" s="953"/>
      <c r="X249" s="953"/>
      <c r="Y249" s="953"/>
      <c r="Z249" s="953"/>
      <c r="AA249" s="953"/>
      <c r="AB249" s="953"/>
      <c r="AC249" s="953"/>
    </row>
    <row r="250" spans="1:29">
      <c r="A250" s="955" t="s">
        <v>201</v>
      </c>
      <c r="B250" s="960"/>
      <c r="C250" s="960"/>
      <c r="D250" s="960"/>
      <c r="E250" s="960"/>
      <c r="F250" s="960"/>
      <c r="G250" s="960"/>
      <c r="H250" s="684">
        <f>ROUND(N16,4)</f>
        <v>5.6222000000000003</v>
      </c>
      <c r="I250" s="960" t="s">
        <v>108</v>
      </c>
      <c r="J250" s="960" t="s">
        <v>184</v>
      </c>
      <c r="K250" s="960"/>
      <c r="L250" s="953"/>
      <c r="M250" s="953"/>
      <c r="N250" s="953"/>
      <c r="O250" s="953"/>
      <c r="P250" s="953"/>
      <c r="Q250" s="953"/>
      <c r="R250" s="953"/>
      <c r="S250" s="953"/>
      <c r="T250" s="953"/>
      <c r="U250" s="953"/>
      <c r="V250" s="953"/>
      <c r="W250" s="953"/>
      <c r="X250" s="953"/>
      <c r="Y250" s="953"/>
      <c r="Z250" s="953"/>
      <c r="AA250" s="953"/>
      <c r="AB250" s="953"/>
      <c r="AC250" s="953"/>
    </row>
    <row r="251" spans="1:29">
      <c r="A251" s="955" t="s">
        <v>185</v>
      </c>
      <c r="B251" s="960"/>
      <c r="C251" s="960"/>
      <c r="D251" s="960"/>
      <c r="E251" s="960"/>
      <c r="F251" s="960"/>
      <c r="G251" s="960"/>
      <c r="H251" s="683"/>
      <c r="I251" s="960"/>
      <c r="J251" s="960"/>
      <c r="K251" s="960"/>
      <c r="L251" s="953"/>
      <c r="M251" s="953"/>
      <c r="N251" s="953"/>
      <c r="O251" s="953"/>
      <c r="P251" s="953"/>
      <c r="Q251" s="953"/>
      <c r="R251" s="953"/>
      <c r="S251" s="953"/>
      <c r="T251" s="953"/>
      <c r="U251" s="953"/>
      <c r="V251" s="953"/>
      <c r="W251" s="953"/>
      <c r="X251" s="953"/>
      <c r="Y251" s="953"/>
      <c r="Z251" s="953"/>
      <c r="AA251" s="953"/>
      <c r="AB251" s="953"/>
      <c r="AC251" s="953"/>
    </row>
    <row r="252" spans="1:29">
      <c r="A252" s="955" t="s">
        <v>186</v>
      </c>
      <c r="B252" s="960"/>
      <c r="C252" s="960"/>
      <c r="D252" s="960"/>
      <c r="E252" s="960"/>
      <c r="F252" s="960"/>
      <c r="G252" s="960"/>
      <c r="H252" s="683"/>
      <c r="I252" s="960"/>
      <c r="J252" s="960"/>
      <c r="K252" s="960"/>
      <c r="L252" s="953"/>
      <c r="M252" s="953"/>
      <c r="N252" s="953"/>
      <c r="O252" s="953"/>
      <c r="P252" s="953"/>
      <c r="Q252" s="953"/>
      <c r="R252" s="953"/>
      <c r="S252" s="953"/>
      <c r="T252" s="953"/>
      <c r="U252" s="953"/>
      <c r="V252" s="953"/>
      <c r="W252" s="953"/>
      <c r="X252" s="953"/>
      <c r="Y252" s="953"/>
      <c r="Z252" s="953"/>
      <c r="AA252" s="953"/>
      <c r="AB252" s="953"/>
      <c r="AC252" s="953"/>
    </row>
    <row r="253" spans="1:29">
      <c r="A253" s="955" t="s">
        <v>174</v>
      </c>
      <c r="B253" s="960"/>
      <c r="C253" s="960"/>
      <c r="D253" s="960"/>
      <c r="E253" s="960"/>
      <c r="F253" s="960"/>
      <c r="G253" s="960"/>
      <c r="H253" s="774">
        <f>-R160</f>
        <v>-1.07</v>
      </c>
      <c r="I253" s="960" t="s">
        <v>108</v>
      </c>
      <c r="J253" s="960"/>
      <c r="K253" s="960"/>
      <c r="L253" s="953"/>
      <c r="M253" s="953"/>
      <c r="N253" s="953"/>
      <c r="O253" s="953"/>
      <c r="P253" s="953"/>
      <c r="Q253" s="953"/>
      <c r="R253" s="953"/>
      <c r="S253" s="953"/>
      <c r="T253" s="953"/>
      <c r="U253" s="953"/>
      <c r="V253" s="953"/>
      <c r="W253" s="953"/>
      <c r="X253" s="953"/>
      <c r="Y253" s="953"/>
      <c r="Z253" s="953"/>
      <c r="AA253" s="953"/>
      <c r="AB253" s="953"/>
      <c r="AC253" s="953"/>
    </row>
    <row r="254" spans="1:29">
      <c r="A254" s="955" t="s">
        <v>175</v>
      </c>
      <c r="B254" s="960"/>
      <c r="C254" s="960"/>
      <c r="D254" s="960"/>
      <c r="E254" s="960"/>
      <c r="F254" s="960"/>
      <c r="G254" s="960"/>
      <c r="H254" s="774">
        <f>-R162</f>
        <v>-0.04</v>
      </c>
      <c r="I254" s="960" t="s">
        <v>108</v>
      </c>
      <c r="J254" s="960"/>
      <c r="K254" s="960"/>
      <c r="L254" s="953"/>
      <c r="M254" s="953"/>
      <c r="N254" s="953"/>
      <c r="O254" s="953"/>
      <c r="P254" s="953"/>
      <c r="Q254" s="953"/>
      <c r="R254" s="953"/>
      <c r="S254" s="953"/>
      <c r="T254" s="953"/>
      <c r="U254" s="953"/>
      <c r="V254" s="953"/>
      <c r="W254" s="953"/>
      <c r="X254" s="953"/>
      <c r="Y254" s="953"/>
      <c r="Z254" s="953"/>
      <c r="AA254" s="953"/>
      <c r="AB254" s="953"/>
      <c r="AC254" s="953"/>
    </row>
    <row r="255" spans="1:29">
      <c r="A255" s="955" t="s">
        <v>187</v>
      </c>
      <c r="B255" s="960"/>
      <c r="C255" s="960"/>
      <c r="D255" s="960"/>
      <c r="E255" s="960"/>
      <c r="F255" s="960"/>
      <c r="G255" s="960"/>
      <c r="H255" s="775">
        <v>0</v>
      </c>
      <c r="I255" s="960" t="s">
        <v>108</v>
      </c>
      <c r="J255" s="960"/>
      <c r="K255" s="960"/>
      <c r="L255" s="953"/>
      <c r="M255" s="953"/>
      <c r="N255" s="953"/>
      <c r="O255" s="953"/>
      <c r="P255" s="953"/>
      <c r="Q255" s="953"/>
      <c r="R255" s="953"/>
      <c r="S255" s="953"/>
      <c r="T255" s="953"/>
      <c r="U255" s="953"/>
      <c r="V255" s="953"/>
      <c r="W255" s="953"/>
      <c r="X255" s="953"/>
      <c r="Y255" s="953"/>
      <c r="Z255" s="953"/>
      <c r="AA255" s="953"/>
      <c r="AB255" s="953"/>
      <c r="AC255" s="953"/>
    </row>
    <row r="256" spans="1:29">
      <c r="A256" s="955" t="s">
        <v>17</v>
      </c>
      <c r="B256" s="960"/>
      <c r="C256" s="960"/>
      <c r="D256" s="960"/>
      <c r="E256" s="960"/>
      <c r="F256" s="960"/>
      <c r="G256" s="960"/>
      <c r="H256" s="774">
        <f>ROUND(-R164,4)</f>
        <v>-0.04</v>
      </c>
      <c r="I256" s="960" t="s">
        <v>108</v>
      </c>
      <c r="J256" s="960"/>
      <c r="K256" s="960"/>
      <c r="L256" s="953"/>
      <c r="M256" s="953"/>
      <c r="N256" s="953"/>
      <c r="O256" s="953"/>
      <c r="P256" s="953"/>
      <c r="Q256" s="953"/>
      <c r="R256" s="953"/>
      <c r="S256" s="953"/>
      <c r="T256" s="953"/>
      <c r="U256" s="953"/>
      <c r="V256" s="953"/>
      <c r="W256" s="953"/>
      <c r="X256" s="953"/>
      <c r="Y256" s="953"/>
      <c r="Z256" s="953"/>
      <c r="AA256" s="953"/>
      <c r="AB256" s="953"/>
      <c r="AC256" s="953"/>
    </row>
    <row r="257" spans="1:29">
      <c r="A257" s="955" t="s">
        <v>188</v>
      </c>
      <c r="B257" s="960"/>
      <c r="C257" s="960"/>
      <c r="D257" s="960"/>
      <c r="E257" s="960"/>
      <c r="F257" s="960"/>
      <c r="G257" s="960"/>
      <c r="H257" s="775">
        <v>0</v>
      </c>
      <c r="I257" s="960" t="s">
        <v>108</v>
      </c>
      <c r="J257" s="960"/>
      <c r="K257" s="960"/>
      <c r="L257" s="953"/>
      <c r="M257" s="953"/>
      <c r="N257" s="953"/>
      <c r="O257" s="953"/>
      <c r="P257" s="953"/>
      <c r="Q257" s="953"/>
      <c r="R257" s="953"/>
      <c r="S257" s="953"/>
      <c r="T257" s="953"/>
      <c r="U257" s="953"/>
      <c r="V257" s="953"/>
      <c r="W257" s="953"/>
      <c r="X257" s="953"/>
      <c r="Y257" s="953"/>
      <c r="Z257" s="953"/>
      <c r="AA257" s="953"/>
      <c r="AB257" s="953"/>
      <c r="AC257" s="953"/>
    </row>
    <row r="258" spans="1:29">
      <c r="A258" s="955" t="s">
        <v>189</v>
      </c>
      <c r="B258" s="960"/>
      <c r="C258" s="960"/>
      <c r="D258" s="960"/>
      <c r="E258" s="960"/>
      <c r="F258" s="960"/>
      <c r="G258" s="960"/>
      <c r="H258" s="776">
        <f>ROUND(SUM(H253:H257),4)</f>
        <v>-1.1499999999999999</v>
      </c>
      <c r="I258" s="960" t="s">
        <v>108</v>
      </c>
      <c r="J258" s="960"/>
      <c r="K258" s="960"/>
      <c r="L258" s="953"/>
      <c r="M258" s="953"/>
      <c r="N258" s="953"/>
      <c r="O258" s="953"/>
      <c r="P258" s="953"/>
      <c r="Q258" s="953"/>
      <c r="R258" s="953"/>
      <c r="S258" s="953"/>
      <c r="T258" s="953"/>
      <c r="U258" s="953"/>
      <c r="V258" s="953"/>
      <c r="W258" s="953"/>
      <c r="X258" s="953"/>
      <c r="Y258" s="953"/>
      <c r="Z258" s="953"/>
      <c r="AA258" s="953"/>
      <c r="AB258" s="953"/>
      <c r="AC258" s="953"/>
    </row>
    <row r="259" spans="1:29">
      <c r="A259" s="955"/>
      <c r="B259" s="960"/>
      <c r="C259" s="960"/>
      <c r="D259" s="960"/>
      <c r="E259" s="960"/>
      <c r="F259" s="960"/>
      <c r="G259" s="960"/>
      <c r="H259" s="683"/>
      <c r="I259" s="960"/>
      <c r="J259" s="960"/>
      <c r="K259" s="960"/>
      <c r="L259" s="953"/>
      <c r="M259" s="953"/>
      <c r="N259" s="953"/>
      <c r="O259" s="953"/>
      <c r="P259" s="953"/>
      <c r="Q259" s="953"/>
      <c r="R259" s="953"/>
      <c r="S259" s="953"/>
      <c r="T259" s="953"/>
      <c r="U259" s="953"/>
      <c r="V259" s="953"/>
      <c r="W259" s="953"/>
      <c r="X259" s="953"/>
      <c r="Y259" s="953"/>
      <c r="Z259" s="953"/>
      <c r="AA259" s="953"/>
      <c r="AB259" s="953"/>
      <c r="AC259" s="953"/>
    </row>
    <row r="260" spans="1:29">
      <c r="A260" s="955" t="s">
        <v>1</v>
      </c>
      <c r="B260" s="960"/>
      <c r="C260" s="960"/>
      <c r="D260" s="960"/>
      <c r="E260" s="960"/>
      <c r="F260" s="960"/>
      <c r="G260" s="960"/>
      <c r="H260" s="774">
        <f>ROUND(H250+H258,4)</f>
        <v>4.4722</v>
      </c>
      <c r="I260" s="960" t="s">
        <v>108</v>
      </c>
      <c r="J260" s="960"/>
      <c r="K260" s="960"/>
      <c r="L260" s="953"/>
      <c r="M260" s="953"/>
      <c r="N260" s="953"/>
      <c r="O260" s="953"/>
      <c r="P260" s="953"/>
      <c r="Q260" s="953"/>
      <c r="R260" s="953"/>
      <c r="S260" s="953"/>
      <c r="T260" s="953"/>
      <c r="U260" s="953"/>
      <c r="V260" s="953"/>
      <c r="W260" s="953"/>
      <c r="X260" s="953"/>
      <c r="Y260" s="953"/>
      <c r="Z260" s="953"/>
      <c r="AA260" s="953"/>
      <c r="AB260" s="953"/>
      <c r="AC260" s="953"/>
    </row>
    <row r="261" spans="1:29">
      <c r="A261" s="955"/>
      <c r="B261" s="960"/>
      <c r="C261" s="960"/>
      <c r="D261" s="960"/>
      <c r="E261" s="960"/>
      <c r="F261" s="960"/>
      <c r="G261" s="960"/>
      <c r="H261" s="683"/>
      <c r="I261" s="960"/>
      <c r="J261" s="960"/>
      <c r="K261" s="960"/>
      <c r="L261" s="953"/>
      <c r="M261" s="953"/>
      <c r="N261" s="953"/>
      <c r="O261" s="953"/>
      <c r="P261" s="953"/>
      <c r="Q261" s="953"/>
      <c r="R261" s="953"/>
      <c r="S261" s="953"/>
      <c r="T261" s="953"/>
      <c r="U261" s="953"/>
      <c r="V261" s="953"/>
      <c r="W261" s="953"/>
      <c r="X261" s="953"/>
      <c r="Y261" s="953"/>
      <c r="Z261" s="953"/>
      <c r="AA261" s="953"/>
      <c r="AB261" s="953"/>
      <c r="AC261" s="953"/>
    </row>
    <row r="262" spans="1:29">
      <c r="A262" s="955" t="s">
        <v>190</v>
      </c>
      <c r="B262" s="960"/>
      <c r="C262" s="960"/>
      <c r="D262" s="960"/>
      <c r="E262" s="960"/>
      <c r="F262" s="960"/>
      <c r="G262" s="960"/>
      <c r="H262" s="777">
        <f>ROUND(J166*100,4)</f>
        <v>46.48</v>
      </c>
      <c r="I262" s="960" t="s">
        <v>108</v>
      </c>
      <c r="J262" s="960"/>
      <c r="K262" s="960"/>
      <c r="L262" s="953"/>
      <c r="M262" s="953"/>
      <c r="N262" s="953"/>
      <c r="O262" s="953"/>
      <c r="P262" s="953"/>
      <c r="Q262" s="953"/>
      <c r="R262" s="953"/>
      <c r="S262" s="953"/>
      <c r="T262" s="953"/>
      <c r="U262" s="953"/>
      <c r="V262" s="953"/>
      <c r="W262" s="953"/>
      <c r="X262" s="953"/>
      <c r="Y262" s="953"/>
      <c r="Z262" s="953"/>
      <c r="AA262" s="953"/>
      <c r="AB262" s="953"/>
      <c r="AC262" s="953"/>
    </row>
    <row r="263" spans="1:29">
      <c r="A263" s="955"/>
      <c r="B263" s="960"/>
      <c r="C263" s="960"/>
      <c r="D263" s="960"/>
      <c r="E263" s="960"/>
      <c r="F263" s="960"/>
      <c r="G263" s="960"/>
      <c r="H263" s="683"/>
      <c r="I263" s="960"/>
      <c r="J263" s="960"/>
      <c r="K263" s="960"/>
      <c r="L263" s="953"/>
      <c r="M263" s="953"/>
      <c r="N263" s="953"/>
      <c r="O263" s="953"/>
      <c r="P263" s="953"/>
      <c r="Q263" s="953"/>
      <c r="R263" s="953"/>
      <c r="S263" s="953"/>
      <c r="T263" s="953"/>
      <c r="U263" s="953"/>
      <c r="V263" s="953"/>
      <c r="W263" s="953"/>
      <c r="X263" s="953"/>
      <c r="Y263" s="953"/>
      <c r="Z263" s="953"/>
      <c r="AA263" s="953"/>
      <c r="AB263" s="953"/>
      <c r="AC263" s="953"/>
    </row>
    <row r="264" spans="1:29" ht="13.5" thickBot="1">
      <c r="A264" s="955" t="s">
        <v>191</v>
      </c>
      <c r="B264" s="960"/>
      <c r="C264" s="960"/>
      <c r="D264" s="960"/>
      <c r="E264" s="960"/>
      <c r="F264" s="960"/>
      <c r="G264" s="960"/>
      <c r="H264" s="778">
        <f>ROUND((H260)/(H262/100),4)</f>
        <v>9.6218000000000004</v>
      </c>
      <c r="I264" s="960" t="s">
        <v>108</v>
      </c>
      <c r="J264" s="960"/>
      <c r="K264" s="960"/>
      <c r="L264" s="953"/>
      <c r="M264" s="953"/>
      <c r="N264" s="953"/>
      <c r="O264" s="953"/>
      <c r="P264" s="953"/>
      <c r="Q264" s="953"/>
      <c r="R264" s="953"/>
      <c r="S264" s="953"/>
      <c r="T264" s="953"/>
      <c r="U264" s="953"/>
      <c r="V264" s="953"/>
      <c r="W264" s="953"/>
      <c r="X264" s="953"/>
      <c r="Y264" s="953"/>
      <c r="Z264" s="953"/>
      <c r="AA264" s="953"/>
      <c r="AB264" s="953"/>
      <c r="AC264" s="953"/>
    </row>
    <row r="265" spans="1:29" ht="13.5" thickTop="1">
      <c r="A265" s="955"/>
      <c r="B265" s="960"/>
      <c r="C265" s="960"/>
      <c r="D265" s="960"/>
      <c r="E265" s="960"/>
      <c r="F265" s="960"/>
      <c r="G265" s="960"/>
      <c r="H265" s="683"/>
      <c r="I265" s="960"/>
      <c r="J265" s="960"/>
      <c r="K265" s="960"/>
      <c r="L265" s="953"/>
      <c r="M265" s="953"/>
      <c r="N265" s="953"/>
      <c r="O265" s="953"/>
      <c r="P265" s="953"/>
      <c r="Q265" s="953"/>
      <c r="R265" s="953"/>
      <c r="S265" s="953"/>
      <c r="T265" s="953"/>
      <c r="U265" s="953"/>
      <c r="V265" s="953"/>
      <c r="W265" s="953"/>
      <c r="X265" s="953"/>
      <c r="Y265" s="953"/>
      <c r="Z265" s="953"/>
      <c r="AA265" s="953"/>
      <c r="AB265" s="953"/>
      <c r="AC265" s="953"/>
    </row>
    <row r="266" spans="1:29">
      <c r="A266" s="955"/>
      <c r="B266" s="960"/>
      <c r="C266" s="960"/>
      <c r="D266" s="960"/>
      <c r="E266" s="960"/>
      <c r="F266" s="960"/>
      <c r="G266" s="960"/>
      <c r="H266" s="683"/>
      <c r="I266" s="960"/>
      <c r="J266" s="960"/>
      <c r="K266" s="960"/>
      <c r="L266" s="953"/>
      <c r="M266" s="953"/>
      <c r="N266" s="953"/>
      <c r="O266" s="953"/>
      <c r="P266" s="953"/>
      <c r="Q266" s="953"/>
      <c r="R266" s="953"/>
      <c r="S266" s="953"/>
      <c r="T266" s="953"/>
      <c r="U266" s="953"/>
      <c r="V266" s="953"/>
      <c r="W266" s="953"/>
      <c r="X266" s="953"/>
      <c r="Y266" s="953"/>
      <c r="Z266" s="953"/>
      <c r="AA266" s="953"/>
      <c r="AB266" s="953"/>
      <c r="AC266" s="953"/>
    </row>
    <row r="267" spans="1:29">
      <c r="A267" s="955"/>
      <c r="B267" s="960"/>
      <c r="C267" s="960"/>
      <c r="D267" s="960"/>
      <c r="E267" s="960"/>
      <c r="F267" s="960"/>
      <c r="G267" s="960"/>
      <c r="H267" s="683"/>
      <c r="I267" s="960"/>
      <c r="J267" s="960"/>
      <c r="K267" s="960"/>
      <c r="L267" s="953"/>
      <c r="M267" s="953"/>
      <c r="N267" s="953"/>
      <c r="O267" s="953"/>
      <c r="P267" s="953"/>
      <c r="Q267" s="953"/>
      <c r="R267" s="953"/>
      <c r="S267" s="953"/>
      <c r="T267" s="953"/>
      <c r="U267" s="953"/>
      <c r="V267" s="953"/>
      <c r="W267" s="953"/>
      <c r="X267" s="953"/>
      <c r="Y267" s="953"/>
      <c r="Z267" s="953"/>
      <c r="AA267" s="953"/>
      <c r="AB267" s="953"/>
      <c r="AC267" s="953"/>
    </row>
    <row r="268" spans="1:29">
      <c r="A268" s="955"/>
      <c r="B268" s="960"/>
      <c r="C268" s="960"/>
      <c r="D268" s="960"/>
      <c r="E268" s="960"/>
      <c r="F268" s="960"/>
      <c r="G268" s="960"/>
      <c r="H268" s="683"/>
      <c r="I268" s="960"/>
      <c r="J268" s="960"/>
      <c r="K268" s="960"/>
      <c r="L268" s="953"/>
      <c r="M268" s="953"/>
      <c r="N268" s="953"/>
      <c r="O268" s="953"/>
      <c r="P268" s="953"/>
      <c r="Q268" s="953"/>
      <c r="R268" s="953"/>
      <c r="S268" s="953"/>
      <c r="T268" s="953"/>
      <c r="U268" s="953"/>
      <c r="V268" s="953"/>
      <c r="W268" s="953"/>
      <c r="X268" s="953"/>
      <c r="Y268" s="953"/>
      <c r="Z268" s="953"/>
      <c r="AA268" s="953"/>
      <c r="AB268" s="953"/>
      <c r="AC268" s="953"/>
    </row>
    <row r="269" spans="1:29">
      <c r="A269" s="966" t="s">
        <v>202</v>
      </c>
      <c r="B269" s="960"/>
      <c r="C269" s="960"/>
      <c r="D269" s="960"/>
      <c r="E269" s="960"/>
      <c r="F269" s="960"/>
      <c r="G269" s="960"/>
      <c r="H269" s="683"/>
      <c r="I269" s="960"/>
      <c r="J269" s="960"/>
      <c r="K269" s="960"/>
      <c r="L269" s="953"/>
      <c r="M269" s="953"/>
      <c r="N269" s="953"/>
      <c r="O269" s="953"/>
      <c r="P269" s="953"/>
      <c r="Q269" s="953"/>
      <c r="R269" s="953"/>
      <c r="S269" s="953"/>
      <c r="T269" s="953"/>
      <c r="U269" s="953"/>
      <c r="V269" s="953"/>
      <c r="W269" s="953"/>
      <c r="X269" s="953"/>
      <c r="Y269" s="953"/>
      <c r="Z269" s="953"/>
      <c r="AA269" s="953"/>
      <c r="AB269" s="953"/>
      <c r="AC269" s="953"/>
    </row>
    <row r="270" spans="1:29">
      <c r="A270" s="966" t="s">
        <v>193</v>
      </c>
      <c r="B270" s="960"/>
      <c r="C270" s="960"/>
      <c r="D270" s="960"/>
      <c r="E270" s="960"/>
      <c r="F270" s="960"/>
      <c r="G270" s="960"/>
      <c r="H270" s="683"/>
      <c r="I270" s="960"/>
      <c r="J270" s="960"/>
      <c r="K270" s="960"/>
      <c r="L270" s="953"/>
      <c r="M270" s="953"/>
      <c r="N270" s="953"/>
      <c r="O270" s="953"/>
      <c r="P270" s="953"/>
      <c r="Q270" s="953"/>
      <c r="R270" s="953"/>
      <c r="S270" s="953"/>
      <c r="T270" s="953"/>
      <c r="U270" s="953"/>
      <c r="V270" s="953"/>
      <c r="W270" s="953"/>
      <c r="X270" s="953"/>
      <c r="Y270" s="953"/>
      <c r="Z270" s="953"/>
      <c r="AA270" s="953"/>
      <c r="AB270" s="953"/>
      <c r="AC270" s="953"/>
    </row>
    <row r="271" spans="1:29">
      <c r="A271" s="955"/>
      <c r="B271" s="960"/>
      <c r="C271" s="960"/>
      <c r="D271" s="960"/>
      <c r="E271" s="960"/>
      <c r="F271" s="960"/>
      <c r="G271" s="960"/>
      <c r="H271" s="683"/>
      <c r="I271" s="960"/>
      <c r="J271" s="960"/>
      <c r="K271" s="960"/>
      <c r="L271" s="953"/>
      <c r="M271" s="953"/>
      <c r="N271" s="953"/>
      <c r="O271" s="953"/>
      <c r="P271" s="953"/>
      <c r="Q271" s="953"/>
      <c r="R271" s="953"/>
      <c r="S271" s="953"/>
      <c r="T271" s="953"/>
      <c r="U271" s="953"/>
      <c r="V271" s="953"/>
      <c r="W271" s="953"/>
      <c r="X271" s="953"/>
      <c r="Y271" s="953"/>
      <c r="Z271" s="953"/>
      <c r="AA271" s="953"/>
      <c r="AB271" s="953"/>
      <c r="AC271" s="953"/>
    </row>
    <row r="272" spans="1:29">
      <c r="A272" s="955"/>
      <c r="B272" s="960"/>
      <c r="C272" s="960"/>
      <c r="D272" s="960"/>
      <c r="E272" s="960"/>
      <c r="F272" s="960"/>
      <c r="G272" s="960"/>
      <c r="H272" s="683"/>
      <c r="I272" s="960"/>
      <c r="J272" s="960"/>
      <c r="K272" s="960"/>
      <c r="L272" s="953"/>
      <c r="M272" s="953"/>
      <c r="N272" s="953"/>
      <c r="O272" s="953"/>
      <c r="P272" s="953"/>
      <c r="Q272" s="953"/>
      <c r="R272" s="953"/>
      <c r="S272" s="953"/>
      <c r="T272" s="953"/>
      <c r="U272" s="953"/>
      <c r="V272" s="953"/>
      <c r="W272" s="953"/>
      <c r="X272" s="953"/>
      <c r="Y272" s="953"/>
      <c r="Z272" s="953"/>
      <c r="AA272" s="953"/>
      <c r="AB272" s="953"/>
      <c r="AC272" s="953"/>
    </row>
    <row r="273" spans="1:29">
      <c r="A273" s="955" t="s">
        <v>194</v>
      </c>
      <c r="B273" s="960"/>
      <c r="C273" s="960"/>
      <c r="D273" s="960"/>
      <c r="E273" s="960"/>
      <c r="F273" s="960"/>
      <c r="G273" s="960" t="s">
        <v>105</v>
      </c>
      <c r="H273" s="683">
        <f>V141+V130</f>
        <v>88993.599977316539</v>
      </c>
      <c r="I273" s="960"/>
      <c r="J273" s="960" t="s">
        <v>195</v>
      </c>
      <c r="K273" s="960"/>
      <c r="L273" s="953"/>
      <c r="M273" s="953"/>
      <c r="N273" s="953"/>
      <c r="O273" s="953"/>
      <c r="P273" s="953"/>
      <c r="Q273" s="953"/>
      <c r="R273" s="953"/>
      <c r="S273" s="953"/>
      <c r="T273" s="953"/>
      <c r="U273" s="953"/>
      <c r="V273" s="953"/>
      <c r="W273" s="953"/>
      <c r="X273" s="953"/>
      <c r="Y273" s="953"/>
      <c r="Z273" s="953"/>
      <c r="AA273" s="953"/>
      <c r="AB273" s="953"/>
      <c r="AC273" s="953"/>
    </row>
    <row r="274" spans="1:29">
      <c r="A274" s="955"/>
      <c r="B274" s="960"/>
      <c r="C274" s="960"/>
      <c r="D274" s="960"/>
      <c r="E274" s="960"/>
      <c r="F274" s="960"/>
      <c r="G274" s="960"/>
      <c r="H274" s="683"/>
      <c r="I274" s="960"/>
      <c r="J274" s="1038"/>
      <c r="K274" s="960"/>
      <c r="L274" s="953"/>
      <c r="M274" s="953"/>
      <c r="N274" s="953"/>
      <c r="O274" s="953"/>
      <c r="P274" s="953"/>
      <c r="Q274" s="953"/>
      <c r="R274" s="953"/>
      <c r="S274" s="953"/>
      <c r="T274" s="953"/>
      <c r="U274" s="953"/>
      <c r="V274" s="953"/>
      <c r="W274" s="953"/>
      <c r="X274" s="953"/>
      <c r="Y274" s="953"/>
      <c r="Z274" s="953"/>
      <c r="AA274" s="953"/>
      <c r="AB274" s="953"/>
      <c r="AC274" s="953"/>
    </row>
    <row r="275" spans="1:29">
      <c r="A275" s="955" t="s">
        <v>196</v>
      </c>
      <c r="B275" s="960"/>
      <c r="C275" s="960"/>
      <c r="D275" s="960"/>
      <c r="E275" s="960"/>
      <c r="F275" s="960"/>
      <c r="G275" s="960" t="s">
        <v>105</v>
      </c>
      <c r="H275" s="682">
        <f>T92</f>
        <v>1633421.6837023243</v>
      </c>
      <c r="I275" s="960"/>
      <c r="J275" s="960" t="s">
        <v>197</v>
      </c>
      <c r="K275" s="960"/>
      <c r="L275" s="953"/>
      <c r="M275" s="953"/>
      <c r="N275" s="953"/>
      <c r="O275" s="953"/>
      <c r="P275" s="953"/>
      <c r="Q275" s="953"/>
      <c r="R275" s="953"/>
      <c r="S275" s="953"/>
      <c r="T275" s="953"/>
      <c r="U275" s="953"/>
      <c r="V275" s="953"/>
      <c r="W275" s="953"/>
      <c r="X275" s="953"/>
      <c r="Y275" s="953"/>
      <c r="Z275" s="953"/>
      <c r="AA275" s="953"/>
      <c r="AB275" s="953"/>
      <c r="AC275" s="953"/>
    </row>
    <row r="276" spans="1:29">
      <c r="A276" s="955"/>
      <c r="B276" s="960"/>
      <c r="C276" s="960"/>
      <c r="D276" s="960"/>
      <c r="E276" s="960"/>
      <c r="F276" s="960"/>
      <c r="G276" s="960"/>
      <c r="H276" s="683"/>
      <c r="I276" s="960"/>
      <c r="J276" s="960"/>
      <c r="K276" s="960"/>
      <c r="L276" s="953"/>
      <c r="M276" s="953"/>
      <c r="N276" s="953"/>
      <c r="O276" s="953"/>
      <c r="P276" s="953"/>
      <c r="Q276" s="953"/>
      <c r="R276" s="953"/>
      <c r="S276" s="953"/>
      <c r="T276" s="953"/>
      <c r="U276" s="953"/>
      <c r="V276" s="953"/>
      <c r="W276" s="953"/>
      <c r="X276" s="953"/>
      <c r="Y276" s="953"/>
      <c r="Z276" s="953"/>
      <c r="AA276" s="953"/>
      <c r="AB276" s="953"/>
      <c r="AC276" s="953"/>
    </row>
    <row r="277" spans="1:29">
      <c r="A277" s="955" t="s">
        <v>183</v>
      </c>
      <c r="B277" s="960"/>
      <c r="C277" s="960"/>
      <c r="D277" s="960"/>
      <c r="E277" s="960"/>
      <c r="F277" s="960"/>
      <c r="G277" s="960"/>
      <c r="H277" s="777">
        <f>(H273/H275)*100</f>
        <v>5.4482930443045827</v>
      </c>
      <c r="I277" s="960" t="s">
        <v>108</v>
      </c>
      <c r="J277" s="960"/>
      <c r="K277" s="960"/>
      <c r="L277" s="953"/>
      <c r="M277" s="953"/>
      <c r="N277" s="953"/>
      <c r="O277" s="953"/>
      <c r="P277" s="953"/>
      <c r="Q277" s="953"/>
      <c r="R277" s="953"/>
      <c r="S277" s="953"/>
      <c r="T277" s="953"/>
      <c r="U277" s="953"/>
      <c r="V277" s="953"/>
      <c r="W277" s="953"/>
      <c r="X277" s="953"/>
      <c r="Y277" s="953"/>
      <c r="Z277" s="953"/>
      <c r="AA277" s="953"/>
      <c r="AB277" s="953"/>
      <c r="AC277" s="953"/>
    </row>
    <row r="278" spans="1:29">
      <c r="A278" s="955" t="s">
        <v>185</v>
      </c>
      <c r="B278" s="960"/>
      <c r="C278" s="960"/>
      <c r="D278" s="960"/>
      <c r="E278" s="960"/>
      <c r="F278" s="960"/>
      <c r="G278" s="960"/>
      <c r="H278" s="683"/>
      <c r="I278" s="960"/>
      <c r="J278" s="960"/>
      <c r="K278" s="960"/>
      <c r="L278" s="953"/>
      <c r="M278" s="953"/>
      <c r="N278" s="953"/>
      <c r="O278" s="953"/>
      <c r="P278" s="953"/>
      <c r="Q278" s="953"/>
      <c r="R278" s="953"/>
      <c r="S278" s="953"/>
      <c r="T278" s="953"/>
      <c r="U278" s="953"/>
      <c r="V278" s="953"/>
      <c r="W278" s="953"/>
      <c r="X278" s="953"/>
      <c r="Y278" s="953"/>
      <c r="Z278" s="953"/>
      <c r="AA278" s="953"/>
      <c r="AB278" s="953"/>
      <c r="AC278" s="953"/>
    </row>
    <row r="279" spans="1:29">
      <c r="A279" s="955" t="s">
        <v>186</v>
      </c>
      <c r="B279" s="960"/>
      <c r="C279" s="960"/>
      <c r="D279" s="960"/>
      <c r="E279" s="960"/>
      <c r="F279" s="960"/>
      <c r="G279" s="960"/>
      <c r="H279" s="683"/>
      <c r="I279" s="960"/>
      <c r="J279" s="960"/>
      <c r="K279" s="960"/>
      <c r="L279" s="953"/>
      <c r="M279" s="953"/>
      <c r="N279" s="953"/>
      <c r="O279" s="953"/>
      <c r="P279" s="953"/>
      <c r="Q279" s="953"/>
      <c r="R279" s="953"/>
      <c r="S279" s="953"/>
      <c r="T279" s="953"/>
      <c r="U279" s="953"/>
      <c r="V279" s="953"/>
      <c r="W279" s="953"/>
      <c r="X279" s="953"/>
      <c r="Y279" s="953"/>
      <c r="Z279" s="953"/>
      <c r="AA279" s="953"/>
      <c r="AB279" s="953"/>
      <c r="AC279" s="953"/>
    </row>
    <row r="280" spans="1:29">
      <c r="A280" s="955" t="s">
        <v>174</v>
      </c>
      <c r="B280" s="960"/>
      <c r="C280" s="960"/>
      <c r="D280" s="960"/>
      <c r="E280" s="960"/>
      <c r="F280" s="960"/>
      <c r="G280" s="960"/>
      <c r="H280" s="774">
        <f>H253</f>
        <v>-1.07</v>
      </c>
      <c r="I280" s="960" t="s">
        <v>108</v>
      </c>
      <c r="J280" s="960"/>
      <c r="K280" s="960"/>
      <c r="L280" s="953"/>
      <c r="M280" s="953"/>
      <c r="N280" s="953"/>
      <c r="O280" s="953"/>
      <c r="P280" s="953"/>
      <c r="Q280" s="953"/>
      <c r="R280" s="953"/>
      <c r="S280" s="953"/>
      <c r="T280" s="953"/>
      <c r="U280" s="953"/>
      <c r="V280" s="953"/>
      <c r="W280" s="953"/>
      <c r="X280" s="953"/>
      <c r="Y280" s="953"/>
      <c r="Z280" s="953"/>
      <c r="AA280" s="953"/>
      <c r="AB280" s="953"/>
      <c r="AC280" s="953"/>
    </row>
    <row r="281" spans="1:29">
      <c r="A281" s="955" t="s">
        <v>175</v>
      </c>
      <c r="B281" s="960"/>
      <c r="C281" s="960"/>
      <c r="D281" s="960"/>
      <c r="E281" s="960"/>
      <c r="F281" s="960"/>
      <c r="G281" s="960"/>
      <c r="H281" s="774">
        <f>H254</f>
        <v>-0.04</v>
      </c>
      <c r="I281" s="960" t="s">
        <v>108</v>
      </c>
      <c r="J281" s="960"/>
      <c r="K281" s="960"/>
      <c r="L281" s="953"/>
      <c r="M281" s="953"/>
      <c r="N281" s="953"/>
      <c r="O281" s="953"/>
      <c r="P281" s="953"/>
      <c r="Q281" s="953"/>
      <c r="R281" s="953"/>
      <c r="S281" s="953"/>
      <c r="T281" s="953"/>
      <c r="U281" s="953"/>
      <c r="V281" s="953"/>
      <c r="W281" s="953"/>
      <c r="X281" s="953"/>
      <c r="Y281" s="953"/>
      <c r="Z281" s="953"/>
      <c r="AA281" s="953"/>
      <c r="AB281" s="953"/>
      <c r="AC281" s="953"/>
    </row>
    <row r="282" spans="1:29">
      <c r="A282" s="955" t="s">
        <v>187</v>
      </c>
      <c r="B282" s="960"/>
      <c r="C282" s="960"/>
      <c r="D282" s="960"/>
      <c r="E282" s="960"/>
      <c r="F282" s="960"/>
      <c r="G282" s="960"/>
      <c r="H282" s="774">
        <f>H255</f>
        <v>0</v>
      </c>
      <c r="I282" s="960" t="s">
        <v>108</v>
      </c>
      <c r="J282" s="960"/>
      <c r="K282" s="960"/>
      <c r="L282" s="953"/>
      <c r="M282" s="953"/>
      <c r="N282" s="953"/>
      <c r="O282" s="953"/>
      <c r="P282" s="953"/>
      <c r="Q282" s="953"/>
      <c r="R282" s="953"/>
      <c r="S282" s="953"/>
      <c r="T282" s="953"/>
      <c r="U282" s="953"/>
      <c r="V282" s="953"/>
      <c r="W282" s="953"/>
      <c r="X282" s="953"/>
      <c r="Y282" s="953"/>
      <c r="Z282" s="953"/>
      <c r="AA282" s="953"/>
      <c r="AB282" s="953"/>
      <c r="AC282" s="953"/>
    </row>
    <row r="283" spans="1:29">
      <c r="A283" s="955" t="s">
        <v>17</v>
      </c>
      <c r="B283" s="960"/>
      <c r="C283" s="960"/>
      <c r="D283" s="960"/>
      <c r="E283" s="960"/>
      <c r="F283" s="960"/>
      <c r="G283" s="960"/>
      <c r="H283" s="774">
        <f>H256</f>
        <v>-0.04</v>
      </c>
      <c r="I283" s="960" t="s">
        <v>108</v>
      </c>
      <c r="J283" s="960"/>
      <c r="K283" s="960"/>
      <c r="L283" s="953"/>
      <c r="M283" s="953"/>
      <c r="N283" s="953"/>
      <c r="O283" s="953"/>
      <c r="P283" s="953"/>
      <c r="Q283" s="953"/>
      <c r="R283" s="953"/>
      <c r="S283" s="953"/>
      <c r="T283" s="953"/>
      <c r="U283" s="953"/>
      <c r="V283" s="953"/>
      <c r="W283" s="953"/>
      <c r="X283" s="953"/>
      <c r="Y283" s="953"/>
      <c r="Z283" s="953"/>
      <c r="AA283" s="953"/>
      <c r="AB283" s="953"/>
      <c r="AC283" s="953"/>
    </row>
    <row r="284" spans="1:29">
      <c r="A284" s="955" t="s">
        <v>188</v>
      </c>
      <c r="B284" s="960"/>
      <c r="C284" s="960"/>
      <c r="D284" s="960"/>
      <c r="E284" s="960"/>
      <c r="F284" s="960"/>
      <c r="G284" s="960"/>
      <c r="H284" s="774">
        <f>H257</f>
        <v>0</v>
      </c>
      <c r="I284" s="960" t="s">
        <v>108</v>
      </c>
      <c r="J284" s="960"/>
      <c r="K284" s="960"/>
      <c r="L284" s="953"/>
      <c r="M284" s="953"/>
      <c r="N284" s="953"/>
      <c r="O284" s="953"/>
      <c r="P284" s="953"/>
      <c r="Q284" s="953"/>
      <c r="R284" s="953"/>
      <c r="S284" s="953"/>
      <c r="T284" s="953"/>
      <c r="U284" s="953"/>
      <c r="V284" s="953"/>
      <c r="W284" s="953"/>
      <c r="X284" s="953"/>
      <c r="Y284" s="953"/>
      <c r="Z284" s="953"/>
      <c r="AA284" s="953"/>
      <c r="AB284" s="953"/>
      <c r="AC284" s="953"/>
    </row>
    <row r="285" spans="1:29">
      <c r="A285" s="955" t="s">
        <v>189</v>
      </c>
      <c r="B285" s="960"/>
      <c r="C285" s="960"/>
      <c r="D285" s="960"/>
      <c r="E285" s="960"/>
      <c r="F285" s="960"/>
      <c r="G285" s="960"/>
      <c r="H285" s="776">
        <f>SUM(H280:H284)</f>
        <v>-1.1500000000000001</v>
      </c>
      <c r="I285" s="960" t="s">
        <v>108</v>
      </c>
      <c r="J285" s="960"/>
      <c r="K285" s="960"/>
      <c r="L285" s="953"/>
      <c r="M285" s="953"/>
      <c r="N285" s="953"/>
      <c r="O285" s="953"/>
      <c r="P285" s="953"/>
      <c r="Q285" s="953"/>
      <c r="R285" s="953"/>
      <c r="S285" s="953"/>
      <c r="T285" s="953"/>
      <c r="U285" s="953"/>
      <c r="V285" s="953"/>
      <c r="W285" s="953"/>
      <c r="X285" s="953"/>
      <c r="Y285" s="953"/>
      <c r="Z285" s="953"/>
      <c r="AA285" s="953"/>
      <c r="AB285" s="953"/>
      <c r="AC285" s="953"/>
    </row>
    <row r="286" spans="1:29">
      <c r="A286" s="955"/>
      <c r="B286" s="960"/>
      <c r="C286" s="960"/>
      <c r="D286" s="960"/>
      <c r="E286" s="960"/>
      <c r="F286" s="960"/>
      <c r="G286" s="960"/>
      <c r="H286" s="683"/>
      <c r="I286" s="960"/>
      <c r="J286" s="960"/>
      <c r="K286" s="960"/>
      <c r="L286" s="953"/>
      <c r="M286" s="953"/>
      <c r="N286" s="953"/>
      <c r="O286" s="953"/>
      <c r="P286" s="953"/>
      <c r="Q286" s="953"/>
      <c r="R286" s="953"/>
      <c r="S286" s="953"/>
      <c r="T286" s="953"/>
      <c r="U286" s="953"/>
      <c r="V286" s="953"/>
      <c r="W286" s="953"/>
      <c r="X286" s="953"/>
      <c r="Y286" s="953"/>
      <c r="Z286" s="953"/>
      <c r="AA286" s="953"/>
      <c r="AB286" s="953"/>
      <c r="AC286" s="953"/>
    </row>
    <row r="287" spans="1:29">
      <c r="A287" s="955" t="s">
        <v>1</v>
      </c>
      <c r="B287" s="960"/>
      <c r="C287" s="960"/>
      <c r="D287" s="960"/>
      <c r="E287" s="960"/>
      <c r="F287" s="960"/>
      <c r="G287" s="960"/>
      <c r="H287" s="774">
        <f>H277+H285</f>
        <v>4.2982930443045824</v>
      </c>
      <c r="I287" s="960" t="s">
        <v>108</v>
      </c>
      <c r="J287" s="960"/>
      <c r="K287" s="960"/>
      <c r="L287" s="953"/>
      <c r="M287" s="953"/>
      <c r="N287" s="953"/>
      <c r="O287" s="953"/>
      <c r="P287" s="953"/>
      <c r="Q287" s="953"/>
      <c r="R287" s="953"/>
      <c r="S287" s="953"/>
      <c r="T287" s="953"/>
      <c r="U287" s="953"/>
      <c r="V287" s="953"/>
      <c r="W287" s="953"/>
      <c r="X287" s="953"/>
      <c r="Y287" s="953"/>
      <c r="Z287" s="953"/>
      <c r="AA287" s="953"/>
      <c r="AB287" s="953"/>
      <c r="AC287" s="953"/>
    </row>
    <row r="288" spans="1:29">
      <c r="A288" s="955"/>
      <c r="B288" s="960"/>
      <c r="C288" s="960"/>
      <c r="D288" s="960"/>
      <c r="E288" s="960"/>
      <c r="F288" s="960"/>
      <c r="G288" s="960"/>
      <c r="H288" s="683"/>
      <c r="I288" s="960"/>
      <c r="J288" s="960"/>
      <c r="K288" s="960"/>
      <c r="L288" s="953"/>
      <c r="M288" s="953"/>
      <c r="N288" s="953"/>
      <c r="O288" s="953"/>
      <c r="P288" s="953"/>
      <c r="Q288" s="953"/>
      <c r="R288" s="953"/>
      <c r="S288" s="953"/>
      <c r="T288" s="953"/>
      <c r="U288" s="953"/>
      <c r="V288" s="953"/>
      <c r="W288" s="953"/>
      <c r="X288" s="953"/>
      <c r="Y288" s="953"/>
      <c r="Z288" s="953"/>
      <c r="AA288" s="953"/>
      <c r="AB288" s="953"/>
      <c r="AC288" s="953"/>
    </row>
    <row r="289" spans="1:29">
      <c r="A289" s="955" t="s">
        <v>190</v>
      </c>
      <c r="B289" s="960"/>
      <c r="C289" s="960"/>
      <c r="D289" s="960"/>
      <c r="E289" s="960"/>
      <c r="F289" s="960"/>
      <c r="G289" s="960"/>
      <c r="H289" s="777">
        <f>H262</f>
        <v>46.48</v>
      </c>
      <c r="I289" s="960" t="s">
        <v>108</v>
      </c>
      <c r="J289" s="960"/>
      <c r="K289" s="960"/>
      <c r="L289" s="953"/>
      <c r="M289" s="953"/>
      <c r="N289" s="953"/>
      <c r="O289" s="953"/>
      <c r="P289" s="953"/>
      <c r="Q289" s="953"/>
      <c r="R289" s="953"/>
      <c r="S289" s="953"/>
      <c r="T289" s="953"/>
      <c r="U289" s="953"/>
      <c r="V289" s="953"/>
      <c r="W289" s="953"/>
      <c r="X289" s="953"/>
      <c r="Y289" s="953"/>
      <c r="Z289" s="953"/>
      <c r="AA289" s="953"/>
      <c r="AB289" s="953"/>
      <c r="AC289" s="953"/>
    </row>
    <row r="290" spans="1:29">
      <c r="A290" s="955"/>
      <c r="B290" s="960"/>
      <c r="C290" s="960"/>
      <c r="D290" s="960"/>
      <c r="E290" s="960"/>
      <c r="F290" s="960"/>
      <c r="G290" s="960"/>
      <c r="H290" s="683"/>
      <c r="I290" s="960"/>
      <c r="J290" s="960"/>
      <c r="K290" s="960"/>
      <c r="L290" s="953"/>
      <c r="M290" s="953"/>
      <c r="N290" s="953"/>
      <c r="O290" s="953"/>
      <c r="P290" s="953"/>
      <c r="Q290" s="953"/>
      <c r="R290" s="953"/>
      <c r="S290" s="953"/>
      <c r="T290" s="953"/>
      <c r="U290" s="953"/>
      <c r="V290" s="953"/>
      <c r="W290" s="953"/>
      <c r="X290" s="953"/>
      <c r="Y290" s="953"/>
      <c r="Z290" s="953"/>
      <c r="AA290" s="953"/>
      <c r="AB290" s="953"/>
      <c r="AC290" s="953"/>
    </row>
    <row r="291" spans="1:29" ht="13.5" thickBot="1">
      <c r="A291" s="955" t="s">
        <v>191</v>
      </c>
      <c r="B291" s="960"/>
      <c r="C291" s="960"/>
      <c r="D291" s="960"/>
      <c r="E291" s="960"/>
      <c r="F291" s="960"/>
      <c r="G291" s="960"/>
      <c r="H291" s="778">
        <f>(H287)/(H289/100)</f>
        <v>9.2476184257843865</v>
      </c>
      <c r="I291" s="960" t="s">
        <v>108</v>
      </c>
      <c r="J291" s="960"/>
      <c r="K291" s="960"/>
      <c r="L291" s="953"/>
      <c r="M291" s="953"/>
      <c r="N291" s="953"/>
      <c r="O291" s="953"/>
      <c r="P291" s="953"/>
      <c r="Q291" s="953"/>
      <c r="R291" s="953"/>
      <c r="S291" s="953"/>
      <c r="T291" s="953"/>
      <c r="U291" s="953"/>
      <c r="V291" s="953"/>
      <c r="W291" s="953"/>
      <c r="X291" s="953"/>
      <c r="Y291" s="953"/>
      <c r="Z291" s="953"/>
      <c r="AA291" s="953"/>
      <c r="AB291" s="953"/>
      <c r="AC291" s="953"/>
    </row>
    <row r="292" spans="1:29" ht="13.5" thickTop="1"/>
    <row r="363" spans="1:15">
      <c r="A363" s="955"/>
      <c r="B363" s="953"/>
      <c r="C363" s="953"/>
      <c r="D363" s="953"/>
      <c r="E363" s="953"/>
      <c r="F363" s="953"/>
      <c r="G363" s="953"/>
      <c r="H363" s="953"/>
      <c r="I363" s="953"/>
      <c r="J363" s="953"/>
      <c r="K363" s="953"/>
      <c r="L363" s="953"/>
      <c r="M363" s="953"/>
      <c r="N363" s="953"/>
      <c r="O363" s="953"/>
    </row>
    <row r="364" spans="1:15">
      <c r="A364" s="955"/>
      <c r="B364" s="953"/>
      <c r="C364" s="953"/>
      <c r="D364" s="953"/>
      <c r="E364" s="953"/>
      <c r="F364" s="953"/>
      <c r="G364" s="953"/>
      <c r="H364" s="953"/>
      <c r="I364" s="953"/>
      <c r="J364" s="953"/>
      <c r="K364" s="953"/>
      <c r="L364" s="953"/>
      <c r="M364" s="953"/>
      <c r="N364" s="953"/>
      <c r="O364" s="953"/>
    </row>
    <row r="365" spans="1:15">
      <c r="A365" s="955"/>
      <c r="B365" s="953"/>
      <c r="C365" s="953"/>
      <c r="D365" s="953"/>
      <c r="E365" s="953"/>
      <c r="F365" s="953"/>
      <c r="G365" s="953"/>
      <c r="H365" s="953"/>
      <c r="I365" s="953"/>
      <c r="J365" s="953"/>
      <c r="K365" s="953"/>
      <c r="L365" s="953"/>
      <c r="M365" s="953"/>
      <c r="N365" s="953"/>
      <c r="O365" s="953"/>
    </row>
    <row r="366" spans="1:15">
      <c r="A366" s="955"/>
      <c r="B366" s="953"/>
      <c r="C366" s="953"/>
      <c r="D366" s="953"/>
      <c r="E366" s="953"/>
      <c r="F366" s="953"/>
      <c r="G366" s="953"/>
      <c r="H366" s="953"/>
      <c r="I366" s="953"/>
      <c r="J366" s="953"/>
      <c r="K366" s="953"/>
      <c r="L366" s="953"/>
      <c r="M366" s="953"/>
      <c r="N366" s="953"/>
      <c r="O366" s="953"/>
    </row>
    <row r="367" spans="1:15">
      <c r="A367" s="955"/>
      <c r="B367" s="953"/>
      <c r="C367" s="953"/>
      <c r="D367" s="953"/>
      <c r="E367" s="953"/>
      <c r="F367" s="953"/>
      <c r="G367" s="953"/>
      <c r="H367" s="953"/>
      <c r="I367" s="953"/>
      <c r="J367" s="953"/>
      <c r="K367" s="953"/>
      <c r="L367" s="953"/>
      <c r="M367" s="953"/>
      <c r="N367" s="953"/>
      <c r="O367" s="953"/>
    </row>
    <row r="368" spans="1:15">
      <c r="A368" s="955"/>
      <c r="B368" s="953"/>
      <c r="C368" s="953"/>
      <c r="D368" s="953"/>
      <c r="E368" s="953"/>
      <c r="F368" s="953"/>
      <c r="G368" s="953"/>
      <c r="H368" s="953"/>
      <c r="I368" s="953"/>
      <c r="J368" s="953"/>
      <c r="K368" s="953"/>
      <c r="L368" s="953"/>
      <c r="M368" s="953"/>
      <c r="N368" s="953"/>
      <c r="O368" s="953"/>
    </row>
    <row r="369" spans="1:15">
      <c r="A369" s="955"/>
      <c r="B369" s="953"/>
      <c r="C369" s="953"/>
      <c r="D369" s="953"/>
      <c r="E369" s="953"/>
      <c r="F369" s="953"/>
      <c r="G369" s="953"/>
      <c r="H369" s="953"/>
      <c r="I369" s="953"/>
      <c r="J369" s="953"/>
      <c r="K369" s="953"/>
      <c r="L369" s="953"/>
      <c r="M369" s="953"/>
      <c r="N369" s="953"/>
      <c r="O369" s="953"/>
    </row>
    <row r="370" spans="1:15">
      <c r="A370" s="955"/>
      <c r="B370" s="953"/>
      <c r="C370" s="953"/>
      <c r="D370" s="953"/>
      <c r="E370" s="953"/>
      <c r="F370" s="953"/>
      <c r="G370" s="953"/>
      <c r="H370" s="953"/>
      <c r="I370" s="953"/>
      <c r="J370" s="953"/>
      <c r="K370" s="953"/>
      <c r="L370" s="953"/>
      <c r="M370" s="953"/>
      <c r="N370" s="953"/>
      <c r="O370" s="953"/>
    </row>
    <row r="371" spans="1:15">
      <c r="A371" s="955"/>
      <c r="B371" s="953"/>
      <c r="C371" s="953"/>
      <c r="D371" s="953"/>
      <c r="E371" s="953"/>
      <c r="F371" s="953"/>
      <c r="G371" s="953"/>
      <c r="H371" s="953"/>
      <c r="I371" s="953"/>
      <c r="J371" s="953"/>
      <c r="K371" s="953"/>
      <c r="L371" s="953"/>
      <c r="M371" s="953"/>
      <c r="N371" s="953"/>
      <c r="O371" s="953"/>
    </row>
  </sheetData>
  <printOptions horizontalCentered="1"/>
  <pageMargins left="0.25" right="0.25" top="0.75" bottom="0.75" header="0.3" footer="0.3"/>
  <pageSetup scale="73" orientation="landscape" blackAndWhite="1"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48"/>
  <sheetViews>
    <sheetView workbookViewId="0"/>
  </sheetViews>
  <sheetFormatPr defaultColWidth="8.42578125" defaultRowHeight="12.75"/>
  <cols>
    <col min="1" max="1" width="36" customWidth="1"/>
    <col min="2" max="2" width="14.7109375" customWidth="1"/>
    <col min="3" max="3" width="13.85546875" customWidth="1"/>
    <col min="4" max="4" width="10.7109375" customWidth="1"/>
    <col min="5" max="5" width="12.5703125" customWidth="1"/>
    <col min="6" max="12" width="10.7109375" customWidth="1"/>
    <col min="14" max="14" width="9.85546875" bestFit="1" customWidth="1"/>
    <col min="15" max="15" width="24.85546875" bestFit="1" customWidth="1"/>
    <col min="20" max="20" width="31.7109375" bestFit="1" customWidth="1"/>
    <col min="22" max="22" width="23.42578125" bestFit="1" customWidth="1"/>
    <col min="25" max="25" width="16.42578125" bestFit="1" customWidth="1"/>
  </cols>
  <sheetData>
    <row r="1" spans="1:14">
      <c r="A1" t="s">
        <v>468</v>
      </c>
    </row>
    <row r="2" spans="1:14">
      <c r="A2" t="s">
        <v>60</v>
      </c>
    </row>
    <row r="3" spans="1:14">
      <c r="A3" s="1039" t="s">
        <v>205</v>
      </c>
      <c r="B3" s="36" t="str">
        <f>+Report!A3</f>
        <v>December 2021</v>
      </c>
      <c r="C3" s="953"/>
      <c r="D3" s="953"/>
      <c r="E3" s="953"/>
      <c r="F3" s="953"/>
      <c r="G3" s="953"/>
      <c r="H3" s="953"/>
      <c r="I3" s="953"/>
      <c r="J3" s="953"/>
      <c r="K3" s="953"/>
      <c r="L3" s="953"/>
      <c r="M3" s="953"/>
      <c r="N3" s="953"/>
    </row>
    <row r="5" spans="1:14" ht="13.5" thickBot="1"/>
    <row r="6" spans="1:14" ht="16.5" thickBot="1">
      <c r="A6" s="953"/>
      <c r="B6" s="953"/>
      <c r="C6" s="953"/>
      <c r="D6" s="1040" t="s">
        <v>206</v>
      </c>
      <c r="E6" s="1041"/>
      <c r="F6" s="1041"/>
      <c r="G6" s="1041"/>
      <c r="H6" s="1041"/>
      <c r="I6" s="1041"/>
      <c r="J6" s="1042"/>
      <c r="K6" s="1042"/>
      <c r="L6" s="953"/>
      <c r="M6" s="953"/>
      <c r="N6" s="953"/>
    </row>
    <row r="7" spans="1:14">
      <c r="D7" s="1043"/>
      <c r="E7" s="1043"/>
      <c r="F7" s="1043"/>
      <c r="G7" s="1043"/>
      <c r="H7" s="1043"/>
      <c r="I7" s="1043"/>
      <c r="J7" s="846" t="s">
        <v>2338</v>
      </c>
      <c r="K7" s="846" t="s">
        <v>2339</v>
      </c>
    </row>
    <row r="8" spans="1:14">
      <c r="A8" s="953"/>
      <c r="B8" s="1044" t="s">
        <v>22</v>
      </c>
      <c r="C8" s="953"/>
      <c r="D8" s="1044" t="s">
        <v>62</v>
      </c>
      <c r="E8" s="1044" t="s">
        <v>63</v>
      </c>
      <c r="F8" s="1044" t="s">
        <v>64</v>
      </c>
      <c r="G8" s="1044" t="s">
        <v>65</v>
      </c>
      <c r="H8" s="1044" t="s">
        <v>66</v>
      </c>
      <c r="I8" s="1044" t="s">
        <v>67</v>
      </c>
      <c r="J8" s="1044" t="s">
        <v>68</v>
      </c>
      <c r="K8" s="1044" t="s">
        <v>68</v>
      </c>
      <c r="L8" s="1044" t="s">
        <v>69</v>
      </c>
      <c r="M8" s="953"/>
      <c r="N8" s="953"/>
    </row>
    <row r="9" spans="1:14">
      <c r="A9" s="953"/>
      <c r="B9" s="1045"/>
      <c r="C9" s="953"/>
      <c r="D9" s="564"/>
      <c r="E9" s="564"/>
      <c r="F9" s="564"/>
      <c r="G9" s="564"/>
      <c r="H9" s="564"/>
      <c r="I9" s="564"/>
      <c r="J9" s="564"/>
      <c r="K9" s="564"/>
      <c r="L9" s="564"/>
      <c r="M9" s="953"/>
      <c r="N9" s="953"/>
    </row>
    <row r="10" spans="1:14">
      <c r="A10" s="1046" t="s">
        <v>2514</v>
      </c>
      <c r="B10" s="953"/>
      <c r="C10" s="953"/>
      <c r="D10" s="557"/>
      <c r="E10" s="557"/>
      <c r="F10" s="557"/>
      <c r="G10" s="557"/>
      <c r="H10" s="557"/>
      <c r="I10" s="557"/>
      <c r="J10" s="557"/>
      <c r="K10" s="557"/>
      <c r="L10" s="566">
        <f>+'Report YE'!B171</f>
        <v>1762033.3362700001</v>
      </c>
      <c r="M10" s="557"/>
      <c r="N10" s="557"/>
    </row>
    <row r="11" spans="1:14">
      <c r="D11" s="554"/>
      <c r="E11" s="554"/>
      <c r="F11" s="554"/>
      <c r="G11" s="554"/>
      <c r="H11" s="554"/>
      <c r="I11" s="554"/>
      <c r="J11" s="554"/>
      <c r="K11" s="554"/>
      <c r="L11" s="554"/>
      <c r="M11" s="554"/>
      <c r="N11" s="554"/>
    </row>
    <row r="12" spans="1:14">
      <c r="A12" s="4" t="s">
        <v>70</v>
      </c>
      <c r="D12" s="554"/>
      <c r="E12" s="554"/>
      <c r="F12" s="554"/>
      <c r="G12" s="554"/>
      <c r="H12" s="554"/>
      <c r="I12" s="554"/>
      <c r="J12" s="554"/>
      <c r="K12" s="554"/>
      <c r="L12" s="554"/>
      <c r="M12" s="554"/>
      <c r="N12" s="554"/>
    </row>
    <row r="13" spans="1:14">
      <c r="D13" s="554"/>
      <c r="E13" s="554"/>
      <c r="F13" s="554"/>
      <c r="G13" s="554"/>
      <c r="H13" s="554"/>
      <c r="I13" s="554"/>
      <c r="J13" s="554"/>
      <c r="K13" s="554"/>
      <c r="L13" s="554"/>
      <c r="M13" s="554"/>
      <c r="N13" s="554"/>
    </row>
    <row r="14" spans="1:14">
      <c r="A14" s="953" t="s">
        <v>5</v>
      </c>
      <c r="B14" s="953"/>
      <c r="C14" s="953"/>
      <c r="D14" s="568">
        <f>-Reconcil!B68</f>
        <v>0</v>
      </c>
      <c r="E14" s="568"/>
      <c r="F14" s="568"/>
      <c r="G14" s="568"/>
      <c r="H14" s="568"/>
      <c r="I14" s="568"/>
      <c r="J14" s="568"/>
      <c r="K14" s="568"/>
      <c r="L14" s="568">
        <f t="shared" ref="L14:L41" si="0">SUM(D14:K14)</f>
        <v>0</v>
      </c>
      <c r="M14" s="568"/>
      <c r="N14" s="568"/>
    </row>
    <row r="15" spans="1:14">
      <c r="A15" s="953" t="s">
        <v>71</v>
      </c>
      <c r="B15" s="953"/>
      <c r="C15" s="953"/>
      <c r="D15" s="570"/>
      <c r="E15" s="570"/>
      <c r="F15" s="570"/>
      <c r="G15" s="570">
        <f>-Reconcil!B67</f>
        <v>-1027.7767200000001</v>
      </c>
      <c r="H15" s="570"/>
      <c r="I15" s="570"/>
      <c r="J15" s="570"/>
      <c r="K15" s="570"/>
      <c r="L15" s="570">
        <f t="shared" si="0"/>
        <v>-1027.7767200000001</v>
      </c>
      <c r="M15" s="568"/>
      <c r="N15" s="568"/>
    </row>
    <row r="16" spans="1:14">
      <c r="A16" s="953" t="s">
        <v>72</v>
      </c>
      <c r="B16" s="953"/>
      <c r="C16" s="953"/>
      <c r="D16" s="570"/>
      <c r="E16" s="570"/>
      <c r="F16" s="570"/>
      <c r="G16" s="570"/>
      <c r="H16" s="570"/>
      <c r="I16" s="570"/>
      <c r="J16" s="570"/>
      <c r="K16" s="570"/>
      <c r="L16" s="570">
        <f t="shared" si="0"/>
        <v>0</v>
      </c>
      <c r="M16" s="568"/>
      <c r="N16" s="568"/>
    </row>
    <row r="17" spans="1:17">
      <c r="A17" s="953" t="s">
        <v>73</v>
      </c>
      <c r="B17" s="953"/>
      <c r="C17" s="953"/>
      <c r="D17" s="570"/>
      <c r="E17" s="570"/>
      <c r="F17" s="570"/>
      <c r="G17" s="570"/>
      <c r="H17" s="570"/>
      <c r="I17" s="570"/>
      <c r="J17" s="570"/>
      <c r="K17" s="570">
        <f>-Reconcil!$B$76</f>
        <v>-2.95</v>
      </c>
      <c r="L17" s="570">
        <f t="shared" si="0"/>
        <v>-2.95</v>
      </c>
      <c r="M17" s="568"/>
      <c r="N17" s="568"/>
    </row>
    <row r="18" spans="1:17">
      <c r="A18" s="953" t="s">
        <v>6</v>
      </c>
      <c r="B18" s="953"/>
      <c r="C18" s="953"/>
      <c r="D18" s="570"/>
      <c r="E18" s="570"/>
      <c r="F18" s="570"/>
      <c r="G18" s="570">
        <f>-Reconcil!B77</f>
        <v>0</v>
      </c>
      <c r="H18" s="570"/>
      <c r="I18" s="570"/>
      <c r="J18" s="570"/>
      <c r="K18" s="570"/>
      <c r="L18" s="570">
        <f t="shared" si="0"/>
        <v>0</v>
      </c>
      <c r="M18" s="568"/>
      <c r="N18" s="568"/>
    </row>
    <row r="19" spans="1:17">
      <c r="A19" s="953" t="s">
        <v>74</v>
      </c>
      <c r="B19" s="953"/>
      <c r="C19" s="953"/>
      <c r="D19" s="570"/>
      <c r="E19" s="570"/>
      <c r="F19" s="570"/>
      <c r="G19" s="570"/>
      <c r="H19" s="570"/>
      <c r="I19" s="570"/>
      <c r="J19" s="570"/>
      <c r="K19" s="570">
        <f>-Reconcil!B79</f>
        <v>-4473.6198099999992</v>
      </c>
      <c r="L19" s="570">
        <f t="shared" si="0"/>
        <v>-4473.6198099999992</v>
      </c>
      <c r="M19" s="568"/>
      <c r="N19" s="568"/>
    </row>
    <row r="20" spans="1:17">
      <c r="A20" s="953" t="s">
        <v>75</v>
      </c>
      <c r="B20" s="953"/>
      <c r="C20" s="953"/>
      <c r="D20" s="570"/>
      <c r="E20" s="570"/>
      <c r="F20" s="570"/>
      <c r="G20" s="570"/>
      <c r="H20" s="570"/>
      <c r="I20" s="570"/>
      <c r="J20" s="570"/>
      <c r="K20" s="570"/>
      <c r="L20" s="570">
        <f t="shared" si="0"/>
        <v>0</v>
      </c>
      <c r="M20" s="568"/>
      <c r="N20" s="568"/>
    </row>
    <row r="21" spans="1:17">
      <c r="A21" s="953" t="s">
        <v>76</v>
      </c>
      <c r="B21" s="953"/>
      <c r="C21" s="953"/>
      <c r="D21" s="570"/>
      <c r="E21" s="570"/>
      <c r="F21" s="570"/>
      <c r="G21" s="570"/>
      <c r="H21" s="570"/>
      <c r="I21" s="570"/>
      <c r="J21" s="570"/>
      <c r="K21" s="570">
        <f>-Reconcil!B81</f>
        <v>-9985.2147299999997</v>
      </c>
      <c r="L21" s="570">
        <f t="shared" si="0"/>
        <v>-9985.2147299999997</v>
      </c>
      <c r="M21" s="568"/>
      <c r="N21" s="568"/>
    </row>
    <row r="22" spans="1:17">
      <c r="A22" s="953" t="s">
        <v>77</v>
      </c>
      <c r="B22" s="953"/>
      <c r="C22" s="953"/>
      <c r="D22" s="570"/>
      <c r="E22" s="570"/>
      <c r="F22" s="570"/>
      <c r="G22" s="570"/>
      <c r="H22" s="570"/>
      <c r="I22" s="570"/>
      <c r="J22" s="570"/>
      <c r="K22" s="570"/>
      <c r="L22" s="570">
        <f t="shared" si="0"/>
        <v>0</v>
      </c>
      <c r="M22" s="568"/>
      <c r="N22" s="568"/>
    </row>
    <row r="23" spans="1:17">
      <c r="A23" s="953" t="s">
        <v>78</v>
      </c>
      <c r="B23" s="953"/>
      <c r="C23" s="953"/>
      <c r="D23" s="570">
        <f>-Reconcil!B92</f>
        <v>-4248.9452799999999</v>
      </c>
      <c r="E23" s="570"/>
      <c r="F23" s="570"/>
      <c r="G23" s="570"/>
      <c r="H23" s="570"/>
      <c r="I23" s="570"/>
      <c r="J23" s="570"/>
      <c r="K23" s="570"/>
      <c r="L23" s="570">
        <f t="shared" si="0"/>
        <v>-4248.9452799999999</v>
      </c>
      <c r="M23" s="568"/>
      <c r="N23" s="568"/>
    </row>
    <row r="24" spans="1:17">
      <c r="A24" s="953" t="s">
        <v>79</v>
      </c>
      <c r="B24" s="953"/>
      <c r="C24" s="953"/>
      <c r="D24" s="570"/>
      <c r="E24" s="570"/>
      <c r="F24" s="570"/>
      <c r="G24" s="570"/>
      <c r="H24" s="820">
        <f>-Reconcil!B99*'Input Tax Rate'!$B$36</f>
        <v>-201.51252488626</v>
      </c>
      <c r="I24" s="570"/>
      <c r="J24" s="570"/>
      <c r="K24" s="822">
        <f>-Reconcil!B99*'Input Tax Rate'!$B$37</f>
        <v>-645.44031511373987</v>
      </c>
      <c r="L24" s="570">
        <f t="shared" si="0"/>
        <v>-846.95283999999992</v>
      </c>
      <c r="M24" s="568"/>
      <c r="N24" s="568"/>
    </row>
    <row r="25" spans="1:17">
      <c r="A25" s="989" t="s">
        <v>80</v>
      </c>
      <c r="B25" s="953"/>
      <c r="C25" s="953"/>
      <c r="D25" s="570"/>
      <c r="E25" s="570"/>
      <c r="F25" s="570"/>
      <c r="G25" s="570"/>
      <c r="H25" s="570"/>
      <c r="I25" s="570"/>
      <c r="J25" s="570"/>
      <c r="K25" s="570">
        <f>IF(Reconcil!$B$100&gt;0,Reconcil!$B$100*-1,0)</f>
        <v>-12048.953949999999</v>
      </c>
      <c r="L25" s="570">
        <f t="shared" si="0"/>
        <v>-12048.953949999999</v>
      </c>
      <c r="M25" s="568"/>
      <c r="N25" s="568"/>
    </row>
    <row r="26" spans="1:17">
      <c r="A26" s="953" t="s">
        <v>81</v>
      </c>
      <c r="B26" s="953"/>
      <c r="C26" s="953"/>
      <c r="D26" s="570"/>
      <c r="E26" s="570"/>
      <c r="F26" s="570"/>
      <c r="G26" s="570"/>
      <c r="H26" s="820">
        <f>'Report YE'!T69*'Input Tax Rate'!$B$36</f>
        <v>-892.88414280523511</v>
      </c>
      <c r="I26" s="570"/>
      <c r="J26" s="570"/>
      <c r="K26" s="822">
        <f>'Report YE'!T69*'Input Tax Rate'!$B$37</f>
        <v>-2859.8888471947653</v>
      </c>
      <c r="L26" s="570">
        <f t="shared" si="0"/>
        <v>-3752.7729900000004</v>
      </c>
      <c r="M26" s="568"/>
      <c r="N26" s="568"/>
      <c r="O26" s="857"/>
      <c r="Q26" s="857"/>
    </row>
    <row r="27" spans="1:17">
      <c r="A27" s="953" t="s">
        <v>82</v>
      </c>
      <c r="B27" s="953"/>
      <c r="C27" s="953"/>
      <c r="D27" s="570"/>
      <c r="E27" s="570"/>
      <c r="F27" s="570"/>
      <c r="G27" s="570"/>
      <c r="H27" s="570"/>
      <c r="I27" s="570"/>
      <c r="J27" s="570"/>
      <c r="K27" s="570">
        <f>Reconcil!B129</f>
        <v>0</v>
      </c>
      <c r="L27" s="570">
        <f t="shared" si="0"/>
        <v>0</v>
      </c>
      <c r="M27" s="568"/>
      <c r="N27" s="568"/>
      <c r="O27" s="1047"/>
    </row>
    <row r="28" spans="1:17">
      <c r="A28" s="953" t="s">
        <v>13</v>
      </c>
      <c r="B28" s="953"/>
      <c r="C28" s="953"/>
      <c r="D28" s="570"/>
      <c r="E28" s="570"/>
      <c r="F28" s="570"/>
      <c r="G28" s="570">
        <f>Reconcil!B135</f>
        <v>0</v>
      </c>
      <c r="H28" s="570"/>
      <c r="I28" s="570"/>
      <c r="J28" s="570"/>
      <c r="K28" s="570"/>
      <c r="L28" s="570">
        <f t="shared" si="0"/>
        <v>0</v>
      </c>
      <c r="M28" s="568"/>
      <c r="N28" s="568"/>
      <c r="P28" s="953"/>
    </row>
    <row r="29" spans="1:17">
      <c r="A29" s="989" t="s">
        <v>83</v>
      </c>
      <c r="B29" s="953"/>
      <c r="C29" s="953"/>
      <c r="D29" s="570"/>
      <c r="E29" s="570"/>
      <c r="F29" s="570"/>
      <c r="G29" s="570"/>
      <c r="H29" s="570"/>
      <c r="I29" s="570"/>
      <c r="J29" s="570"/>
      <c r="K29" s="570">
        <f>IF((Reconcil!$B$138-Reconcil!$B$96)&lt;0,(Reconcil!$B$138-Reconcil!$B$96),0)</f>
        <v>-601.75800000000004</v>
      </c>
      <c r="L29" s="570">
        <f t="shared" si="0"/>
        <v>-601.75800000000004</v>
      </c>
      <c r="M29" s="568"/>
      <c r="N29" s="568"/>
      <c r="P29" s="953"/>
    </row>
    <row r="30" spans="1:17">
      <c r="A30" s="989" t="s">
        <v>1704</v>
      </c>
      <c r="B30" s="953"/>
      <c r="C30" s="953"/>
      <c r="D30" s="570"/>
      <c r="E30" s="570"/>
      <c r="F30" s="570"/>
      <c r="G30" s="570"/>
      <c r="H30" s="570"/>
      <c r="I30" s="570"/>
      <c r="J30" s="570"/>
      <c r="K30" s="570">
        <f>IF((Reconcil!$B$139-Reconcil!$B$97)&lt;0,(Reconcil!$B$139-Reconcil!$B$97),0)</f>
        <v>-563.79399999999998</v>
      </c>
      <c r="L30" s="570">
        <f t="shared" si="0"/>
        <v>-563.79399999999998</v>
      </c>
      <c r="M30" s="568"/>
      <c r="N30" s="568"/>
      <c r="P30" s="953"/>
    </row>
    <row r="31" spans="1:17">
      <c r="A31" s="953" t="s">
        <v>18</v>
      </c>
      <c r="B31" s="953"/>
      <c r="C31" s="953"/>
      <c r="D31" s="570"/>
      <c r="E31" s="570"/>
      <c r="F31" s="570"/>
      <c r="G31" s="570"/>
      <c r="H31" s="570"/>
      <c r="I31" s="570"/>
      <c r="J31" s="570"/>
      <c r="K31" s="574">
        <f>+N36</f>
        <v>0</v>
      </c>
      <c r="L31" s="570">
        <f t="shared" si="0"/>
        <v>0</v>
      </c>
      <c r="M31" s="568"/>
      <c r="N31" s="568"/>
      <c r="P31" s="953"/>
    </row>
    <row r="32" spans="1:17">
      <c r="A32" s="953" t="s">
        <v>472</v>
      </c>
      <c r="B32" s="953"/>
      <c r="C32" s="953"/>
      <c r="D32" s="570"/>
      <c r="E32" s="570"/>
      <c r="F32" s="570"/>
      <c r="G32" s="570"/>
      <c r="H32" s="570"/>
      <c r="I32" s="570"/>
      <c r="J32" s="570"/>
      <c r="K32" s="919">
        <v>0</v>
      </c>
      <c r="L32" s="570">
        <f t="shared" si="0"/>
        <v>0</v>
      </c>
      <c r="M32" s="568"/>
      <c r="N32" s="568"/>
      <c r="P32" s="953"/>
    </row>
    <row r="33" spans="1:16">
      <c r="A33" s="953" t="s">
        <v>84</v>
      </c>
      <c r="B33" s="953"/>
      <c r="C33" s="953"/>
      <c r="D33" s="570"/>
      <c r="E33" s="570"/>
      <c r="F33" s="570"/>
      <c r="G33" s="570">
        <f>-Reconcil!B58</f>
        <v>-1939.5515500000001</v>
      </c>
      <c r="H33" s="570"/>
      <c r="I33" s="570"/>
      <c r="J33" s="570"/>
      <c r="K33" s="570"/>
      <c r="L33" s="570">
        <f t="shared" si="0"/>
        <v>-1939.5515500000001</v>
      </c>
      <c r="M33" s="568"/>
      <c r="N33" s="568" t="s">
        <v>85</v>
      </c>
      <c r="P33" s="1048"/>
    </row>
    <row r="34" spans="1:16">
      <c r="A34" s="953" t="s">
        <v>86</v>
      </c>
      <c r="B34" s="953"/>
      <c r="C34" s="953"/>
      <c r="D34" s="570"/>
      <c r="E34" s="570"/>
      <c r="F34" s="570"/>
      <c r="G34" s="822">
        <f>'Report YE'!J63*'Input Tax Rate'!$B$37</f>
        <v>-673.69813589541332</v>
      </c>
      <c r="H34" s="820">
        <f>'Report YE'!J63*'Input Tax Rate'!$B$36</f>
        <v>-210.3348817799334</v>
      </c>
      <c r="I34" s="570"/>
      <c r="J34" s="570"/>
      <c r="K34" s="570"/>
      <c r="L34" s="570">
        <f t="shared" si="0"/>
        <v>-884.03301767534674</v>
      </c>
      <c r="M34" s="568"/>
      <c r="N34" s="568" t="s">
        <v>87</v>
      </c>
      <c r="P34" s="953"/>
    </row>
    <row r="35" spans="1:16" ht="13.5" thickBot="1">
      <c r="A35" s="953" t="s">
        <v>474</v>
      </c>
      <c r="B35" s="953"/>
      <c r="C35" s="953"/>
      <c r="D35" s="570"/>
      <c r="E35" s="570"/>
      <c r="F35" s="570"/>
      <c r="G35" s="570"/>
      <c r="H35" s="570"/>
      <c r="I35" s="570"/>
      <c r="J35" s="570"/>
      <c r="K35" s="570">
        <f>+'Report YE'!R71</f>
        <v>0</v>
      </c>
      <c r="L35" s="570">
        <f t="shared" si="0"/>
        <v>0</v>
      </c>
      <c r="M35" s="570"/>
      <c r="N35" s="568" t="s">
        <v>88</v>
      </c>
      <c r="P35" s="953"/>
    </row>
    <row r="36" spans="1:16" ht="13.5" thickBot="1">
      <c r="A36" s="953" t="s">
        <v>408</v>
      </c>
      <c r="B36" s="953"/>
      <c r="C36" s="953"/>
      <c r="D36" s="570"/>
      <c r="E36" s="570"/>
      <c r="F36" s="570"/>
      <c r="G36" s="570"/>
      <c r="H36" s="820">
        <f>'Report YE'!J72*'Input Tax Rate'!$B$36</f>
        <v>0</v>
      </c>
      <c r="I36" s="570"/>
      <c r="J36" s="570"/>
      <c r="K36" s="822">
        <f>'Report YE'!J72*'Input Tax Rate'!$B$37</f>
        <v>0</v>
      </c>
      <c r="L36" s="570">
        <f t="shared" si="0"/>
        <v>0</v>
      </c>
      <c r="M36" s="570"/>
      <c r="N36" s="576">
        <v>0</v>
      </c>
      <c r="P36" s="953"/>
    </row>
    <row r="37" spans="1:16">
      <c r="A37" s="953" t="s">
        <v>89</v>
      </c>
      <c r="B37" s="953"/>
      <c r="C37" s="953"/>
      <c r="D37" s="570"/>
      <c r="E37" s="570"/>
      <c r="F37" s="570"/>
      <c r="G37" s="570">
        <v>0</v>
      </c>
      <c r="H37" s="570"/>
      <c r="I37" s="570">
        <f>-G37</f>
        <v>0</v>
      </c>
      <c r="J37" s="570"/>
      <c r="K37" s="570"/>
      <c r="L37" s="570">
        <f t="shared" si="0"/>
        <v>0</v>
      </c>
      <c r="M37" s="568"/>
      <c r="N37" s="568"/>
    </row>
    <row r="38" spans="1:16">
      <c r="A38" s="953" t="s">
        <v>2341</v>
      </c>
      <c r="B38" s="953"/>
      <c r="C38" s="953"/>
      <c r="D38" s="570"/>
      <c r="E38" s="570"/>
      <c r="F38" s="570"/>
      <c r="G38" s="570"/>
      <c r="H38" s="570"/>
      <c r="I38" s="570"/>
      <c r="J38" s="822">
        <f>+'Report YE'!T75</f>
        <v>-46994.371800000008</v>
      </c>
      <c r="K38" s="570"/>
      <c r="L38" s="570">
        <f t="shared" si="0"/>
        <v>-46994.371800000008</v>
      </c>
      <c r="M38" s="568"/>
      <c r="N38" s="568"/>
    </row>
    <row r="39" spans="1:16">
      <c r="A39" s="953" t="s">
        <v>480</v>
      </c>
      <c r="B39" s="953"/>
      <c r="C39" s="953"/>
      <c r="D39" s="570"/>
      <c r="E39" s="570"/>
      <c r="F39" s="570"/>
      <c r="G39" s="577"/>
      <c r="H39" s="570"/>
      <c r="I39" s="570"/>
      <c r="J39" s="570"/>
      <c r="K39" s="570"/>
      <c r="L39" s="570">
        <f t="shared" si="0"/>
        <v>0</v>
      </c>
      <c r="M39" s="568"/>
      <c r="N39" s="568"/>
    </row>
    <row r="40" spans="1:16">
      <c r="A40" s="953" t="s">
        <v>479</v>
      </c>
      <c r="D40" s="570">
        <f>(-G40-H40)</f>
        <v>-396.66621731550845</v>
      </c>
      <c r="E40" s="570"/>
      <c r="F40" s="570"/>
      <c r="G40" s="1176">
        <f>-Input!EP39/1000</f>
        <v>299.3582100000001</v>
      </c>
      <c r="H40" s="1176">
        <f>-Input!EP41/1000</f>
        <v>97.30800731550832</v>
      </c>
      <c r="I40" s="570"/>
      <c r="J40" s="570"/>
      <c r="K40" s="570"/>
      <c r="L40" s="570">
        <f t="shared" si="0"/>
        <v>0</v>
      </c>
      <c r="M40" s="568"/>
      <c r="N40" s="568"/>
    </row>
    <row r="41" spans="1:16">
      <c r="A41" s="1048" t="s">
        <v>534</v>
      </c>
      <c r="B41" s="953"/>
      <c r="C41" s="953"/>
      <c r="D41" s="578"/>
      <c r="E41" s="579"/>
      <c r="F41" s="579"/>
      <c r="G41" s="579"/>
      <c r="H41" s="844">
        <f>'Report YE'!T74*'Input Tax Rate'!$B$36</f>
        <v>-9812.3167650358209</v>
      </c>
      <c r="I41" s="580"/>
      <c r="J41" s="845">
        <f>'Report YE'!T74*'Input Tax Rate'!$B$37</f>
        <v>-31428.641114964179</v>
      </c>
      <c r="K41" s="580"/>
      <c r="L41" s="580">
        <f t="shared" si="0"/>
        <v>-41240.957880000002</v>
      </c>
      <c r="M41" s="571"/>
      <c r="N41" s="571"/>
    </row>
    <row r="42" spans="1:16">
      <c r="A42" s="953" t="s">
        <v>90</v>
      </c>
      <c r="B42" s="953"/>
      <c r="C42" s="953"/>
      <c r="D42" s="581"/>
      <c r="E42" s="581"/>
      <c r="F42" s="581"/>
      <c r="G42" s="581"/>
      <c r="H42" s="581"/>
      <c r="I42" s="581"/>
      <c r="J42" s="581"/>
      <c r="K42" s="581"/>
      <c r="L42" s="581"/>
      <c r="M42" s="568"/>
      <c r="N42" s="568"/>
    </row>
    <row r="43" spans="1:16">
      <c r="D43" s="568">
        <f t="shared" ref="D43:K43" si="1">SUM(D14:D41)</f>
        <v>-4645.6114973155081</v>
      </c>
      <c r="E43" s="568">
        <f t="shared" si="1"/>
        <v>0</v>
      </c>
      <c r="F43" s="568">
        <f t="shared" si="1"/>
        <v>0</v>
      </c>
      <c r="G43" s="568">
        <f t="shared" si="1"/>
        <v>-3341.6681958954132</v>
      </c>
      <c r="H43" s="568">
        <f t="shared" si="1"/>
        <v>-11019.740307191742</v>
      </c>
      <c r="I43" s="568">
        <f t="shared" si="1"/>
        <v>0</v>
      </c>
      <c r="J43" s="568">
        <f>SUM(J14:J41)</f>
        <v>-78423.012914964187</v>
      </c>
      <c r="K43" s="568">
        <f t="shared" si="1"/>
        <v>-31181.619652308505</v>
      </c>
      <c r="L43" s="568">
        <f>SUM(L14:L41)</f>
        <v>-128611.65256767537</v>
      </c>
      <c r="M43" s="568"/>
      <c r="N43" s="568"/>
    </row>
    <row r="44" spans="1:16">
      <c r="A44" s="953" t="s">
        <v>91</v>
      </c>
      <c r="B44" s="953"/>
      <c r="C44" s="953"/>
      <c r="D44" s="571"/>
      <c r="E44" s="571"/>
      <c r="F44" s="571"/>
      <c r="G44" s="571"/>
      <c r="H44" s="571"/>
      <c r="I44" s="571"/>
      <c r="J44" s="571"/>
      <c r="K44" s="571"/>
      <c r="L44" s="571"/>
      <c r="M44" s="571"/>
      <c r="N44" s="571"/>
      <c r="O44" t="s">
        <v>2552</v>
      </c>
    </row>
    <row r="45" spans="1:16" ht="13.5" thickBot="1">
      <c r="A45" s="953"/>
      <c r="B45" s="953"/>
      <c r="C45" s="953"/>
      <c r="D45" s="568"/>
      <c r="E45" s="568"/>
      <c r="F45" s="568"/>
      <c r="G45" s="568"/>
      <c r="H45" s="568"/>
      <c r="I45" s="568"/>
      <c r="J45" s="568"/>
      <c r="K45" s="568"/>
      <c r="L45" s="582">
        <f>SUM(L10:L42)</f>
        <v>1633421.683702325</v>
      </c>
      <c r="M45" s="568"/>
      <c r="N45" s="568">
        <f>+'Report YE'!T83</f>
        <v>1633421.6837023243</v>
      </c>
      <c r="O45" t="s">
        <v>325</v>
      </c>
    </row>
    <row r="46" spans="1:16" ht="14.25" thickTop="1" thickBot="1">
      <c r="D46" s="568"/>
      <c r="E46" s="568"/>
      <c r="F46" s="568"/>
      <c r="G46" s="568"/>
      <c r="H46" s="568"/>
      <c r="I46" s="568"/>
      <c r="J46" s="568"/>
      <c r="K46" s="568"/>
      <c r="L46" s="581"/>
      <c r="M46" s="568"/>
      <c r="N46" s="583">
        <f>+L45-N45</f>
        <v>0</v>
      </c>
    </row>
    <row r="48" spans="1:16">
      <c r="A48" s="1049"/>
      <c r="B48" s="1049"/>
      <c r="C48" s="1049"/>
      <c r="D48" s="1049"/>
      <c r="E48" s="1049"/>
      <c r="F48" s="1049"/>
      <c r="G48" s="1049"/>
      <c r="H48" s="1049"/>
      <c r="I48" s="1049"/>
      <c r="J48" s="1049"/>
      <c r="K48" s="1049"/>
      <c r="L48" s="1049"/>
      <c r="M48" s="1049"/>
      <c r="N48" s="1049"/>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74"/>
  <sheetViews>
    <sheetView workbookViewId="0">
      <selection sqref="A1:I1"/>
    </sheetView>
  </sheetViews>
  <sheetFormatPr defaultColWidth="27.85546875" defaultRowHeight="15"/>
  <cols>
    <col min="1" max="1" width="33.7109375" style="874" customWidth="1"/>
    <col min="2" max="2" width="1.85546875" style="874" customWidth="1"/>
    <col min="3" max="3" width="17.42578125" style="874" bestFit="1" customWidth="1"/>
    <col min="4" max="4" width="1.85546875" style="874" customWidth="1"/>
    <col min="5" max="5" width="15.5703125" style="874" bestFit="1" customWidth="1"/>
    <col min="6" max="6" width="1.85546875" style="874" customWidth="1"/>
    <col min="7" max="7" width="17.42578125" style="874" bestFit="1" customWidth="1"/>
    <col min="8" max="8" width="1.85546875" style="874" customWidth="1"/>
    <col min="9" max="9" width="19.42578125" style="874" customWidth="1"/>
    <col min="10" max="16384" width="27.85546875" style="874"/>
  </cols>
  <sheetData>
    <row r="1" spans="1:9" ht="18" customHeight="1">
      <c r="A1" s="1364" t="s">
        <v>2398</v>
      </c>
      <c r="B1" s="1364"/>
      <c r="C1" s="1364"/>
      <c r="D1" s="1364"/>
      <c r="E1" s="1364"/>
      <c r="F1" s="1364"/>
      <c r="G1" s="1364"/>
      <c r="H1" s="1364"/>
      <c r="I1" s="1364"/>
    </row>
    <row r="2" spans="1:9" s="903" customFormat="1" ht="18" customHeight="1">
      <c r="A2" s="1364" t="s">
        <v>2428</v>
      </c>
      <c r="B2" s="1364"/>
      <c r="C2" s="1364"/>
      <c r="D2" s="1364"/>
      <c r="E2" s="1364"/>
      <c r="F2" s="1364"/>
      <c r="G2" s="1364"/>
      <c r="H2" s="1364"/>
      <c r="I2" s="1364"/>
    </row>
    <row r="3" spans="1:9" ht="18" customHeight="1">
      <c r="A3" s="1363" t="s">
        <v>2703</v>
      </c>
      <c r="B3" s="1364"/>
      <c r="C3" s="1364"/>
      <c r="D3" s="1364"/>
      <c r="E3" s="1364"/>
      <c r="F3" s="1364"/>
      <c r="G3" s="1364"/>
      <c r="H3" s="1364"/>
      <c r="I3" s="1364"/>
    </row>
    <row r="4" spans="1:9" ht="18" customHeight="1">
      <c r="A4" s="1365" t="s">
        <v>1858</v>
      </c>
      <c r="B4" s="1365"/>
      <c r="C4" s="1365"/>
      <c r="D4" s="1365"/>
      <c r="E4" s="1365"/>
      <c r="F4" s="1365"/>
      <c r="G4" s="1365"/>
      <c r="H4" s="1365"/>
      <c r="I4" s="1365"/>
    </row>
    <row r="5" spans="1:9" ht="18" customHeight="1">
      <c r="A5" s="871"/>
      <c r="B5" s="872"/>
      <c r="C5" s="872"/>
      <c r="D5" s="872"/>
      <c r="E5" s="872"/>
      <c r="F5" s="872"/>
      <c r="G5" s="1366" t="s">
        <v>2399</v>
      </c>
      <c r="H5" s="1366"/>
      <c r="I5" s="1366"/>
    </row>
    <row r="6" spans="1:9" ht="18" customHeight="1">
      <c r="A6" s="871"/>
      <c r="B6" s="872"/>
      <c r="C6" s="872"/>
      <c r="D6" s="872"/>
      <c r="E6" s="872"/>
      <c r="F6" s="872"/>
      <c r="G6" s="872"/>
      <c r="H6" s="872"/>
      <c r="I6" s="872"/>
    </row>
    <row r="7" spans="1:9" ht="18" customHeight="1">
      <c r="E7" s="875"/>
      <c r="G7" s="875"/>
      <c r="I7" s="876"/>
    </row>
    <row r="8" spans="1:9" ht="18" customHeight="1">
      <c r="C8" s="877" t="s">
        <v>172</v>
      </c>
      <c r="G8" s="877"/>
      <c r="I8" s="876" t="s">
        <v>167</v>
      </c>
    </row>
    <row r="9" spans="1:9" ht="18" customHeight="1">
      <c r="A9" s="878"/>
      <c r="C9" s="877" t="s">
        <v>2400</v>
      </c>
      <c r="D9" s="877"/>
      <c r="E9" s="877" t="s">
        <v>2401</v>
      </c>
      <c r="F9" s="877"/>
      <c r="G9" s="877" t="s">
        <v>2402</v>
      </c>
      <c r="H9" s="877"/>
      <c r="I9" s="876" t="s">
        <v>2402</v>
      </c>
    </row>
    <row r="10" spans="1:9" ht="18" customHeight="1">
      <c r="A10" s="879" t="s">
        <v>2403</v>
      </c>
      <c r="C10" s="880" t="s">
        <v>2404</v>
      </c>
      <c r="D10" s="877"/>
      <c r="E10" s="879" t="s">
        <v>168</v>
      </c>
      <c r="F10" s="877"/>
      <c r="G10" s="879" t="s">
        <v>2401</v>
      </c>
      <c r="H10" s="877"/>
      <c r="I10" s="879" t="s">
        <v>2401</v>
      </c>
    </row>
    <row r="11" spans="1:9" ht="18" customHeight="1"/>
    <row r="12" spans="1:9" ht="18" customHeight="1">
      <c r="A12" s="874" t="s">
        <v>174</v>
      </c>
      <c r="B12" s="881"/>
      <c r="C12" s="895">
        <f>+'AFUDC Sch B'!G12</f>
        <v>446206.09622370056</v>
      </c>
      <c r="E12" s="882">
        <f>ROUND(C12/$C$24*100,2)/100</f>
        <v>0.29980000000000001</v>
      </c>
      <c r="F12" s="875"/>
      <c r="G12" s="882">
        <f>+'Debt &amp; Cust Dep'!DR35</f>
        <v>3.7900000000000003E-2</v>
      </c>
      <c r="I12" s="882">
        <f>ROUND(E12*G12,4)</f>
        <v>1.14E-2</v>
      </c>
    </row>
    <row r="13" spans="1:9" ht="18" customHeight="1">
      <c r="B13" s="881"/>
      <c r="E13" s="882"/>
      <c r="F13" s="875"/>
      <c r="G13" s="882"/>
      <c r="H13" s="875"/>
      <c r="I13" s="882"/>
    </row>
    <row r="14" spans="1:9" ht="18" customHeight="1">
      <c r="A14" s="874" t="s">
        <v>175</v>
      </c>
      <c r="B14" s="883"/>
      <c r="C14" s="874">
        <f>+'AFUDC Sch B'!G14</f>
        <v>118491.7498990843</v>
      </c>
      <c r="E14" s="1338">
        <f>ROUND(C14/$C$24*100,2)/100+0.0001</f>
        <v>7.9700000000000007E-2</v>
      </c>
      <c r="F14" s="875"/>
      <c r="G14" s="882">
        <f>+Report!P162/100</f>
        <v>6.2050050668665232E-3</v>
      </c>
      <c r="H14" s="875" t="s">
        <v>2430</v>
      </c>
      <c r="I14" s="882">
        <f>ROUND(E14*G14,4)</f>
        <v>5.0000000000000001E-4</v>
      </c>
    </row>
    <row r="15" spans="1:9" ht="18" customHeight="1">
      <c r="B15" s="883"/>
      <c r="E15" s="882"/>
      <c r="F15" s="875"/>
      <c r="G15" s="882"/>
      <c r="H15" s="875"/>
      <c r="I15" s="882"/>
    </row>
    <row r="16" spans="1:9" ht="18" customHeight="1">
      <c r="A16" s="874" t="s">
        <v>17</v>
      </c>
      <c r="B16" s="883"/>
      <c r="C16" s="874">
        <f>+'AFUDC Sch B'!G16</f>
        <v>24832.410710402</v>
      </c>
      <c r="E16" s="882">
        <f>ROUND(C16/$C$24*100,2)/100</f>
        <v>1.67E-2</v>
      </c>
      <c r="F16" s="875"/>
      <c r="G16" s="882">
        <f>+Report!P164/100</f>
        <v>2.4899999999999999E-2</v>
      </c>
      <c r="H16" s="875" t="s">
        <v>2430</v>
      </c>
      <c r="I16" s="882">
        <f>ROUND(E16*G16,4)</f>
        <v>4.0000000000000002E-4</v>
      </c>
    </row>
    <row r="17" spans="1:9" ht="18" customHeight="1">
      <c r="B17" s="883"/>
      <c r="E17" s="882"/>
      <c r="F17" s="875"/>
      <c r="G17" s="882"/>
      <c r="H17" s="875"/>
      <c r="I17" s="882"/>
    </row>
    <row r="18" spans="1:9" ht="18" customHeight="1">
      <c r="A18" s="874" t="s">
        <v>176</v>
      </c>
      <c r="B18" s="883"/>
      <c r="C18" s="874">
        <f>+'AFUDC Sch B'!G18</f>
        <v>681875.76562729245</v>
      </c>
      <c r="E18" s="882">
        <f>ROUND(C18/$C$24*100,2)/100</f>
        <v>0.4582</v>
      </c>
      <c r="F18" s="875"/>
      <c r="G18" s="882">
        <f>+Report!P166/100</f>
        <v>9.9000000000000005E-2</v>
      </c>
      <c r="H18" s="875"/>
      <c r="I18" s="882">
        <f>ROUND(E18*G18,4)</f>
        <v>4.5400000000000003E-2</v>
      </c>
    </row>
    <row r="19" spans="1:9" ht="18" customHeight="1">
      <c r="B19" s="883"/>
      <c r="E19" s="882"/>
      <c r="F19" s="875"/>
      <c r="G19" s="884"/>
      <c r="H19" s="875"/>
      <c r="I19" s="882"/>
    </row>
    <row r="20" spans="1:9" ht="18" customHeight="1">
      <c r="A20" s="874" t="s">
        <v>177</v>
      </c>
      <c r="B20" s="883"/>
      <c r="C20" s="874">
        <f>+'AFUDC Sch B'!G20</f>
        <v>216723.81845104459</v>
      </c>
      <c r="E20" s="882">
        <f>ROUND(C20/$C$24*100,2)/100</f>
        <v>0.14560000000000001</v>
      </c>
      <c r="F20" s="875"/>
      <c r="G20" s="882">
        <v>0</v>
      </c>
      <c r="H20" s="875"/>
      <c r="I20" s="885">
        <f>ROUND(E20*G20,4)</f>
        <v>0</v>
      </c>
    </row>
    <row r="21" spans="1:9" ht="18" customHeight="1">
      <c r="B21" s="883"/>
      <c r="E21" s="882"/>
      <c r="F21" s="875"/>
      <c r="G21" s="882"/>
      <c r="H21" s="875"/>
      <c r="I21" s="885"/>
    </row>
    <row r="22" spans="1:9" ht="18" customHeight="1">
      <c r="A22" s="874" t="s">
        <v>2405</v>
      </c>
      <c r="B22" s="883"/>
      <c r="C22" s="887">
        <f>+'AFUDC Sch B'!G22</f>
        <v>0</v>
      </c>
      <c r="E22" s="886">
        <f>ROUND(C22/$C$24*100,2)/100</f>
        <v>0</v>
      </c>
      <c r="F22" s="875"/>
      <c r="G22" s="882">
        <v>0</v>
      </c>
      <c r="H22" s="875"/>
      <c r="I22" s="887">
        <f>ROUND(E22*G22,4)</f>
        <v>0</v>
      </c>
    </row>
    <row r="23" spans="1:9" ht="18" customHeight="1">
      <c r="B23" s="883"/>
      <c r="E23" s="888"/>
      <c r="F23" s="875"/>
      <c r="G23" s="882"/>
      <c r="H23" s="875"/>
      <c r="I23" s="889"/>
    </row>
    <row r="24" spans="1:9" ht="18" customHeight="1">
      <c r="A24" s="877" t="s">
        <v>1</v>
      </c>
      <c r="B24" s="881"/>
      <c r="C24" s="895">
        <f>SUM(C12:C22)</f>
        <v>1488129.8409115239</v>
      </c>
      <c r="E24" s="882">
        <f>SUM(E12:E22)</f>
        <v>1</v>
      </c>
      <c r="F24" s="875"/>
      <c r="G24" s="875"/>
      <c r="H24" s="875"/>
      <c r="I24" s="882">
        <f>SUM(I12:I22)</f>
        <v>5.7700000000000001E-2</v>
      </c>
    </row>
    <row r="25" spans="1:9" ht="18" customHeight="1"/>
    <row r="26" spans="1:9" ht="18" customHeight="1"/>
    <row r="27" spans="1:9" ht="18" customHeight="1">
      <c r="A27" s="874" t="s">
        <v>2431</v>
      </c>
    </row>
    <row r="28" spans="1:9" ht="18" customHeight="1"/>
    <row r="29" spans="1:9" ht="18" customHeight="1">
      <c r="A29" s="1367" t="s">
        <v>2784</v>
      </c>
      <c r="B29" s="1368"/>
      <c r="C29" s="1368"/>
      <c r="D29" s="1368"/>
      <c r="E29" s="1368"/>
      <c r="F29" s="1368"/>
      <c r="G29" s="1368"/>
      <c r="H29" s="1368"/>
      <c r="I29" s="1368"/>
    </row>
    <row r="30" spans="1:9" ht="18" customHeight="1">
      <c r="A30" s="1368"/>
      <c r="B30" s="1368"/>
      <c r="C30" s="1368"/>
      <c r="D30" s="1368"/>
      <c r="E30" s="1368"/>
      <c r="F30" s="1368"/>
      <c r="G30" s="1368"/>
      <c r="H30" s="1368"/>
      <c r="I30" s="1368"/>
    </row>
    <row r="31" spans="1:9" ht="18" customHeight="1"/>
    <row r="32" spans="1:9" ht="18" customHeight="1">
      <c r="H32" s="904"/>
      <c r="I32" s="1334" t="s">
        <v>2791</v>
      </c>
    </row>
    <row r="33" spans="7:9" ht="18" customHeight="1">
      <c r="H33" s="904"/>
      <c r="I33" s="1334" t="s">
        <v>2790</v>
      </c>
    </row>
    <row r="34" spans="7:9" ht="18" customHeight="1">
      <c r="H34" s="910"/>
      <c r="I34" s="910"/>
    </row>
    <row r="35" spans="7:9" ht="18" customHeight="1">
      <c r="G35" s="874" t="s">
        <v>2785</v>
      </c>
      <c r="H35" s="873"/>
      <c r="I35" s="1335">
        <f>1-I36</f>
        <v>0.21317157712305024</v>
      </c>
    </row>
    <row r="36" spans="7:9" ht="18" customHeight="1">
      <c r="G36" s="874" t="s">
        <v>2786</v>
      </c>
      <c r="H36" s="873"/>
      <c r="I36" s="1335">
        <f>+I18/I24</f>
        <v>0.78682842287694976</v>
      </c>
    </row>
    <row r="37" spans="7:9" ht="18" customHeight="1">
      <c r="H37" s="873"/>
      <c r="I37" s="873"/>
    </row>
    <row r="38" spans="7:9" ht="18" customHeight="1">
      <c r="H38" s="873"/>
      <c r="I38" s="873"/>
    </row>
    <row r="39" spans="7:9" ht="18" customHeight="1">
      <c r="H39" s="873"/>
      <c r="I39" s="873"/>
    </row>
    <row r="40" spans="7:9" ht="18" customHeight="1">
      <c r="H40" s="873"/>
      <c r="I40" s="873"/>
    </row>
    <row r="41" spans="7:9" ht="18" customHeight="1"/>
    <row r="42" spans="7:9" ht="18" customHeight="1"/>
    <row r="43" spans="7:9" ht="18" customHeight="1"/>
    <row r="44" spans="7:9" ht="18" customHeight="1"/>
    <row r="45" spans="7:9" ht="18" customHeight="1"/>
    <row r="46" spans="7:9" ht="18" customHeight="1">
      <c r="I46" s="877"/>
    </row>
    <row r="47" spans="7:9" ht="18" customHeight="1">
      <c r="I47" s="877"/>
    </row>
    <row r="48" spans="7:9" ht="18" customHeight="1">
      <c r="I48" s="877"/>
    </row>
    <row r="49" spans="9:9" ht="18" customHeight="1"/>
    <row r="50" spans="9:9" ht="18" customHeight="1">
      <c r="I50" s="911"/>
    </row>
    <row r="51" spans="9:9" ht="18" customHeight="1">
      <c r="I51" s="911"/>
    </row>
    <row r="52" spans="9:9" ht="18" customHeight="1">
      <c r="I52" s="911"/>
    </row>
    <row r="53" spans="9:9" ht="18" customHeight="1">
      <c r="I53" s="911"/>
    </row>
    <row r="54" spans="9:9" ht="18" customHeight="1">
      <c r="I54" s="911"/>
    </row>
    <row r="55" spans="9:9" ht="18" customHeight="1">
      <c r="I55" s="911"/>
    </row>
    <row r="56" spans="9:9" ht="18" customHeight="1">
      <c r="I56" s="911"/>
    </row>
    <row r="57" spans="9:9" ht="18" customHeight="1">
      <c r="I57" s="911"/>
    </row>
    <row r="58" spans="9:9" ht="18" customHeight="1">
      <c r="I58" s="911"/>
    </row>
    <row r="59" spans="9:9" ht="18" customHeight="1">
      <c r="I59" s="911"/>
    </row>
    <row r="60" spans="9:9" ht="18" customHeight="1">
      <c r="I60" s="911"/>
    </row>
    <row r="61" spans="9:9" ht="18" customHeight="1">
      <c r="I61" s="911"/>
    </row>
    <row r="62" spans="9:9" ht="18" customHeight="1">
      <c r="I62" s="911"/>
    </row>
    <row r="69" spans="1:7">
      <c r="A69" s="905" t="s">
        <v>2409</v>
      </c>
    </row>
    <row r="70" spans="1:7">
      <c r="A70" s="905" t="s">
        <v>2410</v>
      </c>
    </row>
    <row r="72" spans="1:7">
      <c r="A72" s="912">
        <v>5.9699999999999998E-4</v>
      </c>
      <c r="C72" s="874" t="s">
        <v>2411</v>
      </c>
    </row>
    <row r="73" spans="1:7">
      <c r="A73" s="912">
        <v>4.5199999999999998E-4</v>
      </c>
      <c r="C73" s="874" t="s">
        <v>2412</v>
      </c>
      <c r="E73" s="913">
        <v>0.75711892797319935</v>
      </c>
      <c r="G73" s="874" t="s">
        <v>2413</v>
      </c>
    </row>
    <row r="74" spans="1:7">
      <c r="A74" s="912">
        <v>1.45E-4</v>
      </c>
      <c r="C74" s="874" t="s">
        <v>2414</v>
      </c>
      <c r="E74" s="913">
        <v>0.24288107202680065</v>
      </c>
      <c r="G74" s="874" t="s">
        <v>2415</v>
      </c>
    </row>
  </sheetData>
  <mergeCells count="6">
    <mergeCell ref="A3:I3"/>
    <mergeCell ref="A4:I4"/>
    <mergeCell ref="G5:I5"/>
    <mergeCell ref="A1:I1"/>
    <mergeCell ref="A2:I2"/>
    <mergeCell ref="A29:I30"/>
  </mergeCells>
  <printOptions horizontalCentered="1"/>
  <pageMargins left="0.7" right="0.7" top="0.75" bottom="0.75" header="0.3" footer="0.3"/>
  <pageSetup scale="9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K45"/>
  <sheetViews>
    <sheetView workbookViewId="0">
      <selection sqref="A1:G1"/>
    </sheetView>
  </sheetViews>
  <sheetFormatPr defaultColWidth="2.28515625" defaultRowHeight="15"/>
  <cols>
    <col min="1" max="1" width="35" style="890" customWidth="1"/>
    <col min="2" max="2" width="2.140625" style="890" customWidth="1"/>
    <col min="3" max="3" width="20" style="890" customWidth="1"/>
    <col min="4" max="4" width="2.140625" style="890" customWidth="1"/>
    <col min="5" max="5" width="20" style="890" customWidth="1"/>
    <col min="6" max="6" width="2.140625" style="890" customWidth="1"/>
    <col min="7" max="7" width="20" style="890" customWidth="1"/>
    <col min="8" max="8" width="2.28515625" style="890" customWidth="1"/>
    <col min="9" max="9" width="9.7109375" style="890" customWidth="1"/>
    <col min="10" max="10" width="2.28515625" style="890" customWidth="1"/>
    <col min="11" max="11" width="9.7109375" style="890" customWidth="1"/>
    <col min="12" max="215" width="13.5703125" style="890" customWidth="1"/>
    <col min="216" max="216" width="31.140625" style="890" customWidth="1"/>
    <col min="217" max="217" width="14.140625" style="890" customWidth="1"/>
    <col min="218" max="218" width="2.28515625" style="890" customWidth="1"/>
    <col min="219" max="219" width="9.7109375" style="890" customWidth="1"/>
    <col min="220" max="220" width="2.28515625" style="890" customWidth="1"/>
    <col min="221" max="221" width="9.7109375" style="890" customWidth="1"/>
    <col min="222" max="222" width="2.28515625" style="890" customWidth="1"/>
    <col min="223" max="223" width="9.7109375" style="890" customWidth="1"/>
    <col min="224" max="224" width="2.28515625" style="890" customWidth="1"/>
    <col min="225" max="225" width="11" style="890" customWidth="1"/>
    <col min="226" max="226" width="2.28515625" style="890" customWidth="1"/>
    <col min="227" max="227" width="9.7109375" style="890" customWidth="1"/>
    <col min="228" max="228" width="4.28515625" style="890" customWidth="1"/>
    <col min="229" max="229" width="12.28515625" style="890" customWidth="1"/>
    <col min="230" max="230" width="2.28515625" style="890" customWidth="1"/>
    <col min="231" max="231" width="9.7109375" style="890" customWidth="1"/>
    <col min="232" max="232" width="2.28515625" style="890" customWidth="1"/>
    <col min="233" max="233" width="9.7109375" style="890" customWidth="1"/>
    <col min="234" max="234" width="2.28515625" style="890" customWidth="1"/>
    <col min="235" max="235" width="9.7109375" style="890" customWidth="1"/>
    <col min="236" max="236" width="2.28515625" style="890" customWidth="1"/>
    <col min="237" max="237" width="9.7109375" style="890" customWidth="1"/>
    <col min="238" max="238" width="13.28515625" style="890" bestFit="1" customWidth="1"/>
    <col min="239" max="239" width="14" style="890" customWidth="1"/>
    <col min="240" max="241" width="13.5703125" style="890" customWidth="1"/>
    <col min="242" max="242" width="2.85546875" style="890" customWidth="1"/>
    <col min="243" max="243" width="19.28515625" style="890" bestFit="1" customWidth="1"/>
    <col min="244" max="244" width="8.85546875" style="890" bestFit="1" customWidth="1"/>
    <col min="245" max="245" width="13.5703125" style="890" customWidth="1"/>
    <col min="246" max="246" width="31.140625" style="890" customWidth="1"/>
    <col min="247" max="247" width="14.140625" style="890" customWidth="1"/>
    <col min="248" max="248" width="2.28515625" style="890" customWidth="1"/>
    <col min="249" max="249" width="9.7109375" style="890" customWidth="1"/>
    <col min="250" max="250" width="2.28515625" style="890" customWidth="1"/>
    <col min="251" max="251" width="9.7109375" style="890" customWidth="1"/>
    <col min="252" max="252" width="2.28515625" style="890" customWidth="1"/>
    <col min="253" max="253" width="9.7109375" style="890" customWidth="1"/>
    <col min="254" max="254" width="2.28515625" style="890" customWidth="1"/>
    <col min="255" max="255" width="11" style="890" customWidth="1"/>
    <col min="256" max="16384" width="2.28515625" style="890"/>
  </cols>
  <sheetData>
    <row r="1" spans="1:11" ht="16.5" customHeight="1">
      <c r="A1" s="1370" t="s">
        <v>204</v>
      </c>
      <c r="B1" s="1370"/>
      <c r="C1" s="1370"/>
      <c r="D1" s="1370"/>
      <c r="E1" s="1370"/>
      <c r="F1" s="1370"/>
      <c r="G1" s="1370"/>
      <c r="H1" s="899"/>
      <c r="I1" s="900"/>
      <c r="J1" s="900"/>
      <c r="K1" s="900"/>
    </row>
    <row r="2" spans="1:11" ht="15.75">
      <c r="A2" s="1370" t="s">
        <v>2428</v>
      </c>
      <c r="B2" s="1370"/>
      <c r="C2" s="1370"/>
      <c r="D2" s="1370"/>
      <c r="E2" s="1370"/>
      <c r="F2" s="1370"/>
      <c r="G2" s="1370"/>
      <c r="H2" s="899"/>
      <c r="I2" s="900"/>
      <c r="J2" s="900"/>
      <c r="K2" s="900"/>
    </row>
    <row r="3" spans="1:11" ht="15.75">
      <c r="A3" s="1371" t="s">
        <v>2703</v>
      </c>
      <c r="B3" s="1371"/>
      <c r="C3" s="1365"/>
      <c r="D3" s="1365"/>
      <c r="E3" s="1365"/>
      <c r="F3" s="1365"/>
      <c r="G3" s="1365"/>
      <c r="H3" s="899"/>
      <c r="I3" s="900"/>
      <c r="J3" s="900"/>
      <c r="K3" s="900"/>
    </row>
    <row r="4" spans="1:11" ht="15.75">
      <c r="A4" s="1365" t="s">
        <v>1858</v>
      </c>
      <c r="B4" s="1365"/>
      <c r="C4" s="1365"/>
      <c r="D4" s="1365"/>
      <c r="E4" s="1365"/>
      <c r="F4" s="1365"/>
      <c r="G4" s="1365"/>
      <c r="H4" s="899"/>
      <c r="I4" s="900"/>
      <c r="J4" s="900"/>
      <c r="K4" s="900"/>
    </row>
    <row r="5" spans="1:11" ht="18" customHeight="1">
      <c r="C5" s="891"/>
      <c r="D5" s="891"/>
      <c r="E5" s="1366" t="s">
        <v>2406</v>
      </c>
      <c r="F5" s="1366"/>
      <c r="G5" s="1366"/>
      <c r="H5" s="891"/>
      <c r="I5" s="891"/>
      <c r="J5" s="891"/>
      <c r="K5" s="891"/>
    </row>
    <row r="6" spans="1:11" ht="18" customHeight="1">
      <c r="C6" s="891"/>
      <c r="D6" s="891"/>
      <c r="E6" s="891"/>
      <c r="F6" s="891"/>
      <c r="G6" s="891"/>
      <c r="H6" s="891"/>
      <c r="I6" s="891"/>
      <c r="J6" s="891"/>
      <c r="K6" s="891"/>
    </row>
    <row r="7" spans="1:11" ht="18" customHeight="1">
      <c r="C7" s="891"/>
      <c r="D7" s="891"/>
      <c r="E7" s="891"/>
      <c r="F7" s="891"/>
      <c r="G7" s="891"/>
      <c r="H7" s="891"/>
      <c r="I7" s="891"/>
      <c r="J7" s="891"/>
      <c r="K7" s="891"/>
    </row>
    <row r="8" spans="1:11" ht="18" customHeight="1">
      <c r="C8" s="891"/>
      <c r="D8" s="891"/>
      <c r="F8" s="891"/>
      <c r="G8" s="892" t="s">
        <v>172</v>
      </c>
      <c r="H8" s="891"/>
      <c r="I8" s="891"/>
      <c r="J8" s="891"/>
      <c r="K8" s="891"/>
    </row>
    <row r="9" spans="1:11" ht="18" customHeight="1">
      <c r="C9" s="891"/>
      <c r="D9" s="891"/>
      <c r="E9" s="892" t="s">
        <v>2407</v>
      </c>
      <c r="F9" s="891"/>
      <c r="G9" s="892" t="s">
        <v>3</v>
      </c>
      <c r="H9" s="891"/>
      <c r="I9" s="891"/>
      <c r="J9" s="891"/>
      <c r="K9" s="891"/>
    </row>
    <row r="10" spans="1:11" ht="18" customHeight="1">
      <c r="A10" s="894" t="s">
        <v>2403</v>
      </c>
      <c r="C10" s="894" t="s">
        <v>101</v>
      </c>
      <c r="D10" s="891"/>
      <c r="E10" s="894" t="s">
        <v>2408</v>
      </c>
      <c r="F10" s="891"/>
      <c r="G10" s="894" t="s">
        <v>2404</v>
      </c>
      <c r="H10" s="891"/>
      <c r="I10" s="891"/>
      <c r="J10" s="891"/>
      <c r="K10" s="891"/>
    </row>
    <row r="11" spans="1:11" ht="18" customHeight="1">
      <c r="A11" s="893"/>
      <c r="C11" s="892"/>
      <c r="D11" s="891"/>
      <c r="E11" s="892"/>
      <c r="F11" s="891"/>
      <c r="G11" s="892"/>
      <c r="H11" s="891"/>
      <c r="I11" s="891"/>
      <c r="J11" s="891"/>
      <c r="K11" s="891"/>
    </row>
    <row r="12" spans="1:11" ht="18" customHeight="1">
      <c r="A12" s="890" t="s">
        <v>174</v>
      </c>
      <c r="C12" s="895">
        <f>+Report!B160</f>
        <v>483360.36676769238</v>
      </c>
      <c r="D12" s="896"/>
      <c r="E12" s="895">
        <f>+Report!D160+Report!F160</f>
        <v>-35813.977689861284</v>
      </c>
      <c r="F12" s="896"/>
      <c r="G12" s="895">
        <f>+Report!H160</f>
        <v>446206.09622370056</v>
      </c>
      <c r="H12" s="891"/>
      <c r="I12" s="891"/>
      <c r="J12" s="891"/>
      <c r="K12" s="891"/>
    </row>
    <row r="13" spans="1:11" ht="18" customHeight="1">
      <c r="C13" s="896"/>
      <c r="D13" s="896"/>
      <c r="E13" s="896"/>
      <c r="F13" s="896"/>
      <c r="G13" s="896"/>
      <c r="H13" s="891"/>
      <c r="I13" s="891"/>
      <c r="J13" s="891"/>
      <c r="K13" s="891"/>
    </row>
    <row r="14" spans="1:11" ht="18" customHeight="1">
      <c r="A14" s="890" t="s">
        <v>175</v>
      </c>
      <c r="C14" s="896">
        <f>+Report!B162</f>
        <v>129944.52604307693</v>
      </c>
      <c r="D14" s="896"/>
      <c r="E14" s="896">
        <f>+Report!D162+Report!F162</f>
        <v>-11096.856206978693</v>
      </c>
      <c r="F14" s="896"/>
      <c r="G14" s="896">
        <f>+Report!H162</f>
        <v>118491.7498990843</v>
      </c>
      <c r="H14" s="891"/>
      <c r="I14" s="891"/>
      <c r="J14" s="891"/>
      <c r="K14" s="891"/>
    </row>
    <row r="15" spans="1:11" ht="18" customHeight="1">
      <c r="C15" s="896"/>
      <c r="D15" s="896"/>
      <c r="E15" s="896"/>
      <c r="F15" s="896"/>
      <c r="G15" s="896"/>
      <c r="H15" s="891"/>
      <c r="I15" s="891"/>
      <c r="J15" s="891"/>
      <c r="K15" s="891"/>
    </row>
    <row r="16" spans="1:11" ht="18" customHeight="1">
      <c r="A16" s="874" t="s">
        <v>17</v>
      </c>
      <c r="C16" s="896">
        <f>+Report!B164</f>
        <v>26291.87558</v>
      </c>
      <c r="D16" s="896"/>
      <c r="E16" s="896">
        <f>+Report!D164+Report!F164</f>
        <v>-1459.464869598</v>
      </c>
      <c r="F16" s="896"/>
      <c r="G16" s="896">
        <f>+C16+E16</f>
        <v>24832.410710402</v>
      </c>
      <c r="H16" s="891"/>
      <c r="I16" s="901"/>
      <c r="J16" s="891"/>
      <c r="K16" s="901"/>
    </row>
    <row r="17" spans="1:11" ht="18" customHeight="1">
      <c r="C17" s="896"/>
      <c r="D17" s="896"/>
      <c r="E17" s="896"/>
      <c r="F17" s="896"/>
      <c r="G17" s="896"/>
      <c r="H17" s="891"/>
      <c r="I17" s="901"/>
      <c r="J17" s="891"/>
      <c r="K17" s="901"/>
    </row>
    <row r="18" spans="1:11" ht="18" customHeight="1">
      <c r="A18" s="890" t="s">
        <v>176</v>
      </c>
      <c r="C18" s="896">
        <f>+Report!B166</f>
        <v>729635.69981307676</v>
      </c>
      <c r="D18" s="896"/>
      <c r="E18" s="896">
        <f>+Report!D166+Report!F166</f>
        <v>-49456.146976928852</v>
      </c>
      <c r="F18" s="896"/>
      <c r="G18" s="896">
        <f>+Report!H166</f>
        <v>681875.76562729245</v>
      </c>
      <c r="H18" s="891"/>
      <c r="I18" s="901"/>
      <c r="J18" s="891"/>
      <c r="K18" s="901"/>
    </row>
    <row r="19" spans="1:11" ht="18" customHeight="1">
      <c r="C19" s="896"/>
      <c r="D19" s="896"/>
      <c r="E19" s="896"/>
      <c r="F19" s="896"/>
      <c r="G19" s="896"/>
      <c r="H19" s="891"/>
      <c r="I19" s="901"/>
      <c r="J19" s="891"/>
      <c r="K19" s="901"/>
    </row>
    <row r="20" spans="1:11" ht="18" customHeight="1">
      <c r="A20" s="890" t="s">
        <v>177</v>
      </c>
      <c r="C20" s="896">
        <f>+Report!B168</f>
        <v>234558.34022307702</v>
      </c>
      <c r="D20" s="896"/>
      <c r="E20" s="896">
        <f>+Report!D168+Report!F168</f>
        <v>-17834.521772032436</v>
      </c>
      <c r="F20" s="896"/>
      <c r="G20" s="896">
        <f>+C20+E20</f>
        <v>216723.81845104459</v>
      </c>
      <c r="H20" s="891"/>
      <c r="I20" s="901"/>
      <c r="J20" s="891"/>
      <c r="K20" s="901"/>
    </row>
    <row r="21" spans="1:11" ht="18" customHeight="1">
      <c r="C21" s="896"/>
      <c r="D21" s="896"/>
      <c r="E21" s="896"/>
      <c r="F21" s="896"/>
      <c r="G21" s="896"/>
      <c r="H21" s="891"/>
      <c r="I21" s="901"/>
      <c r="J21" s="891"/>
      <c r="K21" s="901"/>
    </row>
    <row r="22" spans="1:11" ht="18" customHeight="1">
      <c r="A22" s="890" t="s">
        <v>2405</v>
      </c>
      <c r="C22" s="897">
        <f>+Report!B170</f>
        <v>0</v>
      </c>
      <c r="D22" s="896"/>
      <c r="E22" s="897">
        <f>+Report!D170+Report!F170</f>
        <v>0</v>
      </c>
      <c r="F22" s="896"/>
      <c r="G22" s="897">
        <f>+C22+E22</f>
        <v>0</v>
      </c>
      <c r="H22" s="891"/>
      <c r="I22" s="901"/>
      <c r="J22" s="891"/>
      <c r="K22" s="901"/>
    </row>
    <row r="23" spans="1:11" ht="18" customHeight="1">
      <c r="H23" s="901"/>
      <c r="I23" s="901"/>
      <c r="J23" s="901"/>
      <c r="K23" s="901"/>
    </row>
    <row r="24" spans="1:11" ht="18" customHeight="1">
      <c r="A24" s="890" t="s">
        <v>1</v>
      </c>
      <c r="C24" s="898">
        <f>SUM(C12:C22)</f>
        <v>1603790.8084269229</v>
      </c>
      <c r="D24" s="898"/>
      <c r="E24" s="898">
        <f>SUM(E12:E22)</f>
        <v>-115660.96751539927</v>
      </c>
      <c r="F24" s="898"/>
      <c r="G24" s="898">
        <f>SUM(G12:G22)</f>
        <v>1488129.8409115239</v>
      </c>
      <c r="H24" s="891"/>
      <c r="I24" s="891"/>
      <c r="J24" s="891"/>
      <c r="K24" s="901"/>
    </row>
    <row r="25" spans="1:11" ht="18" customHeight="1">
      <c r="C25" s="891"/>
      <c r="D25" s="891"/>
      <c r="E25" s="891"/>
      <c r="F25" s="891"/>
      <c r="G25" s="896"/>
      <c r="H25" s="891"/>
      <c r="I25" s="891"/>
      <c r="J25" s="891"/>
      <c r="K25" s="901"/>
    </row>
    <row r="26" spans="1:11" ht="18" customHeight="1">
      <c r="C26" s="891"/>
      <c r="D26" s="891"/>
      <c r="E26" s="891"/>
      <c r="F26" s="891"/>
      <c r="G26" s="896"/>
      <c r="H26" s="891"/>
      <c r="I26" s="891"/>
      <c r="J26" s="891"/>
      <c r="K26" s="901"/>
    </row>
    <row r="27" spans="1:11" ht="18" customHeight="1">
      <c r="A27" s="1367" t="s">
        <v>2429</v>
      </c>
      <c r="B27" s="1367"/>
      <c r="C27" s="1367"/>
      <c r="D27" s="1367"/>
      <c r="E27" s="1367"/>
      <c r="F27" s="1367"/>
      <c r="G27" s="1367"/>
      <c r="H27" s="891"/>
      <c r="I27" s="891"/>
      <c r="J27" s="891"/>
      <c r="K27" s="901"/>
    </row>
    <row r="28" spans="1:11" ht="18" customHeight="1">
      <c r="A28" s="1367"/>
      <c r="B28" s="1367"/>
      <c r="C28" s="1367"/>
      <c r="D28" s="1367"/>
      <c r="E28" s="1367"/>
      <c r="F28" s="1367"/>
      <c r="G28" s="1367"/>
      <c r="H28" s="891"/>
      <c r="I28" s="891"/>
      <c r="J28" s="891"/>
      <c r="K28" s="901"/>
    </row>
    <row r="29" spans="1:11">
      <c r="C29" s="891"/>
      <c r="D29" s="891"/>
      <c r="E29" s="891"/>
      <c r="F29" s="891"/>
      <c r="G29" s="891"/>
      <c r="H29" s="891"/>
      <c r="I29" s="891"/>
      <c r="J29" s="891"/>
      <c r="K29" s="891"/>
    </row>
    <row r="30" spans="1:11">
      <c r="A30" s="1369" t="s">
        <v>2787</v>
      </c>
      <c r="B30" s="1369"/>
      <c r="C30" s="1369"/>
      <c r="D30" s="1369"/>
      <c r="E30" s="1369"/>
      <c r="F30" s="1369"/>
      <c r="G30" s="1369"/>
      <c r="H30" s="891"/>
      <c r="I30" s="891"/>
      <c r="J30" s="891"/>
      <c r="K30" s="891"/>
    </row>
    <row r="31" spans="1:11">
      <c r="A31" s="1369"/>
      <c r="B31" s="1369"/>
      <c r="C31" s="1369"/>
      <c r="D31" s="1369"/>
      <c r="E31" s="1369"/>
      <c r="F31" s="1369"/>
      <c r="G31" s="1369"/>
      <c r="H31" s="891"/>
      <c r="I31" s="891"/>
      <c r="J31" s="891"/>
      <c r="K31" s="891"/>
    </row>
    <row r="32" spans="1:11">
      <c r="A32" s="1369"/>
      <c r="B32" s="1369"/>
      <c r="C32" s="1369"/>
      <c r="D32" s="1369"/>
      <c r="E32" s="1369"/>
      <c r="F32" s="1369"/>
      <c r="G32" s="1369"/>
      <c r="H32" s="891"/>
      <c r="I32" s="891"/>
      <c r="J32" s="891"/>
      <c r="K32" s="891"/>
    </row>
    <row r="33" spans="2:11">
      <c r="B33" s="916"/>
      <c r="C33" s="891"/>
      <c r="D33" s="891"/>
      <c r="E33" s="891"/>
      <c r="F33" s="891"/>
      <c r="G33" s="902"/>
      <c r="H33" s="891"/>
      <c r="I33" s="891"/>
      <c r="J33" s="891"/>
      <c r="K33" s="891"/>
    </row>
    <row r="34" spans="2:11">
      <c r="C34" s="891"/>
      <c r="D34" s="891"/>
      <c r="E34" s="891"/>
      <c r="F34" s="891"/>
      <c r="G34" s="891"/>
      <c r="H34" s="891"/>
      <c r="I34" s="891"/>
      <c r="J34" s="891"/>
      <c r="K34" s="891"/>
    </row>
    <row r="35" spans="2:11">
      <c r="C35" s="891"/>
      <c r="D35" s="891"/>
      <c r="E35" s="891"/>
      <c r="F35" s="891"/>
      <c r="G35" s="891"/>
      <c r="H35" s="891"/>
      <c r="I35" s="891"/>
      <c r="J35" s="891"/>
      <c r="K35" s="891"/>
    </row>
    <row r="36" spans="2:11">
      <c r="C36" s="891"/>
      <c r="D36" s="891"/>
      <c r="E36" s="891"/>
      <c r="F36" s="891"/>
      <c r="G36" s="891"/>
      <c r="H36" s="891"/>
      <c r="I36" s="891"/>
      <c r="J36" s="891"/>
      <c r="K36" s="891"/>
    </row>
    <row r="37" spans="2:11">
      <c r="C37" s="891"/>
      <c r="D37" s="891"/>
      <c r="E37" s="891"/>
      <c r="F37" s="891"/>
      <c r="G37" s="891"/>
      <c r="H37" s="891"/>
      <c r="I37" s="891"/>
      <c r="J37" s="891"/>
      <c r="K37" s="891"/>
    </row>
    <row r="38" spans="2:11">
      <c r="C38" s="891"/>
      <c r="D38" s="891"/>
      <c r="E38" s="891"/>
      <c r="F38" s="891"/>
      <c r="G38" s="891"/>
      <c r="H38" s="891"/>
      <c r="I38" s="891"/>
      <c r="J38" s="891"/>
      <c r="K38" s="891"/>
    </row>
    <row r="39" spans="2:11">
      <c r="C39" s="891"/>
      <c r="D39" s="891"/>
      <c r="E39" s="891"/>
      <c r="F39" s="891"/>
      <c r="G39" s="891"/>
      <c r="H39" s="891"/>
      <c r="I39" s="891"/>
      <c r="J39" s="891"/>
      <c r="K39" s="891"/>
    </row>
    <row r="40" spans="2:11">
      <c r="C40" s="891"/>
      <c r="D40" s="891"/>
      <c r="E40" s="891"/>
      <c r="F40" s="891"/>
      <c r="G40" s="891"/>
      <c r="H40" s="891"/>
      <c r="I40" s="891"/>
      <c r="J40" s="891"/>
      <c r="K40" s="891"/>
    </row>
    <row r="41" spans="2:11">
      <c r="C41" s="891"/>
      <c r="D41" s="891"/>
      <c r="E41" s="891"/>
      <c r="F41" s="891"/>
      <c r="G41" s="891"/>
      <c r="H41" s="891"/>
      <c r="I41" s="891"/>
      <c r="J41" s="891"/>
      <c r="K41" s="891"/>
    </row>
    <row r="42" spans="2:11">
      <c r="C42" s="891"/>
      <c r="D42" s="891"/>
      <c r="E42" s="891"/>
      <c r="F42" s="891"/>
      <c r="G42" s="891"/>
      <c r="H42" s="891"/>
      <c r="I42" s="891"/>
      <c r="J42" s="891"/>
      <c r="K42" s="891"/>
    </row>
    <row r="43" spans="2:11">
      <c r="C43" s="891"/>
      <c r="D43" s="891"/>
      <c r="E43" s="891"/>
      <c r="F43" s="891"/>
      <c r="G43" s="891"/>
      <c r="H43" s="891"/>
      <c r="I43" s="891"/>
      <c r="J43" s="891"/>
      <c r="K43" s="891"/>
    </row>
    <row r="44" spans="2:11">
      <c r="C44" s="891"/>
      <c r="D44" s="891"/>
      <c r="E44" s="891"/>
      <c r="F44" s="891"/>
      <c r="G44" s="891"/>
      <c r="H44" s="891"/>
      <c r="I44" s="891"/>
      <c r="J44" s="891"/>
      <c r="K44" s="891"/>
    </row>
    <row r="45" spans="2:11">
      <c r="C45" s="891"/>
      <c r="D45" s="891"/>
      <c r="E45" s="891"/>
      <c r="F45" s="891"/>
      <c r="G45" s="891"/>
      <c r="H45" s="891"/>
      <c r="I45" s="891"/>
      <c r="J45" s="891"/>
      <c r="K45" s="891"/>
    </row>
  </sheetData>
  <mergeCells count="7">
    <mergeCell ref="A30:G32"/>
    <mergeCell ref="A1:G1"/>
    <mergeCell ref="A2:G2"/>
    <mergeCell ref="A3:G3"/>
    <mergeCell ref="A4:G4"/>
    <mergeCell ref="E5:G5"/>
    <mergeCell ref="A27:G28"/>
  </mergeCells>
  <printOptions horizontalCentered="1"/>
  <pageMargins left="0.7" right="0.7" top="0.75" bottom="0.75" header="0.3" footer="0.3"/>
  <pageSetup scale="9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R107"/>
  <sheetViews>
    <sheetView workbookViewId="0">
      <selection sqref="A1:G1"/>
    </sheetView>
  </sheetViews>
  <sheetFormatPr defaultColWidth="27.85546875" defaultRowHeight="15"/>
  <cols>
    <col min="1" max="1" width="17.28515625" style="874" customWidth="1"/>
    <col min="2" max="2" width="2.28515625" style="874" customWidth="1"/>
    <col min="3" max="3" width="17.42578125" style="874" customWidth="1"/>
    <col min="4" max="4" width="2.28515625" style="874" customWidth="1"/>
    <col min="5" max="5" width="15.5703125" style="874" bestFit="1" customWidth="1"/>
    <col min="6" max="6" width="2.28515625" style="874" customWidth="1"/>
    <col min="7" max="7" width="17.42578125" style="874" bestFit="1" customWidth="1"/>
    <col min="8" max="8" width="2.28515625" style="874" customWidth="1"/>
    <col min="9" max="9" width="19.42578125" style="874" customWidth="1"/>
    <col min="10" max="10" width="4.140625" style="874" customWidth="1"/>
    <col min="11" max="11" width="19.42578125" style="874" customWidth="1"/>
    <col min="12" max="12" width="4.140625" style="874" customWidth="1"/>
    <col min="13" max="13" width="20" style="874" customWidth="1"/>
    <col min="14" max="14" width="16.7109375" style="874" customWidth="1"/>
    <col min="15" max="15" width="27.85546875" style="874" customWidth="1"/>
    <col min="16" max="16" width="20.7109375" style="874" customWidth="1"/>
    <col min="17" max="17" width="14.28515625" style="874" customWidth="1"/>
    <col min="18" max="18" width="10.140625" style="874" customWidth="1"/>
    <col min="19" max="19" width="15.5703125" style="874" customWidth="1"/>
    <col min="20" max="20" width="3.140625" style="874" customWidth="1"/>
    <col min="21" max="21" width="2.28515625" style="874" customWidth="1"/>
    <col min="22" max="45" width="18.85546875" style="874" customWidth="1"/>
    <col min="46" max="46" width="47.42578125" style="874" bestFit="1" customWidth="1"/>
    <col min="47" max="47" width="20.42578125" style="874" customWidth="1"/>
    <col min="48" max="48" width="18.7109375" style="874" customWidth="1"/>
    <col min="49" max="49" width="19.28515625" style="874" customWidth="1"/>
    <col min="50" max="50" width="18.7109375" style="874" customWidth="1"/>
    <col min="51" max="51" width="3.7109375" style="874" customWidth="1"/>
    <col min="52" max="52" width="18.7109375" style="874" customWidth="1"/>
    <col min="53" max="53" width="43" style="874" customWidth="1"/>
    <col min="54" max="55" width="18.7109375" style="874" customWidth="1"/>
    <col min="56" max="56" width="3.7109375" style="874" customWidth="1"/>
    <col min="57" max="16384" width="27.85546875" style="874"/>
  </cols>
  <sheetData>
    <row r="1" spans="1:18" ht="18" customHeight="1">
      <c r="A1" s="1364" t="s">
        <v>2398</v>
      </c>
      <c r="B1" s="1364"/>
      <c r="C1" s="1364"/>
      <c r="D1" s="1364"/>
      <c r="E1" s="1364"/>
      <c r="F1" s="1364"/>
      <c r="G1" s="1364"/>
      <c r="H1" s="904"/>
      <c r="I1" s="904"/>
    </row>
    <row r="2" spans="1:18" ht="18" customHeight="1">
      <c r="A2" s="1364" t="s">
        <v>2416</v>
      </c>
      <c r="B2" s="1364"/>
      <c r="C2" s="1364"/>
      <c r="D2" s="1364"/>
      <c r="E2" s="1364"/>
      <c r="F2" s="1364"/>
      <c r="G2" s="1364"/>
      <c r="H2" s="904"/>
      <c r="I2" s="904"/>
    </row>
    <row r="3" spans="1:18" ht="18" customHeight="1">
      <c r="A3" s="1364" t="s">
        <v>2417</v>
      </c>
      <c r="B3" s="1364"/>
      <c r="C3" s="1364"/>
      <c r="D3" s="1364"/>
      <c r="E3" s="1364"/>
      <c r="F3" s="1364"/>
      <c r="G3" s="1364"/>
      <c r="H3" s="904"/>
      <c r="I3" s="904"/>
    </row>
    <row r="4" spans="1:18" ht="18" customHeight="1">
      <c r="A4" s="1363" t="s">
        <v>2703</v>
      </c>
      <c r="B4" s="1363"/>
      <c r="C4" s="1363"/>
      <c r="D4" s="1363"/>
      <c r="E4" s="1363"/>
      <c r="F4" s="1363"/>
      <c r="G4" s="1363"/>
      <c r="H4" s="910"/>
      <c r="I4" s="910"/>
    </row>
    <row r="5" spans="1:18" ht="18" customHeight="1">
      <c r="A5" s="871"/>
      <c r="B5" s="872"/>
      <c r="C5" s="872"/>
      <c r="D5" s="872"/>
      <c r="E5" s="872"/>
      <c r="F5" s="872"/>
      <c r="G5" s="873" t="s">
        <v>2418</v>
      </c>
    </row>
    <row r="6" spans="1:18" ht="18" customHeight="1">
      <c r="A6" s="871"/>
      <c r="B6" s="872"/>
      <c r="C6" s="872"/>
      <c r="D6" s="872"/>
      <c r="E6" s="872"/>
      <c r="F6" s="872"/>
      <c r="G6" s="873"/>
      <c r="H6" s="873"/>
      <c r="I6" s="873"/>
    </row>
    <row r="7" spans="1:18" ht="18" customHeight="1">
      <c r="A7" s="871"/>
      <c r="B7" s="872"/>
      <c r="C7" s="872"/>
      <c r="D7" s="872"/>
      <c r="E7" s="872"/>
      <c r="F7" s="872"/>
      <c r="G7" s="873"/>
      <c r="H7" s="873"/>
      <c r="I7" s="873"/>
    </row>
    <row r="8" spans="1:18" ht="18" customHeight="1">
      <c r="A8" s="877"/>
      <c r="B8" s="877"/>
      <c r="C8" s="877" t="s">
        <v>2419</v>
      </c>
      <c r="D8" s="877"/>
      <c r="E8" s="877" t="s">
        <v>2420</v>
      </c>
      <c r="F8" s="877"/>
      <c r="G8" s="877" t="s">
        <v>2421</v>
      </c>
      <c r="I8" s="877"/>
    </row>
    <row r="9" spans="1:18" ht="18" customHeight="1">
      <c r="A9" s="879" t="s">
        <v>2422</v>
      </c>
      <c r="B9" s="877"/>
      <c r="C9" s="879" t="s">
        <v>2423</v>
      </c>
      <c r="D9" s="877"/>
      <c r="E9" s="879" t="s">
        <v>2419</v>
      </c>
      <c r="F9" s="877"/>
      <c r="G9" s="879" t="s">
        <v>2419</v>
      </c>
      <c r="I9" s="877"/>
    </row>
    <row r="10" spans="1:18" ht="18" customHeight="1"/>
    <row r="11" spans="1:18" ht="18" customHeight="1">
      <c r="A11" s="908" t="s">
        <v>2309</v>
      </c>
      <c r="C11" s="914">
        <v>1</v>
      </c>
      <c r="E11" s="915">
        <f>((1+'AFUDC Sch A '!I24)^(1/12))-1</f>
        <v>4.6856718676875353E-3</v>
      </c>
      <c r="G11" s="911">
        <f>E11</f>
        <v>4.6856718676875353E-3</v>
      </c>
      <c r="I11" s="911"/>
      <c r="R11" s="909"/>
    </row>
    <row r="12" spans="1:18" ht="18" customHeight="1">
      <c r="A12" s="906" t="s">
        <v>2310</v>
      </c>
      <c r="C12" s="914">
        <f>1+G11</f>
        <v>1.0046856718676875</v>
      </c>
      <c r="E12" s="911">
        <f>E11*(1+E$11)</f>
        <v>4.7076273885391737E-3</v>
      </c>
      <c r="G12" s="911">
        <f>G11+E12</f>
        <v>9.393299256226709E-3</v>
      </c>
      <c r="I12" s="911"/>
      <c r="R12" s="909"/>
    </row>
    <row r="13" spans="1:18" ht="18" customHeight="1">
      <c r="A13" s="908" t="s">
        <v>2311</v>
      </c>
      <c r="C13" s="914">
        <f t="shared" ref="C13:C22" si="0">1+G12</f>
        <v>1.0093932992562267</v>
      </c>
      <c r="E13" s="911">
        <f>E12*(1+E$11)</f>
        <v>4.7296857857572067E-3</v>
      </c>
      <c r="G13" s="911">
        <f t="shared" ref="G13:G22" si="1">G12+E13</f>
        <v>1.4122985041983916E-2</v>
      </c>
      <c r="I13" s="911"/>
    </row>
    <row r="14" spans="1:18" ht="18" customHeight="1">
      <c r="A14" s="906" t="s">
        <v>2312</v>
      </c>
      <c r="C14" s="914">
        <f t="shared" si="0"/>
        <v>1.0141229850419839</v>
      </c>
      <c r="E14" s="911">
        <f t="shared" ref="E14:E22" si="2">E13*(1+E$11)</f>
        <v>4.7518475413865311E-3</v>
      </c>
      <c r="G14" s="911">
        <f t="shared" si="1"/>
        <v>1.8874832583370447E-2</v>
      </c>
      <c r="I14" s="911"/>
      <c r="J14" s="907"/>
    </row>
    <row r="15" spans="1:18" ht="18" customHeight="1">
      <c r="A15" s="908" t="s">
        <v>296</v>
      </c>
      <c r="C15" s="914">
        <f t="shared" si="0"/>
        <v>1.0188748325833705</v>
      </c>
      <c r="E15" s="911">
        <f t="shared" si="2"/>
        <v>4.774113139730746E-3</v>
      </c>
      <c r="G15" s="911">
        <f t="shared" si="1"/>
        <v>2.3648945723101195E-2</v>
      </c>
      <c r="I15" s="911"/>
      <c r="Q15" s="877"/>
    </row>
    <row r="16" spans="1:18" ht="18" customHeight="1">
      <c r="A16" s="906" t="s">
        <v>2313</v>
      </c>
      <c r="C16" s="914">
        <f t="shared" si="0"/>
        <v>1.0236489457231013</v>
      </c>
      <c r="E16" s="911">
        <f t="shared" si="2"/>
        <v>4.7964830673627402E-3</v>
      </c>
      <c r="G16" s="911">
        <f t="shared" si="1"/>
        <v>2.8445428790463936E-2</v>
      </c>
      <c r="I16" s="911"/>
      <c r="O16" s="907"/>
      <c r="Q16" s="907"/>
    </row>
    <row r="17" spans="1:17" ht="18" customHeight="1">
      <c r="A17" s="908" t="s">
        <v>2314</v>
      </c>
      <c r="C17" s="914">
        <f t="shared" si="0"/>
        <v>1.0284454287904639</v>
      </c>
      <c r="E17" s="911">
        <f t="shared" si="2"/>
        <v>4.8189578131353217E-3</v>
      </c>
      <c r="G17" s="911">
        <f t="shared" si="1"/>
        <v>3.3264386603599261E-2</v>
      </c>
      <c r="I17" s="911"/>
    </row>
    <row r="18" spans="1:17" ht="18" customHeight="1">
      <c r="A18" s="906" t="s">
        <v>2315</v>
      </c>
      <c r="C18" s="914">
        <f t="shared" si="0"/>
        <v>1.0332643866035993</v>
      </c>
      <c r="E18" s="911">
        <f t="shared" si="2"/>
        <v>4.8415378681919028E-3</v>
      </c>
      <c r="G18" s="911">
        <f t="shared" si="1"/>
        <v>3.8105924471791161E-2</v>
      </c>
      <c r="I18" s="911"/>
    </row>
    <row r="19" spans="1:17" ht="18" customHeight="1">
      <c r="A19" s="908" t="s">
        <v>2316</v>
      </c>
      <c r="C19" s="914">
        <f t="shared" si="0"/>
        <v>1.0381059244717912</v>
      </c>
      <c r="E19" s="911">
        <f t="shared" si="2"/>
        <v>4.8642237259772332E-3</v>
      </c>
      <c r="G19" s="911">
        <f t="shared" si="1"/>
        <v>4.2970148197768392E-2</v>
      </c>
      <c r="I19" s="911"/>
    </row>
    <row r="20" spans="1:17" ht="18" customHeight="1">
      <c r="A20" s="906" t="s">
        <v>2328</v>
      </c>
      <c r="C20" s="914">
        <f t="shared" si="0"/>
        <v>1.0429701481977685</v>
      </c>
      <c r="E20" s="911">
        <f t="shared" si="2"/>
        <v>4.8870158822481831E-3</v>
      </c>
      <c r="G20" s="911">
        <f t="shared" si="1"/>
        <v>4.7857164080016577E-2</v>
      </c>
      <c r="I20" s="911"/>
    </row>
    <row r="21" spans="1:17" ht="18" customHeight="1">
      <c r="A21" s="908" t="s">
        <v>2329</v>
      </c>
      <c r="C21" s="914">
        <f t="shared" si="0"/>
        <v>1.0478571640800165</v>
      </c>
      <c r="E21" s="911">
        <f t="shared" si="2"/>
        <v>4.9099148350845757E-3</v>
      </c>
      <c r="G21" s="911">
        <f t="shared" si="1"/>
        <v>5.2767078915101157E-2</v>
      </c>
      <c r="I21" s="911"/>
    </row>
    <row r="22" spans="1:17" ht="18" customHeight="1">
      <c r="A22" s="906" t="s">
        <v>2308</v>
      </c>
      <c r="C22" s="914">
        <f t="shared" si="0"/>
        <v>1.0527670789151011</v>
      </c>
      <c r="E22" s="911">
        <f t="shared" si="2"/>
        <v>4.9329210849000729E-3</v>
      </c>
      <c r="G22" s="911">
        <f t="shared" si="1"/>
        <v>5.7700000000001229E-2</v>
      </c>
      <c r="I22" s="911"/>
    </row>
    <row r="23" spans="1:17" ht="18" customHeight="1">
      <c r="I23" s="911"/>
    </row>
    <row r="24" spans="1:17">
      <c r="A24" s="874" t="s">
        <v>2788</v>
      </c>
    </row>
    <row r="25" spans="1:17">
      <c r="A25" s="874" t="s">
        <v>2789</v>
      </c>
    </row>
    <row r="30" spans="1:17">
      <c r="O30" s="907"/>
      <c r="Q30" s="907"/>
    </row>
    <row r="31" spans="1:17">
      <c r="A31" s="1336">
        <f>+((1+C31)^(1/12))-1</f>
        <v>4.6856718676875353E-3</v>
      </c>
      <c r="C31" s="1337">
        <f>+G22</f>
        <v>5.7700000000001229E-2</v>
      </c>
    </row>
    <row r="32" spans="1:17">
      <c r="Q32" s="907"/>
    </row>
    <row r="33" spans="1:5">
      <c r="A33" s="912"/>
    </row>
    <row r="34" spans="1:5">
      <c r="A34" s="912"/>
      <c r="E34" s="913"/>
    </row>
    <row r="35" spans="1:5">
      <c r="A35" s="912"/>
      <c r="E35" s="913"/>
    </row>
    <row r="93" spans="13:13">
      <c r="M93" s="873"/>
    </row>
    <row r="94" spans="13:13">
      <c r="M94" s="873"/>
    </row>
    <row r="95" spans="13:13">
      <c r="M95" s="907"/>
    </row>
    <row r="100" spans="13:13">
      <c r="M100" s="873"/>
    </row>
    <row r="102" spans="13:13">
      <c r="M102" s="873"/>
    </row>
    <row r="103" spans="13:13">
      <c r="M103" s="873"/>
    </row>
    <row r="105" spans="13:13">
      <c r="M105" s="873"/>
    </row>
    <row r="107" spans="13:13">
      <c r="M107" s="873"/>
    </row>
  </sheetData>
  <mergeCells count="4">
    <mergeCell ref="A1:G1"/>
    <mergeCell ref="A2:G2"/>
    <mergeCell ref="A3:G3"/>
    <mergeCell ref="A4:G4"/>
  </mergeCells>
  <printOptions horizontalCentered="1"/>
  <pageMargins left="0.7" right="0.7" top="0.75" bottom="0.7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workbookViewId="0"/>
  </sheetViews>
  <sheetFormatPr defaultRowHeight="12.75"/>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3" tint="0.39997558519241921"/>
    <pageSetUpPr fitToPage="1"/>
  </sheetPr>
  <dimension ref="A1:X60"/>
  <sheetViews>
    <sheetView workbookViewId="0">
      <selection sqref="A1:H1"/>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455"/>
      <c r="C5" s="792"/>
      <c r="D5" s="260"/>
      <c r="E5" s="795"/>
      <c r="K5" s="65"/>
    </row>
    <row r="6" spans="1:24" s="68" customFormat="1" ht="15.75">
      <c r="A6" s="66"/>
      <c r="B6" s="67">
        <v>44196</v>
      </c>
      <c r="C6" s="96"/>
      <c r="D6" s="67" t="str">
        <f>+Input!A2</f>
        <v>December 2021</v>
      </c>
      <c r="E6" s="88"/>
      <c r="G6" s="88"/>
      <c r="H6" s="69" t="s">
        <v>487</v>
      </c>
      <c r="X6" s="70"/>
    </row>
    <row r="7" spans="1:24" s="68" customFormat="1" ht="15.75">
      <c r="A7" s="71"/>
      <c r="B7" s="72" t="s">
        <v>488</v>
      </c>
      <c r="C7" s="793"/>
      <c r="D7" s="72" t="s">
        <v>488</v>
      </c>
      <c r="E7" s="88"/>
      <c r="F7" s="73" t="s">
        <v>489</v>
      </c>
      <c r="G7" s="74"/>
      <c r="H7" s="75" t="s">
        <v>490</v>
      </c>
      <c r="K7" s="76"/>
      <c r="X7" s="70"/>
    </row>
    <row r="8" spans="1:24" ht="15.75">
      <c r="A8" s="68"/>
    </row>
    <row r="9" spans="1:24">
      <c r="A9" s="59" t="s">
        <v>223</v>
      </c>
      <c r="B9" s="229">
        <v>1064112.978874868</v>
      </c>
      <c r="D9" s="229">
        <f>Report!J92</f>
        <v>1472581.083657678</v>
      </c>
      <c r="F9" s="389">
        <f>D9-B9</f>
        <v>408468.10478280997</v>
      </c>
      <c r="G9" s="797"/>
      <c r="H9" s="390">
        <f>ROUND((((B17/(D9+D10+D11+D13))-B20)/B23)-(((B17/(B9+D10+D11+D13))-B20)/B23),4)*10000</f>
        <v>-273</v>
      </c>
      <c r="I9" s="119"/>
      <c r="J9" s="77"/>
      <c r="K9" s="119"/>
    </row>
    <row r="10" spans="1:24">
      <c r="A10" s="59" t="s">
        <v>4</v>
      </c>
      <c r="B10" s="230">
        <v>40210.346183076937</v>
      </c>
      <c r="D10" s="230">
        <f>Report!N92</f>
        <v>63731.53211</v>
      </c>
      <c r="F10" s="389">
        <f>D10-B10</f>
        <v>23521.185926923063</v>
      </c>
      <c r="G10" s="797"/>
      <c r="H10" s="390">
        <f>ROUND((((B17/(D9+D11+D13+D10))-B20)/B23)-(((B17/(B10+D9+D11+D13))-B20)/B23),4)*10000</f>
        <v>-11.999999999999998</v>
      </c>
      <c r="I10" s="119"/>
      <c r="J10" s="119"/>
      <c r="K10" s="119"/>
    </row>
    <row r="11" spans="1:24">
      <c r="A11" s="59" t="s">
        <v>491</v>
      </c>
      <c r="B11" s="230">
        <v>0</v>
      </c>
      <c r="D11" s="230">
        <f>Report!L92</f>
        <v>0</v>
      </c>
      <c r="F11" s="389">
        <f>D11-B11</f>
        <v>0</v>
      </c>
      <c r="G11" s="497"/>
      <c r="H11" s="390">
        <f>ROUND((((B17/(D9+D10+D11+D13))-B20)/B23)-(((B17/(B11+D9+D10+D13))-B20)/B23),4)*10000</f>
        <v>0</v>
      </c>
      <c r="I11" s="119"/>
      <c r="J11" s="119"/>
      <c r="K11" s="119"/>
    </row>
    <row r="12" spans="1:24">
      <c r="A12" s="119" t="s">
        <v>229</v>
      </c>
      <c r="B12" s="230">
        <v>6851.5875353846159</v>
      </c>
      <c r="D12" s="230">
        <f>Reconcil!C73</f>
        <v>-5589.6985323076933</v>
      </c>
      <c r="F12" s="389">
        <f>D12-B12</f>
        <v>-12441.286067692308</v>
      </c>
      <c r="G12" s="497"/>
      <c r="H12" s="390">
        <f>ROUND((((B17/(D9+D10+D11+D12+D13))-B20)/B23)-(((B17/(B12+D9+D10+D11+D13))-B20)/B23),4)*10000</f>
        <v>5.9999999999999991</v>
      </c>
      <c r="I12" s="119"/>
      <c r="J12" s="119"/>
      <c r="K12" s="119"/>
    </row>
    <row r="13" spans="1:24" ht="15.75">
      <c r="A13" s="59" t="s">
        <v>492</v>
      </c>
      <c r="B13" s="388">
        <v>-59708.619660769233</v>
      </c>
      <c r="C13" s="98"/>
      <c r="D13" s="388">
        <f>Report!R92-D12</f>
        <v>-42593.076323846137</v>
      </c>
      <c r="F13" s="389">
        <f>D13-B13</f>
        <v>17115.543336923096</v>
      </c>
      <c r="G13" s="497"/>
      <c r="H13" s="390">
        <f>ROUND((((B17/(D9+D10+D11+D13))-B20)/B23)-(((B17/(B13+D9+D10+D11))-B20)/B23),4)*10000</f>
        <v>-8</v>
      </c>
      <c r="I13" s="80" t="s">
        <v>493</v>
      </c>
      <c r="J13" s="119"/>
      <c r="K13" s="81" t="s">
        <v>494</v>
      </c>
    </row>
    <row r="14" spans="1:24" ht="8.1" customHeight="1">
      <c r="B14" s="231"/>
      <c r="D14" s="231"/>
      <c r="F14" s="389"/>
      <c r="G14" s="500"/>
      <c r="H14" s="390"/>
      <c r="I14" s="80"/>
      <c r="J14" s="119"/>
      <c r="K14" s="81"/>
    </row>
    <row r="15" spans="1:24" ht="15.75">
      <c r="A15" s="68" t="s">
        <v>348</v>
      </c>
      <c r="B15" s="232">
        <v>1051466.2929</v>
      </c>
      <c r="C15" s="88"/>
      <c r="D15" s="232">
        <f>ROUND(SUM(D9:D13),4)</f>
        <v>1488129.8409</v>
      </c>
      <c r="E15" s="88"/>
      <c r="F15" s="65">
        <f>D15-B15</f>
        <v>436663.54799999995</v>
      </c>
      <c r="G15" s="798"/>
      <c r="H15" s="69">
        <f>ROUND((((B17/D15)-B20)/B23)-(((B17/B15)-B20)/B23),4)*10000</f>
        <v>-303</v>
      </c>
      <c r="I15" s="69">
        <f>SUM(H9:H13)</f>
        <v>-287</v>
      </c>
      <c r="J15" s="390"/>
      <c r="K15" s="69">
        <f>H15-I15</f>
        <v>-16</v>
      </c>
      <c r="O15" s="83"/>
    </row>
    <row r="16" spans="1:24" ht="8.1" customHeight="1">
      <c r="B16" s="230"/>
      <c r="D16" s="230"/>
      <c r="F16" s="389"/>
      <c r="G16" s="500"/>
      <c r="H16" s="390"/>
      <c r="I16" s="69"/>
      <c r="J16" s="390"/>
      <c r="K16" s="69"/>
    </row>
    <row r="17" spans="1:24" s="68" customFormat="1" ht="15.75">
      <c r="A17" s="68" t="s">
        <v>495</v>
      </c>
      <c r="B17" s="233">
        <v>51504.043700000002</v>
      </c>
      <c r="C17" s="88"/>
      <c r="D17" s="233">
        <f>ROUND(Report!V141,4)</f>
        <v>91833.5291</v>
      </c>
      <c r="E17" s="88"/>
      <c r="F17" s="65">
        <f>D17-B17</f>
        <v>40329.485399999998</v>
      </c>
      <c r="G17" s="799"/>
      <c r="H17" s="84">
        <f>ROUND((((D17/B15)-B20)/B23)-(((B17/B15)-B20)/B23),4)*10000</f>
        <v>808</v>
      </c>
      <c r="I17" s="69"/>
      <c r="J17" s="69"/>
      <c r="K17" s="69"/>
      <c r="L17" s="84"/>
      <c r="X17" s="70"/>
    </row>
    <row r="18" spans="1:24" ht="8.1" customHeight="1">
      <c r="F18" s="119"/>
      <c r="G18" s="500"/>
      <c r="H18" s="390"/>
      <c r="I18" s="69"/>
      <c r="J18" s="390"/>
      <c r="K18" s="69"/>
    </row>
    <row r="19" spans="1:24" ht="15.75">
      <c r="A19" s="59" t="s">
        <v>496</v>
      </c>
      <c r="B19" s="85">
        <v>4.9000000000000002E-2</v>
      </c>
      <c r="D19" s="85">
        <f>(ROUND((D17/D15),4))</f>
        <v>6.1699999999999998E-2</v>
      </c>
      <c r="F19" s="488">
        <f>D19-B19</f>
        <v>1.2699999999999996E-2</v>
      </c>
      <c r="G19" s="499"/>
      <c r="H19" s="390">
        <f>ROUND((F19/$B$23)*10000,0)</f>
        <v>268</v>
      </c>
      <c r="I19" s="69">
        <f>H15+H17</f>
        <v>505</v>
      </c>
      <c r="J19" s="390"/>
      <c r="K19" s="69">
        <f>H19-I19</f>
        <v>-237</v>
      </c>
    </row>
    <row r="20" spans="1:24" ht="15.75">
      <c r="A20" s="59" t="s">
        <v>1859</v>
      </c>
      <c r="B20" s="86">
        <v>1.4E-2</v>
      </c>
      <c r="D20" s="86">
        <f>ROUND(-Report!$H$224/100,4)</f>
        <v>1.3100000000000001E-2</v>
      </c>
      <c r="F20" s="488">
        <f>D20-B20</f>
        <v>-8.9999999999999976E-4</v>
      </c>
      <c r="G20" s="499"/>
      <c r="H20" s="390">
        <f>-ROUND((F20/$B$23)*10000,0)</f>
        <v>19</v>
      </c>
      <c r="I20" s="69"/>
      <c r="J20" s="390"/>
      <c r="K20" s="69"/>
    </row>
    <row r="21" spans="1:24" ht="8.1" customHeight="1">
      <c r="B21" s="82"/>
      <c r="D21" s="82"/>
      <c r="F21" s="488"/>
      <c r="G21" s="499"/>
      <c r="H21" s="390"/>
      <c r="I21" s="69"/>
      <c r="J21" s="390"/>
      <c r="K21" s="69"/>
    </row>
    <row r="22" spans="1:24" ht="15.75">
      <c r="A22" s="59" t="s">
        <v>497</v>
      </c>
      <c r="B22" s="85">
        <v>3.5000000000000003E-2</v>
      </c>
      <c r="D22" s="85">
        <f>ROUND(D19-D20,4)</f>
        <v>4.8599999999999997E-2</v>
      </c>
      <c r="F22" s="488">
        <f>D22-B22</f>
        <v>1.3599999999999994E-2</v>
      </c>
      <c r="G22" s="499"/>
      <c r="H22" s="390">
        <f>ROUND((F22/$B$23)*10000,0)</f>
        <v>287</v>
      </c>
      <c r="I22" s="69">
        <f>H19+H20</f>
        <v>287</v>
      </c>
      <c r="J22" s="390"/>
      <c r="K22" s="69">
        <f>H22-I22</f>
        <v>0</v>
      </c>
    </row>
    <row r="23" spans="1:24" ht="15.75">
      <c r="A23" s="59" t="s">
        <v>483</v>
      </c>
      <c r="B23" s="86">
        <v>0.47460000000000002</v>
      </c>
      <c r="D23" s="86">
        <f>ROUND(Report!J166,4)</f>
        <v>0.4582</v>
      </c>
      <c r="F23" s="488">
        <f>D23-B23</f>
        <v>-1.6400000000000026E-2</v>
      </c>
      <c r="G23" s="499"/>
      <c r="H23" s="390">
        <f>ROUND((B22/D23)-(B22/B23),4)*10000</f>
        <v>26</v>
      </c>
      <c r="I23" s="69"/>
      <c r="J23" s="390"/>
      <c r="K23" s="69"/>
    </row>
    <row r="24" spans="1:24" ht="15.75">
      <c r="B24" s="82"/>
      <c r="D24" s="82"/>
      <c r="F24" s="488"/>
      <c r="G24" s="499"/>
      <c r="H24" s="489"/>
      <c r="I24" s="69"/>
      <c r="J24" s="390"/>
      <c r="K24" s="69"/>
    </row>
    <row r="25" spans="1:24" s="68" customFormat="1" ht="15.75">
      <c r="A25" s="88" t="s">
        <v>498</v>
      </c>
      <c r="B25" s="287">
        <v>7.3700000000000002E-2</v>
      </c>
      <c r="C25" s="88"/>
      <c r="D25" s="287">
        <f>ROUND((D22/D23),4)</f>
        <v>0.1061</v>
      </c>
      <c r="E25" s="88"/>
      <c r="F25" s="89">
        <f>D25-B25</f>
        <v>3.2399999999999998E-2</v>
      </c>
      <c r="G25" s="203"/>
      <c r="H25" s="69">
        <f>(D25-B25)*10000</f>
        <v>324</v>
      </c>
      <c r="I25" s="69">
        <f>H22+H23</f>
        <v>313</v>
      </c>
      <c r="J25" s="69"/>
      <c r="K25" s="69">
        <f>H25-I25</f>
        <v>11</v>
      </c>
      <c r="L25" s="89"/>
      <c r="X25" s="70"/>
    </row>
    <row r="26" spans="1:24" s="90" customFormat="1" ht="4.5" customHeight="1">
      <c r="A26" s="96"/>
      <c r="B26" s="91"/>
      <c r="C26" s="96"/>
      <c r="D26" s="91"/>
      <c r="E26" s="96"/>
      <c r="F26" s="490"/>
      <c r="G26" s="500"/>
      <c r="H26" s="491"/>
      <c r="I26" s="490"/>
      <c r="J26" s="490"/>
      <c r="K26" s="490"/>
      <c r="X26" s="93"/>
    </row>
    <row r="27" spans="1:24" ht="4.5" customHeight="1">
      <c r="A27" s="96"/>
      <c r="F27" s="119"/>
      <c r="G27" s="500"/>
      <c r="H27" s="390"/>
      <c r="I27" s="119"/>
      <c r="J27" s="492"/>
      <c r="K27" s="119"/>
    </row>
    <row r="28" spans="1:24">
      <c r="A28" s="96" t="s">
        <v>499</v>
      </c>
      <c r="B28" s="528">
        <v>77217.214520000009</v>
      </c>
      <c r="D28" s="528">
        <f>Report!B106-SUM(Report!D106:J106)-Report!R106</f>
        <v>112357.74520999985</v>
      </c>
      <c r="E28" s="98"/>
      <c r="F28" s="389">
        <f>D28-B28</f>
        <v>35140.53068999984</v>
      </c>
      <c r="G28" s="797"/>
      <c r="H28" s="493">
        <f>ROUND((((D28/B15)-B20)/B23)-(((B28/B15)-B20)/B23),4)*10000</f>
        <v>704</v>
      </c>
      <c r="I28" s="119"/>
      <c r="J28" s="119"/>
      <c r="K28" s="119"/>
    </row>
    <row r="29" spans="1:24">
      <c r="A29" s="96" t="s">
        <v>500</v>
      </c>
      <c r="B29" s="95">
        <v>14520.543110000001</v>
      </c>
      <c r="C29" s="98"/>
      <c r="D29" s="95">
        <f>Report!L106+Report!N106+Report!P106</f>
        <v>21530.348039999997</v>
      </c>
      <c r="E29" s="98"/>
      <c r="F29" s="389">
        <f>B29-D29</f>
        <v>-7009.8049299999966</v>
      </c>
      <c r="G29" s="797"/>
      <c r="H29" s="493">
        <f>-ROUND((((D29/B15)-B20)/B23)-(((B29/B15)-B20)/B23),4)*10000</f>
        <v>-140</v>
      </c>
      <c r="I29" s="119"/>
      <c r="J29" s="119"/>
      <c r="K29" s="119"/>
    </row>
    <row r="30" spans="1:24" ht="15.75">
      <c r="A30" s="788" t="s">
        <v>501</v>
      </c>
      <c r="B30" s="79">
        <v>0</v>
      </c>
      <c r="C30" s="98"/>
      <c r="D30" s="79">
        <v>0</v>
      </c>
      <c r="E30" s="98"/>
      <c r="F30" s="389">
        <f>B30-D30</f>
        <v>0</v>
      </c>
      <c r="G30" s="497"/>
      <c r="H30" s="493">
        <f>-ROUND((((D30/B15)-B20)/B23)-(((B30/B15)-B20)/B23),4)*10000</f>
        <v>0</v>
      </c>
      <c r="I30" s="61" t="s">
        <v>493</v>
      </c>
      <c r="J30" s="119"/>
      <c r="K30" s="81" t="s">
        <v>494</v>
      </c>
    </row>
    <row r="31" spans="1:24" ht="15.75">
      <c r="A31" s="789" t="s">
        <v>502</v>
      </c>
      <c r="B31" s="79">
        <v>14520.543110000001</v>
      </c>
      <c r="D31" s="79">
        <f>SUM(D29:D30)</f>
        <v>21530.348039999997</v>
      </c>
      <c r="E31" s="98"/>
      <c r="F31" s="389">
        <f>D31-B31</f>
        <v>7009.8049299999966</v>
      </c>
      <c r="G31" s="497"/>
      <c r="H31" s="493">
        <f>-ROUND((((D31/B15)-B20)/B23)-(((B31/B15)-B20)/B23),4)*10000</f>
        <v>-140</v>
      </c>
      <c r="I31" s="390"/>
      <c r="J31" s="119"/>
      <c r="K31" s="69"/>
    </row>
    <row r="32" spans="1:24" ht="8.1" customHeight="1">
      <c r="A32" s="96"/>
      <c r="B32" s="97"/>
      <c r="D32" s="97"/>
      <c r="E32" s="98"/>
      <c r="F32" s="389"/>
      <c r="G32" s="500"/>
      <c r="H32" s="493"/>
      <c r="I32" s="69"/>
      <c r="J32" s="119"/>
      <c r="K32" s="69"/>
    </row>
    <row r="33" spans="1:24" ht="15.75">
      <c r="A33" s="96" t="s">
        <v>503</v>
      </c>
      <c r="B33" s="79">
        <v>62696.67141000001</v>
      </c>
      <c r="D33" s="79">
        <f>D28-D31</f>
        <v>90827.397169999851</v>
      </c>
      <c r="E33" s="98"/>
      <c r="F33" s="389">
        <f>D33-B33</f>
        <v>28130.725759999841</v>
      </c>
      <c r="G33" s="797"/>
      <c r="H33" s="493">
        <f>ROUND((((D33/B15)-B20)/B23)-(((B33/B15)-B20)/B23),4)*10000</f>
        <v>564</v>
      </c>
      <c r="I33" s="390">
        <f>H28+H29+H30</f>
        <v>564</v>
      </c>
      <c r="J33" s="119"/>
      <c r="K33" s="69">
        <f>I33-H33</f>
        <v>0</v>
      </c>
    </row>
    <row r="34" spans="1:24" ht="15.75">
      <c r="A34" s="96"/>
      <c r="B34" s="98"/>
      <c r="D34" s="98"/>
      <c r="E34" s="98"/>
      <c r="F34" s="389"/>
      <c r="G34" s="797"/>
      <c r="H34" s="493"/>
      <c r="I34" s="390"/>
      <c r="J34" s="119"/>
      <c r="K34" s="69"/>
    </row>
    <row r="35" spans="1:24" ht="15.75">
      <c r="A35" s="790" t="s">
        <v>504</v>
      </c>
      <c r="B35" s="98">
        <v>0</v>
      </c>
      <c r="D35" s="98">
        <f>Report!V139</f>
        <v>0</v>
      </c>
      <c r="E35" s="98"/>
      <c r="F35" s="389"/>
      <c r="G35" s="797"/>
      <c r="H35" s="493"/>
      <c r="I35" s="390"/>
      <c r="J35" s="119"/>
      <c r="K35" s="69"/>
    </row>
    <row r="36" spans="1:24" ht="15.75">
      <c r="A36" s="788" t="s">
        <v>505</v>
      </c>
      <c r="B36" s="79">
        <v>-11192.627741380986</v>
      </c>
      <c r="D36" s="79">
        <f>D58</f>
        <v>1006.1319359887111</v>
      </c>
      <c r="E36" s="98"/>
      <c r="F36" s="389">
        <f>D36-B36</f>
        <v>12198.759677369697</v>
      </c>
      <c r="G36" s="500"/>
      <c r="H36" s="493">
        <f>ROUND((((D36/B15)-B20)/B23)-(((B36/B15)-B20)/B23),4)*10000</f>
        <v>244.00000000000003</v>
      </c>
      <c r="I36" s="390">
        <f>H36</f>
        <v>244.00000000000003</v>
      </c>
      <c r="J36" s="119"/>
      <c r="K36" s="69">
        <f>H36-I36</f>
        <v>0</v>
      </c>
    </row>
    <row r="37" spans="1:24" s="68" customFormat="1" ht="15.75">
      <c r="A37" s="88" t="s">
        <v>495</v>
      </c>
      <c r="B37" s="99">
        <v>51504.043668619022</v>
      </c>
      <c r="C37" s="88"/>
      <c r="D37" s="99">
        <f>D33+SUM(D35:D36)</f>
        <v>91833.529105988564</v>
      </c>
      <c r="E37" s="796"/>
      <c r="F37" s="65">
        <f>D37-B37</f>
        <v>40329.485437369542</v>
      </c>
      <c r="G37" s="799"/>
      <c r="H37" s="494">
        <f>ROUND((((D37/B15)-B20)/B23)-(((B37/B15)-B20)/B23),4)*10000</f>
        <v>808</v>
      </c>
      <c r="I37" s="69">
        <f>H33+H36</f>
        <v>808</v>
      </c>
      <c r="K37" s="69">
        <f>H37-I37</f>
        <v>0</v>
      </c>
      <c r="X37" s="70"/>
    </row>
    <row r="38" spans="1:24" s="90" customFormat="1" ht="14.1" customHeight="1">
      <c r="A38" s="96"/>
      <c r="B38" s="101"/>
      <c r="C38" s="96"/>
      <c r="D38" s="101"/>
      <c r="E38" s="98"/>
      <c r="F38" s="495"/>
      <c r="G38" s="498"/>
      <c r="H38" s="120">
        <f>D37-D17</f>
        <v>5.9885642258450389E-6</v>
      </c>
      <c r="I38" s="102" t="s">
        <v>506</v>
      </c>
      <c r="J38" s="496"/>
      <c r="K38" s="490"/>
      <c r="X38" s="93"/>
    </row>
    <row r="39" spans="1:24" s="96" customFormat="1" ht="4.5" customHeight="1">
      <c r="B39" s="103"/>
      <c r="D39" s="103"/>
      <c r="E39" s="98"/>
      <c r="F39" s="497"/>
      <c r="G39" s="498"/>
      <c r="H39" s="105"/>
      <c r="I39" s="106"/>
      <c r="J39" s="499"/>
      <c r="K39" s="500"/>
      <c r="X39" s="108"/>
    </row>
    <row r="40" spans="1:24" ht="15.75">
      <c r="A40" s="74" t="s">
        <v>507</v>
      </c>
      <c r="B40" s="109"/>
      <c r="C40" s="109"/>
      <c r="D40" s="109"/>
      <c r="E40" s="98"/>
      <c r="F40" s="501"/>
      <c r="G40" s="497"/>
      <c r="H40" s="390"/>
      <c r="I40" s="488"/>
      <c r="J40" s="492"/>
      <c r="K40" s="119"/>
    </row>
    <row r="41" spans="1:24">
      <c r="A41" s="96" t="s">
        <v>150</v>
      </c>
      <c r="B41" s="110">
        <v>8.7659832206554711E-4</v>
      </c>
      <c r="D41" s="110">
        <f>Report!V109</f>
        <v>-3.2007087065721862E-4</v>
      </c>
      <c r="E41" s="98"/>
      <c r="F41" s="389">
        <f>D41-B41</f>
        <v>-1.1966691927227657E-3</v>
      </c>
      <c r="G41" s="499"/>
      <c r="H41" s="493">
        <f>ROUND((((D41/$B$15)-$B$20)/$B$23)-(((B41/$B$15)-$B$20)/$B$23),4)*10000</f>
        <v>0</v>
      </c>
      <c r="I41" s="119"/>
      <c r="J41" s="119"/>
      <c r="K41" s="119"/>
    </row>
    <row r="42" spans="1:24">
      <c r="A42" s="96" t="s">
        <v>151</v>
      </c>
      <c r="B42" s="110">
        <v>33.47171611050873</v>
      </c>
      <c r="D42" s="110">
        <f>Report!V110</f>
        <v>31.340474098839898</v>
      </c>
      <c r="E42" s="98"/>
      <c r="F42" s="389">
        <f>D42-B42</f>
        <v>-2.1312420116688315</v>
      </c>
      <c r="G42" s="499"/>
      <c r="H42" s="493">
        <f>ROUND((((D42/$B$15)-$B$20)/$B$23)-(((B42/$B$15)-$B$20)/$B$23),4)*10000</f>
        <v>0</v>
      </c>
      <c r="I42" s="119"/>
      <c r="J42" s="119"/>
      <c r="K42" s="119"/>
    </row>
    <row r="43" spans="1:24">
      <c r="A43" s="96" t="s">
        <v>152</v>
      </c>
      <c r="B43" s="110">
        <v>-502.80144703905319</v>
      </c>
      <c r="D43" s="110">
        <f>Report!V111</f>
        <v>-92.409253235451331</v>
      </c>
      <c r="E43" s="98"/>
      <c r="F43" s="389">
        <f t="shared" ref="F43:F58" si="0">D43-B43</f>
        <v>410.39219380360186</v>
      </c>
      <c r="G43" s="499"/>
      <c r="H43" s="493">
        <f t="shared" ref="H43:H58" si="1">ROUND((((D43/$B$15)-$B$20)/$B$23)-(((B43/$B$15)-$B$20)/$B$23),4)*10000</f>
        <v>8</v>
      </c>
      <c r="I43" s="119"/>
      <c r="J43" s="119"/>
      <c r="K43" s="119"/>
    </row>
    <row r="44" spans="1:24">
      <c r="A44" s="96" t="s">
        <v>481</v>
      </c>
      <c r="B44" s="110">
        <v>0</v>
      </c>
      <c r="D44" s="110">
        <f>Report!V112</f>
        <v>2099</v>
      </c>
      <c r="E44" s="98"/>
      <c r="F44" s="389">
        <f t="shared" si="0"/>
        <v>2099</v>
      </c>
      <c r="G44" s="499"/>
      <c r="H44" s="493">
        <f t="shared" si="1"/>
        <v>42</v>
      </c>
      <c r="I44" s="119"/>
      <c r="J44" s="119"/>
      <c r="K44" s="119"/>
      <c r="O44" s="111"/>
    </row>
    <row r="45" spans="1:24">
      <c r="A45" s="96" t="s">
        <v>153</v>
      </c>
      <c r="B45" s="110">
        <v>0</v>
      </c>
      <c r="D45" s="110">
        <f>Report!V113</f>
        <v>0</v>
      </c>
      <c r="E45" s="98"/>
      <c r="F45" s="389">
        <f t="shared" si="0"/>
        <v>0</v>
      </c>
      <c r="G45" s="499"/>
      <c r="H45" s="493">
        <f t="shared" si="1"/>
        <v>0</v>
      </c>
      <c r="I45" s="119"/>
      <c r="J45" s="119"/>
      <c r="K45" s="119"/>
    </row>
    <row r="46" spans="1:24">
      <c r="A46" s="96" t="s">
        <v>410</v>
      </c>
      <c r="B46" s="110">
        <v>13.145924412457202</v>
      </c>
      <c r="D46" s="110">
        <f>Report!V114</f>
        <v>14.190459380769001</v>
      </c>
      <c r="E46" s="98"/>
      <c r="F46" s="389">
        <f t="shared" si="0"/>
        <v>1.0445349683117993</v>
      </c>
      <c r="G46" s="499"/>
      <c r="H46" s="493">
        <f t="shared" si="1"/>
        <v>0</v>
      </c>
      <c r="I46" s="119"/>
      <c r="J46" s="119"/>
      <c r="K46" s="119"/>
      <c r="O46" s="167"/>
    </row>
    <row r="47" spans="1:24">
      <c r="A47" s="96" t="s">
        <v>154</v>
      </c>
      <c r="B47" s="78">
        <v>53.025617865037987</v>
      </c>
      <c r="D47" s="78">
        <f>Report!V115</f>
        <v>53.236054178474994</v>
      </c>
      <c r="E47" s="98"/>
      <c r="F47" s="389">
        <f t="shared" si="0"/>
        <v>0.21043631343700753</v>
      </c>
      <c r="G47" s="499"/>
      <c r="H47" s="493">
        <f t="shared" si="1"/>
        <v>0</v>
      </c>
      <c r="I47" s="119"/>
      <c r="J47" s="119"/>
      <c r="K47" s="119"/>
      <c r="O47" s="166"/>
    </row>
    <row r="48" spans="1:24">
      <c r="A48" s="96" t="s">
        <v>409</v>
      </c>
      <c r="B48" s="78">
        <v>-133.56389279133145</v>
      </c>
      <c r="D48" s="78">
        <f>Report!V116</f>
        <v>-136.8710449950413</v>
      </c>
      <c r="E48" s="98"/>
      <c r="F48" s="389">
        <f t="shared" si="0"/>
        <v>-3.3071522037098475</v>
      </c>
      <c r="G48" s="499"/>
      <c r="H48" s="493">
        <f t="shared" si="1"/>
        <v>0</v>
      </c>
      <c r="I48" s="119"/>
      <c r="J48" s="119"/>
      <c r="K48" s="119"/>
      <c r="O48" s="167"/>
    </row>
    <row r="49" spans="1:15">
      <c r="A49" s="96" t="s">
        <v>155</v>
      </c>
      <c r="B49" s="78">
        <v>25.327401659350883</v>
      </c>
      <c r="D49" s="78">
        <f>Report!V117</f>
        <v>29.30058323299987</v>
      </c>
      <c r="E49" s="98"/>
      <c r="F49" s="389">
        <f t="shared" si="0"/>
        <v>3.9731815736489864</v>
      </c>
      <c r="G49" s="499"/>
      <c r="H49" s="493">
        <f t="shared" si="1"/>
        <v>0</v>
      </c>
      <c r="I49" s="119"/>
      <c r="J49" s="119"/>
      <c r="K49" s="119"/>
      <c r="O49" s="167"/>
    </row>
    <row r="50" spans="1:15">
      <c r="A50" s="96" t="s">
        <v>156</v>
      </c>
      <c r="B50" s="78">
        <v>3.7075384398766085</v>
      </c>
      <c r="D50" s="78">
        <f>Report!V118</f>
        <v>4.5190721697556206</v>
      </c>
      <c r="E50" s="98"/>
      <c r="F50" s="389">
        <f t="shared" si="0"/>
        <v>0.81153372987901218</v>
      </c>
      <c r="G50" s="499"/>
      <c r="H50" s="493">
        <f t="shared" si="1"/>
        <v>0</v>
      </c>
      <c r="I50" s="119"/>
      <c r="J50" s="119"/>
      <c r="K50" s="119"/>
      <c r="O50" s="166"/>
    </row>
    <row r="51" spans="1:15">
      <c r="A51" s="96" t="s">
        <v>411</v>
      </c>
      <c r="B51" s="78">
        <v>60.114596460999998</v>
      </c>
      <c r="D51" s="78">
        <f>Report!V119</f>
        <v>34.068495817500001</v>
      </c>
      <c r="E51" s="98"/>
      <c r="F51" s="389">
        <f t="shared" si="0"/>
        <v>-26.046100643499997</v>
      </c>
      <c r="G51" s="499"/>
      <c r="H51" s="493">
        <f t="shared" si="1"/>
        <v>-1</v>
      </c>
      <c r="I51" s="119"/>
      <c r="J51" s="119"/>
      <c r="K51" s="119"/>
    </row>
    <row r="52" spans="1:15">
      <c r="A52" s="500" t="s">
        <v>412</v>
      </c>
      <c r="B52" s="78">
        <v>0</v>
      </c>
      <c r="D52" s="78">
        <f>Report!V120</f>
        <v>0</v>
      </c>
      <c r="E52" s="98"/>
      <c r="F52" s="389">
        <f t="shared" si="0"/>
        <v>0</v>
      </c>
      <c r="G52" s="499"/>
      <c r="H52" s="493">
        <f t="shared" si="1"/>
        <v>0</v>
      </c>
      <c r="I52" s="119"/>
      <c r="J52" s="119"/>
      <c r="K52" s="119"/>
    </row>
    <row r="53" spans="1:15">
      <c r="A53" s="791" t="s">
        <v>536</v>
      </c>
      <c r="B53" s="78">
        <v>-80.415622883790007</v>
      </c>
      <c r="D53" s="78">
        <f>Report!V121</f>
        <v>-82.709216308034996</v>
      </c>
      <c r="E53" s="98"/>
      <c r="F53" s="389">
        <f>D53-B53</f>
        <v>-2.2935934242449889</v>
      </c>
      <c r="G53" s="499"/>
      <c r="H53" s="493">
        <f>ROUND((((D53/$B$15)-$B$20)/$B$23)-(((B53/$B$15)-$B$20)/$B$23),4)*10000</f>
        <v>0</v>
      </c>
      <c r="I53" s="119"/>
      <c r="J53" s="119"/>
      <c r="K53" s="119"/>
    </row>
    <row r="54" spans="1:15">
      <c r="A54" s="500" t="s">
        <v>157</v>
      </c>
      <c r="B54" s="78">
        <v>0</v>
      </c>
      <c r="D54" s="78">
        <f>Report!V122</f>
        <v>0</v>
      </c>
      <c r="E54" s="98"/>
      <c r="F54" s="389">
        <f t="shared" si="0"/>
        <v>0</v>
      </c>
      <c r="G54" s="499"/>
      <c r="H54" s="493">
        <f t="shared" si="1"/>
        <v>0</v>
      </c>
      <c r="I54" s="119"/>
      <c r="J54" s="119"/>
      <c r="K54" s="119"/>
    </row>
    <row r="55" spans="1:15">
      <c r="A55" s="96" t="s">
        <v>532</v>
      </c>
      <c r="B55" s="78">
        <v>6.8685143560287543E-4</v>
      </c>
      <c r="D55" s="78">
        <f>Report!V123</f>
        <v>-8.992467301141005E-4</v>
      </c>
      <c r="E55" s="98"/>
      <c r="F55" s="389">
        <f t="shared" si="0"/>
        <v>-1.5860981657169759E-3</v>
      </c>
      <c r="G55" s="499"/>
      <c r="H55" s="493">
        <f t="shared" si="1"/>
        <v>0</v>
      </c>
      <c r="I55" s="119"/>
      <c r="J55" s="119"/>
      <c r="K55" s="119"/>
    </row>
    <row r="56" spans="1:15">
      <c r="A56" s="96" t="s">
        <v>533</v>
      </c>
      <c r="B56" s="78">
        <v>-10664.6411370648</v>
      </c>
      <c r="D56" s="78">
        <f>Report!V124</f>
        <v>-947.53246903350009</v>
      </c>
      <c r="E56" s="98"/>
      <c r="F56" s="389">
        <f t="shared" si="0"/>
        <v>9717.1086680313001</v>
      </c>
      <c r="G56" s="499"/>
      <c r="H56" s="493">
        <f t="shared" si="1"/>
        <v>195</v>
      </c>
      <c r="I56" s="119"/>
      <c r="J56" s="119"/>
      <c r="K56" s="119"/>
    </row>
    <row r="57" spans="1:15" ht="15.2" customHeight="1">
      <c r="A57" s="96" t="s">
        <v>510</v>
      </c>
      <c r="B57" s="79">
        <v>0</v>
      </c>
      <c r="D57" s="79">
        <f>Report!V125</f>
        <v>0</v>
      </c>
      <c r="E57" s="98"/>
      <c r="F57" s="502">
        <f t="shared" si="0"/>
        <v>0</v>
      </c>
      <c r="G57" s="500"/>
      <c r="H57" s="493">
        <f t="shared" si="1"/>
        <v>0</v>
      </c>
      <c r="I57" s="500"/>
      <c r="J57" s="119"/>
      <c r="K57" s="500"/>
      <c r="L57" s="96"/>
      <c r="M57" s="96"/>
      <c r="N57" s="96"/>
      <c r="O57" s="96"/>
    </row>
    <row r="58" spans="1:15" ht="15.2" customHeight="1">
      <c r="A58" s="96" t="s">
        <v>508</v>
      </c>
      <c r="B58" s="78">
        <v>-11192.627741380986</v>
      </c>
      <c r="D58" s="78">
        <f>SUM(D41:D57)</f>
        <v>1006.1319359887111</v>
      </c>
      <c r="E58" s="98"/>
      <c r="F58" s="389">
        <f t="shared" si="0"/>
        <v>12198.759677369697</v>
      </c>
      <c r="G58" s="500"/>
      <c r="H58" s="493">
        <f t="shared" si="1"/>
        <v>244.00000000000003</v>
      </c>
      <c r="I58" s="119"/>
      <c r="J58" s="119"/>
      <c r="K58" s="119"/>
    </row>
    <row r="59" spans="1:15" ht="15.75">
      <c r="A59" s="88"/>
      <c r="F59" s="65"/>
    </row>
    <row r="60" spans="1:15">
      <c r="A60" s="789"/>
      <c r="B60" s="76"/>
      <c r="C60" s="794"/>
      <c r="D60" s="76"/>
      <c r="E60" s="794"/>
    </row>
  </sheetData>
  <mergeCells count="4">
    <mergeCell ref="A1:H1"/>
    <mergeCell ref="A2:H2"/>
    <mergeCell ref="A3:H3"/>
    <mergeCell ref="A4:H4"/>
  </mergeCells>
  <conditionalFormatting sqref="K31:K37 K15:K25">
    <cfRule type="cellIs" dxfId="17" priority="1" stopIfTrue="1" operator="equal">
      <formula>0</formula>
    </cfRule>
    <cfRule type="cellIs" dxfId="16"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workbookViewId="0"/>
  </sheetViews>
  <sheetFormatPr defaultRowHeight="12.75"/>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3" tint="0.39997558519241921"/>
    <pageSetUpPr fitToPage="1"/>
  </sheetPr>
  <dimension ref="A1:X59"/>
  <sheetViews>
    <sheetView workbookViewId="0">
      <selection sqref="A1:H1"/>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455"/>
      <c r="C5" s="792"/>
      <c r="D5" s="260"/>
      <c r="E5" s="795"/>
      <c r="K5" s="65"/>
    </row>
    <row r="6" spans="1:24" ht="28.15" customHeight="1">
      <c r="A6" s="64"/>
      <c r="B6" s="67">
        <v>44561</v>
      </c>
      <c r="C6" s="792"/>
      <c r="D6" s="260"/>
      <c r="E6" s="795"/>
      <c r="K6" s="65"/>
    </row>
    <row r="7" spans="1:24" s="68" customFormat="1" ht="15.75">
      <c r="A7" s="66"/>
      <c r="B7" s="61" t="s">
        <v>2565</v>
      </c>
      <c r="C7" s="96"/>
      <c r="D7" s="67" t="str">
        <f>'COMP Prior Yr'!D6</f>
        <v>December 2021</v>
      </c>
      <c r="E7" s="88"/>
      <c r="G7" s="88"/>
      <c r="H7" s="69" t="s">
        <v>487</v>
      </c>
      <c r="X7" s="70"/>
    </row>
    <row r="8" spans="1:24" s="68" customFormat="1" ht="15.75">
      <c r="A8" s="71"/>
      <c r="B8" s="72" t="s">
        <v>509</v>
      </c>
      <c r="C8" s="793"/>
      <c r="D8" s="72" t="str">
        <f>'COMP Prior Yr'!D7</f>
        <v>Actuals</v>
      </c>
      <c r="E8" s="88"/>
      <c r="F8" s="73" t="s">
        <v>489</v>
      </c>
      <c r="G8" s="74"/>
      <c r="H8" s="75" t="s">
        <v>490</v>
      </c>
      <c r="K8" s="76"/>
      <c r="X8" s="70"/>
    </row>
    <row r="9" spans="1:24" ht="15.75">
      <c r="A9" s="68"/>
    </row>
    <row r="10" spans="1:24">
      <c r="A10" s="59" t="s">
        <v>223</v>
      </c>
      <c r="B10" s="229">
        <v>1504546.9991714733</v>
      </c>
      <c r="D10" s="229">
        <f>+'COMP Prior Yr'!D9</f>
        <v>1472581.083657678</v>
      </c>
      <c r="F10" s="389">
        <f>D10-B10</f>
        <v>-31965.915513795335</v>
      </c>
      <c r="G10" s="797"/>
      <c r="H10" s="390">
        <f>ROUND((((B18/(D10+D11+D12+D14))-B21)/B24)-(((B18/(B10+D11+D12+D14))-B21)/B24),4)*10000</f>
        <v>27</v>
      </c>
      <c r="I10" s="119"/>
      <c r="J10" s="77"/>
      <c r="K10" s="119"/>
    </row>
    <row r="11" spans="1:24">
      <c r="A11" s="59" t="s">
        <v>4</v>
      </c>
      <c r="B11" s="230">
        <v>52860.816793076912</v>
      </c>
      <c r="D11" s="230">
        <f>+'COMP Prior Yr'!D10</f>
        <v>63731.53211</v>
      </c>
      <c r="F11" s="389">
        <f>D11-B11</f>
        <v>10870.715316923088</v>
      </c>
      <c r="G11" s="797"/>
      <c r="H11" s="390">
        <f>ROUND((((B18/(D10+D12+D14+D11))-B21)/B24)-(((B18/(B11+D10+D12+D14))-B21)/B24),4)*10000</f>
        <v>-9</v>
      </c>
      <c r="I11" s="119"/>
      <c r="J11" s="119"/>
      <c r="K11" s="119"/>
    </row>
    <row r="12" spans="1:24">
      <c r="A12" s="59" t="s">
        <v>491</v>
      </c>
      <c r="B12" s="230">
        <v>0</v>
      </c>
      <c r="D12" s="230">
        <f>+'COMP Prior Yr'!D11</f>
        <v>0</v>
      </c>
      <c r="F12" s="389">
        <f>D12-B12</f>
        <v>0</v>
      </c>
      <c r="G12" s="497"/>
      <c r="H12" s="390">
        <f>ROUND((((B18/(D10+D11+D12+D14))-B21)/B24)-(((B18/(B12+D10+D11+D14))-B21)/B24),4)*10000</f>
        <v>0</v>
      </c>
      <c r="I12" s="119"/>
      <c r="J12" s="119"/>
      <c r="K12" s="119"/>
    </row>
    <row r="13" spans="1:24">
      <c r="A13" s="119" t="s">
        <v>229</v>
      </c>
      <c r="B13" s="230">
        <v>1000</v>
      </c>
      <c r="D13" s="230">
        <f>+'COMP Prior Yr'!D12</f>
        <v>-5589.6985323076933</v>
      </c>
      <c r="F13" s="389">
        <f>D13-B13</f>
        <v>-6589.6985323076933</v>
      </c>
      <c r="G13" s="497"/>
      <c r="H13" s="390">
        <f>ROUND((((B18/(D10+D11+D12+D13+D14))-B21)/B24)-(((B18/(B13+D10+D11+D12+D14))-B21)/B24),4)*10000</f>
        <v>5.9999999999999991</v>
      </c>
      <c r="I13" s="119"/>
      <c r="J13" s="119"/>
      <c r="K13" s="119"/>
    </row>
    <row r="14" spans="1:24" ht="15.75">
      <c r="A14" s="59" t="s">
        <v>492</v>
      </c>
      <c r="B14" s="388">
        <v>-41046.03545451042</v>
      </c>
      <c r="C14" s="98"/>
      <c r="D14" s="388">
        <f>+'COMP Prior Yr'!D13</f>
        <v>-42593.076323846137</v>
      </c>
      <c r="F14" s="389">
        <f>D14-B14</f>
        <v>-1547.0408693357167</v>
      </c>
      <c r="G14" s="497"/>
      <c r="H14" s="390">
        <f>ROUND((((B18/(D10+D11+D12+D14))-B21)/B24)-(((B18/(B14+D10+D11+D12))-B21)/B24),4)*10000</f>
        <v>1</v>
      </c>
      <c r="I14" s="80" t="s">
        <v>493</v>
      </c>
      <c r="J14" s="119"/>
      <c r="K14" s="81" t="s">
        <v>494</v>
      </c>
    </row>
    <row r="15" spans="1:24" ht="8.1" customHeight="1">
      <c r="B15" s="231"/>
      <c r="D15" s="231"/>
      <c r="F15" s="389"/>
      <c r="G15" s="500"/>
      <c r="H15" s="390"/>
      <c r="I15" s="80"/>
      <c r="J15" s="119"/>
      <c r="K15" s="81"/>
    </row>
    <row r="16" spans="1:24" ht="15.75">
      <c r="A16" s="68" t="s">
        <v>348</v>
      </c>
      <c r="B16" s="232">
        <v>1517361.7805000001</v>
      </c>
      <c r="C16" s="88"/>
      <c r="D16" s="232">
        <f>+'COMP Prior Yr'!D15</f>
        <v>1488129.8409</v>
      </c>
      <c r="E16" s="88"/>
      <c r="F16" s="65">
        <f>D16-B16</f>
        <v>-29231.939600000158</v>
      </c>
      <c r="G16" s="798"/>
      <c r="H16" s="69">
        <f>ROUND((((B18/D16)-B21)/B24)-(((B18/B16)-B21)/B24),4)*10000</f>
        <v>25</v>
      </c>
      <c r="I16" s="69">
        <f>SUM(H10:H14)</f>
        <v>25</v>
      </c>
      <c r="J16" s="390"/>
      <c r="K16" s="69">
        <f>H16-I16</f>
        <v>0</v>
      </c>
      <c r="O16" s="83">
        <f>+F16/H16</f>
        <v>-1169.2775840000063</v>
      </c>
    </row>
    <row r="17" spans="1:24" ht="8.1" customHeight="1">
      <c r="B17" s="230"/>
      <c r="D17" s="230"/>
      <c r="F17" s="389"/>
      <c r="G17" s="500"/>
      <c r="H17" s="390"/>
      <c r="I17" s="69"/>
      <c r="J17" s="390"/>
      <c r="K17" s="69"/>
    </row>
    <row r="18" spans="1:24" s="68" customFormat="1" ht="15.75">
      <c r="A18" s="68" t="s">
        <v>495</v>
      </c>
      <c r="B18" s="233">
        <v>88696.302299999996</v>
      </c>
      <c r="C18" s="88"/>
      <c r="D18" s="233">
        <f>+'COMP Prior Yr'!D17</f>
        <v>91833.5291</v>
      </c>
      <c r="E18" s="88"/>
      <c r="F18" s="65">
        <f>D18-B18</f>
        <v>3137.226800000004</v>
      </c>
      <c r="G18" s="799"/>
      <c r="H18" s="84">
        <f>ROUND((((D18/B16)-B21)/B24)-(((B18/B16)-B21)/B24),4)*10000</f>
        <v>45</v>
      </c>
      <c r="I18" s="69"/>
      <c r="J18" s="69"/>
      <c r="K18" s="69"/>
      <c r="L18" s="84"/>
      <c r="O18" s="83">
        <f>+F18/H18</f>
        <v>69.716151111111202</v>
      </c>
      <c r="X18" s="70"/>
    </row>
    <row r="19" spans="1:24" ht="8.1" customHeight="1">
      <c r="F19" s="119"/>
      <c r="G19" s="500"/>
      <c r="H19" s="390"/>
      <c r="I19" s="69"/>
      <c r="J19" s="390"/>
      <c r="K19" s="69"/>
    </row>
    <row r="20" spans="1:24" ht="15.75">
      <c r="A20" s="59" t="s">
        <v>496</v>
      </c>
      <c r="B20" s="85">
        <v>5.8500000000000003E-2</v>
      </c>
      <c r="D20" s="85">
        <f>+'COMP Prior Yr'!D19</f>
        <v>6.1699999999999998E-2</v>
      </c>
      <c r="F20" s="488">
        <f>D20-B20</f>
        <v>3.1999999999999945E-3</v>
      </c>
      <c r="G20" s="499"/>
      <c r="H20" s="390">
        <f>ROUND((F20/$B$24)*10000,0)</f>
        <v>70</v>
      </c>
      <c r="I20" s="69">
        <f>H16+H18</f>
        <v>70</v>
      </c>
      <c r="J20" s="390"/>
      <c r="K20" s="69">
        <f>H20-I20</f>
        <v>0</v>
      </c>
    </row>
    <row r="21" spans="1:24" ht="15.75">
      <c r="A21" s="59" t="s">
        <v>1859</v>
      </c>
      <c r="B21" s="86">
        <v>1.2999999999999999E-2</v>
      </c>
      <c r="D21" s="86">
        <f>+'COMP Prior Yr'!D20</f>
        <v>1.3100000000000001E-2</v>
      </c>
      <c r="F21" s="488">
        <f>D21-B21</f>
        <v>1.0000000000000113E-4</v>
      </c>
      <c r="G21" s="499"/>
      <c r="H21" s="390">
        <f>-ROUND((F21/$B$24)*10000,0)</f>
        <v>-2</v>
      </c>
      <c r="I21" s="69"/>
      <c r="J21" s="390"/>
      <c r="K21" s="69"/>
    </row>
    <row r="22" spans="1:24" ht="8.1" customHeight="1">
      <c r="B22" s="82"/>
      <c r="D22" s="82"/>
      <c r="F22" s="488"/>
      <c r="G22" s="499"/>
      <c r="H22" s="390"/>
      <c r="I22" s="69"/>
      <c r="J22" s="390"/>
      <c r="K22" s="69"/>
    </row>
    <row r="23" spans="1:24" ht="15.75">
      <c r="A23" s="59" t="s">
        <v>497</v>
      </c>
      <c r="B23" s="85">
        <v>4.5499999999999999E-2</v>
      </c>
      <c r="D23" s="85">
        <f>+'COMP Prior Yr'!D22</f>
        <v>4.8599999999999997E-2</v>
      </c>
      <c r="F23" s="488">
        <f>D23-B23</f>
        <v>3.0999999999999986E-3</v>
      </c>
      <c r="G23" s="499"/>
      <c r="H23" s="390">
        <f>ROUND((F23/$B$24)*10000,0)</f>
        <v>67</v>
      </c>
      <c r="I23" s="69">
        <f>H20+H21</f>
        <v>68</v>
      </c>
      <c r="J23" s="390"/>
      <c r="K23" s="69">
        <f>H23-I23</f>
        <v>-1</v>
      </c>
    </row>
    <row r="24" spans="1:24" ht="15.75">
      <c r="A24" s="59" t="s">
        <v>483</v>
      </c>
      <c r="B24" s="86">
        <v>0.45929999999999999</v>
      </c>
      <c r="D24" s="86">
        <f>+'COMP Prior Yr'!D23</f>
        <v>0.4582</v>
      </c>
      <c r="F24" s="488">
        <f>D24-B24</f>
        <v>-1.0999999999999899E-3</v>
      </c>
      <c r="G24" s="499"/>
      <c r="H24" s="390">
        <f>ROUND((B23/D24)-(B23/B24),4)*10000</f>
        <v>2</v>
      </c>
      <c r="I24" s="69"/>
      <c r="J24" s="390"/>
      <c r="K24" s="69"/>
    </row>
    <row r="25" spans="1:24" ht="15.75">
      <c r="B25" s="82"/>
      <c r="D25" s="82"/>
      <c r="F25" s="488"/>
      <c r="G25" s="499"/>
      <c r="H25" s="489"/>
      <c r="I25" s="69"/>
      <c r="J25" s="390"/>
      <c r="K25" s="69"/>
    </row>
    <row r="26" spans="1:24" s="68" customFormat="1" ht="15.75">
      <c r="A26" s="88" t="s">
        <v>498</v>
      </c>
      <c r="B26" s="287">
        <v>9.8999999999999991E-2</v>
      </c>
      <c r="C26" s="88"/>
      <c r="D26" s="287">
        <f>+'COMP Prior Yr'!D25</f>
        <v>0.1061</v>
      </c>
      <c r="E26" s="88"/>
      <c r="F26" s="89">
        <f>D26-B26</f>
        <v>7.1000000000000091E-3</v>
      </c>
      <c r="G26" s="203"/>
      <c r="H26" s="69">
        <f>(D26-B26)*10000</f>
        <v>71.000000000000085</v>
      </c>
      <c r="I26" s="69">
        <f>H23+H24</f>
        <v>69</v>
      </c>
      <c r="J26" s="69"/>
      <c r="K26" s="69">
        <f>H26-I26</f>
        <v>2.0000000000000853</v>
      </c>
      <c r="L26" s="89"/>
      <c r="X26" s="70"/>
    </row>
    <row r="27" spans="1:24" s="90" customFormat="1" ht="4.5" customHeight="1">
      <c r="A27" s="96"/>
      <c r="B27" s="91"/>
      <c r="C27" s="96"/>
      <c r="D27" s="91"/>
      <c r="E27" s="96"/>
      <c r="F27" s="490"/>
      <c r="G27" s="500"/>
      <c r="H27" s="491"/>
      <c r="I27" s="490"/>
      <c r="J27" s="490"/>
      <c r="K27" s="490"/>
      <c r="X27" s="93"/>
    </row>
    <row r="28" spans="1:24" ht="4.5" customHeight="1">
      <c r="A28" s="96"/>
      <c r="F28" s="119"/>
      <c r="G28" s="500"/>
      <c r="H28" s="390"/>
      <c r="I28" s="119"/>
      <c r="J28" s="492"/>
      <c r="K28" s="119"/>
    </row>
    <row r="29" spans="1:24">
      <c r="A29" s="96" t="s">
        <v>499</v>
      </c>
      <c r="B29" s="528">
        <v>108992.5474000001</v>
      </c>
      <c r="D29" s="528">
        <f>+'COMP Prior Yr'!D28</f>
        <v>112357.74520999985</v>
      </c>
      <c r="E29" s="98"/>
      <c r="F29" s="389">
        <f>D29-B29</f>
        <v>3365.1978099997505</v>
      </c>
      <c r="G29" s="797"/>
      <c r="H29" s="493">
        <f>ROUND((((D29/B16)-B21)/B24)-(((B29/B16)-B21)/B24),4)*10000</f>
        <v>47.999999999999993</v>
      </c>
      <c r="I29" s="119"/>
      <c r="J29" s="119"/>
      <c r="K29" s="119"/>
    </row>
    <row r="30" spans="1:24">
      <c r="A30" s="96" t="s">
        <v>500</v>
      </c>
      <c r="B30" s="95">
        <v>21683.5</v>
      </c>
      <c r="C30" s="98"/>
      <c r="D30" s="95">
        <f>+'COMP Prior Yr'!D29</f>
        <v>21530.348039999997</v>
      </c>
      <c r="E30" s="98"/>
      <c r="F30" s="389">
        <f>B30-D30</f>
        <v>153.15196000000287</v>
      </c>
      <c r="G30" s="797"/>
      <c r="H30" s="493">
        <f>-ROUND((((D30/B16)-B21)/B24)-(((B30/B16)-B21)/B24),4)*10000</f>
        <v>2</v>
      </c>
      <c r="I30" s="119"/>
      <c r="J30" s="119"/>
      <c r="K30" s="119"/>
    </row>
    <row r="31" spans="1:24" ht="15.75">
      <c r="A31" s="788" t="s">
        <v>501</v>
      </c>
      <c r="B31" s="79">
        <v>0</v>
      </c>
      <c r="C31" s="98"/>
      <c r="D31" s="79">
        <f>+'COMP Prior Yr'!D30</f>
        <v>0</v>
      </c>
      <c r="E31" s="98"/>
      <c r="F31" s="389">
        <f>B31-D31</f>
        <v>0</v>
      </c>
      <c r="G31" s="497"/>
      <c r="H31" s="493">
        <f>-ROUND((((D31/B16)-B21)/B24)-(((B31/B16)-B21)/B24),4)*10000</f>
        <v>0</v>
      </c>
      <c r="I31" s="61" t="s">
        <v>493</v>
      </c>
      <c r="J31" s="119"/>
      <c r="K31" s="81" t="s">
        <v>494</v>
      </c>
    </row>
    <row r="32" spans="1:24" ht="15.75">
      <c r="A32" s="789" t="s">
        <v>502</v>
      </c>
      <c r="B32" s="79">
        <v>21683.5</v>
      </c>
      <c r="D32" s="79">
        <f>+'COMP Prior Yr'!D31</f>
        <v>21530.348039999997</v>
      </c>
      <c r="E32" s="98"/>
      <c r="F32" s="389">
        <f>D32-B32</f>
        <v>-153.15196000000287</v>
      </c>
      <c r="G32" s="497"/>
      <c r="H32" s="493">
        <f>-ROUND((((D32/B16)-B21)/B24)-(((B32/B16)-B21)/B24),4)*10000</f>
        <v>2</v>
      </c>
      <c r="I32" s="390"/>
      <c r="J32" s="119"/>
      <c r="K32" s="69"/>
    </row>
    <row r="33" spans="1:24" ht="8.1" customHeight="1">
      <c r="A33" s="96"/>
      <c r="B33" s="97"/>
      <c r="D33" s="97"/>
      <c r="E33" s="98"/>
      <c r="F33" s="389"/>
      <c r="G33" s="500"/>
      <c r="H33" s="493"/>
      <c r="I33" s="69"/>
      <c r="J33" s="119"/>
      <c r="K33" s="69"/>
    </row>
    <row r="34" spans="1:24" ht="15.75">
      <c r="A34" s="96" t="s">
        <v>503</v>
      </c>
      <c r="B34" s="79">
        <v>87309.047400000098</v>
      </c>
      <c r="D34" s="79">
        <f>+'COMP Prior Yr'!D33</f>
        <v>90827.397169999851</v>
      </c>
      <c r="E34" s="98"/>
      <c r="F34" s="389">
        <f>D34-B34</f>
        <v>3518.3497699997533</v>
      </c>
      <c r="G34" s="797"/>
      <c r="H34" s="493">
        <f>ROUND((((D34/B16)-B21)/B24)-(((B34/B16)-B21)/B24),4)*10000</f>
        <v>50</v>
      </c>
      <c r="I34" s="390">
        <f>H29+H30+H31</f>
        <v>49.999999999999993</v>
      </c>
      <c r="J34" s="119"/>
      <c r="K34" s="69">
        <f>I34-H34</f>
        <v>0</v>
      </c>
    </row>
    <row r="35" spans="1:24" ht="15.75">
      <c r="A35" s="96"/>
      <c r="B35" s="98"/>
      <c r="D35" s="98"/>
      <c r="E35" s="98"/>
      <c r="F35" s="389"/>
      <c r="G35" s="797"/>
      <c r="H35" s="493"/>
      <c r="I35" s="390"/>
      <c r="J35" s="119"/>
      <c r="K35" s="69"/>
    </row>
    <row r="36" spans="1:24" ht="15.75">
      <c r="A36" s="790" t="s">
        <v>504</v>
      </c>
      <c r="B36" s="98">
        <v>0</v>
      </c>
      <c r="D36" s="98">
        <f>+'COMP Prior Yr'!D35</f>
        <v>0</v>
      </c>
      <c r="E36" s="98"/>
      <c r="F36" s="389"/>
      <c r="G36" s="797"/>
      <c r="H36" s="493"/>
      <c r="I36" s="390"/>
      <c r="J36" s="119"/>
      <c r="K36" s="69"/>
    </row>
    <row r="37" spans="1:24" ht="15.75">
      <c r="A37" s="788" t="s">
        <v>505</v>
      </c>
      <c r="B37" s="79">
        <v>1387.2549473757927</v>
      </c>
      <c r="D37" s="79">
        <f>+'COMP Prior Yr'!D36</f>
        <v>1006.1319359887111</v>
      </c>
      <c r="E37" s="98"/>
      <c r="F37" s="389">
        <f>D37-B37</f>
        <v>-381.12301138708153</v>
      </c>
      <c r="G37" s="500"/>
      <c r="H37" s="493">
        <f>ROUND((((D37/B16)-B21)/B24)-(((B37/B16)-B21)/B24),4)*10000</f>
        <v>-5</v>
      </c>
      <c r="I37" s="390">
        <f>H37</f>
        <v>-5</v>
      </c>
      <c r="J37" s="119"/>
      <c r="K37" s="69">
        <f>H37-I37</f>
        <v>0</v>
      </c>
    </row>
    <row r="38" spans="1:24" s="68" customFormat="1" ht="15.75">
      <c r="A38" s="88" t="s">
        <v>495</v>
      </c>
      <c r="B38" s="99">
        <v>88696.302347375895</v>
      </c>
      <c r="C38" s="88"/>
      <c r="D38" s="99">
        <f>+'COMP Prior Yr'!D37</f>
        <v>91833.529105988564</v>
      </c>
      <c r="E38" s="796"/>
      <c r="F38" s="65">
        <f>D38-B38</f>
        <v>3137.2267586126691</v>
      </c>
      <c r="G38" s="799"/>
      <c r="H38" s="494">
        <f>ROUND((((D38/B16)-B21)/B24)-(((B38/B16)-B21)/B24),4)*10000</f>
        <v>45</v>
      </c>
      <c r="I38" s="69">
        <f>H34+H37</f>
        <v>45</v>
      </c>
      <c r="K38" s="69">
        <f>H38-I38</f>
        <v>0</v>
      </c>
      <c r="X38" s="70"/>
    </row>
    <row r="39" spans="1:24" s="90" customFormat="1" ht="14.1" customHeight="1">
      <c r="A39" s="96"/>
      <c r="B39" s="101"/>
      <c r="C39" s="96"/>
      <c r="D39" s="101"/>
      <c r="E39" s="98"/>
      <c r="F39" s="495"/>
      <c r="G39" s="498"/>
      <c r="H39" s="120">
        <f>D38-D18</f>
        <v>5.9885642258450389E-6</v>
      </c>
      <c r="I39" s="102" t="s">
        <v>506</v>
      </c>
      <c r="J39" s="496"/>
      <c r="K39" s="490"/>
      <c r="X39" s="93"/>
    </row>
    <row r="40" spans="1:24" s="96" customFormat="1" ht="4.5" customHeight="1">
      <c r="B40" s="103"/>
      <c r="D40" s="103"/>
      <c r="E40" s="98"/>
      <c r="F40" s="497"/>
      <c r="G40" s="498"/>
      <c r="H40" s="105"/>
      <c r="I40" s="106"/>
      <c r="J40" s="499"/>
      <c r="K40" s="500"/>
      <c r="X40" s="108"/>
    </row>
    <row r="41" spans="1:24" ht="15.75">
      <c r="A41" s="74" t="s">
        <v>507</v>
      </c>
      <c r="B41" s="109"/>
      <c r="C41" s="109"/>
      <c r="D41" s="109"/>
      <c r="E41" s="98"/>
      <c r="F41" s="501"/>
      <c r="G41" s="497"/>
      <c r="H41" s="390"/>
      <c r="I41" s="488"/>
      <c r="J41" s="492"/>
      <c r="K41" s="119"/>
    </row>
    <row r="42" spans="1:24">
      <c r="A42" s="96" t="s">
        <v>150</v>
      </c>
      <c r="B42" s="110">
        <v>0</v>
      </c>
      <c r="D42" s="110">
        <f>+'COMP Prior Yr'!D41</f>
        <v>-3.2007087065721862E-4</v>
      </c>
      <c r="E42" s="98"/>
      <c r="F42" s="389">
        <f>D42-B42</f>
        <v>-3.2007087065721862E-4</v>
      </c>
      <c r="G42" s="499"/>
      <c r="H42" s="493">
        <f>ROUND((((D42/$B$16)-$B$21)/$B$24)-(((B42/$B$16)-$B$21)/$B$24),4)*10000</f>
        <v>0</v>
      </c>
      <c r="I42" s="119"/>
      <c r="J42" s="119"/>
      <c r="K42" s="119"/>
    </row>
    <row r="43" spans="1:24">
      <c r="A43" s="96" t="s">
        <v>151</v>
      </c>
      <c r="B43" s="110">
        <v>28.218705673719739</v>
      </c>
      <c r="D43" s="110">
        <f>+'COMP Prior Yr'!D42</f>
        <v>31.340474098839898</v>
      </c>
      <c r="E43" s="98"/>
      <c r="F43" s="389">
        <f>D43-B43</f>
        <v>3.121768425120159</v>
      </c>
      <c r="G43" s="499"/>
      <c r="H43" s="493">
        <f>ROUND((((D43/$B$16)-$B$21)/$B$24)-(((B43/$B$16)-$B$21)/$B$24),4)*10000</f>
        <v>0</v>
      </c>
      <c r="I43" s="119"/>
      <c r="J43" s="119"/>
      <c r="K43" s="119"/>
    </row>
    <row r="44" spans="1:24">
      <c r="A44" s="96" t="s">
        <v>152</v>
      </c>
      <c r="B44" s="110">
        <v>-57.631826762029668</v>
      </c>
      <c r="D44" s="110">
        <f>+'COMP Prior Yr'!D43</f>
        <v>-92.409253235451331</v>
      </c>
      <c r="E44" s="98"/>
      <c r="F44" s="389">
        <f t="shared" ref="F44:F59" si="0">D44-B44</f>
        <v>-34.777426473421663</v>
      </c>
      <c r="G44" s="499"/>
      <c r="H44" s="493">
        <f t="shared" ref="H44:H59" si="1">ROUND((((D44/$B$16)-$B$21)/$B$24)-(((B44/$B$16)-$B$21)/$B$24),4)*10000</f>
        <v>0</v>
      </c>
      <c r="I44" s="119"/>
      <c r="J44" s="119"/>
      <c r="K44" s="119"/>
    </row>
    <row r="45" spans="1:24">
      <c r="A45" s="96" t="s">
        <v>481</v>
      </c>
      <c r="B45" s="110">
        <v>2099</v>
      </c>
      <c r="D45" s="110">
        <f>+'COMP Prior Yr'!D44</f>
        <v>2099</v>
      </c>
      <c r="E45" s="98"/>
      <c r="F45" s="389">
        <f t="shared" si="0"/>
        <v>0</v>
      </c>
      <c r="G45" s="499"/>
      <c r="H45" s="493">
        <f t="shared" si="1"/>
        <v>0</v>
      </c>
      <c r="I45" s="119"/>
      <c r="J45" s="119"/>
      <c r="K45" s="119"/>
      <c r="O45" s="111"/>
    </row>
    <row r="46" spans="1:24">
      <c r="A46" s="96" t="s">
        <v>153</v>
      </c>
      <c r="B46" s="110">
        <v>0</v>
      </c>
      <c r="D46" s="110">
        <f>+'COMP Prior Yr'!D45</f>
        <v>0</v>
      </c>
      <c r="E46" s="98"/>
      <c r="F46" s="389">
        <f t="shared" si="0"/>
        <v>0</v>
      </c>
      <c r="G46" s="499"/>
      <c r="H46" s="493">
        <f t="shared" si="1"/>
        <v>0</v>
      </c>
      <c r="I46" s="119"/>
      <c r="J46" s="119"/>
      <c r="K46" s="119"/>
    </row>
    <row r="47" spans="1:24">
      <c r="A47" s="96" t="s">
        <v>410</v>
      </c>
      <c r="B47" s="110">
        <v>12.616177787</v>
      </c>
      <c r="D47" s="110">
        <f>+'COMP Prior Yr'!D46</f>
        <v>14.190459380769001</v>
      </c>
      <c r="E47" s="98"/>
      <c r="F47" s="389">
        <f t="shared" si="0"/>
        <v>1.5742815937690011</v>
      </c>
      <c r="G47" s="499"/>
      <c r="H47" s="493">
        <f t="shared" si="1"/>
        <v>0</v>
      </c>
      <c r="I47" s="119"/>
      <c r="J47" s="119"/>
      <c r="K47" s="119"/>
      <c r="O47" s="167"/>
    </row>
    <row r="48" spans="1:24">
      <c r="A48" s="96" t="s">
        <v>154</v>
      </c>
      <c r="B48" s="78">
        <v>61.305015672505995</v>
      </c>
      <c r="D48" s="78">
        <f>+'COMP Prior Yr'!D47</f>
        <v>53.236054178474994</v>
      </c>
      <c r="E48" s="98"/>
      <c r="F48" s="389">
        <f t="shared" si="0"/>
        <v>-8.0689614940310008</v>
      </c>
      <c r="G48" s="499"/>
      <c r="H48" s="493">
        <f t="shared" si="1"/>
        <v>0</v>
      </c>
      <c r="I48" s="119"/>
      <c r="J48" s="119"/>
      <c r="K48" s="119"/>
      <c r="O48" s="166"/>
    </row>
    <row r="49" spans="1:15">
      <c r="A49" s="96" t="s">
        <v>409</v>
      </c>
      <c r="B49" s="78">
        <v>0</v>
      </c>
      <c r="D49" s="78">
        <f>+'COMP Prior Yr'!D48</f>
        <v>-136.8710449950413</v>
      </c>
      <c r="E49" s="98"/>
      <c r="F49" s="389">
        <f t="shared" si="0"/>
        <v>-136.8710449950413</v>
      </c>
      <c r="G49" s="499"/>
      <c r="H49" s="493">
        <f t="shared" si="1"/>
        <v>-2</v>
      </c>
      <c r="I49" s="119"/>
      <c r="J49" s="119"/>
      <c r="K49" s="119"/>
      <c r="O49" s="167"/>
    </row>
    <row r="50" spans="1:15">
      <c r="A50" s="96" t="s">
        <v>155</v>
      </c>
      <c r="B50" s="78">
        <v>41.787580165283842</v>
      </c>
      <c r="D50" s="78">
        <f>+'COMP Prior Yr'!D49</f>
        <v>29.30058323299987</v>
      </c>
      <c r="E50" s="98"/>
      <c r="F50" s="389">
        <f t="shared" si="0"/>
        <v>-12.486996932283972</v>
      </c>
      <c r="G50" s="499"/>
      <c r="H50" s="493">
        <f t="shared" si="1"/>
        <v>0</v>
      </c>
      <c r="I50" s="119"/>
      <c r="J50" s="119"/>
      <c r="K50" s="119"/>
      <c r="O50" s="167"/>
    </row>
    <row r="51" spans="1:15">
      <c r="A51" s="96" t="s">
        <v>156</v>
      </c>
      <c r="B51" s="78">
        <v>5.4249511649373998</v>
      </c>
      <c r="D51" s="78">
        <f>+'COMP Prior Yr'!D50</f>
        <v>4.5190721697556206</v>
      </c>
      <c r="E51" s="98"/>
      <c r="F51" s="389">
        <f t="shared" si="0"/>
        <v>-0.90587899518177917</v>
      </c>
      <c r="G51" s="499"/>
      <c r="H51" s="493">
        <f t="shared" si="1"/>
        <v>0</v>
      </c>
      <c r="I51" s="119"/>
      <c r="J51" s="119"/>
      <c r="K51" s="119"/>
      <c r="O51" s="166"/>
    </row>
    <row r="52" spans="1:15">
      <c r="A52" s="96" t="s">
        <v>411</v>
      </c>
      <c r="B52" s="78">
        <v>60.114596460999998</v>
      </c>
      <c r="D52" s="78">
        <f>+'COMP Prior Yr'!D51</f>
        <v>34.068495817500001</v>
      </c>
      <c r="E52" s="98"/>
      <c r="F52" s="389">
        <f t="shared" si="0"/>
        <v>-26.046100643499997</v>
      </c>
      <c r="G52" s="499"/>
      <c r="H52" s="493">
        <f t="shared" si="1"/>
        <v>0</v>
      </c>
      <c r="I52" s="119"/>
      <c r="J52" s="119"/>
      <c r="K52" s="119"/>
    </row>
    <row r="53" spans="1:15">
      <c r="A53" s="500" t="s">
        <v>412</v>
      </c>
      <c r="B53" s="78">
        <v>0</v>
      </c>
      <c r="D53" s="78">
        <f>+'COMP Prior Yr'!D52</f>
        <v>0</v>
      </c>
      <c r="E53" s="98"/>
      <c r="F53" s="389">
        <f t="shared" si="0"/>
        <v>0</v>
      </c>
      <c r="G53" s="499"/>
      <c r="H53" s="493">
        <f t="shared" si="1"/>
        <v>0</v>
      </c>
      <c r="I53" s="119"/>
      <c r="J53" s="119"/>
      <c r="K53" s="119"/>
    </row>
    <row r="54" spans="1:15">
      <c r="A54" s="791" t="s">
        <v>536</v>
      </c>
      <c r="B54" s="78">
        <v>-80.415622883790007</v>
      </c>
      <c r="D54" s="78">
        <f>+'COMP Prior Yr'!D53</f>
        <v>-82.709216308034996</v>
      </c>
      <c r="E54" s="98"/>
      <c r="F54" s="389">
        <f>D54-B54</f>
        <v>-2.2935934242449889</v>
      </c>
      <c r="G54" s="499"/>
      <c r="H54" s="493">
        <f>ROUND((((D54/$B$16)-$B$21)/$B$24)-(((B54/$B$16)-$B$21)/$B$24),4)*10000</f>
        <v>0</v>
      </c>
      <c r="I54" s="119"/>
      <c r="J54" s="119"/>
      <c r="K54" s="119"/>
    </row>
    <row r="55" spans="1:15">
      <c r="A55" s="500" t="s">
        <v>157</v>
      </c>
      <c r="B55" s="78">
        <v>0</v>
      </c>
      <c r="D55" s="78">
        <f>+'COMP Prior Yr'!D54</f>
        <v>0</v>
      </c>
      <c r="E55" s="98"/>
      <c r="F55" s="389">
        <f t="shared" si="0"/>
        <v>0</v>
      </c>
      <c r="G55" s="499"/>
      <c r="H55" s="493">
        <f t="shared" si="1"/>
        <v>0</v>
      </c>
      <c r="I55" s="119"/>
      <c r="J55" s="119"/>
      <c r="K55" s="119"/>
    </row>
    <row r="56" spans="1:15">
      <c r="A56" s="96" t="s">
        <v>532</v>
      </c>
      <c r="B56" s="78">
        <v>-7.6987743523204699E-4</v>
      </c>
      <c r="D56" s="78">
        <f>+'COMP Prior Yr'!D55</f>
        <v>-8.992467301141005E-4</v>
      </c>
      <c r="E56" s="98"/>
      <c r="F56" s="389">
        <f t="shared" si="0"/>
        <v>-1.2936929488205351E-4</v>
      </c>
      <c r="G56" s="499"/>
      <c r="H56" s="493">
        <f t="shared" si="1"/>
        <v>0</v>
      </c>
      <c r="I56" s="119"/>
      <c r="J56" s="119"/>
      <c r="K56" s="119"/>
    </row>
    <row r="57" spans="1:15">
      <c r="A57" s="96" t="s">
        <v>533</v>
      </c>
      <c r="B57" s="78">
        <v>-783.16386002540003</v>
      </c>
      <c r="D57" s="78">
        <f>+'COMP Prior Yr'!D56</f>
        <v>-947.53246903350009</v>
      </c>
      <c r="E57" s="98"/>
      <c r="F57" s="389">
        <f t="shared" si="0"/>
        <v>-164.36860900810007</v>
      </c>
      <c r="G57" s="499"/>
      <c r="H57" s="493">
        <f t="shared" si="1"/>
        <v>-2</v>
      </c>
      <c r="I57" s="119"/>
      <c r="J57" s="119"/>
      <c r="K57" s="119"/>
    </row>
    <row r="58" spans="1:15" ht="15.2" customHeight="1">
      <c r="A58" s="96" t="s">
        <v>510</v>
      </c>
      <c r="B58" s="79">
        <v>0</v>
      </c>
      <c r="D58" s="79">
        <f>+'COMP Prior Yr'!D57</f>
        <v>0</v>
      </c>
      <c r="E58" s="98"/>
      <c r="F58" s="502">
        <f t="shared" si="0"/>
        <v>0</v>
      </c>
      <c r="G58" s="500"/>
      <c r="H58" s="493">
        <f t="shared" si="1"/>
        <v>0</v>
      </c>
      <c r="I58" s="500"/>
      <c r="J58" s="119"/>
      <c r="K58" s="500"/>
      <c r="L58" s="96"/>
      <c r="M58" s="96"/>
      <c r="N58" s="96"/>
      <c r="O58" s="96"/>
    </row>
    <row r="59" spans="1:15" ht="15.2" customHeight="1">
      <c r="A59" s="96" t="s">
        <v>508</v>
      </c>
      <c r="B59" s="78">
        <v>1387.2549473757927</v>
      </c>
      <c r="D59" s="78">
        <f>+'COMP Prior Yr'!D58</f>
        <v>1006.1319359887111</v>
      </c>
      <c r="E59" s="98"/>
      <c r="F59" s="389">
        <f t="shared" si="0"/>
        <v>-381.12301138708153</v>
      </c>
      <c r="G59" s="500"/>
      <c r="H59" s="493">
        <f t="shared" si="1"/>
        <v>-5</v>
      </c>
      <c r="I59" s="119"/>
      <c r="J59" s="119"/>
      <c r="K59" s="119"/>
    </row>
  </sheetData>
  <mergeCells count="4">
    <mergeCell ref="A1:H1"/>
    <mergeCell ref="A2:H2"/>
    <mergeCell ref="A3:H3"/>
    <mergeCell ref="A4:H4"/>
  </mergeCells>
  <conditionalFormatting sqref="K32:K38 K16:K26">
    <cfRule type="cellIs" dxfId="15" priority="1" stopIfTrue="1" operator="equal">
      <formula>0</formula>
    </cfRule>
    <cfRule type="cellIs" dxfId="14"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opertie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3" tint="0.39997558519241921"/>
    <pageSetUpPr fitToPage="1"/>
  </sheetPr>
  <dimension ref="A1:X59"/>
  <sheetViews>
    <sheetView workbookViewId="0">
      <selection sqref="A1:H1"/>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455"/>
      <c r="C5" s="792"/>
      <c r="D5" s="260"/>
      <c r="E5" s="795"/>
      <c r="K5" s="65"/>
    </row>
    <row r="6" spans="1:24" ht="28.15" customHeight="1">
      <c r="A6" s="64"/>
      <c r="B6" s="67">
        <v>44561</v>
      </c>
      <c r="C6" s="792"/>
      <c r="D6" s="260"/>
      <c r="E6" s="795"/>
      <c r="K6" s="65"/>
    </row>
    <row r="7" spans="1:24" s="68" customFormat="1" ht="15.75">
      <c r="A7" s="66"/>
      <c r="B7" s="61" t="s">
        <v>2564</v>
      </c>
      <c r="C7" s="96"/>
      <c r="D7" s="67" t="str">
        <f>'COMP Prior Yr'!D6</f>
        <v>December 2021</v>
      </c>
      <c r="E7" s="88"/>
      <c r="G7" s="88"/>
      <c r="H7" s="69" t="s">
        <v>487</v>
      </c>
      <c r="X7" s="70"/>
    </row>
    <row r="8" spans="1:24" s="68" customFormat="1" ht="15.75">
      <c r="A8" s="71"/>
      <c r="B8" s="72" t="s">
        <v>509</v>
      </c>
      <c r="C8" s="793"/>
      <c r="D8" s="72" t="str">
        <f>'COMP Prior Yr'!D7</f>
        <v>Actuals</v>
      </c>
      <c r="E8" s="88"/>
      <c r="F8" s="73" t="s">
        <v>489</v>
      </c>
      <c r="G8" s="74"/>
      <c r="H8" s="75" t="s">
        <v>490</v>
      </c>
      <c r="K8" s="76"/>
      <c r="X8" s="70"/>
    </row>
    <row r="9" spans="1:24" ht="15.75">
      <c r="A9" s="68"/>
    </row>
    <row r="10" spans="1:24">
      <c r="A10" s="59" t="s">
        <v>223</v>
      </c>
      <c r="B10" s="229">
        <v>1384548.7608419436</v>
      </c>
      <c r="D10" s="229">
        <f>+'COMP Prior Yr'!D9</f>
        <v>1472581.083657678</v>
      </c>
      <c r="F10" s="389">
        <f>D10-B10</f>
        <v>88032.322815734427</v>
      </c>
      <c r="G10" s="797"/>
      <c r="H10" s="390">
        <f>ROUND((((B18/(D10+D11+D12+D14))-B21)/B24)-(((B18/(B10+D11+D12+D14))-B21)/B24),4)*10000</f>
        <v>-78</v>
      </c>
      <c r="I10" s="119"/>
      <c r="J10" s="77"/>
      <c r="K10" s="119"/>
    </row>
    <row r="11" spans="1:24">
      <c r="A11" s="59" t="s">
        <v>4</v>
      </c>
      <c r="B11" s="230">
        <v>156425.54822076924</v>
      </c>
      <c r="D11" s="230">
        <f>+'COMP Prior Yr'!D10</f>
        <v>63731.53211</v>
      </c>
      <c r="F11" s="389">
        <f>D11-B11</f>
        <v>-92694.01611076924</v>
      </c>
      <c r="G11" s="797"/>
      <c r="H11" s="390">
        <f>ROUND((((B18/(D10+D12+D14+D11))-B21)/B24)-(((B18/(B11+D10+D12+D14))-B21)/B24),4)*10000</f>
        <v>73</v>
      </c>
      <c r="I11" s="119"/>
      <c r="J11" s="119"/>
      <c r="K11" s="119"/>
    </row>
    <row r="12" spans="1:24">
      <c r="A12" s="59" t="s">
        <v>491</v>
      </c>
      <c r="B12" s="230">
        <v>0</v>
      </c>
      <c r="D12" s="230">
        <f>+'COMP Prior Yr'!D11</f>
        <v>0</v>
      </c>
      <c r="F12" s="389">
        <f>D12-B12</f>
        <v>0</v>
      </c>
      <c r="G12" s="497"/>
      <c r="H12" s="390">
        <f>ROUND((((B18/(D10+D11+D12+D14))-B21)/B24)-(((B18/(B12+D10+D11+D14))-B21)/B24),4)*10000</f>
        <v>0</v>
      </c>
      <c r="I12" s="119"/>
      <c r="J12" s="119"/>
      <c r="K12" s="119"/>
    </row>
    <row r="13" spans="1:24">
      <c r="A13" s="119" t="s">
        <v>229</v>
      </c>
      <c r="B13" s="230">
        <v>9345.3153846153855</v>
      </c>
      <c r="D13" s="230">
        <f>+'COMP Prior Yr'!D12</f>
        <v>-5589.6985323076933</v>
      </c>
      <c r="F13" s="389">
        <f>D13-B13</f>
        <v>-14935.013916923079</v>
      </c>
      <c r="G13" s="497"/>
      <c r="H13" s="390">
        <f>ROUND((((B18/(D10+D11+D12+D13+D14))-B21)/B24)-(((B18/(B13+D10+D11+D12+D14))-B21)/B24),4)*10000</f>
        <v>11.999999999999998</v>
      </c>
      <c r="I13" s="119"/>
      <c r="J13" s="119"/>
      <c r="K13" s="119"/>
    </row>
    <row r="14" spans="1:24" ht="15.75">
      <c r="A14" s="59" t="s">
        <v>492</v>
      </c>
      <c r="B14" s="388">
        <v>-31512.577589663422</v>
      </c>
      <c r="C14" s="98"/>
      <c r="D14" s="388">
        <f>+'COMP Prior Yr'!D13</f>
        <v>-42593.076323846137</v>
      </c>
      <c r="F14" s="389">
        <f>D14-B14</f>
        <v>-11080.498734182715</v>
      </c>
      <c r="G14" s="497"/>
      <c r="H14" s="390">
        <f>ROUND((((B18/(D10+D11+D12+D14))-B21)/B24)-(((B18/(B14+D10+D11+D12))-B21)/B24),4)*10000</f>
        <v>9</v>
      </c>
      <c r="I14" s="80" t="s">
        <v>493</v>
      </c>
      <c r="J14" s="119"/>
      <c r="K14" s="81" t="s">
        <v>494</v>
      </c>
    </row>
    <row r="15" spans="1:24" ht="8.1" customHeight="1">
      <c r="B15" s="231"/>
      <c r="D15" s="231"/>
      <c r="F15" s="389"/>
      <c r="G15" s="500"/>
      <c r="H15" s="390"/>
      <c r="I15" s="80"/>
      <c r="J15" s="119"/>
      <c r="K15" s="81"/>
    </row>
    <row r="16" spans="1:24" ht="15.75">
      <c r="A16" s="68" t="s">
        <v>348</v>
      </c>
      <c r="B16" s="232">
        <v>1518807.0469</v>
      </c>
      <c r="C16" s="88"/>
      <c r="D16" s="232">
        <f>+'COMP Prior Yr'!D15</f>
        <v>1488129.8409</v>
      </c>
      <c r="E16" s="88"/>
      <c r="F16" s="65">
        <f>D16-B16</f>
        <v>-30677.206000000006</v>
      </c>
      <c r="G16" s="798"/>
      <c r="H16" s="69">
        <f>ROUND((((B18/D16)-B21)/B24)-(((B18/B16)-B21)/B24),4)*10000</f>
        <v>25</v>
      </c>
      <c r="I16" s="69">
        <f>SUM(H10:H14)</f>
        <v>15.999999999999998</v>
      </c>
      <c r="J16" s="390"/>
      <c r="K16" s="69">
        <f>H16-I16</f>
        <v>9.0000000000000018</v>
      </c>
      <c r="O16" s="83">
        <f>+F16/H16</f>
        <v>-1227.0882400000003</v>
      </c>
    </row>
    <row r="17" spans="1:24" ht="8.1" customHeight="1">
      <c r="B17" s="230"/>
      <c r="D17" s="230"/>
      <c r="F17" s="389"/>
      <c r="G17" s="500"/>
      <c r="H17" s="390"/>
      <c r="I17" s="69"/>
      <c r="J17" s="390"/>
      <c r="K17" s="69"/>
    </row>
    <row r="18" spans="1:24" s="68" customFormat="1" ht="15.75">
      <c r="A18" s="68" t="s">
        <v>495</v>
      </c>
      <c r="B18" s="233">
        <v>86782.474600000001</v>
      </c>
      <c r="C18" s="88"/>
      <c r="D18" s="233">
        <f>+'COMP Prior Yr'!D17</f>
        <v>91833.5291</v>
      </c>
      <c r="E18" s="88"/>
      <c r="F18" s="65">
        <f>D18-B18</f>
        <v>5051.0544999999984</v>
      </c>
      <c r="G18" s="799"/>
      <c r="H18" s="84">
        <f>ROUND((((D18/B16)-B21)/B24)-(((B18/B16)-B21)/B24),4)*10000</f>
        <v>72</v>
      </c>
      <c r="I18" s="69"/>
      <c r="J18" s="69"/>
      <c r="K18" s="69"/>
      <c r="L18" s="84"/>
      <c r="O18" s="83">
        <f>+F18/H18</f>
        <v>70.153534722222204</v>
      </c>
      <c r="X18" s="70"/>
    </row>
    <row r="19" spans="1:24" ht="8.1" customHeight="1">
      <c r="F19" s="119"/>
      <c r="G19" s="500"/>
      <c r="H19" s="390"/>
      <c r="I19" s="69"/>
      <c r="J19" s="390"/>
      <c r="K19" s="69"/>
    </row>
    <row r="20" spans="1:24" ht="15.75">
      <c r="A20" s="59" t="s">
        <v>496</v>
      </c>
      <c r="B20" s="85">
        <v>5.7099999999999998E-2</v>
      </c>
      <c r="D20" s="85">
        <f>+'COMP Prior Yr'!D19</f>
        <v>6.1699999999999998E-2</v>
      </c>
      <c r="F20" s="488">
        <f>D20-B20</f>
        <v>4.5999999999999999E-3</v>
      </c>
      <c r="G20" s="499"/>
      <c r="H20" s="390">
        <f>ROUND((F20/$B$24)*10000,0)</f>
        <v>99</v>
      </c>
      <c r="I20" s="69">
        <f>H16+H18</f>
        <v>97</v>
      </c>
      <c r="J20" s="390"/>
      <c r="K20" s="69">
        <f>H20-I20</f>
        <v>2</v>
      </c>
    </row>
    <row r="21" spans="1:24" ht="15.75">
      <c r="A21" s="59" t="s">
        <v>1859</v>
      </c>
      <c r="B21" s="86">
        <v>1.37E-2</v>
      </c>
      <c r="D21" s="86">
        <f>+'COMP Prior Yr'!D20</f>
        <v>1.3100000000000001E-2</v>
      </c>
      <c r="F21" s="488">
        <f>D21-B21</f>
        <v>-5.9999999999999984E-4</v>
      </c>
      <c r="G21" s="499"/>
      <c r="H21" s="390">
        <f>-ROUND((F21/$B$24)*10000,0)</f>
        <v>13</v>
      </c>
      <c r="I21" s="69"/>
      <c r="J21" s="390"/>
      <c r="K21" s="69"/>
    </row>
    <row r="22" spans="1:24" ht="8.1" customHeight="1">
      <c r="B22" s="82"/>
      <c r="D22" s="82"/>
      <c r="F22" s="488"/>
      <c r="G22" s="499"/>
      <c r="H22" s="390"/>
      <c r="I22" s="69"/>
      <c r="J22" s="390"/>
      <c r="K22" s="69"/>
    </row>
    <row r="23" spans="1:24" ht="15.75">
      <c r="A23" s="59" t="s">
        <v>497</v>
      </c>
      <c r="B23" s="85">
        <v>4.3400000000000001E-2</v>
      </c>
      <c r="D23" s="85">
        <f>+'COMP Prior Yr'!D22</f>
        <v>4.8599999999999997E-2</v>
      </c>
      <c r="F23" s="488">
        <f>D23-B23</f>
        <v>5.1999999999999963E-3</v>
      </c>
      <c r="G23" s="499"/>
      <c r="H23" s="390">
        <f>ROUND((F23/$B$24)*10000,0)</f>
        <v>112</v>
      </c>
      <c r="I23" s="69">
        <f>H20+H21</f>
        <v>112</v>
      </c>
      <c r="J23" s="390"/>
      <c r="K23" s="69">
        <f>H23-I23</f>
        <v>0</v>
      </c>
    </row>
    <row r="24" spans="1:24" ht="15.75">
      <c r="A24" s="59" t="s">
        <v>483</v>
      </c>
      <c r="B24" s="86">
        <v>0.46400000000000002</v>
      </c>
      <c r="D24" s="86">
        <f>+'COMP Prior Yr'!D23</f>
        <v>0.4582</v>
      </c>
      <c r="F24" s="488">
        <f>D24-B24</f>
        <v>-5.8000000000000274E-3</v>
      </c>
      <c r="G24" s="499"/>
      <c r="H24" s="390">
        <f>ROUND((B23/D24)-(B23/B24),4)*10000</f>
        <v>11.999999999999998</v>
      </c>
      <c r="I24" s="69"/>
      <c r="J24" s="390"/>
      <c r="K24" s="69"/>
    </row>
    <row r="25" spans="1:24" ht="15.75">
      <c r="B25" s="82"/>
      <c r="D25" s="82"/>
      <c r="F25" s="488"/>
      <c r="G25" s="499"/>
      <c r="H25" s="489"/>
      <c r="I25" s="69"/>
      <c r="J25" s="390"/>
      <c r="K25" s="69"/>
    </row>
    <row r="26" spans="1:24" s="68" customFormat="1" ht="15.75">
      <c r="A26" s="88" t="s">
        <v>498</v>
      </c>
      <c r="B26" s="287">
        <v>9.3600000000000003E-2</v>
      </c>
      <c r="C26" s="88"/>
      <c r="D26" s="287">
        <f>+'COMP Prior Yr'!D25</f>
        <v>0.1061</v>
      </c>
      <c r="E26" s="88"/>
      <c r="F26" s="89">
        <f>D26-B26</f>
        <v>1.2499999999999997E-2</v>
      </c>
      <c r="G26" s="203"/>
      <c r="H26" s="69">
        <f>(D26-B26)*10000</f>
        <v>124.99999999999997</v>
      </c>
      <c r="I26" s="69">
        <f>H23+H24</f>
        <v>124</v>
      </c>
      <c r="J26" s="69"/>
      <c r="K26" s="69">
        <f>H26-I26</f>
        <v>0.99999999999997158</v>
      </c>
      <c r="L26" s="89"/>
      <c r="X26" s="70"/>
    </row>
    <row r="27" spans="1:24" s="90" customFormat="1" ht="4.5" customHeight="1">
      <c r="A27" s="96"/>
      <c r="B27" s="91"/>
      <c r="C27" s="96"/>
      <c r="D27" s="91"/>
      <c r="E27" s="96"/>
      <c r="F27" s="490"/>
      <c r="G27" s="500"/>
      <c r="H27" s="491"/>
      <c r="I27" s="490"/>
      <c r="J27" s="490"/>
      <c r="K27" s="490"/>
      <c r="X27" s="93"/>
    </row>
    <row r="28" spans="1:24" ht="4.5" customHeight="1">
      <c r="A28" s="96"/>
      <c r="F28" s="119"/>
      <c r="G28" s="500"/>
      <c r="H28" s="390"/>
      <c r="I28" s="119"/>
      <c r="J28" s="492"/>
      <c r="K28" s="119"/>
    </row>
    <row r="29" spans="1:24">
      <c r="A29" s="96" t="s">
        <v>499</v>
      </c>
      <c r="B29" s="528">
        <v>111975.06022000004</v>
      </c>
      <c r="D29" s="528">
        <f>+'COMP Prior Yr'!D28</f>
        <v>112357.74520999985</v>
      </c>
      <c r="E29" s="98"/>
      <c r="F29" s="389">
        <f>D29-B29</f>
        <v>382.68498999980511</v>
      </c>
      <c r="G29" s="797"/>
      <c r="H29" s="493">
        <f>ROUND((((D29/B16)-B21)/B24)-(((B29/B16)-B21)/B24),4)*10000</f>
        <v>5</v>
      </c>
      <c r="I29" s="119"/>
      <c r="J29" s="119"/>
      <c r="K29" s="119"/>
    </row>
    <row r="30" spans="1:24">
      <c r="A30" s="96" t="s">
        <v>500</v>
      </c>
      <c r="B30" s="95">
        <v>22124.717384339507</v>
      </c>
      <c r="C30" s="98"/>
      <c r="D30" s="95">
        <f>+'COMP Prior Yr'!D29</f>
        <v>21530.348039999997</v>
      </c>
      <c r="E30" s="98"/>
      <c r="F30" s="389">
        <f>B30-D30</f>
        <v>594.36934433950955</v>
      </c>
      <c r="G30" s="797"/>
      <c r="H30" s="493">
        <f>-ROUND((((D30/B16)-B21)/B24)-(((B30/B16)-B21)/B24),4)*10000</f>
        <v>8</v>
      </c>
      <c r="I30" s="119"/>
      <c r="J30" s="119"/>
      <c r="K30" s="119"/>
    </row>
    <row r="31" spans="1:24" ht="15.75">
      <c r="A31" s="788" t="s">
        <v>501</v>
      </c>
      <c r="B31" s="79">
        <v>0</v>
      </c>
      <c r="C31" s="98"/>
      <c r="D31" s="79">
        <f>+'COMP Prior Yr'!D30</f>
        <v>0</v>
      </c>
      <c r="E31" s="98"/>
      <c r="F31" s="389">
        <f>B31-D31</f>
        <v>0</v>
      </c>
      <c r="G31" s="497"/>
      <c r="H31" s="493">
        <f>-ROUND((((D31/B16)-B21)/B24)-(((B31/B16)-B21)/B24),4)*10000</f>
        <v>0</v>
      </c>
      <c r="I31" s="61" t="s">
        <v>493</v>
      </c>
      <c r="J31" s="119"/>
      <c r="K31" s="81" t="s">
        <v>494</v>
      </c>
    </row>
    <row r="32" spans="1:24" ht="15.75">
      <c r="A32" s="789" t="s">
        <v>502</v>
      </c>
      <c r="B32" s="79">
        <v>22124.717384339507</v>
      </c>
      <c r="D32" s="79">
        <f>+'COMP Prior Yr'!D31</f>
        <v>21530.348039999997</v>
      </c>
      <c r="E32" s="98"/>
      <c r="F32" s="389">
        <f>D32-B32</f>
        <v>-594.36934433950955</v>
      </c>
      <c r="G32" s="497"/>
      <c r="H32" s="493">
        <f>-ROUND((((D32/B16)-B21)/B24)-(((B32/B16)-B21)/B24),4)*10000</f>
        <v>8</v>
      </c>
      <c r="I32" s="390"/>
      <c r="J32" s="119"/>
      <c r="K32" s="69"/>
    </row>
    <row r="33" spans="1:24" ht="8.1" customHeight="1">
      <c r="A33" s="96"/>
      <c r="B33" s="97"/>
      <c r="D33" s="97"/>
      <c r="E33" s="98"/>
      <c r="F33" s="389"/>
      <c r="G33" s="500"/>
      <c r="H33" s="493"/>
      <c r="I33" s="69"/>
      <c r="J33" s="119"/>
      <c r="K33" s="69"/>
    </row>
    <row r="34" spans="1:24" ht="15.75">
      <c r="A34" s="96" t="s">
        <v>503</v>
      </c>
      <c r="B34" s="79">
        <v>89850.342835660529</v>
      </c>
      <c r="D34" s="79">
        <f>+'COMP Prior Yr'!D33</f>
        <v>90827.397169999851</v>
      </c>
      <c r="E34" s="98"/>
      <c r="F34" s="389">
        <f>D34-B34</f>
        <v>977.05433433932194</v>
      </c>
      <c r="G34" s="797"/>
      <c r="H34" s="493">
        <f>ROUND((((D34/B16)-B21)/B24)-(((B34/B16)-B21)/B24),4)*10000</f>
        <v>14</v>
      </c>
      <c r="I34" s="390">
        <f>H29+H30+H31</f>
        <v>13</v>
      </c>
      <c r="J34" s="119"/>
      <c r="K34" s="69">
        <f>I34-H34</f>
        <v>-1</v>
      </c>
    </row>
    <row r="35" spans="1:24" ht="15.75">
      <c r="A35" s="96"/>
      <c r="B35" s="98"/>
      <c r="D35" s="98"/>
      <c r="E35" s="98"/>
      <c r="F35" s="389"/>
      <c r="G35" s="797"/>
      <c r="H35" s="493"/>
      <c r="I35" s="390"/>
      <c r="J35" s="119"/>
      <c r="K35" s="69"/>
    </row>
    <row r="36" spans="1:24" ht="15.75">
      <c r="A36" s="790" t="s">
        <v>504</v>
      </c>
      <c r="B36" s="98">
        <v>0</v>
      </c>
      <c r="D36" s="98">
        <f>+'COMP Prior Yr'!D35</f>
        <v>0</v>
      </c>
      <c r="E36" s="98"/>
      <c r="F36" s="389"/>
      <c r="G36" s="797"/>
      <c r="H36" s="493"/>
      <c r="I36" s="390"/>
      <c r="J36" s="119"/>
      <c r="K36" s="69"/>
    </row>
    <row r="37" spans="1:24" ht="15.75">
      <c r="A37" s="788" t="s">
        <v>505</v>
      </c>
      <c r="B37" s="79">
        <v>-3067.8682650313758</v>
      </c>
      <c r="D37" s="79">
        <f>+'COMP Prior Yr'!D36</f>
        <v>1006.1319359887111</v>
      </c>
      <c r="E37" s="98"/>
      <c r="F37" s="389">
        <f>D37-B37</f>
        <v>4074.0002010200869</v>
      </c>
      <c r="G37" s="500"/>
      <c r="H37" s="493">
        <f>ROUND((((D37/B16)-B21)/B24)-(((B37/B16)-B21)/B24),4)*10000</f>
        <v>57.999999999999993</v>
      </c>
      <c r="I37" s="390">
        <f>H37</f>
        <v>57.999999999999993</v>
      </c>
      <c r="J37" s="119"/>
      <c r="K37" s="69">
        <f>H37-I37</f>
        <v>0</v>
      </c>
    </row>
    <row r="38" spans="1:24" s="68" customFormat="1" ht="15.75">
      <c r="A38" s="88" t="s">
        <v>495</v>
      </c>
      <c r="B38" s="99">
        <v>86782.474570629158</v>
      </c>
      <c r="C38" s="88"/>
      <c r="D38" s="99">
        <f>+'COMP Prior Yr'!D37</f>
        <v>91833.529105988564</v>
      </c>
      <c r="E38" s="796"/>
      <c r="F38" s="65">
        <f>D38-B38</f>
        <v>5051.0545353594061</v>
      </c>
      <c r="G38" s="799"/>
      <c r="H38" s="494">
        <f>ROUND((((D38/B16)-B21)/B24)-(((B38/B16)-B21)/B24),4)*10000</f>
        <v>72</v>
      </c>
      <c r="I38" s="69">
        <f>H34+H37</f>
        <v>72</v>
      </c>
      <c r="K38" s="69">
        <f>H38-I38</f>
        <v>0</v>
      </c>
      <c r="X38" s="70"/>
    </row>
    <row r="39" spans="1:24" s="90" customFormat="1" ht="14.1" customHeight="1">
      <c r="A39" s="96"/>
      <c r="B39" s="101"/>
      <c r="C39" s="96"/>
      <c r="D39" s="101"/>
      <c r="E39" s="98"/>
      <c r="F39" s="495"/>
      <c r="G39" s="498"/>
      <c r="H39" s="120">
        <f>D38-D18</f>
        <v>5.9885642258450389E-6</v>
      </c>
      <c r="I39" s="102" t="s">
        <v>506</v>
      </c>
      <c r="J39" s="496"/>
      <c r="K39" s="490"/>
      <c r="X39" s="93"/>
    </row>
    <row r="40" spans="1:24" s="96" customFormat="1" ht="4.5" customHeight="1">
      <c r="B40" s="103"/>
      <c r="D40" s="103"/>
      <c r="E40" s="98"/>
      <c r="F40" s="497"/>
      <c r="G40" s="498"/>
      <c r="H40" s="105"/>
      <c r="I40" s="106"/>
      <c r="J40" s="499"/>
      <c r="K40" s="500"/>
      <c r="X40" s="108"/>
    </row>
    <row r="41" spans="1:24" ht="15.75">
      <c r="A41" s="74" t="s">
        <v>507</v>
      </c>
      <c r="B41" s="109"/>
      <c r="C41" s="109"/>
      <c r="D41" s="109"/>
      <c r="E41" s="98"/>
      <c r="F41" s="501"/>
      <c r="G41" s="497"/>
      <c r="H41" s="390"/>
      <c r="I41" s="488"/>
      <c r="J41" s="492"/>
      <c r="K41" s="119"/>
    </row>
    <row r="42" spans="1:24">
      <c r="A42" s="96" t="s">
        <v>150</v>
      </c>
      <c r="B42" s="110">
        <v>0</v>
      </c>
      <c r="D42" s="110">
        <f>+'COMP Prior Yr'!D41</f>
        <v>-3.2007087065721862E-4</v>
      </c>
      <c r="E42" s="98"/>
      <c r="F42" s="389">
        <f>D42-B42</f>
        <v>-3.2007087065721862E-4</v>
      </c>
      <c r="G42" s="499"/>
      <c r="H42" s="493">
        <f>ROUND((((D42/$B$16)-$B$21)/$B$24)-(((B42/$B$16)-$B$21)/$B$24),4)*10000</f>
        <v>0</v>
      </c>
      <c r="I42" s="119"/>
      <c r="J42" s="119"/>
      <c r="K42" s="119"/>
    </row>
    <row r="43" spans="1:24">
      <c r="A43" s="96" t="s">
        <v>151</v>
      </c>
      <c r="B43" s="110">
        <v>35.580587243576055</v>
      </c>
      <c r="D43" s="110">
        <f>+'COMP Prior Yr'!D42</f>
        <v>31.340474098839898</v>
      </c>
      <c r="E43" s="98"/>
      <c r="F43" s="389">
        <f>D43-B43</f>
        <v>-4.2401131447361564</v>
      </c>
      <c r="G43" s="499"/>
      <c r="H43" s="493">
        <f>ROUND((((D43/$B$16)-$B$21)/$B$24)-(((B43/$B$16)-$B$21)/$B$24),4)*10000</f>
        <v>0</v>
      </c>
      <c r="I43" s="119"/>
      <c r="J43" s="119"/>
      <c r="K43" s="119"/>
    </row>
    <row r="44" spans="1:24">
      <c r="A44" s="96" t="s">
        <v>152</v>
      </c>
      <c r="B44" s="110">
        <v>-191.36519344827676</v>
      </c>
      <c r="D44" s="110">
        <f>+'COMP Prior Yr'!D43</f>
        <v>-92.409253235451331</v>
      </c>
      <c r="E44" s="98"/>
      <c r="F44" s="389">
        <f t="shared" ref="F44:F59" si="0">D44-B44</f>
        <v>98.955940212825425</v>
      </c>
      <c r="G44" s="499"/>
      <c r="H44" s="493">
        <f t="shared" ref="H44:H59" si="1">ROUND((((D44/$B$16)-$B$21)/$B$24)-(((B44/$B$16)-$B$21)/$B$24),4)*10000</f>
        <v>1</v>
      </c>
      <c r="I44" s="119"/>
      <c r="J44" s="119"/>
      <c r="K44" s="119"/>
    </row>
    <row r="45" spans="1:24">
      <c r="A45" s="96" t="s">
        <v>481</v>
      </c>
      <c r="B45" s="110">
        <v>0</v>
      </c>
      <c r="D45" s="110">
        <f>+'COMP Prior Yr'!D44</f>
        <v>2099</v>
      </c>
      <c r="E45" s="98"/>
      <c r="F45" s="389">
        <f t="shared" si="0"/>
        <v>2099</v>
      </c>
      <c r="G45" s="499"/>
      <c r="H45" s="493">
        <f t="shared" si="1"/>
        <v>30</v>
      </c>
      <c r="I45" s="119"/>
      <c r="J45" s="119"/>
      <c r="K45" s="119"/>
      <c r="O45" s="111"/>
    </row>
    <row r="46" spans="1:24">
      <c r="A46" s="96" t="s">
        <v>153</v>
      </c>
      <c r="B46" s="110">
        <v>0</v>
      </c>
      <c r="D46" s="110">
        <f>+'COMP Prior Yr'!D45</f>
        <v>0</v>
      </c>
      <c r="E46" s="98"/>
      <c r="F46" s="389">
        <f t="shared" si="0"/>
        <v>0</v>
      </c>
      <c r="G46" s="499"/>
      <c r="H46" s="493">
        <f t="shared" si="1"/>
        <v>0</v>
      </c>
      <c r="I46" s="119"/>
      <c r="J46" s="119"/>
      <c r="K46" s="119"/>
    </row>
    <row r="47" spans="1:24">
      <c r="A47" s="96" t="s">
        <v>410</v>
      </c>
      <c r="B47" s="110">
        <v>28.3043175</v>
      </c>
      <c r="D47" s="110">
        <f>+'COMP Prior Yr'!D46</f>
        <v>14.190459380769001</v>
      </c>
      <c r="E47" s="98"/>
      <c r="F47" s="389">
        <f t="shared" si="0"/>
        <v>-14.113858119230999</v>
      </c>
      <c r="G47" s="499"/>
      <c r="H47" s="493">
        <f t="shared" si="1"/>
        <v>0</v>
      </c>
      <c r="I47" s="119"/>
      <c r="J47" s="119"/>
      <c r="K47" s="119"/>
      <c r="O47" s="167"/>
    </row>
    <row r="48" spans="1:24">
      <c r="A48" s="96" t="s">
        <v>154</v>
      </c>
      <c r="B48" s="78">
        <v>65.982534347830011</v>
      </c>
      <c r="D48" s="78">
        <f>+'COMP Prior Yr'!D47</f>
        <v>53.236054178474994</v>
      </c>
      <c r="E48" s="98"/>
      <c r="F48" s="389">
        <f t="shared" si="0"/>
        <v>-12.746480169355017</v>
      </c>
      <c r="G48" s="499"/>
      <c r="H48" s="493">
        <f t="shared" si="1"/>
        <v>0</v>
      </c>
      <c r="I48" s="119"/>
      <c r="J48" s="119"/>
      <c r="K48" s="119"/>
      <c r="O48" s="166"/>
    </row>
    <row r="49" spans="1:15">
      <c r="A49" s="96" t="s">
        <v>409</v>
      </c>
      <c r="B49" s="78">
        <v>0</v>
      </c>
      <c r="D49" s="78">
        <f>+'COMP Prior Yr'!D48</f>
        <v>-136.8710449950413</v>
      </c>
      <c r="E49" s="98"/>
      <c r="F49" s="389">
        <f t="shared" si="0"/>
        <v>-136.8710449950413</v>
      </c>
      <c r="G49" s="499"/>
      <c r="H49" s="493">
        <f t="shared" si="1"/>
        <v>-2</v>
      </c>
      <c r="I49" s="119"/>
      <c r="J49" s="119"/>
      <c r="K49" s="119"/>
      <c r="O49" s="167"/>
    </row>
    <row r="50" spans="1:15">
      <c r="A50" s="96" t="s">
        <v>155</v>
      </c>
      <c r="B50" s="78">
        <v>41.787580165283842</v>
      </c>
      <c r="D50" s="78">
        <f>+'COMP Prior Yr'!D49</f>
        <v>29.30058323299987</v>
      </c>
      <c r="E50" s="98"/>
      <c r="F50" s="389">
        <f t="shared" si="0"/>
        <v>-12.486996932283972</v>
      </c>
      <c r="G50" s="499"/>
      <c r="H50" s="493">
        <f t="shared" si="1"/>
        <v>0</v>
      </c>
      <c r="I50" s="119"/>
      <c r="J50" s="119"/>
      <c r="K50" s="119"/>
      <c r="O50" s="167"/>
    </row>
    <row r="51" spans="1:15">
      <c r="A51" s="96" t="s">
        <v>156</v>
      </c>
      <c r="B51" s="78">
        <v>5.4249511649373998</v>
      </c>
      <c r="D51" s="78">
        <f>+'COMP Prior Yr'!D50</f>
        <v>4.5190721697556206</v>
      </c>
      <c r="E51" s="98"/>
      <c r="F51" s="389">
        <f t="shared" si="0"/>
        <v>-0.90587899518177917</v>
      </c>
      <c r="G51" s="499"/>
      <c r="H51" s="493">
        <f t="shared" si="1"/>
        <v>0</v>
      </c>
      <c r="I51" s="119"/>
      <c r="J51" s="119"/>
      <c r="K51" s="119"/>
      <c r="O51" s="166"/>
    </row>
    <row r="52" spans="1:15">
      <c r="A52" s="96" t="s">
        <v>411</v>
      </c>
      <c r="B52" s="78">
        <v>60.114596460999998</v>
      </c>
      <c r="D52" s="78">
        <f>+'COMP Prior Yr'!D51</f>
        <v>34.068495817500001</v>
      </c>
      <c r="E52" s="98"/>
      <c r="F52" s="389">
        <f t="shared" si="0"/>
        <v>-26.046100643499997</v>
      </c>
      <c r="G52" s="499"/>
      <c r="H52" s="493">
        <f t="shared" si="1"/>
        <v>0</v>
      </c>
      <c r="I52" s="119"/>
      <c r="J52" s="119"/>
      <c r="K52" s="119"/>
    </row>
    <row r="53" spans="1:15">
      <c r="A53" s="500" t="s">
        <v>412</v>
      </c>
      <c r="B53" s="78">
        <v>0</v>
      </c>
      <c r="D53" s="78">
        <f>+'COMP Prior Yr'!D52</f>
        <v>0</v>
      </c>
      <c r="E53" s="98"/>
      <c r="F53" s="389">
        <f t="shared" si="0"/>
        <v>0</v>
      </c>
      <c r="G53" s="499"/>
      <c r="H53" s="493">
        <f t="shared" si="1"/>
        <v>0</v>
      </c>
      <c r="I53" s="119"/>
      <c r="J53" s="119"/>
      <c r="K53" s="119"/>
    </row>
    <row r="54" spans="1:15">
      <c r="A54" s="791" t="s">
        <v>536</v>
      </c>
      <c r="B54" s="78">
        <v>-80.415622883790007</v>
      </c>
      <c r="D54" s="78">
        <f>+'COMP Prior Yr'!D53</f>
        <v>-82.709216308034996</v>
      </c>
      <c r="E54" s="98"/>
      <c r="F54" s="389">
        <f>D54-B54</f>
        <v>-2.2935934242449889</v>
      </c>
      <c r="G54" s="499"/>
      <c r="H54" s="493">
        <f>ROUND((((D54/$B$16)-$B$21)/$B$24)-(((B54/$B$16)-$B$21)/$B$24),4)*10000</f>
        <v>0</v>
      </c>
      <c r="I54" s="119"/>
      <c r="J54" s="119"/>
      <c r="K54" s="119"/>
    </row>
    <row r="55" spans="1:15">
      <c r="A55" s="500" t="s">
        <v>157</v>
      </c>
      <c r="B55" s="78">
        <v>0</v>
      </c>
      <c r="D55" s="78">
        <f>+'COMP Prior Yr'!D54</f>
        <v>0</v>
      </c>
      <c r="E55" s="98"/>
      <c r="F55" s="389">
        <f t="shared" si="0"/>
        <v>0</v>
      </c>
      <c r="G55" s="499"/>
      <c r="H55" s="493">
        <f t="shared" si="1"/>
        <v>0</v>
      </c>
      <c r="I55" s="119"/>
      <c r="J55" s="119"/>
      <c r="K55" s="119"/>
    </row>
    <row r="56" spans="1:15">
      <c r="A56" s="96" t="s">
        <v>532</v>
      </c>
      <c r="B56" s="78">
        <v>3.6229526358511066E-4</v>
      </c>
      <c r="D56" s="78">
        <f>+'COMP Prior Yr'!D55</f>
        <v>-8.992467301141005E-4</v>
      </c>
      <c r="E56" s="98"/>
      <c r="F56" s="389">
        <f t="shared" si="0"/>
        <v>-1.2615419936992112E-3</v>
      </c>
      <c r="G56" s="499"/>
      <c r="H56" s="493">
        <f t="shared" si="1"/>
        <v>0</v>
      </c>
      <c r="I56" s="119"/>
      <c r="J56" s="119"/>
      <c r="K56" s="119"/>
    </row>
    <row r="57" spans="1:15">
      <c r="A57" s="96" t="s">
        <v>533</v>
      </c>
      <c r="B57" s="78">
        <v>-3033.2823778771999</v>
      </c>
      <c r="D57" s="78">
        <f>+'COMP Prior Yr'!D56</f>
        <v>-947.53246903350009</v>
      </c>
      <c r="E57" s="98"/>
      <c r="F57" s="389">
        <f t="shared" si="0"/>
        <v>2085.7499088436998</v>
      </c>
      <c r="G57" s="499"/>
      <c r="H57" s="493">
        <f t="shared" si="1"/>
        <v>30</v>
      </c>
      <c r="I57" s="119"/>
      <c r="J57" s="119"/>
      <c r="K57" s="119"/>
    </row>
    <row r="58" spans="1:15" ht="15.2" customHeight="1">
      <c r="A58" s="96" t="s">
        <v>510</v>
      </c>
      <c r="B58" s="79">
        <v>0</v>
      </c>
      <c r="D58" s="79">
        <f>+'COMP Prior Yr'!D57</f>
        <v>0</v>
      </c>
      <c r="E58" s="98"/>
      <c r="F58" s="502">
        <f t="shared" si="0"/>
        <v>0</v>
      </c>
      <c r="G58" s="500"/>
      <c r="H58" s="493">
        <f t="shared" si="1"/>
        <v>0</v>
      </c>
      <c r="I58" s="500"/>
      <c r="J58" s="119"/>
      <c r="K58" s="500"/>
      <c r="L58" s="96"/>
      <c r="M58" s="96"/>
      <c r="N58" s="96"/>
      <c r="O58" s="96"/>
    </row>
    <row r="59" spans="1:15" ht="15.2" customHeight="1">
      <c r="A59" s="96" t="s">
        <v>508</v>
      </c>
      <c r="B59" s="78">
        <v>-3067.8682650313758</v>
      </c>
      <c r="D59" s="78">
        <f>+'COMP Prior Yr'!D58</f>
        <v>1006.1319359887111</v>
      </c>
      <c r="E59" s="98"/>
      <c r="F59" s="389">
        <f t="shared" si="0"/>
        <v>4074.0002010200869</v>
      </c>
      <c r="G59" s="500"/>
      <c r="H59" s="493">
        <f t="shared" si="1"/>
        <v>57.999999999999993</v>
      </c>
      <c r="I59" s="119"/>
      <c r="J59" s="119"/>
      <c r="K59" s="119"/>
    </row>
  </sheetData>
  <mergeCells count="4">
    <mergeCell ref="A1:H1"/>
    <mergeCell ref="A2:H2"/>
    <mergeCell ref="A3:H3"/>
    <mergeCell ref="A4:H4"/>
  </mergeCells>
  <conditionalFormatting sqref="K32:K38 K16:K26">
    <cfRule type="cellIs" dxfId="13" priority="1" stopIfTrue="1" operator="equal">
      <formula>0</formula>
    </cfRule>
    <cfRule type="cellIs" dxfId="12" priority="2" stopIfTrue="1" operator="notEqual">
      <formula>0</formula>
    </cfRule>
  </conditionalFormatting>
  <printOptions horizontalCentered="1"/>
  <pageMargins left="0.5" right="0.5" top="0.5" bottom="0.5" header="0.5" footer="0.25"/>
  <pageSetup scale="82" orientation="portrait" r:id="rId1"/>
  <headerFooter>
    <oddFooter>&amp;Z&amp;F</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3" tint="0.39997558519241921"/>
    <pageSetUpPr fitToPage="1"/>
  </sheetPr>
  <dimension ref="A1:X58"/>
  <sheetViews>
    <sheetView workbookViewId="0">
      <selection sqref="A1:H1"/>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455"/>
      <c r="C5" s="792"/>
      <c r="D5" s="260"/>
      <c r="E5" s="795"/>
      <c r="K5" s="65"/>
    </row>
    <row r="6" spans="1:24" s="68" customFormat="1" ht="15.75">
      <c r="A6" s="66"/>
      <c r="B6" s="67">
        <f>+'COMP Final Bud'!B6</f>
        <v>44561</v>
      </c>
      <c r="C6" s="96"/>
      <c r="D6" s="67" t="str">
        <f>'COMP Prior Yr'!D6</f>
        <v>December 2021</v>
      </c>
      <c r="E6" s="88"/>
      <c r="G6" s="88"/>
      <c r="H6" s="69" t="s">
        <v>487</v>
      </c>
      <c r="X6" s="70"/>
    </row>
    <row r="7" spans="1:24" s="68" customFormat="1" ht="15.75">
      <c r="A7" s="71"/>
      <c r="B7" s="72" t="s">
        <v>2721</v>
      </c>
      <c r="C7" s="793"/>
      <c r="D7" s="72" t="str">
        <f>'COMP Prior Yr'!D7</f>
        <v>Actuals</v>
      </c>
      <c r="E7" s="88"/>
      <c r="F7" s="73" t="s">
        <v>489</v>
      </c>
      <c r="G7" s="74"/>
      <c r="H7" s="75" t="s">
        <v>490</v>
      </c>
      <c r="K7" s="76"/>
      <c r="X7" s="70"/>
    </row>
    <row r="8" spans="1:24" ht="15.75">
      <c r="A8" s="68"/>
    </row>
    <row r="9" spans="1:24">
      <c r="A9" s="59" t="s">
        <v>223</v>
      </c>
      <c r="B9" s="229">
        <v>1482598.4402754807</v>
      </c>
      <c r="D9" s="229">
        <f>+'COMP Prior Yr'!D9</f>
        <v>1472581.083657678</v>
      </c>
      <c r="F9" s="76">
        <f>D9-B9</f>
        <v>-10017.356617802754</v>
      </c>
      <c r="G9" s="794"/>
      <c r="H9" s="62">
        <f>ROUND((((B17/(D9+D10+D11+D13))-B20)/B23)-(((B17/(B9+D10+D11+D13))-B20)/B23),4)*10000</f>
        <v>9</v>
      </c>
      <c r="J9" s="77"/>
    </row>
    <row r="10" spans="1:24">
      <c r="A10" s="59" t="s">
        <v>4</v>
      </c>
      <c r="B10" s="230">
        <v>58077.015407692321</v>
      </c>
      <c r="D10" s="230">
        <f>+'COMP Prior Yr'!D10</f>
        <v>63731.53211</v>
      </c>
      <c r="F10" s="76">
        <f>D10-B10</f>
        <v>5654.5167023076792</v>
      </c>
      <c r="G10" s="794"/>
      <c r="H10" s="62">
        <f>ROUND((((B17/(D9+D11+D13+D10))-B20)/B23)-(((B17/(B10+D9+D11+D13))-B20)/B23),4)*10000</f>
        <v>-5</v>
      </c>
    </row>
    <row r="11" spans="1:24">
      <c r="A11" s="59" t="s">
        <v>491</v>
      </c>
      <c r="B11" s="230">
        <v>0</v>
      </c>
      <c r="D11" s="230">
        <f>+'COMP Prior Yr'!D11</f>
        <v>0</v>
      </c>
      <c r="F11" s="76">
        <f>D11-B11</f>
        <v>0</v>
      </c>
      <c r="G11" s="98"/>
      <c r="H11" s="62">
        <f>ROUND((((B17/(D9+D10+D11+D13))-B20)/B23)-(((B17/(B11+D9+D10+D13))-B20)/B23),4)*10000</f>
        <v>0</v>
      </c>
    </row>
    <row r="12" spans="1:24">
      <c r="A12" s="119" t="s">
        <v>229</v>
      </c>
      <c r="B12" s="230">
        <v>-5522.9770038461538</v>
      </c>
      <c r="D12" s="230">
        <f>+'COMP Prior Yr'!D12</f>
        <v>-5589.6985323076933</v>
      </c>
      <c r="F12" s="389">
        <f>D12-B12</f>
        <v>-66.721528461539492</v>
      </c>
      <c r="G12" s="497"/>
      <c r="H12" s="390">
        <f>ROUND((((B17/(D9+D10+D11+D12+D13))-B20)/B23)-(((B17/(B12+D9+D10+D11+D13))-B20)/B23),4)*10000</f>
        <v>0</v>
      </c>
    </row>
    <row r="13" spans="1:24" ht="15.75">
      <c r="A13" s="59" t="s">
        <v>492</v>
      </c>
      <c r="B13" s="388">
        <v>-39857.443453227359</v>
      </c>
      <c r="C13" s="98"/>
      <c r="D13" s="388">
        <f>+'COMP Prior Yr'!D13</f>
        <v>-42593.076323846137</v>
      </c>
      <c r="F13" s="76">
        <f>D13-B13</f>
        <v>-2735.6328706187778</v>
      </c>
      <c r="G13" s="98"/>
      <c r="H13" s="62">
        <f>ROUND((((B17/(D9+D10+D11+D13))-B20)/B23)-(((B17/(B13+D9+D10+D11))-B20)/B23),4)*10000</f>
        <v>2</v>
      </c>
      <c r="I13" s="80" t="s">
        <v>493</v>
      </c>
      <c r="K13" s="81" t="s">
        <v>494</v>
      </c>
    </row>
    <row r="14" spans="1:24" ht="8.1" customHeight="1">
      <c r="B14" s="231"/>
      <c r="D14" s="231"/>
      <c r="F14" s="76"/>
      <c r="I14" s="80"/>
      <c r="K14" s="81"/>
    </row>
    <row r="15" spans="1:24" ht="15.75">
      <c r="A15" s="68" t="s">
        <v>348</v>
      </c>
      <c r="B15" s="232">
        <v>1495295.0352</v>
      </c>
      <c r="C15" s="88"/>
      <c r="D15" s="232">
        <f>+'COMP Prior Yr'!D15</f>
        <v>1488129.8409</v>
      </c>
      <c r="E15" s="88"/>
      <c r="F15" s="65">
        <f>D15-B15</f>
        <v>-7165.1943000000902</v>
      </c>
      <c r="G15" s="798"/>
      <c r="H15" s="69">
        <f>ROUND((((B17/D15)-B20)/B23)-(((B17/B15)-B20)/B23),4)*10000</f>
        <v>5.9999999999999991</v>
      </c>
      <c r="I15" s="69">
        <f>SUM(H9:H13)</f>
        <v>6</v>
      </c>
      <c r="J15" s="62"/>
      <c r="K15" s="69">
        <f>H15-I15</f>
        <v>0</v>
      </c>
      <c r="O15" s="83">
        <f>+F15/H15</f>
        <v>-1194.1990500000152</v>
      </c>
    </row>
    <row r="16" spans="1:24" ht="8.1" customHeight="1">
      <c r="B16" s="230"/>
      <c r="D16" s="230"/>
      <c r="F16" s="76"/>
      <c r="I16" s="69"/>
      <c r="J16" s="62"/>
      <c r="K16" s="69"/>
    </row>
    <row r="17" spans="1:24" s="68" customFormat="1" ht="15.75">
      <c r="A17" s="68" t="s">
        <v>495</v>
      </c>
      <c r="B17" s="233">
        <v>89220.612800000003</v>
      </c>
      <c r="C17" s="88"/>
      <c r="D17" s="233">
        <f>+'COMP Prior Yr'!D17</f>
        <v>91833.5291</v>
      </c>
      <c r="E17" s="88"/>
      <c r="F17" s="65">
        <f>D17-B17</f>
        <v>2612.9162999999971</v>
      </c>
      <c r="G17" s="799"/>
      <c r="H17" s="84">
        <f>ROUND((((D17/B15)-B20)/B23)-(((B17/B15)-B20)/B23),4)*10000</f>
        <v>38</v>
      </c>
      <c r="I17" s="69"/>
      <c r="J17" s="69"/>
      <c r="K17" s="69"/>
      <c r="L17" s="84"/>
      <c r="O17" s="83">
        <f>+F17/H17</f>
        <v>68.760955263157825</v>
      </c>
      <c r="X17" s="70"/>
    </row>
    <row r="18" spans="1:24" ht="8.1" customHeight="1">
      <c r="I18" s="69"/>
      <c r="J18" s="62"/>
      <c r="K18" s="69"/>
    </row>
    <row r="19" spans="1:24" ht="15.75">
      <c r="A19" s="59" t="s">
        <v>496</v>
      </c>
      <c r="B19" s="85">
        <v>5.9700000000000003E-2</v>
      </c>
      <c r="D19" s="85">
        <f>+'COMP Prior Yr'!D19</f>
        <v>6.1699999999999998E-2</v>
      </c>
      <c r="F19" s="85">
        <f>D19-B19</f>
        <v>1.9999999999999948E-3</v>
      </c>
      <c r="G19" s="107"/>
      <c r="H19" s="62">
        <f>ROUND((F19/$B$23)*10000,0)</f>
        <v>44</v>
      </c>
      <c r="I19" s="69">
        <f>H15+H17</f>
        <v>44</v>
      </c>
      <c r="J19" s="62"/>
      <c r="K19" s="69">
        <f>H19-I19</f>
        <v>0</v>
      </c>
    </row>
    <row r="20" spans="1:24" ht="15.75">
      <c r="A20" s="59" t="s">
        <v>1859</v>
      </c>
      <c r="B20" s="86">
        <v>1.3299999999999999E-2</v>
      </c>
      <c r="D20" s="86">
        <f>+'COMP Prior Yr'!D20</f>
        <v>1.3100000000000001E-2</v>
      </c>
      <c r="F20" s="85">
        <f>D20-B20</f>
        <v>-1.9999999999999879E-4</v>
      </c>
      <c r="G20" s="107"/>
      <c r="H20" s="62">
        <f>-ROUND((F20/$B$23)*10000,0)</f>
        <v>4</v>
      </c>
      <c r="I20" s="69"/>
      <c r="J20" s="62"/>
      <c r="K20" s="69"/>
    </row>
    <row r="21" spans="1:24" ht="8.1" customHeight="1">
      <c r="B21" s="82"/>
      <c r="D21" s="82"/>
      <c r="F21" s="85"/>
      <c r="G21" s="107"/>
      <c r="I21" s="69"/>
      <c r="J21" s="62"/>
      <c r="K21" s="69"/>
    </row>
    <row r="22" spans="1:24" ht="15.75">
      <c r="A22" s="59" t="s">
        <v>497</v>
      </c>
      <c r="B22" s="85">
        <v>4.6399999999999997E-2</v>
      </c>
      <c r="D22" s="85">
        <f>+'COMP Prior Yr'!D22</f>
        <v>4.8599999999999997E-2</v>
      </c>
      <c r="F22" s="85">
        <f>D22-B22</f>
        <v>2.2000000000000006E-3</v>
      </c>
      <c r="G22" s="107"/>
      <c r="H22" s="62">
        <f>ROUND((F22/$B$23)*10000,0)</f>
        <v>48</v>
      </c>
      <c r="I22" s="69">
        <f>H19+H20</f>
        <v>48</v>
      </c>
      <c r="J22" s="62"/>
      <c r="K22" s="69">
        <f>H22-I22</f>
        <v>0</v>
      </c>
    </row>
    <row r="23" spans="1:24" ht="15.75">
      <c r="A23" s="59" t="s">
        <v>483</v>
      </c>
      <c r="B23" s="86">
        <v>0.4587</v>
      </c>
      <c r="D23" s="86">
        <f>+'COMP Prior Yr'!D23</f>
        <v>0.4582</v>
      </c>
      <c r="F23" s="85">
        <f>D23-B23</f>
        <v>-5.0000000000000044E-4</v>
      </c>
      <c r="G23" s="107"/>
      <c r="H23" s="62">
        <f>ROUND((B22/D23)-(B22/B23),4)*10000</f>
        <v>1</v>
      </c>
      <c r="I23" s="69"/>
      <c r="J23" s="62"/>
      <c r="K23" s="69"/>
    </row>
    <row r="24" spans="1:24" ht="15.75">
      <c r="B24" s="82"/>
      <c r="D24" s="82"/>
      <c r="F24" s="85"/>
      <c r="G24" s="107"/>
      <c r="H24" s="87"/>
      <c r="I24" s="69"/>
      <c r="J24" s="62"/>
      <c r="K24" s="69"/>
    </row>
    <row r="25" spans="1:24" s="68" customFormat="1" ht="15.75">
      <c r="A25" s="88" t="s">
        <v>498</v>
      </c>
      <c r="B25" s="287">
        <v>0.1011</v>
      </c>
      <c r="C25" s="88"/>
      <c r="D25" s="287">
        <f>+'COMP Prior Yr'!D25</f>
        <v>0.1061</v>
      </c>
      <c r="E25" s="88"/>
      <c r="F25" s="89">
        <f>D25-B25</f>
        <v>5.0000000000000044E-3</v>
      </c>
      <c r="G25" s="203"/>
      <c r="H25" s="69">
        <f>(D25-B25)*10000</f>
        <v>50.000000000000043</v>
      </c>
      <c r="I25" s="69">
        <f>H22+H23</f>
        <v>49</v>
      </c>
      <c r="J25" s="69"/>
      <c r="K25" s="69">
        <f>H25-I25</f>
        <v>1.0000000000000426</v>
      </c>
      <c r="L25" s="89"/>
      <c r="X25" s="70"/>
    </row>
    <row r="26" spans="1:24" s="90" customFormat="1" ht="4.5" customHeight="1">
      <c r="A26" s="96"/>
      <c r="B26" s="91"/>
      <c r="C26" s="96"/>
      <c r="D26" s="91"/>
      <c r="E26" s="96"/>
      <c r="G26" s="96"/>
      <c r="H26" s="92"/>
      <c r="X26" s="93"/>
    </row>
    <row r="27" spans="1:24" ht="4.5" customHeight="1">
      <c r="A27" s="96"/>
      <c r="J27" s="63"/>
    </row>
    <row r="28" spans="1:24">
      <c r="A28" s="96" t="s">
        <v>499</v>
      </c>
      <c r="B28" s="528">
        <v>109439.30251999994</v>
      </c>
      <c r="D28" s="528">
        <f>+'COMP Prior Yr'!D28</f>
        <v>112357.74520999985</v>
      </c>
      <c r="E28" s="98"/>
      <c r="F28" s="76">
        <f>D28-B28</f>
        <v>2918.4426899999089</v>
      </c>
      <c r="G28" s="794"/>
      <c r="H28" s="94">
        <f>ROUND((((D28/B15)-B20)/B23)-(((B28/B15)-B20)/B23),4)*10000</f>
        <v>43</v>
      </c>
    </row>
    <row r="29" spans="1:24">
      <c r="A29" s="96" t="s">
        <v>500</v>
      </c>
      <c r="B29" s="95">
        <v>21224.899409999998</v>
      </c>
      <c r="C29" s="98"/>
      <c r="D29" s="95">
        <f>+'COMP Prior Yr'!D29</f>
        <v>21530.348039999997</v>
      </c>
      <c r="E29" s="98"/>
      <c r="F29" s="76">
        <f>B29-D29</f>
        <v>-305.44862999999896</v>
      </c>
      <c r="G29" s="794"/>
      <c r="H29" s="94">
        <f>-ROUND((((D29/B15)-B20)/B23)-(((B29/B15)-B20)/B23),4)*10000</f>
        <v>-4</v>
      </c>
    </row>
    <row r="30" spans="1:24" ht="15.75">
      <c r="A30" s="788" t="s">
        <v>501</v>
      </c>
      <c r="B30" s="79">
        <v>0</v>
      </c>
      <c r="C30" s="98"/>
      <c r="D30" s="79">
        <f>+'COMP Prior Yr'!D30</f>
        <v>0</v>
      </c>
      <c r="E30" s="98"/>
      <c r="F30" s="76">
        <f>B30-D30</f>
        <v>0</v>
      </c>
      <c r="G30" s="98"/>
      <c r="H30" s="94">
        <f>-ROUND((((D30/B15)-B20)/B23)-(((B30/B15)-B20)/B23),4)*10000</f>
        <v>0</v>
      </c>
      <c r="I30" s="61" t="s">
        <v>493</v>
      </c>
      <c r="K30" s="81" t="s">
        <v>494</v>
      </c>
    </row>
    <row r="31" spans="1:24" ht="15.75">
      <c r="A31" s="789" t="s">
        <v>502</v>
      </c>
      <c r="B31" s="79">
        <v>21224.899409999998</v>
      </c>
      <c r="D31" s="79">
        <f>+'COMP Prior Yr'!D31</f>
        <v>21530.348039999997</v>
      </c>
      <c r="E31" s="98"/>
      <c r="F31" s="76">
        <f>D31-B31</f>
        <v>305.44862999999896</v>
      </c>
      <c r="G31" s="98"/>
      <c r="H31" s="94">
        <f>-ROUND((((D31/B15)-B20)/B23)-(((B31/B15)-B20)/B23),4)*10000</f>
        <v>-4</v>
      </c>
      <c r="I31" s="62"/>
      <c r="K31" s="69"/>
    </row>
    <row r="32" spans="1:24" ht="8.1" customHeight="1">
      <c r="A32" s="96"/>
      <c r="B32" s="97"/>
      <c r="D32" s="97"/>
      <c r="E32" s="98"/>
      <c r="F32" s="76"/>
      <c r="H32" s="94"/>
      <c r="I32" s="69"/>
      <c r="K32" s="69"/>
    </row>
    <row r="33" spans="1:24" ht="15.75">
      <c r="A33" s="96" t="s">
        <v>503</v>
      </c>
      <c r="B33" s="79">
        <v>88214.403109999941</v>
      </c>
      <c r="D33" s="79">
        <f>+'COMP Prior Yr'!D33</f>
        <v>90827.397169999851</v>
      </c>
      <c r="E33" s="98"/>
      <c r="F33" s="76">
        <f>D33-B33</f>
        <v>2612.99405999991</v>
      </c>
      <c r="G33" s="794"/>
      <c r="H33" s="94">
        <f>ROUND((((D33/B15)-B20)/B23)-(((B33/B15)-B20)/B23),4)*10000</f>
        <v>38</v>
      </c>
      <c r="I33" s="62">
        <f>H28+H29+H30</f>
        <v>39</v>
      </c>
      <c r="K33" s="69">
        <f>I33-H33</f>
        <v>1</v>
      </c>
    </row>
    <row r="34" spans="1:24" ht="15.75">
      <c r="A34" s="96"/>
      <c r="B34" s="98"/>
      <c r="D34" s="98"/>
      <c r="E34" s="98"/>
      <c r="F34" s="76"/>
      <c r="G34" s="794"/>
      <c r="H34" s="94"/>
      <c r="I34" s="62"/>
      <c r="K34" s="69"/>
    </row>
    <row r="35" spans="1:24" ht="15.75">
      <c r="A35" s="790" t="s">
        <v>504</v>
      </c>
      <c r="B35" s="98">
        <v>0</v>
      </c>
      <c r="D35" s="98">
        <f>+'COMP Prior Yr'!D35</f>
        <v>0</v>
      </c>
      <c r="E35" s="98"/>
      <c r="F35" s="76"/>
      <c r="G35" s="794"/>
      <c r="H35" s="94"/>
      <c r="I35" s="62"/>
      <c r="K35" s="69"/>
    </row>
    <row r="36" spans="1:24" ht="15.75">
      <c r="A36" s="788" t="s">
        <v>505</v>
      </c>
      <c r="B36" s="79">
        <v>1006.2096704020048</v>
      </c>
      <c r="D36" s="79">
        <f>+'COMP Prior Yr'!D36</f>
        <v>1006.1319359887111</v>
      </c>
      <c r="E36" s="98"/>
      <c r="F36" s="76">
        <f>D36-B36</f>
        <v>-7.7734413293683247E-2</v>
      </c>
      <c r="H36" s="94">
        <f>ROUND((((D36/B15)-B20)/B23)-(((B36/B15)-B20)/B23),4)*10000</f>
        <v>0</v>
      </c>
      <c r="I36" s="62">
        <f>H36</f>
        <v>0</v>
      </c>
      <c r="K36" s="69">
        <f>H36-I36</f>
        <v>0</v>
      </c>
    </row>
    <row r="37" spans="1:24" s="68" customFormat="1" ht="15.75">
      <c r="A37" s="88" t="s">
        <v>495</v>
      </c>
      <c r="B37" s="99">
        <v>89220.612780401949</v>
      </c>
      <c r="C37" s="88"/>
      <c r="D37" s="99">
        <f>+'COMP Prior Yr'!D37</f>
        <v>91833.529105988564</v>
      </c>
      <c r="E37" s="796"/>
      <c r="F37" s="65">
        <f>D37-B37</f>
        <v>2612.9163255866151</v>
      </c>
      <c r="G37" s="799"/>
      <c r="H37" s="100">
        <f>ROUND((((D37/B15)-B20)/B23)-(((B37/B15)-B20)/B23),4)*10000</f>
        <v>38</v>
      </c>
      <c r="I37" s="69">
        <f>H33+H36</f>
        <v>38</v>
      </c>
      <c r="K37" s="69">
        <f>H37-I37</f>
        <v>0</v>
      </c>
      <c r="X37" s="70"/>
    </row>
    <row r="38" spans="1:24" s="90" customFormat="1" ht="14.1" customHeight="1">
      <c r="A38" s="96"/>
      <c r="B38" s="101"/>
      <c r="C38" s="96"/>
      <c r="D38" s="101"/>
      <c r="E38" s="98"/>
      <c r="F38" s="79"/>
      <c r="G38" s="104"/>
      <c r="H38" s="120">
        <f>D37-D17</f>
        <v>5.9885642258450389E-6</v>
      </c>
      <c r="I38" s="102" t="s">
        <v>506</v>
      </c>
      <c r="J38" s="86"/>
      <c r="X38" s="93"/>
    </row>
    <row r="39" spans="1:24" s="96" customFormat="1" ht="4.5" customHeight="1">
      <c r="B39" s="103"/>
      <c r="D39" s="103"/>
      <c r="E39" s="98"/>
      <c r="F39" s="98"/>
      <c r="G39" s="104"/>
      <c r="H39" s="105"/>
      <c r="I39" s="106"/>
      <c r="J39" s="107"/>
      <c r="X39" s="108"/>
    </row>
    <row r="40" spans="1:24" ht="15.75">
      <c r="A40" s="74" t="s">
        <v>507</v>
      </c>
      <c r="B40" s="109"/>
      <c r="C40" s="109"/>
      <c r="D40" s="109"/>
      <c r="E40" s="98"/>
      <c r="F40" s="109"/>
      <c r="G40" s="98"/>
      <c r="I40" s="85"/>
      <c r="J40" s="63"/>
    </row>
    <row r="41" spans="1:24">
      <c r="A41" s="96" t="s">
        <v>150</v>
      </c>
      <c r="B41" s="110">
        <v>0</v>
      </c>
      <c r="D41" s="110">
        <f>+'COMP Prior Yr'!D41</f>
        <v>-3.2007087065721862E-4</v>
      </c>
      <c r="E41" s="98"/>
      <c r="F41" s="76">
        <f>D41-B41</f>
        <v>-3.2007087065721862E-4</v>
      </c>
      <c r="G41" s="107"/>
      <c r="H41" s="94">
        <f>ROUND((((D41/$B$15)-$B$20)/$B$23)-(((B41/$B$15)-$B$20)/$B$23),4)*10000</f>
        <v>0</v>
      </c>
    </row>
    <row r="42" spans="1:24">
      <c r="A42" s="96" t="s">
        <v>151</v>
      </c>
      <c r="B42" s="110">
        <v>31.254105707519564</v>
      </c>
      <c r="D42" s="110">
        <f>+'COMP Prior Yr'!D42</f>
        <v>31.340474098839898</v>
      </c>
      <c r="E42" s="98"/>
      <c r="F42" s="76">
        <f>D42-B42</f>
        <v>8.6368391320334581E-2</v>
      </c>
      <c r="G42" s="107"/>
      <c r="H42" s="94">
        <f>ROUND((((D42/$B$15)-$B$20)/$B$23)-(((B42/$B$15)-$B$20)/$B$23),4)*10000</f>
        <v>0</v>
      </c>
    </row>
    <row r="43" spans="1:24">
      <c r="A43" s="96" t="s">
        <v>152</v>
      </c>
      <c r="B43" s="110">
        <v>-158.29872548497175</v>
      </c>
      <c r="D43" s="110">
        <f>+'COMP Prior Yr'!D43</f>
        <v>-92.409253235451331</v>
      </c>
      <c r="E43" s="98"/>
      <c r="F43" s="76">
        <f t="shared" ref="F43:F58" si="0">D43-B43</f>
        <v>65.889472249520423</v>
      </c>
      <c r="G43" s="107"/>
      <c r="H43" s="94">
        <f t="shared" ref="H43:H58" si="1">ROUND((((D43/$B$15)-$B$20)/$B$23)-(((B43/$B$15)-$B$20)/$B$23),4)*10000</f>
        <v>1</v>
      </c>
    </row>
    <row r="44" spans="1:24">
      <c r="A44" s="96" t="s">
        <v>481</v>
      </c>
      <c r="B44" s="110">
        <v>2099</v>
      </c>
      <c r="D44" s="110">
        <f>+'COMP Prior Yr'!D44</f>
        <v>2099</v>
      </c>
      <c r="E44" s="98"/>
      <c r="F44" s="76">
        <f t="shared" si="0"/>
        <v>0</v>
      </c>
      <c r="G44" s="107"/>
      <c r="H44" s="94">
        <f t="shared" si="1"/>
        <v>0</v>
      </c>
      <c r="O44" s="111"/>
    </row>
    <row r="45" spans="1:24">
      <c r="A45" s="96" t="s">
        <v>153</v>
      </c>
      <c r="B45" s="110">
        <v>0</v>
      </c>
      <c r="D45" s="110">
        <f>+'COMP Prior Yr'!D45</f>
        <v>0</v>
      </c>
      <c r="E45" s="98"/>
      <c r="F45" s="76">
        <f t="shared" si="0"/>
        <v>0</v>
      </c>
      <c r="G45" s="107"/>
      <c r="H45" s="94">
        <f t="shared" si="1"/>
        <v>0</v>
      </c>
    </row>
    <row r="46" spans="1:24">
      <c r="A46" s="96" t="s">
        <v>410</v>
      </c>
      <c r="B46" s="110">
        <v>12.244006580537901</v>
      </c>
      <c r="D46" s="110">
        <f>+'COMP Prior Yr'!D46</f>
        <v>14.190459380769001</v>
      </c>
      <c r="E46" s="98"/>
      <c r="F46" s="76">
        <f t="shared" si="0"/>
        <v>1.9464528002310999</v>
      </c>
      <c r="G46" s="107"/>
      <c r="H46" s="94">
        <f t="shared" si="1"/>
        <v>0</v>
      </c>
      <c r="O46" s="167"/>
    </row>
    <row r="47" spans="1:24">
      <c r="A47" s="96" t="s">
        <v>154</v>
      </c>
      <c r="B47" s="78">
        <v>51.972319863137997</v>
      </c>
      <c r="D47" s="78">
        <f>+'COMP Prior Yr'!D47</f>
        <v>53.236054178474994</v>
      </c>
      <c r="E47" s="98"/>
      <c r="F47" s="76">
        <f t="shared" si="0"/>
        <v>1.2637343153369969</v>
      </c>
      <c r="G47" s="107"/>
      <c r="H47" s="94">
        <f t="shared" si="1"/>
        <v>0</v>
      </c>
      <c r="O47" s="166"/>
    </row>
    <row r="48" spans="1:24">
      <c r="A48" s="96" t="s">
        <v>409</v>
      </c>
      <c r="B48" s="78">
        <v>-86.180714202553645</v>
      </c>
      <c r="D48" s="78">
        <f>+'COMP Prior Yr'!D48</f>
        <v>-136.8710449950413</v>
      </c>
      <c r="E48" s="98"/>
      <c r="F48" s="76">
        <f t="shared" si="0"/>
        <v>-50.690330792487657</v>
      </c>
      <c r="G48" s="107"/>
      <c r="H48" s="94">
        <f t="shared" si="1"/>
        <v>-1</v>
      </c>
      <c r="O48" s="167"/>
    </row>
    <row r="49" spans="1:15">
      <c r="A49" s="96" t="s">
        <v>155</v>
      </c>
      <c r="B49" s="78">
        <v>29.218590406528659</v>
      </c>
      <c r="D49" s="78">
        <f>+'COMP Prior Yr'!D49</f>
        <v>29.30058323299987</v>
      </c>
      <c r="E49" s="98"/>
      <c r="F49" s="76">
        <f t="shared" si="0"/>
        <v>8.1992826471211089E-2</v>
      </c>
      <c r="G49" s="107"/>
      <c r="H49" s="94">
        <f t="shared" si="1"/>
        <v>0</v>
      </c>
      <c r="O49" s="167"/>
    </row>
    <row r="50" spans="1:15">
      <c r="A50" s="96" t="s">
        <v>156</v>
      </c>
      <c r="B50" s="78">
        <v>4.1375112064257902</v>
      </c>
      <c r="D50" s="78">
        <f>+'COMP Prior Yr'!D50</f>
        <v>4.5190721697556206</v>
      </c>
      <c r="E50" s="98"/>
      <c r="F50" s="76">
        <f t="shared" si="0"/>
        <v>0.38156096332983047</v>
      </c>
      <c r="G50" s="107"/>
      <c r="H50" s="94">
        <f t="shared" si="1"/>
        <v>0</v>
      </c>
      <c r="O50" s="166"/>
    </row>
    <row r="51" spans="1:15">
      <c r="A51" s="96" t="s">
        <v>411</v>
      </c>
      <c r="B51" s="78">
        <v>33.742520368999998</v>
      </c>
      <c r="D51" s="78">
        <f>+'COMP Prior Yr'!D51</f>
        <v>34.068495817500001</v>
      </c>
      <c r="E51" s="98"/>
      <c r="F51" s="76">
        <f t="shared" si="0"/>
        <v>0.32597544850000304</v>
      </c>
      <c r="G51" s="107"/>
      <c r="H51" s="94">
        <f t="shared" si="1"/>
        <v>0</v>
      </c>
    </row>
    <row r="52" spans="1:15">
      <c r="A52" s="500" t="s">
        <v>412</v>
      </c>
      <c r="B52" s="78">
        <v>0</v>
      </c>
      <c r="D52" s="78">
        <f>+'COMP Prior Yr'!D52</f>
        <v>0</v>
      </c>
      <c r="E52" s="98"/>
      <c r="F52" s="76">
        <f t="shared" si="0"/>
        <v>0</v>
      </c>
      <c r="G52" s="107"/>
      <c r="H52" s="94">
        <f t="shared" si="1"/>
        <v>0</v>
      </c>
    </row>
    <row r="53" spans="1:15">
      <c r="A53" s="791" t="s">
        <v>536</v>
      </c>
      <c r="B53" s="78">
        <v>-81.917834909058001</v>
      </c>
      <c r="D53" s="78">
        <f>+'COMP Prior Yr'!D53</f>
        <v>-82.709216308034996</v>
      </c>
      <c r="E53" s="98"/>
      <c r="F53" s="76">
        <f>D53-B53</f>
        <v>-0.79138139897699489</v>
      </c>
      <c r="G53" s="107"/>
      <c r="H53" s="94">
        <f>ROUND((((D53/$B$15)-$B$20)/$B$23)-(((B53/$B$15)-$B$20)/$B$23),4)*10000</f>
        <v>0</v>
      </c>
    </row>
    <row r="54" spans="1:15">
      <c r="A54" s="500" t="s">
        <v>157</v>
      </c>
      <c r="B54" s="78">
        <v>0</v>
      </c>
      <c r="D54" s="78">
        <f>+'COMP Prior Yr'!D54</f>
        <v>0</v>
      </c>
      <c r="E54" s="98"/>
      <c r="F54" s="76">
        <f t="shared" si="0"/>
        <v>0</v>
      </c>
      <c r="G54" s="107"/>
      <c r="H54" s="94">
        <f t="shared" si="1"/>
        <v>0</v>
      </c>
    </row>
    <row r="55" spans="1:15">
      <c r="A55" s="96" t="s">
        <v>532</v>
      </c>
      <c r="B55" s="78">
        <v>-8.2271216160734184E-4</v>
      </c>
      <c r="D55" s="78">
        <f>+'COMP Prior Yr'!D55</f>
        <v>-8.992467301141005E-4</v>
      </c>
      <c r="E55" s="98"/>
      <c r="F55" s="76">
        <f t="shared" si="0"/>
        <v>-7.653456850675866E-5</v>
      </c>
      <c r="G55" s="107"/>
      <c r="H55" s="94">
        <f t="shared" si="1"/>
        <v>0</v>
      </c>
    </row>
    <row r="56" spans="1:15">
      <c r="A56" s="96" t="s">
        <v>533</v>
      </c>
      <c r="B56" s="78">
        <v>-928.96128642240001</v>
      </c>
      <c r="D56" s="78">
        <f>+'COMP Prior Yr'!D56</f>
        <v>-947.53246903350009</v>
      </c>
      <c r="E56" s="98"/>
      <c r="F56" s="76">
        <f t="shared" si="0"/>
        <v>-18.571182611100085</v>
      </c>
      <c r="G56" s="107"/>
      <c r="H56" s="94">
        <f t="shared" si="1"/>
        <v>0</v>
      </c>
    </row>
    <row r="57" spans="1:15" ht="15.2" customHeight="1">
      <c r="A57" s="96" t="s">
        <v>510</v>
      </c>
      <c r="B57" s="79">
        <v>0</v>
      </c>
      <c r="D57" s="79">
        <f>+'COMP Prior Yr'!D57</f>
        <v>0</v>
      </c>
      <c r="E57" s="98"/>
      <c r="F57" s="113">
        <f t="shared" si="0"/>
        <v>0</v>
      </c>
      <c r="H57" s="94">
        <f t="shared" si="1"/>
        <v>0</v>
      </c>
      <c r="I57" s="96"/>
      <c r="K57" s="96"/>
      <c r="L57" s="96"/>
      <c r="M57" s="96"/>
      <c r="N57" s="96"/>
      <c r="O57" s="96"/>
    </row>
    <row r="58" spans="1:15" ht="15.2" customHeight="1">
      <c r="A58" s="96" t="s">
        <v>508</v>
      </c>
      <c r="B58" s="78">
        <v>1006.2096704020048</v>
      </c>
      <c r="D58" s="78">
        <f>+'COMP Prior Yr'!D58</f>
        <v>1006.1319359887111</v>
      </c>
      <c r="E58" s="98"/>
      <c r="F58" s="76">
        <f t="shared" si="0"/>
        <v>-7.7734413293683247E-2</v>
      </c>
      <c r="H58" s="94">
        <f t="shared" si="1"/>
        <v>0</v>
      </c>
    </row>
  </sheetData>
  <mergeCells count="4">
    <mergeCell ref="A1:H1"/>
    <mergeCell ref="A2:H2"/>
    <mergeCell ref="A3:H3"/>
    <mergeCell ref="A4:H4"/>
  </mergeCells>
  <conditionalFormatting sqref="K31:K37 K15:K25">
    <cfRule type="cellIs" dxfId="11" priority="1" stopIfTrue="1" operator="equal">
      <formula>0</formula>
    </cfRule>
    <cfRule type="cellIs" dxfId="10" priority="2" stopIfTrue="1" operator="notEqual">
      <formula>0</formula>
    </cfRule>
  </conditionalFormatting>
  <printOptions horizontalCentered="1"/>
  <pageMargins left="0.5" right="0.5" top="0.5" bottom="0.5" header="0.5" footer="0.25"/>
  <pageSetup scale="82" orientation="portrait" r:id="rId1"/>
  <headerFooter>
    <oddFooter>&amp;Z&amp;F</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39997558519241921"/>
    <pageSetUpPr fitToPage="1"/>
  </sheetPr>
  <dimension ref="A1:X58"/>
  <sheetViews>
    <sheetView workbookViewId="0">
      <selection activeCell="F18" sqref="F18"/>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260"/>
      <c r="C5" s="792"/>
      <c r="D5" s="260"/>
      <c r="E5" s="795"/>
      <c r="K5" s="65"/>
    </row>
    <row r="6" spans="1:24" s="68" customFormat="1" ht="15.75">
      <c r="A6" s="66"/>
      <c r="B6" s="67" t="s">
        <v>2568</v>
      </c>
      <c r="C6" s="96"/>
      <c r="D6" s="67" t="str">
        <f>+'COMP Q3F Qrtly'!D6</f>
        <v>December 2021</v>
      </c>
      <c r="E6" s="88"/>
      <c r="G6" s="88"/>
      <c r="H6" s="69" t="s">
        <v>487</v>
      </c>
      <c r="X6" s="70"/>
    </row>
    <row r="7" spans="1:24" s="68" customFormat="1" ht="15.75">
      <c r="A7" s="71"/>
      <c r="B7" s="73" t="s">
        <v>2816</v>
      </c>
      <c r="C7" s="793"/>
      <c r="D7" s="72" t="str">
        <f>+'COMP Q3F Qrtly'!D7</f>
        <v>2021 Q3</v>
      </c>
      <c r="E7" s="88"/>
      <c r="F7" s="73" t="s">
        <v>489</v>
      </c>
      <c r="G7" s="74"/>
      <c r="H7" s="75" t="s">
        <v>490</v>
      </c>
      <c r="K7" s="76"/>
      <c r="X7" s="70"/>
    </row>
    <row r="8" spans="1:24" ht="15.75">
      <c r="A8" s="68"/>
    </row>
    <row r="9" spans="1:24">
      <c r="A9" s="59" t="s">
        <v>223</v>
      </c>
      <c r="B9" s="229">
        <v>1022036.0031362423</v>
      </c>
      <c r="D9" s="229">
        <f>+'COMP Prior Yr'!D9</f>
        <v>1472581.083657678</v>
      </c>
      <c r="F9" s="76">
        <f>D9-B9</f>
        <v>450545.08052143571</v>
      </c>
      <c r="G9" s="794"/>
      <c r="H9" s="62">
        <f>ROUND((((B17/(D9+D10+D11+D13))-B20)/B23)-(((B17/(B9+D10+D11+D13))-B20)/B23),4)*10000</f>
        <v>-320.99999999999994</v>
      </c>
      <c r="J9" s="77"/>
    </row>
    <row r="10" spans="1:24">
      <c r="A10" s="59" t="s">
        <v>4</v>
      </c>
      <c r="B10" s="230">
        <v>35155.755969817226</v>
      </c>
      <c r="D10" s="230">
        <f>+'COMP Prior Yr'!D10</f>
        <v>63731.53211</v>
      </c>
      <c r="F10" s="76">
        <f>D10-B10</f>
        <v>28575.776140182774</v>
      </c>
      <c r="G10" s="794"/>
      <c r="H10" s="62">
        <f>ROUND((((B17/(D9+D11+D13+D10))-B20)/B23)-(((B17/(B10+D9+D11+D13))-B20)/B23),4)*10000</f>
        <v>-14</v>
      </c>
    </row>
    <row r="11" spans="1:24">
      <c r="A11" s="59" t="s">
        <v>491</v>
      </c>
      <c r="B11" s="230">
        <v>0</v>
      </c>
      <c r="D11" s="230">
        <f>+'COMP Prior Yr'!D11</f>
        <v>0</v>
      </c>
      <c r="F11" s="76">
        <f>D11-B11</f>
        <v>0</v>
      </c>
      <c r="G11" s="98"/>
      <c r="H11" s="62">
        <f>ROUND((((B17/(D9+D10+D11+D13))-B20)/B23)-(((B17/(B11+D9+D10+D13))-B20)/B23),4)*10000</f>
        <v>0</v>
      </c>
    </row>
    <row r="12" spans="1:24">
      <c r="A12" s="119" t="s">
        <v>229</v>
      </c>
      <c r="B12" s="230">
        <v>8299.356613076925</v>
      </c>
      <c r="D12" s="230">
        <f>+'COMP Prior Yr'!D12</f>
        <v>-5589.6985323076933</v>
      </c>
      <c r="F12" s="389">
        <f>D12-B12</f>
        <v>-13889.055145384618</v>
      </c>
      <c r="G12" s="497"/>
      <c r="H12" s="390">
        <f>ROUND((((B17/(D9+D10+D11+D12+D13))-B20)/B23)-(((B17/(B12+D9+D10+D11+D13))-B20)/B23),4)*10000</f>
        <v>7</v>
      </c>
    </row>
    <row r="13" spans="1:24" ht="15.75">
      <c r="A13" s="59" t="s">
        <v>492</v>
      </c>
      <c r="B13" s="388">
        <v>-52781.895327692291</v>
      </c>
      <c r="C13" s="98"/>
      <c r="D13" s="388">
        <f>+'COMP Prior Yr'!D13</f>
        <v>-42593.076323846137</v>
      </c>
      <c r="F13" s="76">
        <f>D13-B13</f>
        <v>10188.819003846154</v>
      </c>
      <c r="G13" s="98"/>
      <c r="H13" s="62">
        <f>ROUND((((B17/(D9+D10+D11+D13))-B20)/B23)-(((B17/(B13+D9+D10+D11))-B20)/B23),4)*10000</f>
        <v>-5</v>
      </c>
      <c r="I13" s="80" t="s">
        <v>493</v>
      </c>
      <c r="K13" s="81" t="s">
        <v>494</v>
      </c>
    </row>
    <row r="14" spans="1:24" ht="8.1" customHeight="1">
      <c r="B14" s="231"/>
      <c r="D14" s="231"/>
      <c r="F14" s="76"/>
      <c r="I14" s="80"/>
      <c r="K14" s="81"/>
    </row>
    <row r="15" spans="1:24" ht="15.75">
      <c r="A15" s="68" t="s">
        <v>348</v>
      </c>
      <c r="B15" s="232">
        <v>1012709.2204</v>
      </c>
      <c r="C15" s="88"/>
      <c r="D15" s="232">
        <f>+'COMP Prior Yr'!D15</f>
        <v>1488129.8409</v>
      </c>
      <c r="E15" s="88"/>
      <c r="F15" s="65">
        <f>D15-B15</f>
        <v>475420.62049999996</v>
      </c>
      <c r="G15" s="798"/>
      <c r="H15" s="69">
        <f>ROUND((((B17/D15)-B20)/B23)-(((B17/B15)-B20)/B23),4)*10000</f>
        <v>-350.00000000000006</v>
      </c>
      <c r="I15" s="69">
        <f>SUM(H9:H13)</f>
        <v>-332.99999999999994</v>
      </c>
      <c r="J15" s="62"/>
      <c r="K15" s="69">
        <f>H15-I15</f>
        <v>-17.000000000000114</v>
      </c>
      <c r="O15" s="83"/>
    </row>
    <row r="16" spans="1:24" ht="8.1" customHeight="1">
      <c r="B16" s="230"/>
      <c r="D16" s="230"/>
      <c r="F16" s="76"/>
      <c r="I16" s="69"/>
      <c r="J16" s="62"/>
      <c r="K16" s="69"/>
    </row>
    <row r="17" spans="1:24" s="68" customFormat="1" ht="15.75">
      <c r="A17" s="68" t="s">
        <v>495</v>
      </c>
      <c r="B17" s="233">
        <v>52576.070899999999</v>
      </c>
      <c r="C17" s="88"/>
      <c r="D17" s="233">
        <f>+'COMP Prior Yr'!D17</f>
        <v>91833.5291</v>
      </c>
      <c r="E17" s="88"/>
      <c r="F17" s="65">
        <f>D17-B17</f>
        <v>39257.458200000001</v>
      </c>
      <c r="G17" s="799"/>
      <c r="H17" s="84">
        <f>ROUND((((D17/B15)-B20)/B23)-(((B17/B15)-B20)/B23),4)*10000</f>
        <v>817</v>
      </c>
      <c r="I17" s="69"/>
      <c r="J17" s="69"/>
      <c r="K17" s="69"/>
      <c r="L17" s="84"/>
      <c r="X17" s="70"/>
    </row>
    <row r="18" spans="1:24" ht="8.1" customHeight="1">
      <c r="I18" s="69"/>
      <c r="J18" s="62"/>
      <c r="K18" s="69"/>
    </row>
    <row r="19" spans="1:24" ht="15.75">
      <c r="A19" s="59" t="s">
        <v>496</v>
      </c>
      <c r="B19" s="85">
        <v>5.1900000000000002E-2</v>
      </c>
      <c r="D19" s="85">
        <f>+'COMP Prior Yr'!D19</f>
        <v>6.1699999999999998E-2</v>
      </c>
      <c r="F19" s="85">
        <f>D19-B19</f>
        <v>9.7999999999999962E-3</v>
      </c>
      <c r="G19" s="107"/>
      <c r="H19" s="62">
        <f>ROUND((F19/$B$23)*10000,0)</f>
        <v>207</v>
      </c>
      <c r="I19" s="69">
        <f>H15+H17</f>
        <v>466.99999999999994</v>
      </c>
      <c r="J19" s="62"/>
      <c r="K19" s="69">
        <f>H19-I19</f>
        <v>-259.99999999999994</v>
      </c>
    </row>
    <row r="20" spans="1:24" ht="15.75">
      <c r="A20" s="119" t="s">
        <v>1859</v>
      </c>
      <c r="B20" s="86">
        <v>1.46E-2</v>
      </c>
      <c r="D20" s="86">
        <f>+'COMP Prior Yr'!D20</f>
        <v>1.3100000000000001E-2</v>
      </c>
      <c r="F20" s="85">
        <f>D20-B20</f>
        <v>-1.4999999999999996E-3</v>
      </c>
      <c r="G20" s="107"/>
      <c r="H20" s="62">
        <f>-ROUND((F20/$B$23)*10000,0)</f>
        <v>32</v>
      </c>
      <c r="I20" s="69"/>
      <c r="J20" s="62"/>
      <c r="K20" s="69"/>
    </row>
    <row r="21" spans="1:24" ht="8.1" customHeight="1">
      <c r="B21" s="82"/>
      <c r="D21" s="82"/>
      <c r="F21" s="85"/>
      <c r="G21" s="107"/>
      <c r="I21" s="69"/>
      <c r="J21" s="62"/>
      <c r="K21" s="69"/>
    </row>
    <row r="22" spans="1:24" ht="15.75">
      <c r="A22" s="59" t="s">
        <v>497</v>
      </c>
      <c r="B22" s="85">
        <v>3.73E-2</v>
      </c>
      <c r="D22" s="85">
        <f>+'COMP Prior Yr'!D22</f>
        <v>4.8599999999999997E-2</v>
      </c>
      <c r="F22" s="85">
        <f>D22-B22</f>
        <v>1.1299999999999998E-2</v>
      </c>
      <c r="G22" s="107"/>
      <c r="H22" s="62">
        <f>ROUND((F22/$B$23)*10000,0)</f>
        <v>238</v>
      </c>
      <c r="I22" s="69">
        <f>H19+H20</f>
        <v>239</v>
      </c>
      <c r="J22" s="62"/>
      <c r="K22" s="69">
        <f>H22-I22</f>
        <v>-1</v>
      </c>
    </row>
    <row r="23" spans="1:24" ht="15.75">
      <c r="A23" s="59" t="s">
        <v>483</v>
      </c>
      <c r="B23" s="86">
        <v>0.4743</v>
      </c>
      <c r="D23" s="86">
        <f>+'COMP Prior Yr'!D23</f>
        <v>0.4582</v>
      </c>
      <c r="F23" s="85">
        <f>D23-B23</f>
        <v>-1.6100000000000003E-2</v>
      </c>
      <c r="G23" s="107"/>
      <c r="H23" s="62">
        <f>ROUND((B22/D23)-(B22/B23),4)*10000</f>
        <v>28</v>
      </c>
      <c r="I23" s="69"/>
      <c r="J23" s="62"/>
      <c r="K23" s="69"/>
    </row>
    <row r="24" spans="1:24" ht="15.75">
      <c r="B24" s="82"/>
      <c r="D24" s="82"/>
      <c r="F24" s="85"/>
      <c r="G24" s="107"/>
      <c r="H24" s="87"/>
      <c r="I24" s="69"/>
      <c r="J24" s="62"/>
      <c r="K24" s="69"/>
    </row>
    <row r="25" spans="1:24" s="68" customFormat="1" ht="15.75">
      <c r="A25" s="88" t="s">
        <v>498</v>
      </c>
      <c r="B25" s="287">
        <v>7.8700000000000006E-2</v>
      </c>
      <c r="C25" s="88"/>
      <c r="D25" s="287">
        <f>+'COMP Prior Yr'!D25</f>
        <v>0.1061</v>
      </c>
      <c r="E25" s="88"/>
      <c r="F25" s="89">
        <f>D25-B25</f>
        <v>2.7399999999999994E-2</v>
      </c>
      <c r="G25" s="203"/>
      <c r="H25" s="69">
        <f>(D25-B25)*10000</f>
        <v>273.99999999999994</v>
      </c>
      <c r="I25" s="69">
        <f>H22+H23</f>
        <v>266</v>
      </c>
      <c r="J25" s="69"/>
      <c r="K25" s="69">
        <f>H25-I25</f>
        <v>7.9999999999999432</v>
      </c>
      <c r="L25" s="89"/>
      <c r="X25" s="70"/>
    </row>
    <row r="26" spans="1:24" s="90" customFormat="1" ht="4.5" customHeight="1">
      <c r="A26" s="96"/>
      <c r="B26" s="91"/>
      <c r="C26" s="96"/>
      <c r="D26" s="91"/>
      <c r="E26" s="96"/>
      <c r="G26" s="96"/>
      <c r="H26" s="92"/>
      <c r="X26" s="93"/>
    </row>
    <row r="27" spans="1:24" ht="4.5" customHeight="1">
      <c r="A27" s="96"/>
      <c r="J27" s="63"/>
    </row>
    <row r="28" spans="1:24">
      <c r="A28" s="96" t="s">
        <v>499</v>
      </c>
      <c r="B28" s="528">
        <v>78482.191650000081</v>
      </c>
      <c r="D28" s="528">
        <f>+'COMP Prior Yr'!D28</f>
        <v>112357.74520999985</v>
      </c>
      <c r="E28" s="98"/>
      <c r="F28" s="76">
        <f>D28-B28</f>
        <v>33875.553559999767</v>
      </c>
      <c r="G28" s="794"/>
      <c r="H28" s="94">
        <f>ROUND((((D28/B15)-B20)/B23)-(((B28/B15)-B20)/B23),4)*10000</f>
        <v>704.99999999999989</v>
      </c>
    </row>
    <row r="29" spans="1:24">
      <c r="A29" s="96" t="s">
        <v>500</v>
      </c>
      <c r="B29" s="95">
        <v>15268.077340000002</v>
      </c>
      <c r="C29" s="98"/>
      <c r="D29" s="95">
        <f>+'COMP Prior Yr'!D29</f>
        <v>21530.348039999997</v>
      </c>
      <c r="E29" s="98"/>
      <c r="F29" s="76">
        <f>B29-D29</f>
        <v>-6262.2706999999955</v>
      </c>
      <c r="G29" s="794"/>
      <c r="H29" s="94">
        <f>-ROUND((((D29/B15)-B20)/B23)-(((B29/B15)-B20)/B23),4)*10000</f>
        <v>-130</v>
      </c>
    </row>
    <row r="30" spans="1:24" ht="15.75">
      <c r="A30" s="788" t="s">
        <v>501</v>
      </c>
      <c r="B30" s="79">
        <v>0</v>
      </c>
      <c r="C30" s="98"/>
      <c r="D30" s="79">
        <f>+'COMP Prior Yr'!D30</f>
        <v>0</v>
      </c>
      <c r="E30" s="98"/>
      <c r="F30" s="76">
        <f>B30-D30</f>
        <v>0</v>
      </c>
      <c r="G30" s="98"/>
      <c r="H30" s="94">
        <f>-ROUND((((D30/B15)-B20)/B23)-(((B30/B15)-B20)/B23),4)*10000</f>
        <v>0</v>
      </c>
      <c r="I30" s="61" t="s">
        <v>493</v>
      </c>
      <c r="K30" s="81" t="s">
        <v>494</v>
      </c>
    </row>
    <row r="31" spans="1:24" ht="15.75">
      <c r="A31" s="789" t="s">
        <v>502</v>
      </c>
      <c r="B31" s="79">
        <v>15268.077340000002</v>
      </c>
      <c r="D31" s="79">
        <f>+'COMP Prior Yr'!D31</f>
        <v>21530.348039999997</v>
      </c>
      <c r="E31" s="98"/>
      <c r="F31" s="76">
        <f>D31-B31</f>
        <v>6262.2706999999955</v>
      </c>
      <c r="G31" s="98"/>
      <c r="H31" s="94">
        <f>-ROUND((((D31/B15)-B20)/B23)-(((B31/B15)-B20)/B23),4)*10000</f>
        <v>-130</v>
      </c>
      <c r="I31" s="62"/>
      <c r="K31" s="69"/>
    </row>
    <row r="32" spans="1:24" ht="8.1" customHeight="1">
      <c r="A32" s="96"/>
      <c r="B32" s="97"/>
      <c r="D32" s="97"/>
      <c r="E32" s="98"/>
      <c r="F32" s="76"/>
      <c r="H32" s="94"/>
      <c r="I32" s="69"/>
      <c r="K32" s="69"/>
    </row>
    <row r="33" spans="1:24" ht="15.75">
      <c r="A33" s="96" t="s">
        <v>503</v>
      </c>
      <c r="B33" s="79">
        <v>63214.114310000077</v>
      </c>
      <c r="D33" s="79">
        <f>+'COMP Prior Yr'!D33</f>
        <v>90827.397169999851</v>
      </c>
      <c r="E33" s="98"/>
      <c r="F33" s="76">
        <f>D33-B33</f>
        <v>27613.282859999774</v>
      </c>
      <c r="G33" s="794"/>
      <c r="H33" s="94">
        <f>ROUND((((D33/B15)-B20)/B23)-(((B33/B15)-B20)/B23),4)*10000</f>
        <v>575</v>
      </c>
      <c r="I33" s="62">
        <f>H28+H29+H30</f>
        <v>574.99999999999989</v>
      </c>
      <c r="K33" s="69">
        <f>I33-H33</f>
        <v>0</v>
      </c>
    </row>
    <row r="34" spans="1:24" ht="15.75">
      <c r="A34" s="96"/>
      <c r="B34" s="98"/>
      <c r="D34" s="98"/>
      <c r="E34" s="98"/>
      <c r="F34" s="76"/>
      <c r="G34" s="794"/>
      <c r="H34" s="94"/>
      <c r="I34" s="62"/>
      <c r="K34" s="69"/>
    </row>
    <row r="35" spans="1:24" ht="15.75">
      <c r="A35" s="790" t="s">
        <v>504</v>
      </c>
      <c r="B35" s="98">
        <v>0</v>
      </c>
      <c r="D35" s="98">
        <f>+'COMP Prior Yr'!D35</f>
        <v>0</v>
      </c>
      <c r="E35" s="98"/>
      <c r="F35" s="76"/>
      <c r="G35" s="794"/>
      <c r="H35" s="94"/>
      <c r="I35" s="62"/>
      <c r="K35" s="69"/>
    </row>
    <row r="36" spans="1:24" ht="15.75">
      <c r="A36" s="788" t="s">
        <v>505</v>
      </c>
      <c r="B36" s="79">
        <v>-10638.043414881944</v>
      </c>
      <c r="D36" s="79">
        <f>+'COMP Prior Yr'!D36</f>
        <v>1006.1319359887111</v>
      </c>
      <c r="E36" s="98"/>
      <c r="F36" s="76">
        <f>D36-B36</f>
        <v>11644.175350870655</v>
      </c>
      <c r="H36" s="94">
        <f>ROUND((((D36/B15)-B20)/B23)-(((B36/B15)-B20)/B23),4)*10000</f>
        <v>242</v>
      </c>
      <c r="I36" s="62">
        <f>H36</f>
        <v>242</v>
      </c>
      <c r="K36" s="69">
        <f>H36-I36</f>
        <v>0</v>
      </c>
    </row>
    <row r="37" spans="1:24" s="68" customFormat="1" ht="15.75">
      <c r="A37" s="88" t="s">
        <v>495</v>
      </c>
      <c r="B37" s="99">
        <v>52576.07089511813</v>
      </c>
      <c r="C37" s="88"/>
      <c r="D37" s="99">
        <f>+'COMP Prior Yr'!D37</f>
        <v>91833.529105988564</v>
      </c>
      <c r="E37" s="796"/>
      <c r="F37" s="65">
        <f>D37-B37</f>
        <v>39257.458210870434</v>
      </c>
      <c r="G37" s="799"/>
      <c r="H37" s="100">
        <f>ROUND((((D37/B15)-B20)/B23)-(((B37/B15)-B20)/B23),4)*10000</f>
        <v>817</v>
      </c>
      <c r="I37" s="69">
        <f>H33+H36</f>
        <v>817</v>
      </c>
      <c r="K37" s="69">
        <f>H37-I37</f>
        <v>0</v>
      </c>
      <c r="X37" s="70"/>
    </row>
    <row r="38" spans="1:24" s="90" customFormat="1" ht="14.1" customHeight="1">
      <c r="A38" s="96"/>
      <c r="B38" s="101"/>
      <c r="C38" s="96"/>
      <c r="D38" s="101"/>
      <c r="E38" s="98"/>
      <c r="F38" s="79"/>
      <c r="G38" s="104"/>
      <c r="H38" s="120">
        <f>D37-D17</f>
        <v>5.9885642258450389E-6</v>
      </c>
      <c r="I38" s="102" t="s">
        <v>506</v>
      </c>
      <c r="J38" s="86"/>
      <c r="X38" s="93"/>
    </row>
    <row r="39" spans="1:24" s="96" customFormat="1" ht="4.5" customHeight="1">
      <c r="B39" s="103"/>
      <c r="D39" s="103"/>
      <c r="E39" s="98"/>
      <c r="F39" s="98"/>
      <c r="G39" s="104"/>
      <c r="H39" s="105"/>
      <c r="I39" s="106"/>
      <c r="J39" s="107"/>
      <c r="X39" s="108"/>
    </row>
    <row r="40" spans="1:24" ht="15.75">
      <c r="A40" s="74" t="s">
        <v>507</v>
      </c>
      <c r="B40" s="109"/>
      <c r="C40" s="109"/>
      <c r="D40" s="109"/>
      <c r="E40" s="98"/>
      <c r="F40" s="109"/>
      <c r="G40" s="98"/>
      <c r="I40" s="85"/>
      <c r="J40" s="63"/>
    </row>
    <row r="41" spans="1:24">
      <c r="A41" s="96" t="s">
        <v>150</v>
      </c>
      <c r="B41" s="110">
        <v>1.5200779744191095E-3</v>
      </c>
      <c r="D41" s="110">
        <f>+'COMP Prior Yr'!D41</f>
        <v>-3.2007087065721862E-4</v>
      </c>
      <c r="E41" s="98"/>
      <c r="F41" s="76">
        <f>D41-B41</f>
        <v>-1.8401488450763281E-3</v>
      </c>
      <c r="G41" s="107"/>
      <c r="H41" s="94">
        <f>ROUND((((D41/$B$15)-$B$20)/$B$23)-(((B41/$B$15)-$B$20)/$B$23),4)*10000</f>
        <v>0</v>
      </c>
    </row>
    <row r="42" spans="1:24">
      <c r="A42" s="96" t="s">
        <v>151</v>
      </c>
      <c r="B42" s="110">
        <v>32.619241376772166</v>
      </c>
      <c r="D42" s="110">
        <f>+'COMP Prior Yr'!D42</f>
        <v>31.340474098839898</v>
      </c>
      <c r="E42" s="98"/>
      <c r="F42" s="76">
        <f>D42-B42</f>
        <v>-1.2787672779322676</v>
      </c>
      <c r="G42" s="107"/>
      <c r="H42" s="94">
        <f>ROUND((((D42/$B$15)-$B$20)/$B$23)-(((B42/$B$15)-$B$20)/$B$23),4)*10000</f>
        <v>0</v>
      </c>
    </row>
    <row r="43" spans="1:24">
      <c r="A43" s="96" t="s">
        <v>152</v>
      </c>
      <c r="B43" s="110">
        <v>-515.92352183401863</v>
      </c>
      <c r="D43" s="110">
        <f>+'COMP Prior Yr'!D43</f>
        <v>-92.409253235451331</v>
      </c>
      <c r="E43" s="98"/>
      <c r="F43" s="76">
        <f t="shared" ref="F43:F58" si="0">D43-B43</f>
        <v>423.5142685985673</v>
      </c>
      <c r="G43" s="107"/>
      <c r="H43" s="94">
        <f t="shared" ref="H43:H58" si="1">ROUND((((D43/$B$15)-$B$20)/$B$23)-(((B43/$B$15)-$B$20)/$B$23),4)*10000</f>
        <v>9</v>
      </c>
    </row>
    <row r="44" spans="1:24">
      <c r="A44" s="96" t="s">
        <v>481</v>
      </c>
      <c r="B44" s="110">
        <v>0</v>
      </c>
      <c r="D44" s="110">
        <f>+'COMP Prior Yr'!D44</f>
        <v>2099</v>
      </c>
      <c r="E44" s="98"/>
      <c r="F44" s="76">
        <f t="shared" si="0"/>
        <v>2099</v>
      </c>
      <c r="G44" s="107"/>
      <c r="H44" s="94">
        <f t="shared" si="1"/>
        <v>44</v>
      </c>
      <c r="O44" s="111"/>
    </row>
    <row r="45" spans="1:24">
      <c r="A45" s="96" t="s">
        <v>153</v>
      </c>
      <c r="B45" s="110">
        <v>0</v>
      </c>
      <c r="D45" s="110">
        <f>+'COMP Prior Yr'!D45</f>
        <v>0</v>
      </c>
      <c r="E45" s="98"/>
      <c r="F45" s="76">
        <f t="shared" si="0"/>
        <v>0</v>
      </c>
      <c r="G45" s="107"/>
      <c r="H45" s="94">
        <f t="shared" si="1"/>
        <v>0</v>
      </c>
    </row>
    <row r="46" spans="1:24">
      <c r="A46" s="96" t="s">
        <v>410</v>
      </c>
      <c r="B46" s="110">
        <v>10.803043966167198</v>
      </c>
      <c r="D46" s="110">
        <f>+'COMP Prior Yr'!D46</f>
        <v>14.190459380769001</v>
      </c>
      <c r="E46" s="98"/>
      <c r="F46" s="76">
        <f t="shared" si="0"/>
        <v>3.3874154146018025</v>
      </c>
      <c r="G46" s="107"/>
      <c r="H46" s="94">
        <f t="shared" si="1"/>
        <v>0</v>
      </c>
      <c r="O46" s="167"/>
    </row>
    <row r="47" spans="1:24">
      <c r="A47" s="96" t="s">
        <v>154</v>
      </c>
      <c r="B47" s="78">
        <v>68.912061400352016</v>
      </c>
      <c r="D47" s="78">
        <f>+'COMP Prior Yr'!D47</f>
        <v>53.236054178474994</v>
      </c>
      <c r="E47" s="98"/>
      <c r="F47" s="76">
        <f t="shared" si="0"/>
        <v>-15.676007221877022</v>
      </c>
      <c r="G47" s="107"/>
      <c r="H47" s="94">
        <f t="shared" si="1"/>
        <v>0</v>
      </c>
      <c r="O47" s="166"/>
    </row>
    <row r="48" spans="1:24">
      <c r="A48" s="96" t="s">
        <v>409</v>
      </c>
      <c r="B48" s="78">
        <v>-112.54934848953781</v>
      </c>
      <c r="D48" s="78">
        <f>+'COMP Prior Yr'!D48</f>
        <v>-136.8710449950413</v>
      </c>
      <c r="E48" s="98"/>
      <c r="F48" s="76">
        <f t="shared" si="0"/>
        <v>-24.321696505503496</v>
      </c>
      <c r="G48" s="107"/>
      <c r="H48" s="94">
        <f t="shared" si="1"/>
        <v>-1</v>
      </c>
      <c r="O48" s="167"/>
    </row>
    <row r="49" spans="1:15">
      <c r="A49" s="96" t="s">
        <v>155</v>
      </c>
      <c r="B49" s="78">
        <v>29.294465311919254</v>
      </c>
      <c r="D49" s="78">
        <f>+'COMP Prior Yr'!D49</f>
        <v>29.30058323299987</v>
      </c>
      <c r="E49" s="98"/>
      <c r="F49" s="76">
        <f t="shared" si="0"/>
        <v>6.117921080615929E-3</v>
      </c>
      <c r="G49" s="107"/>
      <c r="H49" s="94">
        <f t="shared" si="1"/>
        <v>0</v>
      </c>
      <c r="O49" s="167"/>
    </row>
    <row r="50" spans="1:15">
      <c r="A50" s="96" t="s">
        <v>156</v>
      </c>
      <c r="B50" s="78">
        <v>4.623183239314514</v>
      </c>
      <c r="D50" s="78">
        <f>+'COMP Prior Yr'!D50</f>
        <v>4.5190721697556206</v>
      </c>
      <c r="E50" s="98"/>
      <c r="F50" s="76">
        <f t="shared" si="0"/>
        <v>-0.10411106955889338</v>
      </c>
      <c r="G50" s="107"/>
      <c r="H50" s="94">
        <f t="shared" si="1"/>
        <v>0</v>
      </c>
      <c r="O50" s="166"/>
    </row>
    <row r="51" spans="1:15">
      <c r="A51" s="96" t="s">
        <v>411</v>
      </c>
      <c r="B51" s="78">
        <v>60.114596460999998</v>
      </c>
      <c r="D51" s="78">
        <f>+'COMP Prior Yr'!D51</f>
        <v>34.068495817500001</v>
      </c>
      <c r="E51" s="98"/>
      <c r="F51" s="76">
        <f t="shared" si="0"/>
        <v>-26.046100643499997</v>
      </c>
      <c r="G51" s="107"/>
      <c r="H51" s="94">
        <f t="shared" si="1"/>
        <v>-1</v>
      </c>
    </row>
    <row r="52" spans="1:15">
      <c r="A52" s="500" t="s">
        <v>412</v>
      </c>
      <c r="B52" s="78">
        <v>0</v>
      </c>
      <c r="D52" s="78">
        <f>+'COMP Prior Yr'!D52</f>
        <v>0</v>
      </c>
      <c r="E52" s="98"/>
      <c r="F52" s="76">
        <f t="shared" si="0"/>
        <v>0</v>
      </c>
      <c r="G52" s="107"/>
      <c r="H52" s="94">
        <f t="shared" si="1"/>
        <v>0</v>
      </c>
    </row>
    <row r="53" spans="1:15">
      <c r="A53" s="791" t="s">
        <v>536</v>
      </c>
      <c r="B53" s="78">
        <v>-80.415622883790007</v>
      </c>
      <c r="D53" s="78">
        <f>+'COMP Prior Yr'!D53</f>
        <v>-82.709216308034996</v>
      </c>
      <c r="E53" s="98"/>
      <c r="F53" s="76">
        <f>D53-B53</f>
        <v>-2.2935934242449889</v>
      </c>
      <c r="G53" s="107"/>
      <c r="H53" s="94">
        <f>ROUND((((D53/$B$15)-$B$20)/$B$23)-(((B53/$B$15)-$B$20)/$B$23),4)*10000</f>
        <v>0</v>
      </c>
    </row>
    <row r="54" spans="1:15">
      <c r="A54" s="500" t="s">
        <v>157</v>
      </c>
      <c r="B54" s="78">
        <v>0</v>
      </c>
      <c r="D54" s="78">
        <f>+'COMP Prior Yr'!D54</f>
        <v>0</v>
      </c>
      <c r="E54" s="98"/>
      <c r="F54" s="76">
        <f t="shared" si="0"/>
        <v>0</v>
      </c>
      <c r="G54" s="107"/>
      <c r="H54" s="94">
        <f t="shared" si="1"/>
        <v>0</v>
      </c>
    </row>
    <row r="55" spans="1:15">
      <c r="A55" s="96" t="s">
        <v>532</v>
      </c>
      <c r="B55" s="78">
        <v>2.113389045916847E-4</v>
      </c>
      <c r="D55" s="78">
        <f>+'COMP Prior Yr'!D55</f>
        <v>-8.992467301141005E-4</v>
      </c>
      <c r="E55" s="98"/>
      <c r="F55" s="76">
        <f t="shared" si="0"/>
        <v>-1.1105856347057852E-3</v>
      </c>
      <c r="G55" s="107"/>
      <c r="H55" s="94">
        <f t="shared" si="1"/>
        <v>0</v>
      </c>
    </row>
    <row r="56" spans="1:15">
      <c r="A56" s="96" t="s">
        <v>533</v>
      </c>
      <c r="B56" s="78">
        <v>-10135.523244847001</v>
      </c>
      <c r="D56" s="78">
        <f>+'COMP Prior Yr'!D56</f>
        <v>-947.53246903350009</v>
      </c>
      <c r="E56" s="98"/>
      <c r="F56" s="76">
        <f t="shared" si="0"/>
        <v>9187.9907758135014</v>
      </c>
      <c r="G56" s="107"/>
      <c r="H56" s="94">
        <f t="shared" si="1"/>
        <v>191</v>
      </c>
    </row>
    <row r="57" spans="1:15" ht="15.2" customHeight="1">
      <c r="A57" s="96" t="s">
        <v>510</v>
      </c>
      <c r="B57" s="79">
        <v>0</v>
      </c>
      <c r="D57" s="79">
        <f>+'COMP Prior Yr'!D57</f>
        <v>0</v>
      </c>
      <c r="E57" s="98"/>
      <c r="F57" s="113">
        <f t="shared" si="0"/>
        <v>0</v>
      </c>
      <c r="H57" s="94">
        <f t="shared" si="1"/>
        <v>0</v>
      </c>
      <c r="I57" s="96"/>
      <c r="K57" s="96"/>
      <c r="L57" s="96"/>
      <c r="M57" s="96"/>
      <c r="N57" s="96"/>
      <c r="O57" s="96"/>
    </row>
    <row r="58" spans="1:15" ht="15.2" customHeight="1">
      <c r="A58" s="96" t="s">
        <v>508</v>
      </c>
      <c r="B58" s="891">
        <v>-10638.043414881944</v>
      </c>
      <c r="D58" s="78">
        <f>+'COMP Prior Yr'!D58</f>
        <v>1006.1319359887111</v>
      </c>
      <c r="E58" s="98"/>
      <c r="F58" s="76">
        <f t="shared" si="0"/>
        <v>11644.175350870655</v>
      </c>
      <c r="H58" s="94">
        <f t="shared" si="1"/>
        <v>242</v>
      </c>
    </row>
  </sheetData>
  <mergeCells count="4">
    <mergeCell ref="A1:H1"/>
    <mergeCell ref="A2:H2"/>
    <mergeCell ref="A3:H3"/>
    <mergeCell ref="A4:H4"/>
  </mergeCells>
  <conditionalFormatting sqref="K31:K37 K15:K25">
    <cfRule type="cellIs" dxfId="9" priority="1" stopIfTrue="1" operator="equal">
      <formula>0</formula>
    </cfRule>
    <cfRule type="cellIs" dxfId="8"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operties>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heetViews>
  <sheetFormatPr defaultRowHeight="12.75"/>
  <sheetData/>
  <pageMargins left="0.7" right="0.7" top="0.75" bottom="0.75" header="0.3" footer="0.3"/>
  <pageSetup orientation="portrait" horizontalDpi="4294967293" verticalDpi="0"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39997558519241921"/>
    <pageSetUpPr fitToPage="1"/>
  </sheetPr>
  <dimension ref="A1:X58"/>
  <sheetViews>
    <sheetView workbookViewId="0">
      <selection activeCell="D6" sqref="D6"/>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67"/>
      <c r="C5" s="792"/>
      <c r="D5" s="260"/>
      <c r="E5" s="795"/>
      <c r="K5" s="65"/>
    </row>
    <row r="6" spans="1:24" s="68" customFormat="1" ht="15.75">
      <c r="A6" s="66"/>
      <c r="B6" s="67" t="s">
        <v>2723</v>
      </c>
      <c r="C6" s="96"/>
      <c r="D6" s="67" t="str">
        <f>+'COMP Prior Yr'!D6</f>
        <v>December 2021</v>
      </c>
      <c r="E6" s="88"/>
      <c r="G6" s="88"/>
      <c r="H6" s="69" t="s">
        <v>487</v>
      </c>
      <c r="X6" s="70"/>
    </row>
    <row r="7" spans="1:24" s="68" customFormat="1" ht="15.75">
      <c r="A7" s="71"/>
      <c r="B7" s="72" t="s">
        <v>2722</v>
      </c>
      <c r="C7" s="793"/>
      <c r="D7" s="72" t="str">
        <f>+B7</f>
        <v>2021 Q3</v>
      </c>
      <c r="E7" s="88"/>
      <c r="F7" s="73" t="s">
        <v>489</v>
      </c>
      <c r="G7" s="74"/>
      <c r="H7" s="75" t="s">
        <v>490</v>
      </c>
      <c r="K7" s="76"/>
      <c r="X7" s="70"/>
    </row>
    <row r="8" spans="1:24" ht="15.75">
      <c r="A8" s="68"/>
    </row>
    <row r="9" spans="1:24">
      <c r="A9" s="59" t="s">
        <v>223</v>
      </c>
      <c r="B9" s="229">
        <v>1373962.0185893101</v>
      </c>
      <c r="D9" s="229">
        <f>+'COMP Prior Yr'!D9</f>
        <v>1472581.083657678</v>
      </c>
      <c r="F9" s="76">
        <f>D9-B9</f>
        <v>98619.065068367869</v>
      </c>
      <c r="G9" s="794"/>
      <c r="H9" s="62">
        <f>ROUND((((B17/(D9+D10+D11+D13))-B20)/B23)-(((B17/(B9+D10+D11+D13))-B20)/B23),4)*10000</f>
        <v>-86</v>
      </c>
      <c r="J9" s="77"/>
    </row>
    <row r="10" spans="1:24">
      <c r="A10" s="59" t="s">
        <v>4</v>
      </c>
      <c r="B10" s="230">
        <v>55587.714737692339</v>
      </c>
      <c r="D10" s="230">
        <f>+'COMP Prior Yr'!D10</f>
        <v>63731.53211</v>
      </c>
      <c r="F10" s="76">
        <f>D10-B10</f>
        <v>8143.8173723076616</v>
      </c>
      <c r="G10" s="794"/>
      <c r="H10" s="62">
        <f>ROUND((((B17/(D9+D11+D13+D10))-B20)/B23)-(((B17/(B10+D9+D11+D13))-B20)/B23),4)*10000</f>
        <v>-7</v>
      </c>
    </row>
    <row r="11" spans="1:24">
      <c r="A11" s="59" t="s">
        <v>491</v>
      </c>
      <c r="B11" s="230">
        <v>0</v>
      </c>
      <c r="D11" s="230">
        <f>+'COMP Prior Yr'!D11</f>
        <v>0</v>
      </c>
      <c r="F11" s="76">
        <f>D11-B11</f>
        <v>0</v>
      </c>
      <c r="G11" s="98"/>
      <c r="H11" s="62">
        <f>ROUND((((B17/(D9+D10+D11+D13))-B20)/B23)-(((B17/(B11+D9+D10+D13))-B20)/B23),4)*10000</f>
        <v>0</v>
      </c>
    </row>
    <row r="12" spans="1:24">
      <c r="A12" s="119" t="s">
        <v>229</v>
      </c>
      <c r="B12" s="230">
        <v>-3271.1241615384615</v>
      </c>
      <c r="D12" s="230">
        <f>+'COMP Prior Yr'!D12</f>
        <v>-5589.6985323076933</v>
      </c>
      <c r="F12" s="389">
        <f>D12-B12</f>
        <v>-2318.5743707692318</v>
      </c>
      <c r="G12" s="497"/>
      <c r="H12" s="390">
        <f>ROUND((((B17/(D9+D10+D11+D12+D13))-B20)/B23)-(((B17/(B12+D9+D10+D11+D13))-B20)/B23),4)*10000</f>
        <v>2</v>
      </c>
    </row>
    <row r="13" spans="1:24" ht="15.75">
      <c r="A13" s="59" t="s">
        <v>492</v>
      </c>
      <c r="B13" s="388">
        <v>-49706.135148068337</v>
      </c>
      <c r="C13" s="98"/>
      <c r="D13" s="388">
        <f>+'COMP Prior Yr'!D13</f>
        <v>-42593.076323846137</v>
      </c>
      <c r="F13" s="76">
        <f>D13-B13</f>
        <v>7113.0588242222002</v>
      </c>
      <c r="G13" s="98"/>
      <c r="H13" s="62">
        <f>ROUND((((B17/(D9+D10+D11+D13))-B20)/B23)-(((B17/(B13+D9+D10+D11))-B20)/B23),4)*10000</f>
        <v>-5.9999999999999991</v>
      </c>
      <c r="I13" s="80" t="s">
        <v>493</v>
      </c>
      <c r="K13" s="81" t="s">
        <v>494</v>
      </c>
    </row>
    <row r="14" spans="1:24" ht="8.1" customHeight="1">
      <c r="B14" s="231"/>
      <c r="D14" s="231"/>
      <c r="F14" s="76"/>
      <c r="I14" s="80"/>
      <c r="K14" s="81"/>
    </row>
    <row r="15" spans="1:24" ht="15.75">
      <c r="A15" s="68" t="s">
        <v>348</v>
      </c>
      <c r="B15" s="232">
        <v>1376572.4739999999</v>
      </c>
      <c r="C15" s="88"/>
      <c r="D15" s="232">
        <f>+'COMP Prior Yr'!D15</f>
        <v>1488129.8409</v>
      </c>
      <c r="E15" s="88"/>
      <c r="F15" s="65">
        <f>D15-B15</f>
        <v>111557.36690000002</v>
      </c>
      <c r="G15" s="798"/>
      <c r="H15" s="69">
        <f>ROUND((((B17/D15)-B20)/B23)-(((B17/B15)-B20)/B23),4)*10000</f>
        <v>-99.000000000000014</v>
      </c>
      <c r="I15" s="69">
        <f>SUM(H9:H13)</f>
        <v>-97</v>
      </c>
      <c r="J15" s="62"/>
      <c r="K15" s="69">
        <f>H15-I15</f>
        <v>-2.0000000000000142</v>
      </c>
      <c r="O15" s="83">
        <f>+F15/H15</f>
        <v>-1126.84208989899</v>
      </c>
    </row>
    <row r="16" spans="1:24" ht="8.1" customHeight="1">
      <c r="B16" s="230"/>
      <c r="D16" s="230"/>
      <c r="F16" s="76"/>
      <c r="I16" s="69"/>
      <c r="J16" s="62"/>
      <c r="K16" s="69"/>
    </row>
    <row r="17" spans="1:24" s="68" customFormat="1" ht="15.75">
      <c r="A17" s="68" t="s">
        <v>495</v>
      </c>
      <c r="B17" s="233">
        <v>83599.388200000001</v>
      </c>
      <c r="C17" s="88"/>
      <c r="D17" s="233">
        <f>+'COMP Prior Yr'!D17</f>
        <v>91833.5291</v>
      </c>
      <c r="E17" s="88"/>
      <c r="F17" s="65">
        <f>D17-B17</f>
        <v>8234.1408999999985</v>
      </c>
      <c r="G17" s="799"/>
      <c r="H17" s="84">
        <f>ROUND((((D17/B15)-B20)/B23)-(((B17/B15)-B20)/B23),4)*10000</f>
        <v>131</v>
      </c>
      <c r="I17" s="69"/>
      <c r="J17" s="69"/>
      <c r="K17" s="69"/>
      <c r="L17" s="84"/>
      <c r="O17" s="83">
        <f>+F17/H17</f>
        <v>62.856037404580142</v>
      </c>
      <c r="X17" s="70"/>
    </row>
    <row r="18" spans="1:24" ht="8.1" customHeight="1">
      <c r="I18" s="69"/>
      <c r="J18" s="62"/>
      <c r="K18" s="69"/>
    </row>
    <row r="19" spans="1:24" ht="15.75">
      <c r="A19" s="59" t="s">
        <v>496</v>
      </c>
      <c r="B19" s="85">
        <v>6.0699999999999997E-2</v>
      </c>
      <c r="D19" s="85">
        <f>+'COMP Prior Yr'!D19</f>
        <v>6.1699999999999998E-2</v>
      </c>
      <c r="F19" s="85">
        <f>D19-B19</f>
        <v>1.0000000000000009E-3</v>
      </c>
      <c r="G19" s="107"/>
      <c r="H19" s="62">
        <f>ROUND((F19/$B$23)*10000,0)</f>
        <v>22</v>
      </c>
      <c r="I19" s="69">
        <f>H15+H17</f>
        <v>31.999999999999986</v>
      </c>
      <c r="J19" s="62"/>
      <c r="K19" s="69">
        <f>H19-I19</f>
        <v>-9.9999999999999858</v>
      </c>
    </row>
    <row r="20" spans="1:24" ht="15.75">
      <c r="A20" s="59" t="s">
        <v>1859</v>
      </c>
      <c r="B20" s="86">
        <v>1.34E-2</v>
      </c>
      <c r="D20" s="86">
        <f>+'COMP Prior Yr'!D20</f>
        <v>1.3100000000000001E-2</v>
      </c>
      <c r="F20" s="85">
        <f>D20-B20</f>
        <v>-2.9999999999999992E-4</v>
      </c>
      <c r="G20" s="107"/>
      <c r="H20" s="62">
        <f>-ROUND((F20/$B$23)*10000,0)</f>
        <v>7</v>
      </c>
      <c r="I20" s="69"/>
      <c r="J20" s="62"/>
      <c r="K20" s="69"/>
    </row>
    <row r="21" spans="1:24" ht="8.1" customHeight="1">
      <c r="B21" s="82"/>
      <c r="D21" s="82"/>
      <c r="F21" s="85"/>
      <c r="G21" s="107"/>
      <c r="I21" s="69"/>
      <c r="J21" s="62"/>
      <c r="K21" s="69"/>
    </row>
    <row r="22" spans="1:24" ht="15.75">
      <c r="A22" s="59" t="s">
        <v>497</v>
      </c>
      <c r="B22" s="85">
        <v>4.7300000000000002E-2</v>
      </c>
      <c r="D22" s="85">
        <f>+'COMP Prior Yr'!D22</f>
        <v>4.8599999999999997E-2</v>
      </c>
      <c r="F22" s="85">
        <f>D22-B22</f>
        <v>1.2999999999999956E-3</v>
      </c>
      <c r="G22" s="107"/>
      <c r="H22" s="62">
        <f>ROUND((F22/$B$23)*10000,0)</f>
        <v>28</v>
      </c>
      <c r="I22" s="69">
        <f>H19+H20</f>
        <v>29</v>
      </c>
      <c r="J22" s="62"/>
      <c r="K22" s="69">
        <f>H22-I22</f>
        <v>-1</v>
      </c>
    </row>
    <row r="23" spans="1:24" ht="15.75">
      <c r="A23" s="59" t="s">
        <v>483</v>
      </c>
      <c r="B23" s="86">
        <v>0.4582</v>
      </c>
      <c r="D23" s="86">
        <f>+'COMP Prior Yr'!D23</f>
        <v>0.4582</v>
      </c>
      <c r="F23" s="85">
        <f>D23-B23</f>
        <v>0</v>
      </c>
      <c r="G23" s="107"/>
      <c r="H23" s="62">
        <f>ROUND((B22/D23)-(B22/B23),4)*10000</f>
        <v>0</v>
      </c>
      <c r="I23" s="69"/>
      <c r="J23" s="62"/>
      <c r="K23" s="69"/>
    </row>
    <row r="24" spans="1:24" ht="15.75">
      <c r="B24" s="82"/>
      <c r="D24" s="82"/>
      <c r="F24" s="85"/>
      <c r="G24" s="107"/>
      <c r="H24" s="87"/>
      <c r="I24" s="69"/>
      <c r="J24" s="62"/>
      <c r="K24" s="69"/>
    </row>
    <row r="25" spans="1:24" s="68" customFormat="1" ht="15.75">
      <c r="A25" s="88" t="s">
        <v>498</v>
      </c>
      <c r="B25" s="287">
        <v>0.1033</v>
      </c>
      <c r="C25" s="88"/>
      <c r="D25" s="287">
        <f>+'COMP Prior Yr'!D25</f>
        <v>0.1061</v>
      </c>
      <c r="E25" s="88"/>
      <c r="F25" s="89">
        <f>D25-B25</f>
        <v>2.7999999999999969E-3</v>
      </c>
      <c r="G25" s="203"/>
      <c r="H25" s="69">
        <f>(D25-B25)*10000</f>
        <v>27.999999999999968</v>
      </c>
      <c r="I25" s="69">
        <f>H22+H23</f>
        <v>28</v>
      </c>
      <c r="J25" s="69"/>
      <c r="K25" s="69">
        <f>H25-I25</f>
        <v>-3.1974423109204508E-14</v>
      </c>
      <c r="L25" s="89"/>
      <c r="X25" s="70"/>
    </row>
    <row r="26" spans="1:24" s="90" customFormat="1" ht="4.5" customHeight="1">
      <c r="A26" s="96"/>
      <c r="B26" s="91"/>
      <c r="C26" s="96"/>
      <c r="D26" s="91"/>
      <c r="E26" s="96"/>
      <c r="G26" s="96"/>
      <c r="H26" s="92"/>
      <c r="X26" s="93"/>
    </row>
    <row r="27" spans="1:24" ht="4.5" customHeight="1">
      <c r="A27" s="96"/>
      <c r="J27" s="63"/>
    </row>
    <row r="28" spans="1:24">
      <c r="A28" s="96" t="s">
        <v>499</v>
      </c>
      <c r="B28" s="528">
        <v>105656.04920000004</v>
      </c>
      <c r="D28" s="528">
        <f>+'COMP Prior Yr'!D28</f>
        <v>112357.74520999985</v>
      </c>
      <c r="E28" s="98"/>
      <c r="F28" s="76">
        <f>D28-B28</f>
        <v>6701.6960099998105</v>
      </c>
      <c r="G28" s="794"/>
      <c r="H28" s="94">
        <f>ROUND((((D28/B15)-B20)/B23)-(((B28/B15)-B20)/B23),4)*10000</f>
        <v>106</v>
      </c>
    </row>
    <row r="29" spans="1:24">
      <c r="A29" s="96" t="s">
        <v>500</v>
      </c>
      <c r="B29" s="95">
        <v>20507.1273</v>
      </c>
      <c r="C29" s="98"/>
      <c r="D29" s="95">
        <f>+'COMP Prior Yr'!D29</f>
        <v>21530.348039999997</v>
      </c>
      <c r="E29" s="98"/>
      <c r="F29" s="76">
        <f>B29-D29</f>
        <v>-1023.220739999997</v>
      </c>
      <c r="G29" s="794"/>
      <c r="H29" s="94">
        <f>-ROUND((((D29/B15)-B20)/B23)-(((B29/B15)-B20)/B23),4)*10000</f>
        <v>-16</v>
      </c>
    </row>
    <row r="30" spans="1:24" ht="15.75">
      <c r="A30" s="788" t="s">
        <v>501</v>
      </c>
      <c r="B30" s="79">
        <v>0</v>
      </c>
      <c r="C30" s="98"/>
      <c r="D30" s="79">
        <f>+'COMP Prior Yr'!D30</f>
        <v>0</v>
      </c>
      <c r="E30" s="98"/>
      <c r="F30" s="76">
        <f>B30-D30</f>
        <v>0</v>
      </c>
      <c r="G30" s="98"/>
      <c r="H30" s="94">
        <f>-ROUND((((D30/B15)-B20)/B23)-(((B30/B15)-B20)/B23),4)*10000</f>
        <v>0</v>
      </c>
      <c r="I30" s="61" t="s">
        <v>493</v>
      </c>
      <c r="K30" s="81" t="s">
        <v>494</v>
      </c>
    </row>
    <row r="31" spans="1:24" ht="15.75">
      <c r="A31" s="789" t="s">
        <v>502</v>
      </c>
      <c r="B31" s="79">
        <v>20507.1273</v>
      </c>
      <c r="D31" s="79">
        <f>+'COMP Prior Yr'!D31</f>
        <v>21530.348039999997</v>
      </c>
      <c r="E31" s="98"/>
      <c r="F31" s="76">
        <f>D31-B31</f>
        <v>1023.220739999997</v>
      </c>
      <c r="G31" s="98"/>
      <c r="H31" s="94">
        <f>-ROUND((((D31/B15)-B20)/B23)-(((B31/B15)-B20)/B23),4)*10000</f>
        <v>-16</v>
      </c>
      <c r="I31" s="62"/>
      <c r="K31" s="69"/>
    </row>
    <row r="32" spans="1:24" ht="8.1" customHeight="1">
      <c r="A32" s="96"/>
      <c r="B32" s="97"/>
      <c r="D32" s="97"/>
      <c r="E32" s="98"/>
      <c r="F32" s="76"/>
      <c r="H32" s="94"/>
      <c r="I32" s="69"/>
      <c r="K32" s="69"/>
    </row>
    <row r="33" spans="1:24" ht="15.75">
      <c r="A33" s="96" t="s">
        <v>503</v>
      </c>
      <c r="B33" s="79">
        <v>85148.921900000045</v>
      </c>
      <c r="D33" s="79">
        <f>+'COMP Prior Yr'!D33</f>
        <v>90827.397169999851</v>
      </c>
      <c r="E33" s="98"/>
      <c r="F33" s="76">
        <f>D33-B33</f>
        <v>5678.4752699998062</v>
      </c>
      <c r="G33" s="794"/>
      <c r="H33" s="94">
        <f>ROUND((((D33/B15)-B20)/B23)-(((B33/B15)-B20)/B23),4)*10000</f>
        <v>90</v>
      </c>
      <c r="I33" s="62">
        <f>H28+H29+H30</f>
        <v>90</v>
      </c>
      <c r="K33" s="69">
        <f>I33-H33</f>
        <v>0</v>
      </c>
    </row>
    <row r="34" spans="1:24" ht="15.75">
      <c r="A34" s="96"/>
      <c r="B34" s="98"/>
      <c r="D34" s="98"/>
      <c r="E34" s="98"/>
      <c r="F34" s="76"/>
      <c r="G34" s="794"/>
      <c r="H34" s="94"/>
      <c r="I34" s="62"/>
      <c r="K34" s="69"/>
    </row>
    <row r="35" spans="1:24" ht="15.75">
      <c r="A35" s="790" t="s">
        <v>504</v>
      </c>
      <c r="B35" s="98">
        <v>0</v>
      </c>
      <c r="D35" s="98">
        <f>+'COMP Prior Yr'!D35</f>
        <v>0</v>
      </c>
      <c r="E35" s="98"/>
      <c r="F35" s="76"/>
      <c r="G35" s="794"/>
      <c r="H35" s="94"/>
      <c r="I35" s="62"/>
      <c r="K35" s="69"/>
    </row>
    <row r="36" spans="1:24" ht="15.75">
      <c r="A36" s="788" t="s">
        <v>505</v>
      </c>
      <c r="B36" s="79">
        <v>-1549.5336880831562</v>
      </c>
      <c r="D36" s="79">
        <f>+'COMP Prior Yr'!D36</f>
        <v>1006.1319359887111</v>
      </c>
      <c r="E36" s="98"/>
      <c r="F36" s="76">
        <f>D36-B36</f>
        <v>2555.6656240718676</v>
      </c>
      <c r="H36" s="94">
        <f>ROUND((((D36/B15)-B20)/B23)-(((B36/B15)-B20)/B23),4)*10000</f>
        <v>41</v>
      </c>
      <c r="I36" s="62">
        <f>H36</f>
        <v>41</v>
      </c>
      <c r="K36" s="69">
        <f>H36-I36</f>
        <v>0</v>
      </c>
    </row>
    <row r="37" spans="1:24" s="68" customFormat="1" ht="15.75">
      <c r="A37" s="88" t="s">
        <v>495</v>
      </c>
      <c r="B37" s="99">
        <v>83599.388211916885</v>
      </c>
      <c r="C37" s="88"/>
      <c r="D37" s="99">
        <f>+'COMP Prior Yr'!D37</f>
        <v>91833.529105988564</v>
      </c>
      <c r="E37" s="796"/>
      <c r="F37" s="65">
        <f>D37-B37</f>
        <v>8234.1408940716792</v>
      </c>
      <c r="G37" s="799"/>
      <c r="H37" s="100">
        <f>ROUND((((D37/B15)-B20)/B23)-(((B37/B15)-B20)/B23),4)*10000</f>
        <v>131</v>
      </c>
      <c r="I37" s="69">
        <f>H33+H36</f>
        <v>131</v>
      </c>
      <c r="K37" s="69">
        <f>H37-I37</f>
        <v>0</v>
      </c>
      <c r="X37" s="70"/>
    </row>
    <row r="38" spans="1:24" s="90" customFormat="1" ht="14.1" customHeight="1">
      <c r="A38" s="96"/>
      <c r="B38" s="101"/>
      <c r="C38" s="96"/>
      <c r="D38" s="101"/>
      <c r="E38" s="98"/>
      <c r="F38" s="79"/>
      <c r="G38" s="104"/>
      <c r="H38" s="120">
        <f>D37-D17</f>
        <v>5.9885642258450389E-6</v>
      </c>
      <c r="I38" s="102" t="s">
        <v>506</v>
      </c>
      <c r="J38" s="86"/>
      <c r="X38" s="93"/>
    </row>
    <row r="39" spans="1:24" s="96" customFormat="1" ht="4.5" customHeight="1">
      <c r="B39" s="103"/>
      <c r="D39" s="103"/>
      <c r="E39" s="98"/>
      <c r="F39" s="98"/>
      <c r="G39" s="104"/>
      <c r="H39" s="105"/>
      <c r="I39" s="106"/>
      <c r="J39" s="107"/>
      <c r="X39" s="108"/>
    </row>
    <row r="40" spans="1:24" ht="15.75">
      <c r="A40" s="74" t="s">
        <v>507</v>
      </c>
      <c r="B40" s="109"/>
      <c r="C40" s="109"/>
      <c r="D40" s="109"/>
      <c r="E40" s="98"/>
      <c r="F40" s="109"/>
      <c r="G40" s="98"/>
      <c r="I40" s="85"/>
      <c r="J40" s="63"/>
    </row>
    <row r="41" spans="1:24">
      <c r="A41" s="96" t="s">
        <v>150</v>
      </c>
      <c r="B41" s="110">
        <v>0</v>
      </c>
      <c r="D41" s="110">
        <f>+'COMP Prior Yr'!D41</f>
        <v>-3.2007087065721862E-4</v>
      </c>
      <c r="E41" s="98"/>
      <c r="F41" s="76">
        <f>D41-B41</f>
        <v>-3.2007087065721862E-4</v>
      </c>
      <c r="G41" s="107"/>
      <c r="H41" s="94">
        <f>ROUND((((D41/$B$15)-$B$20)/$B$23)-(((B41/$B$15)-$B$20)/$B$23),4)*10000</f>
        <v>0</v>
      </c>
    </row>
    <row r="42" spans="1:24">
      <c r="A42" s="96" t="s">
        <v>151</v>
      </c>
      <c r="B42" s="110">
        <v>31.445971232756634</v>
      </c>
      <c r="D42" s="110">
        <f>+'COMP Prior Yr'!D42</f>
        <v>31.340474098839898</v>
      </c>
      <c r="E42" s="98"/>
      <c r="F42" s="76">
        <f>D42-B42</f>
        <v>-0.10549713391673521</v>
      </c>
      <c r="G42" s="107"/>
      <c r="H42" s="94">
        <f>ROUND((((D42/$B$15)-$B$20)/$B$23)-(((B42/$B$15)-$B$20)/$B$23),4)*10000</f>
        <v>0</v>
      </c>
    </row>
    <row r="43" spans="1:24">
      <c r="A43" s="96" t="s">
        <v>152</v>
      </c>
      <c r="B43" s="110">
        <v>-197.83944449435714</v>
      </c>
      <c r="D43" s="110">
        <f>+'COMP Prior Yr'!D43</f>
        <v>-92.409253235451331</v>
      </c>
      <c r="E43" s="98"/>
      <c r="F43" s="76">
        <f t="shared" ref="F43:F58" si="0">D43-B43</f>
        <v>105.43019125890581</v>
      </c>
      <c r="G43" s="107"/>
      <c r="H43" s="94">
        <f t="shared" ref="H43:H58" si="1">ROUND((((D43/$B$15)-$B$20)/$B$23)-(((B43/$B$15)-$B$20)/$B$23),4)*10000</f>
        <v>2</v>
      </c>
    </row>
    <row r="44" spans="1:24">
      <c r="A44" s="96" t="s">
        <v>481</v>
      </c>
      <c r="B44" s="110">
        <v>2099</v>
      </c>
      <c r="D44" s="110">
        <f>+'COMP Prior Yr'!D44</f>
        <v>2099</v>
      </c>
      <c r="E44" s="98"/>
      <c r="F44" s="76">
        <f t="shared" si="0"/>
        <v>0</v>
      </c>
      <c r="G44" s="107"/>
      <c r="H44" s="94">
        <f t="shared" si="1"/>
        <v>0</v>
      </c>
      <c r="O44" s="111"/>
    </row>
    <row r="45" spans="1:24">
      <c r="A45" s="96" t="s">
        <v>153</v>
      </c>
      <c r="B45" s="110">
        <v>0</v>
      </c>
      <c r="D45" s="110">
        <f>+'COMP Prior Yr'!D45</f>
        <v>0</v>
      </c>
      <c r="E45" s="98"/>
      <c r="F45" s="76">
        <f t="shared" si="0"/>
        <v>0</v>
      </c>
      <c r="G45" s="107"/>
      <c r="H45" s="94">
        <f t="shared" si="1"/>
        <v>0</v>
      </c>
    </row>
    <row r="46" spans="1:24">
      <c r="A46" s="96" t="s">
        <v>410</v>
      </c>
      <c r="B46" s="110">
        <v>13.707125437256703</v>
      </c>
      <c r="D46" s="110">
        <f>+'COMP Prior Yr'!D46</f>
        <v>14.190459380769001</v>
      </c>
      <c r="E46" s="98"/>
      <c r="F46" s="76">
        <f t="shared" si="0"/>
        <v>0.48333394351229764</v>
      </c>
      <c r="G46" s="107"/>
      <c r="H46" s="94">
        <f t="shared" si="1"/>
        <v>0</v>
      </c>
      <c r="O46" s="167"/>
    </row>
    <row r="47" spans="1:24">
      <c r="A47" s="96" t="s">
        <v>154</v>
      </c>
      <c r="B47" s="78">
        <v>51.972319863137997</v>
      </c>
      <c r="D47" s="78">
        <f>+'COMP Prior Yr'!D47</f>
        <v>53.236054178474994</v>
      </c>
      <c r="E47" s="98"/>
      <c r="F47" s="76">
        <f t="shared" si="0"/>
        <v>1.2637343153369969</v>
      </c>
      <c r="G47" s="107"/>
      <c r="H47" s="94">
        <f t="shared" si="1"/>
        <v>0</v>
      </c>
      <c r="O47" s="166"/>
    </row>
    <row r="48" spans="1:24">
      <c r="A48" s="96" t="s">
        <v>409</v>
      </c>
      <c r="B48" s="78">
        <v>-139.13758654124831</v>
      </c>
      <c r="D48" s="78">
        <f>+'COMP Prior Yr'!D48</f>
        <v>-136.8710449950413</v>
      </c>
      <c r="E48" s="98"/>
      <c r="F48" s="76">
        <f t="shared" si="0"/>
        <v>2.2665415462070087</v>
      </c>
      <c r="G48" s="107"/>
      <c r="H48" s="94">
        <f t="shared" si="1"/>
        <v>0</v>
      </c>
      <c r="O48" s="167"/>
    </row>
    <row r="49" spans="1:15">
      <c r="A49" s="96" t="s">
        <v>155</v>
      </c>
      <c r="B49" s="78">
        <v>29.218590406528669</v>
      </c>
      <c r="D49" s="78">
        <f>+'COMP Prior Yr'!D49</f>
        <v>29.30058323299987</v>
      </c>
      <c r="E49" s="98"/>
      <c r="F49" s="76">
        <f t="shared" si="0"/>
        <v>8.1992826471200431E-2</v>
      </c>
      <c r="G49" s="107"/>
      <c r="H49" s="94">
        <f t="shared" si="1"/>
        <v>0</v>
      </c>
      <c r="O49" s="167"/>
    </row>
    <row r="50" spans="1:15">
      <c r="A50" s="96" t="s">
        <v>156</v>
      </c>
      <c r="B50" s="78">
        <v>4.1375112064257902</v>
      </c>
      <c r="D50" s="78">
        <f>+'COMP Prior Yr'!D50</f>
        <v>4.5190721697556206</v>
      </c>
      <c r="E50" s="98"/>
      <c r="F50" s="76">
        <f t="shared" si="0"/>
        <v>0.38156096332983047</v>
      </c>
      <c r="G50" s="107"/>
      <c r="H50" s="94">
        <f t="shared" si="1"/>
        <v>0</v>
      </c>
      <c r="O50" s="166"/>
    </row>
    <row r="51" spans="1:15">
      <c r="A51" s="96" t="s">
        <v>411</v>
      </c>
      <c r="B51" s="78">
        <v>33.742520368999998</v>
      </c>
      <c r="D51" s="78">
        <f>+'COMP Prior Yr'!D51</f>
        <v>34.068495817500001</v>
      </c>
      <c r="E51" s="98"/>
      <c r="F51" s="76">
        <f t="shared" si="0"/>
        <v>0.32597544850000304</v>
      </c>
      <c r="G51" s="107"/>
      <c r="H51" s="94">
        <f t="shared" si="1"/>
        <v>0</v>
      </c>
    </row>
    <row r="52" spans="1:15">
      <c r="A52" s="500" t="s">
        <v>412</v>
      </c>
      <c r="B52" s="78">
        <v>0</v>
      </c>
      <c r="D52" s="78">
        <f>+'COMP Prior Yr'!D52</f>
        <v>0</v>
      </c>
      <c r="E52" s="98"/>
      <c r="F52" s="76">
        <f t="shared" si="0"/>
        <v>0</v>
      </c>
      <c r="G52" s="107"/>
      <c r="H52" s="94">
        <f t="shared" si="1"/>
        <v>0</v>
      </c>
    </row>
    <row r="53" spans="1:15">
      <c r="A53" s="791" t="s">
        <v>536</v>
      </c>
      <c r="B53" s="78">
        <v>-81.917834909058001</v>
      </c>
      <c r="D53" s="78">
        <f>+'COMP Prior Yr'!D53</f>
        <v>-82.709216308034996</v>
      </c>
      <c r="E53" s="98"/>
      <c r="F53" s="76">
        <f>D53-B53</f>
        <v>-0.79138139897699489</v>
      </c>
      <c r="G53" s="107"/>
      <c r="H53" s="94">
        <f>ROUND((((D53/$B$15)-$B$20)/$B$23)-(((B53/$B$15)-$B$20)/$B$23),4)*10000</f>
        <v>0</v>
      </c>
    </row>
    <row r="54" spans="1:15">
      <c r="A54" s="500" t="s">
        <v>157</v>
      </c>
      <c r="B54" s="78">
        <v>0</v>
      </c>
      <c r="D54" s="78">
        <f>+'COMP Prior Yr'!D54</f>
        <v>0</v>
      </c>
      <c r="E54" s="98"/>
      <c r="F54" s="76">
        <f t="shared" si="0"/>
        <v>0</v>
      </c>
      <c r="G54" s="107"/>
      <c r="H54" s="94">
        <f t="shared" si="1"/>
        <v>0</v>
      </c>
    </row>
    <row r="55" spans="1:15">
      <c r="A55" s="96" t="s">
        <v>532</v>
      </c>
      <c r="B55" s="78">
        <v>-8.3025998719676863E-5</v>
      </c>
      <c r="D55" s="78">
        <f>+'COMP Prior Yr'!D55</f>
        <v>-8.992467301141005E-4</v>
      </c>
      <c r="E55" s="98"/>
      <c r="F55" s="76">
        <f t="shared" si="0"/>
        <v>-8.1622073139442364E-4</v>
      </c>
      <c r="G55" s="107"/>
      <c r="H55" s="94">
        <f t="shared" si="1"/>
        <v>0</v>
      </c>
    </row>
    <row r="56" spans="1:15">
      <c r="A56" s="96" t="s">
        <v>533</v>
      </c>
      <c r="B56" s="78">
        <v>-3393.8627776275998</v>
      </c>
      <c r="D56" s="78">
        <f>+'COMP Prior Yr'!D56</f>
        <v>-947.53246903350009</v>
      </c>
      <c r="E56" s="98"/>
      <c r="F56" s="76">
        <f t="shared" si="0"/>
        <v>2446.3303085940997</v>
      </c>
      <c r="G56" s="107"/>
      <c r="H56" s="94">
        <f t="shared" si="1"/>
        <v>39</v>
      </c>
    </row>
    <row r="57" spans="1:15" ht="15.2" customHeight="1">
      <c r="A57" s="96" t="s">
        <v>510</v>
      </c>
      <c r="B57" s="79">
        <v>0</v>
      </c>
      <c r="D57" s="79">
        <f>+'COMP Prior Yr'!D57</f>
        <v>0</v>
      </c>
      <c r="E57" s="98"/>
      <c r="F57" s="113">
        <f t="shared" si="0"/>
        <v>0</v>
      </c>
      <c r="H57" s="94">
        <f t="shared" si="1"/>
        <v>0</v>
      </c>
      <c r="I57" s="96"/>
      <c r="K57" s="96"/>
      <c r="L57" s="96"/>
      <c r="M57" s="96"/>
      <c r="N57" s="96"/>
      <c r="O57" s="96"/>
    </row>
    <row r="58" spans="1:15" ht="15.2" customHeight="1">
      <c r="A58" s="96" t="s">
        <v>508</v>
      </c>
      <c r="B58" s="78">
        <v>-1549.5336880831562</v>
      </c>
      <c r="D58" s="78">
        <f>+'COMP Prior Yr'!D58</f>
        <v>1006.1319359887111</v>
      </c>
      <c r="E58" s="98"/>
      <c r="F58" s="76">
        <f t="shared" si="0"/>
        <v>2555.6656240718676</v>
      </c>
      <c r="H58" s="94">
        <f t="shared" si="1"/>
        <v>41</v>
      </c>
    </row>
  </sheetData>
  <mergeCells count="4">
    <mergeCell ref="A1:H1"/>
    <mergeCell ref="A2:H2"/>
    <mergeCell ref="A3:H3"/>
    <mergeCell ref="A4:H4"/>
  </mergeCells>
  <conditionalFormatting sqref="K31:K37 K15:K25">
    <cfRule type="cellIs" dxfId="7" priority="1" stopIfTrue="1" operator="equal">
      <formula>0</formula>
    </cfRule>
    <cfRule type="cellIs" dxfId="6"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operties>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3" tint="0.39997558519241921"/>
    <pageSetUpPr fitToPage="1"/>
  </sheetPr>
  <dimension ref="A1:X58"/>
  <sheetViews>
    <sheetView workbookViewId="0">
      <selection sqref="A1:H1"/>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260"/>
      <c r="C5" s="792"/>
      <c r="D5" s="260"/>
      <c r="E5" s="795"/>
      <c r="K5" s="65"/>
    </row>
    <row r="6" spans="1:24" s="68" customFormat="1" ht="15.75">
      <c r="A6" s="66"/>
      <c r="B6" s="67" t="s">
        <v>2566</v>
      </c>
      <c r="C6" s="96"/>
      <c r="D6" s="67" t="str">
        <f>+'COMP Q3F Qrtly'!D6</f>
        <v>December 2021</v>
      </c>
      <c r="E6" s="88"/>
      <c r="G6" s="88"/>
      <c r="H6" s="69" t="s">
        <v>487</v>
      </c>
      <c r="X6" s="70"/>
    </row>
    <row r="7" spans="1:24" s="68" customFormat="1" ht="15.75">
      <c r="A7" s="71"/>
      <c r="B7" s="72" t="str">
        <f>+'COMP Q3F Qrtly'!B7</f>
        <v>2021 Q3</v>
      </c>
      <c r="C7" s="793"/>
      <c r="D7" s="72" t="str">
        <f>+'COMP Q3F Qrtly'!D7</f>
        <v>2021 Q3</v>
      </c>
      <c r="E7" s="88"/>
      <c r="F7" s="73" t="s">
        <v>489</v>
      </c>
      <c r="G7" s="74"/>
      <c r="H7" s="75" t="s">
        <v>490</v>
      </c>
      <c r="K7" s="76"/>
      <c r="X7" s="70"/>
    </row>
    <row r="8" spans="1:24" ht="15.75">
      <c r="A8" s="68"/>
    </row>
    <row r="9" spans="1:24">
      <c r="A9" s="59" t="s">
        <v>223</v>
      </c>
      <c r="B9" s="229">
        <v>1401014.0678292571</v>
      </c>
      <c r="D9" s="229">
        <f>+'COMP Prior Yr'!D9</f>
        <v>1472581.083657678</v>
      </c>
      <c r="F9" s="76">
        <f>D9-B9</f>
        <v>71567.015828420874</v>
      </c>
      <c r="G9" s="794"/>
      <c r="H9" s="62">
        <f>ROUND((((B17/(D9+D10+D11+D13))-B20)/B23)-(((B17/(B9+D10+D11+D13))-B20)/B23),4)*10000</f>
        <v>-57.999999999999993</v>
      </c>
      <c r="J9" s="77"/>
    </row>
    <row r="10" spans="1:24">
      <c r="A10" s="59" t="s">
        <v>4</v>
      </c>
      <c r="B10" s="230">
        <v>51399.727777692286</v>
      </c>
      <c r="D10" s="230">
        <f>+'COMP Prior Yr'!D10</f>
        <v>63731.53211</v>
      </c>
      <c r="F10" s="76">
        <f>D10-B10</f>
        <v>12331.804332307715</v>
      </c>
      <c r="G10" s="794"/>
      <c r="H10" s="62">
        <f>ROUND((((B17/(D9+D11+D13+D10))-B20)/B23)-(((B17/(B10+D9+D11+D13))-B20)/B23),4)*10000</f>
        <v>-10</v>
      </c>
    </row>
    <row r="11" spans="1:24">
      <c r="A11" s="59" t="s">
        <v>491</v>
      </c>
      <c r="B11" s="230">
        <v>0</v>
      </c>
      <c r="D11" s="230">
        <f>+'COMP Prior Yr'!D11</f>
        <v>0</v>
      </c>
      <c r="F11" s="76">
        <f>D11-B11</f>
        <v>0</v>
      </c>
      <c r="G11" s="98"/>
      <c r="H11" s="62">
        <f>ROUND((((B17/(D9+D10+D11+D13))-B20)/B23)-(((B17/(B11+D9+D10+D13))-B20)/B23),4)*10000</f>
        <v>0</v>
      </c>
    </row>
    <row r="12" spans="1:24">
      <c r="A12" s="119" t="s">
        <v>229</v>
      </c>
      <c r="B12" s="230">
        <v>1867.2348284615387</v>
      </c>
      <c r="D12" s="230">
        <f>+'COMP Prior Yr'!D12</f>
        <v>-5589.6985323076933</v>
      </c>
      <c r="F12" s="389">
        <f>D12-B12</f>
        <v>-7456.9333607692315</v>
      </c>
      <c r="G12" s="497"/>
      <c r="H12" s="390">
        <f>ROUND((((B17/(D9+D10+D11+D12+D13))-B20)/B23)-(((B17/(B12+D9+D10+D11+D13))-B20)/B23),4)*10000</f>
        <v>5.9999999999999991</v>
      </c>
    </row>
    <row r="13" spans="1:24" ht="15.75">
      <c r="A13" s="59" t="s">
        <v>492</v>
      </c>
      <c r="B13" s="388">
        <v>-48358.148211433429</v>
      </c>
      <c r="C13" s="98"/>
      <c r="D13" s="388">
        <f>+'COMP Prior Yr'!D13</f>
        <v>-42593.076323846137</v>
      </c>
      <c r="F13" s="76">
        <f>D13-B13</f>
        <v>5765.0718875872917</v>
      </c>
      <c r="G13" s="98"/>
      <c r="H13" s="62">
        <f>ROUND((((B17/(D9+D10+D11+D13))-B20)/B23)-(((B17/(B13+D9+D10+D11))-B20)/B23),4)*10000</f>
        <v>-4</v>
      </c>
      <c r="I13" s="80" t="s">
        <v>493</v>
      </c>
      <c r="K13" s="81" t="s">
        <v>494</v>
      </c>
    </row>
    <row r="14" spans="1:24" ht="8.1" customHeight="1">
      <c r="B14" s="231"/>
      <c r="D14" s="231"/>
      <c r="F14" s="76"/>
      <c r="I14" s="80"/>
      <c r="K14" s="81"/>
    </row>
    <row r="15" spans="1:24" ht="15.75">
      <c r="A15" s="68" t="s">
        <v>348</v>
      </c>
      <c r="B15" s="232">
        <v>1405922.8822000001</v>
      </c>
      <c r="C15" s="88"/>
      <c r="D15" s="232">
        <f>+'COMP Prior Yr'!D15</f>
        <v>1488129.8409</v>
      </c>
      <c r="E15" s="88"/>
      <c r="F15" s="65">
        <f>D15-B15</f>
        <v>82206.958699999843</v>
      </c>
      <c r="G15" s="798"/>
      <c r="H15" s="69">
        <f>ROUND((((B17/D15)-B20)/B23)-(((B17/B15)-B20)/B23),4)*10000</f>
        <v>-67</v>
      </c>
      <c r="I15" s="69">
        <f>SUM(H9:H13)</f>
        <v>-66</v>
      </c>
      <c r="J15" s="62"/>
      <c r="K15" s="69">
        <f>H15-I15</f>
        <v>-1</v>
      </c>
    </row>
    <row r="16" spans="1:24" ht="8.1" customHeight="1">
      <c r="B16" s="230"/>
      <c r="D16" s="230"/>
      <c r="F16" s="76"/>
      <c r="I16" s="69"/>
      <c r="J16" s="62"/>
      <c r="K16" s="69"/>
    </row>
    <row r="17" spans="1:24" s="68" customFormat="1" ht="15.75">
      <c r="A17" s="68" t="s">
        <v>495</v>
      </c>
      <c r="B17" s="233">
        <v>78708.656199999998</v>
      </c>
      <c r="C17" s="88"/>
      <c r="D17" s="233">
        <f>+'COMP Prior Yr'!D17</f>
        <v>91833.5291</v>
      </c>
      <c r="E17" s="88"/>
      <c r="F17" s="65">
        <f>D17-B17</f>
        <v>13124.872900000002</v>
      </c>
      <c r="G17" s="799"/>
      <c r="H17" s="84">
        <f>ROUND((((D17/B15)-B20)/B23)-(((B17/B15)-B20)/B23),4)*10000</f>
        <v>203</v>
      </c>
      <c r="I17" s="69"/>
      <c r="J17" s="69"/>
      <c r="K17" s="69"/>
      <c r="L17" s="84"/>
      <c r="O17" s="59"/>
      <c r="X17" s="70"/>
    </row>
    <row r="18" spans="1:24" ht="8.1" customHeight="1">
      <c r="I18" s="69"/>
      <c r="J18" s="62"/>
      <c r="K18" s="69"/>
    </row>
    <row r="19" spans="1:24" ht="15.75">
      <c r="A19" s="59" t="s">
        <v>496</v>
      </c>
      <c r="B19" s="85">
        <v>5.6000000000000001E-2</v>
      </c>
      <c r="D19" s="85">
        <f>+'COMP Prior Yr'!D19</f>
        <v>6.1699999999999998E-2</v>
      </c>
      <c r="F19" s="85">
        <f>D19-B19</f>
        <v>5.6999999999999967E-3</v>
      </c>
      <c r="G19" s="107"/>
      <c r="H19" s="62">
        <f>ROUND((F19/$B$23)*10000,0)</f>
        <v>124</v>
      </c>
      <c r="I19" s="69">
        <f>H15+H17</f>
        <v>136</v>
      </c>
      <c r="J19" s="62"/>
      <c r="K19" s="69">
        <f>H19-I19</f>
        <v>-12</v>
      </c>
    </row>
    <row r="20" spans="1:24" ht="15.75">
      <c r="A20" s="59" t="s">
        <v>1859</v>
      </c>
      <c r="B20" s="86">
        <v>1.14E-2</v>
      </c>
      <c r="D20" s="86">
        <f>+'COMP Prior Yr'!D20</f>
        <v>1.3100000000000001E-2</v>
      </c>
      <c r="F20" s="85">
        <f>D20-B20</f>
        <v>1.7000000000000001E-3</v>
      </c>
      <c r="G20" s="107"/>
      <c r="H20" s="62">
        <f>-ROUND((F20/$B$23)*10000,0)</f>
        <v>-37</v>
      </c>
      <c r="I20" s="69"/>
      <c r="J20" s="62"/>
      <c r="K20" s="69"/>
    </row>
    <row r="21" spans="1:24" ht="8.1" customHeight="1">
      <c r="B21" s="82"/>
      <c r="D21" s="82"/>
      <c r="F21" s="85"/>
      <c r="G21" s="107"/>
      <c r="I21" s="69"/>
      <c r="J21" s="62"/>
      <c r="K21" s="69"/>
    </row>
    <row r="22" spans="1:24" ht="15.75">
      <c r="A22" s="59" t="s">
        <v>497</v>
      </c>
      <c r="B22" s="85">
        <v>4.4600000000000001E-2</v>
      </c>
      <c r="D22" s="85">
        <f>+'COMP Prior Yr'!D22</f>
        <v>4.8599999999999997E-2</v>
      </c>
      <c r="F22" s="85">
        <f>D22-B22</f>
        <v>3.9999999999999966E-3</v>
      </c>
      <c r="G22" s="107"/>
      <c r="H22" s="62">
        <f>ROUND((F22/$B$23)*10000,0)</f>
        <v>87</v>
      </c>
      <c r="I22" s="69">
        <f>H19+H20</f>
        <v>87</v>
      </c>
      <c r="J22" s="62"/>
      <c r="K22" s="69">
        <f>H22-I22</f>
        <v>0</v>
      </c>
    </row>
    <row r="23" spans="1:24" ht="15.75">
      <c r="A23" s="59" t="s">
        <v>483</v>
      </c>
      <c r="B23" s="86">
        <v>0.4592</v>
      </c>
      <c r="D23" s="86">
        <f>+'COMP Prior Yr'!D23</f>
        <v>0.4582</v>
      </c>
      <c r="F23" s="85">
        <f>D23-B23</f>
        <v>-1.0000000000000009E-3</v>
      </c>
      <c r="G23" s="107"/>
      <c r="H23" s="62">
        <f>ROUND((B22/D23)-(B22/B23),4)*10000</f>
        <v>2</v>
      </c>
      <c r="I23" s="69"/>
      <c r="J23" s="62"/>
      <c r="K23" s="69"/>
    </row>
    <row r="24" spans="1:24" ht="15.75">
      <c r="B24" s="82"/>
      <c r="D24" s="82"/>
      <c r="F24" s="85"/>
      <c r="G24" s="107"/>
      <c r="H24" s="87"/>
      <c r="I24" s="69"/>
      <c r="J24" s="62"/>
      <c r="K24" s="69"/>
    </row>
    <row r="25" spans="1:24" s="68" customFormat="1" ht="15.75">
      <c r="A25" s="88" t="s">
        <v>498</v>
      </c>
      <c r="B25" s="287">
        <v>9.7100000000000006E-2</v>
      </c>
      <c r="C25" s="88"/>
      <c r="D25" s="287">
        <f>+'COMP Prior Yr'!D25</f>
        <v>0.1061</v>
      </c>
      <c r="E25" s="88"/>
      <c r="F25" s="89">
        <f>D25-B25</f>
        <v>8.9999999999999941E-3</v>
      </c>
      <c r="G25" s="203"/>
      <c r="H25" s="69">
        <f>(D25-B25)*10000</f>
        <v>89.999999999999943</v>
      </c>
      <c r="I25" s="69">
        <f>H22+H23</f>
        <v>89</v>
      </c>
      <c r="J25" s="69"/>
      <c r="K25" s="69">
        <f>H25-I25</f>
        <v>0.99999999999994316</v>
      </c>
      <c r="L25" s="89"/>
      <c r="O25" s="59"/>
      <c r="X25" s="70"/>
    </row>
    <row r="26" spans="1:24" s="90" customFormat="1" ht="4.5" customHeight="1">
      <c r="A26" s="96"/>
      <c r="B26" s="91"/>
      <c r="C26" s="96"/>
      <c r="D26" s="91"/>
      <c r="E26" s="96"/>
      <c r="G26" s="96"/>
      <c r="H26" s="92"/>
      <c r="X26" s="93"/>
    </row>
    <row r="27" spans="1:24" ht="4.5" customHeight="1">
      <c r="A27" s="96"/>
      <c r="J27" s="63"/>
    </row>
    <row r="28" spans="1:24">
      <c r="A28" s="96" t="s">
        <v>499</v>
      </c>
      <c r="B28" s="528">
        <v>99425.939344107988</v>
      </c>
      <c r="D28" s="528">
        <f>+'COMP Prior Yr'!D28</f>
        <v>112357.74520999985</v>
      </c>
      <c r="E28" s="98"/>
      <c r="F28" s="76">
        <f>D28-B28</f>
        <v>12931.80586589186</v>
      </c>
      <c r="G28" s="794"/>
      <c r="H28" s="94">
        <f>ROUND((((D28/B15)-B20)/B23)-(((B28/B15)-B20)/B23),4)*10000</f>
        <v>200</v>
      </c>
    </row>
    <row r="29" spans="1:24">
      <c r="A29" s="96" t="s">
        <v>500</v>
      </c>
      <c r="B29" s="95">
        <v>18882.176021104522</v>
      </c>
      <c r="C29" s="98"/>
      <c r="D29" s="95">
        <f>+'COMP Prior Yr'!D29</f>
        <v>21530.348039999997</v>
      </c>
      <c r="E29" s="98"/>
      <c r="F29" s="76">
        <f>B29-D29</f>
        <v>-2648.172018895475</v>
      </c>
      <c r="G29" s="794"/>
      <c r="H29" s="94">
        <f>-ROUND((((D29/B15)-B20)/B23)-(((B29/B15)-B20)/B23),4)*10000</f>
        <v>-41</v>
      </c>
    </row>
    <row r="30" spans="1:24" ht="15.75">
      <c r="A30" s="788" t="s">
        <v>501</v>
      </c>
      <c r="B30" s="79">
        <v>0</v>
      </c>
      <c r="C30" s="98"/>
      <c r="D30" s="79">
        <f>+'COMP Prior Yr'!D30</f>
        <v>0</v>
      </c>
      <c r="E30" s="98"/>
      <c r="F30" s="76">
        <f>B30-D30</f>
        <v>0</v>
      </c>
      <c r="G30" s="98"/>
      <c r="H30" s="94">
        <f>-ROUND((((D30/B15)-B20)/B23)-(((B30/B15)-B20)/B23),4)*10000</f>
        <v>0</v>
      </c>
      <c r="I30" s="61" t="s">
        <v>493</v>
      </c>
      <c r="K30" s="81" t="s">
        <v>494</v>
      </c>
    </row>
    <row r="31" spans="1:24" ht="15.75">
      <c r="A31" s="789" t="s">
        <v>502</v>
      </c>
      <c r="B31" s="79">
        <v>18882.176021104522</v>
      </c>
      <c r="D31" s="79">
        <f>+'COMP Prior Yr'!D31</f>
        <v>21530.348039999997</v>
      </c>
      <c r="E31" s="98"/>
      <c r="F31" s="76">
        <f>D31-B31</f>
        <v>2648.172018895475</v>
      </c>
      <c r="G31" s="98"/>
      <c r="H31" s="94">
        <f>-ROUND((((D31/B15)-B20)/B23)-(((B31/B15)-B20)/B23),4)*10000</f>
        <v>-41</v>
      </c>
      <c r="I31" s="62"/>
      <c r="K31" s="69"/>
    </row>
    <row r="32" spans="1:24" ht="8.1" customHeight="1">
      <c r="A32" s="96"/>
      <c r="B32" s="97"/>
      <c r="D32" s="97"/>
      <c r="E32" s="98"/>
      <c r="F32" s="76"/>
      <c r="H32" s="94"/>
      <c r="I32" s="69"/>
      <c r="K32" s="69"/>
    </row>
    <row r="33" spans="1:24" ht="15.75">
      <c r="A33" s="96" t="s">
        <v>503</v>
      </c>
      <c r="B33" s="79">
        <v>80543.76332300347</v>
      </c>
      <c r="D33" s="79">
        <f>+'COMP Prior Yr'!D33</f>
        <v>90827.397169999851</v>
      </c>
      <c r="E33" s="98"/>
      <c r="F33" s="76">
        <f>D33-B33</f>
        <v>10283.633846996381</v>
      </c>
      <c r="G33" s="794"/>
      <c r="H33" s="94">
        <f>ROUND((((D33/B15)-B20)/B23)-(((B33/B15)-B20)/B23),4)*10000</f>
        <v>159</v>
      </c>
      <c r="I33" s="62">
        <f>H28+H29+H30</f>
        <v>159</v>
      </c>
      <c r="K33" s="69">
        <f>I33-H33</f>
        <v>0</v>
      </c>
    </row>
    <row r="34" spans="1:24" ht="15.75">
      <c r="A34" s="96"/>
      <c r="B34" s="98"/>
      <c r="D34" s="98"/>
      <c r="E34" s="98"/>
      <c r="F34" s="76"/>
      <c r="G34" s="794"/>
      <c r="H34" s="94"/>
      <c r="I34" s="62"/>
      <c r="K34" s="69"/>
    </row>
    <row r="35" spans="1:24" ht="15.75">
      <c r="A35" s="790" t="s">
        <v>504</v>
      </c>
      <c r="B35" s="98">
        <v>0</v>
      </c>
      <c r="D35" s="98">
        <f>+'COMP Prior Yr'!D35</f>
        <v>0</v>
      </c>
      <c r="E35" s="98"/>
      <c r="F35" s="76"/>
      <c r="G35" s="794"/>
      <c r="H35" s="94"/>
      <c r="I35" s="62"/>
      <c r="K35" s="69"/>
    </row>
    <row r="36" spans="1:24" ht="15.75">
      <c r="A36" s="788" t="s">
        <v>505</v>
      </c>
      <c r="B36" s="79">
        <v>-1835.1070979279966</v>
      </c>
      <c r="D36" s="79">
        <f>+'COMP Prior Yr'!D36</f>
        <v>1006.1319359887111</v>
      </c>
      <c r="E36" s="98"/>
      <c r="F36" s="76">
        <f>D36-B36</f>
        <v>2841.2390339167077</v>
      </c>
      <c r="H36" s="94">
        <f>ROUND((((D36/B15)-B20)/B23)-(((B36/B15)-B20)/B23),4)*10000</f>
        <v>44</v>
      </c>
      <c r="I36" s="62">
        <f>H36</f>
        <v>44</v>
      </c>
      <c r="K36" s="69">
        <f>H36-I36</f>
        <v>0</v>
      </c>
    </row>
    <row r="37" spans="1:24" s="68" customFormat="1" ht="15.75">
      <c r="A37" s="88" t="s">
        <v>495</v>
      </c>
      <c r="B37" s="99">
        <v>78708.65622507548</v>
      </c>
      <c r="C37" s="88"/>
      <c r="D37" s="99">
        <f>+'COMP Prior Yr'!D37</f>
        <v>91833.529105988564</v>
      </c>
      <c r="E37" s="796"/>
      <c r="F37" s="65">
        <f>D37-B37</f>
        <v>13124.872880913084</v>
      </c>
      <c r="G37" s="799"/>
      <c r="H37" s="100">
        <f>ROUND((((D37/B15)-B20)/B23)-(((B37/B15)-B20)/B23),4)*10000</f>
        <v>203</v>
      </c>
      <c r="I37" s="69">
        <f>H33+H36</f>
        <v>203</v>
      </c>
      <c r="K37" s="69">
        <f>H37-I37</f>
        <v>0</v>
      </c>
      <c r="X37" s="70"/>
    </row>
    <row r="38" spans="1:24" s="90" customFormat="1" ht="14.1" customHeight="1">
      <c r="A38" s="96"/>
      <c r="B38" s="101"/>
      <c r="C38" s="96"/>
      <c r="D38" s="101"/>
      <c r="E38" s="98"/>
      <c r="F38" s="79"/>
      <c r="G38" s="104"/>
      <c r="H38" s="120">
        <f>D37-D17</f>
        <v>5.9885642258450389E-6</v>
      </c>
      <c r="I38" s="102" t="s">
        <v>506</v>
      </c>
      <c r="J38" s="86"/>
      <c r="X38" s="93"/>
    </row>
    <row r="39" spans="1:24" s="96" customFormat="1" ht="4.5" customHeight="1">
      <c r="B39" s="103"/>
      <c r="D39" s="103"/>
      <c r="E39" s="98"/>
      <c r="F39" s="98"/>
      <c r="G39" s="104"/>
      <c r="H39" s="105"/>
      <c r="I39" s="106"/>
      <c r="J39" s="107"/>
      <c r="X39" s="108"/>
    </row>
    <row r="40" spans="1:24" ht="15.75">
      <c r="A40" s="74" t="s">
        <v>507</v>
      </c>
      <c r="B40" s="109"/>
      <c r="C40" s="109"/>
      <c r="D40" s="109"/>
      <c r="E40" s="98"/>
      <c r="F40" s="109"/>
      <c r="G40" s="98"/>
      <c r="I40" s="85"/>
      <c r="J40" s="63"/>
    </row>
    <row r="41" spans="1:24">
      <c r="A41" s="96" t="s">
        <v>150</v>
      </c>
      <c r="B41" s="110">
        <v>0</v>
      </c>
      <c r="D41" s="110">
        <f>+'COMP Prior Yr'!D41</f>
        <v>-3.2007087065721862E-4</v>
      </c>
      <c r="E41" s="98"/>
      <c r="F41" s="76">
        <f>D41-B41</f>
        <v>-3.2007087065721862E-4</v>
      </c>
      <c r="G41" s="107"/>
      <c r="H41" s="94">
        <f>ROUND((((D41/$B$15)-$B$20)/$B$23)-(((B41/$B$15)-$B$20)/$B$23),4)*10000</f>
        <v>0</v>
      </c>
    </row>
    <row r="42" spans="1:24">
      <c r="A42" s="96" t="s">
        <v>151</v>
      </c>
      <c r="B42" s="110">
        <v>29.146970869576812</v>
      </c>
      <c r="D42" s="110">
        <f>+'COMP Prior Yr'!D42</f>
        <v>31.340474098839898</v>
      </c>
      <c r="E42" s="98"/>
      <c r="F42" s="76">
        <f>D42-B42</f>
        <v>2.1935032292630865</v>
      </c>
      <c r="G42" s="107"/>
      <c r="H42" s="94">
        <f>ROUND((((D42/$B$15)-$B$20)/$B$23)-(((B42/$B$15)-$B$20)/$B$23),4)*10000</f>
        <v>0</v>
      </c>
    </row>
    <row r="43" spans="1:24">
      <c r="A43" s="96" t="s">
        <v>152</v>
      </c>
      <c r="B43" s="110">
        <v>-756.99790185172071</v>
      </c>
      <c r="D43" s="110">
        <f>+'COMP Prior Yr'!D43</f>
        <v>-92.409253235451331</v>
      </c>
      <c r="E43" s="98"/>
      <c r="F43" s="76">
        <f t="shared" ref="F43:F58" si="0">D43-B43</f>
        <v>664.58864861626944</v>
      </c>
      <c r="G43" s="107"/>
      <c r="H43" s="94">
        <f t="shared" ref="H43:H58" si="1">ROUND((((D43/$B$15)-$B$20)/$B$23)-(((B43/$B$15)-$B$20)/$B$23),4)*10000</f>
        <v>10</v>
      </c>
    </row>
    <row r="44" spans="1:24">
      <c r="A44" s="96" t="s">
        <v>481</v>
      </c>
      <c r="B44" s="110">
        <v>2099</v>
      </c>
      <c r="D44" s="110">
        <f>+'COMP Prior Yr'!D44</f>
        <v>2099</v>
      </c>
      <c r="E44" s="98"/>
      <c r="F44" s="76">
        <f t="shared" si="0"/>
        <v>0</v>
      </c>
      <c r="G44" s="107"/>
      <c r="H44" s="94">
        <f t="shared" si="1"/>
        <v>0</v>
      </c>
      <c r="O44" s="111"/>
    </row>
    <row r="45" spans="1:24">
      <c r="A45" s="96" t="s">
        <v>153</v>
      </c>
      <c r="B45" s="110">
        <v>0</v>
      </c>
      <c r="D45" s="110">
        <f>+'COMP Prior Yr'!D45</f>
        <v>0</v>
      </c>
      <c r="E45" s="98"/>
      <c r="F45" s="76">
        <f t="shared" si="0"/>
        <v>0</v>
      </c>
      <c r="G45" s="107"/>
      <c r="H45" s="94">
        <f t="shared" si="1"/>
        <v>0</v>
      </c>
    </row>
    <row r="46" spans="1:24">
      <c r="A46" s="96" t="s">
        <v>410</v>
      </c>
      <c r="B46" s="110">
        <v>16.107043611999998</v>
      </c>
      <c r="D46" s="110">
        <f>+'COMP Prior Yr'!D46</f>
        <v>14.190459380769001</v>
      </c>
      <c r="E46" s="98"/>
      <c r="F46" s="76">
        <f t="shared" si="0"/>
        <v>-1.9165842312309973</v>
      </c>
      <c r="G46" s="107"/>
      <c r="H46" s="94">
        <f t="shared" si="1"/>
        <v>0</v>
      </c>
      <c r="O46" s="167"/>
    </row>
    <row r="47" spans="1:24">
      <c r="A47" s="96" t="s">
        <v>154</v>
      </c>
      <c r="B47" s="78">
        <v>61.305015672505995</v>
      </c>
      <c r="D47" s="78">
        <f>+'COMP Prior Yr'!D47</f>
        <v>53.236054178474994</v>
      </c>
      <c r="E47" s="98"/>
      <c r="F47" s="76">
        <f t="shared" si="0"/>
        <v>-8.0689614940310008</v>
      </c>
      <c r="G47" s="107"/>
      <c r="H47" s="94">
        <f t="shared" si="1"/>
        <v>0</v>
      </c>
      <c r="O47" s="166"/>
    </row>
    <row r="48" spans="1:24">
      <c r="A48" s="96" t="s">
        <v>409</v>
      </c>
      <c r="B48" s="78">
        <v>-33.738746459999675</v>
      </c>
      <c r="D48" s="78">
        <f>+'COMP Prior Yr'!D48</f>
        <v>-136.8710449950413</v>
      </c>
      <c r="E48" s="98"/>
      <c r="F48" s="76">
        <f t="shared" si="0"/>
        <v>-103.13229853504163</v>
      </c>
      <c r="G48" s="107"/>
      <c r="H48" s="94">
        <f t="shared" si="1"/>
        <v>-2</v>
      </c>
      <c r="O48" s="167"/>
    </row>
    <row r="49" spans="1:15">
      <c r="A49" s="96" t="s">
        <v>155</v>
      </c>
      <c r="B49" s="78">
        <v>41.787580165283842</v>
      </c>
      <c r="D49" s="78">
        <f>+'COMP Prior Yr'!D49</f>
        <v>29.30058323299987</v>
      </c>
      <c r="E49" s="98"/>
      <c r="F49" s="76">
        <f t="shared" si="0"/>
        <v>-12.486996932283972</v>
      </c>
      <c r="G49" s="107"/>
      <c r="H49" s="94">
        <f t="shared" si="1"/>
        <v>0</v>
      </c>
      <c r="O49" s="167"/>
    </row>
    <row r="50" spans="1:15">
      <c r="A50" s="96" t="s">
        <v>156</v>
      </c>
      <c r="B50" s="78">
        <v>5.4249511649373998</v>
      </c>
      <c r="D50" s="78">
        <f>+'COMP Prior Yr'!D50</f>
        <v>4.5190721697556206</v>
      </c>
      <c r="E50" s="98"/>
      <c r="F50" s="76">
        <f t="shared" si="0"/>
        <v>-0.90587899518177917</v>
      </c>
      <c r="G50" s="107"/>
      <c r="H50" s="94">
        <f t="shared" si="1"/>
        <v>0</v>
      </c>
      <c r="O50" s="166"/>
    </row>
    <row r="51" spans="1:15">
      <c r="A51" s="96" t="s">
        <v>411</v>
      </c>
      <c r="B51" s="78">
        <v>60.114596460999998</v>
      </c>
      <c r="D51" s="78">
        <f>+'COMP Prior Yr'!D51</f>
        <v>34.068495817500001</v>
      </c>
      <c r="E51" s="98"/>
      <c r="F51" s="76">
        <f t="shared" si="0"/>
        <v>-26.046100643499997</v>
      </c>
      <c r="G51" s="107"/>
      <c r="H51" s="94">
        <f t="shared" si="1"/>
        <v>0</v>
      </c>
    </row>
    <row r="52" spans="1:15">
      <c r="A52" s="500" t="s">
        <v>412</v>
      </c>
      <c r="B52" s="78">
        <v>0</v>
      </c>
      <c r="D52" s="78">
        <f>+'COMP Prior Yr'!D52</f>
        <v>0</v>
      </c>
      <c r="E52" s="98"/>
      <c r="F52" s="76">
        <f t="shared" si="0"/>
        <v>0</v>
      </c>
      <c r="G52" s="107"/>
      <c r="H52" s="94">
        <f t="shared" si="1"/>
        <v>0</v>
      </c>
    </row>
    <row r="53" spans="1:15">
      <c r="A53" s="791" t="s">
        <v>536</v>
      </c>
      <c r="B53" s="78">
        <v>-80.415622883790007</v>
      </c>
      <c r="D53" s="78">
        <f>+'COMP Prior Yr'!D53</f>
        <v>-82.709216308034996</v>
      </c>
      <c r="E53" s="98"/>
      <c r="F53" s="76">
        <f>D53-B53</f>
        <v>-2.2935934242449889</v>
      </c>
      <c r="G53" s="107"/>
      <c r="H53" s="94">
        <f>ROUND((((D53/$B$15)-$B$20)/$B$23)-(((B53/$B$15)-$B$20)/$B$23),4)*10000</f>
        <v>0</v>
      </c>
    </row>
    <row r="54" spans="1:15">
      <c r="A54" s="500" t="s">
        <v>157</v>
      </c>
      <c r="B54" s="78">
        <v>0</v>
      </c>
      <c r="D54" s="78">
        <f>+'COMP Prior Yr'!D54</f>
        <v>0</v>
      </c>
      <c r="E54" s="98"/>
      <c r="F54" s="76">
        <f t="shared" si="0"/>
        <v>0</v>
      </c>
      <c r="G54" s="107"/>
      <c r="H54" s="94">
        <f t="shared" si="1"/>
        <v>0</v>
      </c>
    </row>
    <row r="55" spans="1:15">
      <c r="A55" s="96" t="s">
        <v>532</v>
      </c>
      <c r="B55" s="78">
        <v>-3.3210399033123394E-4</v>
      </c>
      <c r="D55" s="78">
        <f>+'COMP Prior Yr'!D55</f>
        <v>-8.992467301141005E-4</v>
      </c>
      <c r="E55" s="98"/>
      <c r="F55" s="76">
        <f t="shared" si="0"/>
        <v>-5.6714273978286656E-4</v>
      </c>
      <c r="G55" s="107"/>
      <c r="H55" s="94">
        <f t="shared" si="1"/>
        <v>0</v>
      </c>
    </row>
    <row r="56" spans="1:15">
      <c r="A56" s="96" t="s">
        <v>533</v>
      </c>
      <c r="B56" s="78">
        <v>-3276.8406525738001</v>
      </c>
      <c r="D56" s="78">
        <f>+'COMP Prior Yr'!D56</f>
        <v>-947.53246903350009</v>
      </c>
      <c r="E56" s="98"/>
      <c r="F56" s="76">
        <f t="shared" si="0"/>
        <v>2329.3081835403</v>
      </c>
      <c r="G56" s="107"/>
      <c r="H56" s="94">
        <f t="shared" si="1"/>
        <v>36</v>
      </c>
    </row>
    <row r="57" spans="1:15" ht="15.2" customHeight="1">
      <c r="A57" s="96" t="s">
        <v>510</v>
      </c>
      <c r="B57" s="79">
        <v>0</v>
      </c>
      <c r="D57" s="79">
        <f>+'COMP Prior Yr'!D57</f>
        <v>0</v>
      </c>
      <c r="E57" s="98"/>
      <c r="F57" s="113">
        <f t="shared" si="0"/>
        <v>0</v>
      </c>
      <c r="H57" s="94">
        <f t="shared" si="1"/>
        <v>0</v>
      </c>
      <c r="I57" s="96"/>
      <c r="K57" s="96"/>
      <c r="L57" s="96"/>
      <c r="M57" s="96"/>
      <c r="N57" s="96"/>
      <c r="O57" s="96"/>
    </row>
    <row r="58" spans="1:15" ht="15.2" customHeight="1">
      <c r="A58" s="96" t="s">
        <v>508</v>
      </c>
      <c r="B58" s="78">
        <v>-1835.1070979279966</v>
      </c>
      <c r="D58" s="78">
        <f>+'COMP Prior Yr'!D58</f>
        <v>1006.1319359887111</v>
      </c>
      <c r="E58" s="98"/>
      <c r="F58" s="76">
        <f t="shared" si="0"/>
        <v>2841.2390339167077</v>
      </c>
      <c r="H58" s="94">
        <f t="shared" si="1"/>
        <v>44</v>
      </c>
    </row>
  </sheetData>
  <mergeCells count="4">
    <mergeCell ref="A1:H1"/>
    <mergeCell ref="A2:H2"/>
    <mergeCell ref="A3:H3"/>
    <mergeCell ref="A4:H4"/>
  </mergeCells>
  <conditionalFormatting sqref="K31:K37 K15:K25">
    <cfRule type="cellIs" dxfId="5" priority="1" stopIfTrue="1" operator="equal">
      <formula>0</formula>
    </cfRule>
    <cfRule type="cellIs" dxfId="4" priority="2" stopIfTrue="1" operator="notEqual">
      <formula>0</formula>
    </cfRule>
  </conditionalFormatting>
  <printOptions horizontalCentered="1"/>
  <pageMargins left="0.5" right="0.5" top="0.5" bottom="0.5" header="0.5" footer="0.25"/>
  <pageSetup scale="82" orientation="portrait" r:id="rId1"/>
  <headerFooter>
    <oddFooter>&amp;Z&amp;F</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3" tint="0.39997558519241921"/>
    <pageSetUpPr fitToPage="1"/>
  </sheetPr>
  <dimension ref="A1:X58"/>
  <sheetViews>
    <sheetView workbookViewId="0">
      <selection sqref="A1:H1"/>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260"/>
      <c r="C5" s="792"/>
      <c r="D5" s="260"/>
      <c r="E5" s="795"/>
      <c r="K5" s="65"/>
    </row>
    <row r="6" spans="1:24" s="68" customFormat="1" ht="15.75">
      <c r="A6" s="66"/>
      <c r="B6" s="67" t="s">
        <v>2567</v>
      </c>
      <c r="C6" s="96"/>
      <c r="D6" s="67" t="str">
        <f>+'COMP Q3F Qrtly'!D6</f>
        <v>December 2021</v>
      </c>
      <c r="E6" s="88"/>
      <c r="G6" s="88"/>
      <c r="H6" s="69" t="s">
        <v>487</v>
      </c>
      <c r="X6" s="70"/>
    </row>
    <row r="7" spans="1:24" s="68" customFormat="1" ht="15.75">
      <c r="A7" s="71"/>
      <c r="B7" s="72" t="str">
        <f>+'COMP Q3F Qrtly'!B7</f>
        <v>2021 Q3</v>
      </c>
      <c r="C7" s="793"/>
      <c r="D7" s="72" t="str">
        <f>+'COMP Q3F Qrtly'!D7</f>
        <v>2021 Q3</v>
      </c>
      <c r="E7" s="88"/>
      <c r="F7" s="73" t="s">
        <v>489</v>
      </c>
      <c r="G7" s="74"/>
      <c r="H7" s="75" t="s">
        <v>490</v>
      </c>
      <c r="K7" s="76"/>
      <c r="X7" s="70"/>
    </row>
    <row r="8" spans="1:24" ht="15.75">
      <c r="A8" s="68"/>
    </row>
    <row r="9" spans="1:24">
      <c r="A9" s="59" t="s">
        <v>223</v>
      </c>
      <c r="B9" s="229">
        <v>1202493.8759019664</v>
      </c>
      <c r="D9" s="229">
        <f>+'COMP Prior Yr'!D9</f>
        <v>1472581.083657678</v>
      </c>
      <c r="F9" s="76">
        <f>D9-B9</f>
        <v>270087.20775571163</v>
      </c>
      <c r="G9" s="794"/>
      <c r="H9" s="62">
        <f>ROUND((((B17/(D9+D10+D11+D13))-B20)/B23)-(((B17/(B9+D10+D11+D13))-B20)/B23),4)*10000</f>
        <v>-199</v>
      </c>
      <c r="J9" s="77"/>
    </row>
    <row r="10" spans="1:24">
      <c r="A10" s="59" t="s">
        <v>4</v>
      </c>
      <c r="B10" s="230">
        <v>111438.97968307689</v>
      </c>
      <c r="D10" s="230">
        <f>+'COMP Prior Yr'!D10</f>
        <v>63731.53211</v>
      </c>
      <c r="F10" s="76">
        <f>D10-B10</f>
        <v>-47707.44757307689</v>
      </c>
      <c r="G10" s="794"/>
      <c r="H10" s="62">
        <f>ROUND((((B17/(D9+D11+D13+D10))-B20)/B23)-(((B17/(B10+D9+D11+D13))-B20)/B23),4)*10000</f>
        <v>28</v>
      </c>
    </row>
    <row r="11" spans="1:24">
      <c r="A11" s="59" t="s">
        <v>491</v>
      </c>
      <c r="B11" s="230">
        <v>0</v>
      </c>
      <c r="D11" s="230">
        <f>+'COMP Prior Yr'!D11</f>
        <v>0</v>
      </c>
      <c r="F11" s="76">
        <f>D11-B11</f>
        <v>0</v>
      </c>
      <c r="G11" s="98"/>
      <c r="H11" s="62">
        <f>ROUND((((B17/(D9+D10+D11+D13))-B20)/B23)-(((B17/(B11+D9+D10+D13))-B20)/B23),4)*10000</f>
        <v>0</v>
      </c>
    </row>
    <row r="12" spans="1:24">
      <c r="A12" s="119" t="s">
        <v>229</v>
      </c>
      <c r="B12" s="230">
        <v>9275.1531130769217</v>
      </c>
      <c r="D12" s="230">
        <f>+'COMP Prior Yr'!D12</f>
        <v>-5589.6985323076933</v>
      </c>
      <c r="F12" s="389">
        <f>D12-B12</f>
        <v>-14864.851645384615</v>
      </c>
      <c r="G12" s="497"/>
      <c r="H12" s="390">
        <f>ROUND((((B17/(D9+D10+D11+D12+D13))-B20)/B23)-(((B17/(B12+D9+D10+D11+D13))-B20)/B23),4)*10000</f>
        <v>9</v>
      </c>
    </row>
    <row r="13" spans="1:24" ht="15.75">
      <c r="A13" s="59" t="s">
        <v>492</v>
      </c>
      <c r="B13" s="388">
        <v>-41091.317530701817</v>
      </c>
      <c r="C13" s="98"/>
      <c r="D13" s="388">
        <f>+'COMP Prior Yr'!D13</f>
        <v>-42593.076323846137</v>
      </c>
      <c r="F13" s="76">
        <f>D13-B13</f>
        <v>-1501.7587931443195</v>
      </c>
      <c r="G13" s="98"/>
      <c r="H13" s="62">
        <f>ROUND((((B17/(D9+D10+D11+D13))-B20)/B23)-(((B17/(B13+D9+D10+D11))-B20)/B23),4)*10000</f>
        <v>1</v>
      </c>
      <c r="I13" s="80" t="s">
        <v>493</v>
      </c>
      <c r="K13" s="81" t="s">
        <v>494</v>
      </c>
    </row>
    <row r="14" spans="1:24" ht="8.1" customHeight="1">
      <c r="B14" s="231"/>
      <c r="D14" s="231"/>
      <c r="F14" s="76"/>
      <c r="I14" s="80"/>
      <c r="K14" s="81"/>
    </row>
    <row r="15" spans="1:24" ht="15.75">
      <c r="A15" s="68" t="s">
        <v>348</v>
      </c>
      <c r="B15" s="232">
        <v>1282116.6912</v>
      </c>
      <c r="C15" s="88"/>
      <c r="D15" s="232">
        <f>+'COMP Prior Yr'!D15</f>
        <v>1488129.8409</v>
      </c>
      <c r="E15" s="88"/>
      <c r="F15" s="65">
        <f>D15-B15</f>
        <v>206013.14969999995</v>
      </c>
      <c r="G15" s="798"/>
      <c r="H15" s="69">
        <f>ROUND((((B17/D15)-B20)/B23)-(((B17/B15)-B20)/B23),4)*10000</f>
        <v>-145</v>
      </c>
      <c r="I15" s="69">
        <f>SUM(H9:H13)</f>
        <v>-161</v>
      </c>
      <c r="J15" s="62"/>
      <c r="K15" s="69">
        <f>H15-I15</f>
        <v>16</v>
      </c>
      <c r="O15" s="83">
        <f>+F15/H15</f>
        <v>-1420.7803427586205</v>
      </c>
    </row>
    <row r="16" spans="1:24" ht="8.1" customHeight="1">
      <c r="B16" s="230"/>
      <c r="D16" s="230"/>
      <c r="F16" s="76"/>
      <c r="I16" s="69"/>
      <c r="J16" s="62"/>
      <c r="K16" s="69"/>
    </row>
    <row r="17" spans="1:24" s="68" customFormat="1" ht="15.75">
      <c r="A17" s="68" t="s">
        <v>495</v>
      </c>
      <c r="B17" s="233">
        <v>62920.734199999999</v>
      </c>
      <c r="C17" s="88"/>
      <c r="D17" s="233">
        <f>+'COMP Prior Yr'!D17</f>
        <v>91833.5291</v>
      </c>
      <c r="E17" s="88"/>
      <c r="F17" s="65">
        <f>D17-B17</f>
        <v>28912.794900000001</v>
      </c>
      <c r="G17" s="799"/>
      <c r="H17" s="84">
        <f>ROUND((((D17/B15)-B20)/B23)-(((B17/B15)-B20)/B23),4)*10000</f>
        <v>482</v>
      </c>
      <c r="I17" s="69"/>
      <c r="J17" s="69"/>
      <c r="K17" s="69"/>
      <c r="L17" s="84"/>
      <c r="O17" s="83">
        <f>+F17/H17</f>
        <v>59.985051659751036</v>
      </c>
      <c r="X17" s="70"/>
    </row>
    <row r="18" spans="1:24" ht="8.1" customHeight="1">
      <c r="I18" s="69"/>
      <c r="J18" s="62"/>
      <c r="K18" s="69"/>
    </row>
    <row r="19" spans="1:24" ht="15.75">
      <c r="A19" s="59" t="s">
        <v>496</v>
      </c>
      <c r="B19" s="85">
        <v>4.9099999999999998E-2</v>
      </c>
      <c r="D19" s="85">
        <f>+'COMP Prior Yr'!D19</f>
        <v>6.1699999999999998E-2</v>
      </c>
      <c r="F19" s="85">
        <f>D19-B19</f>
        <v>1.26E-2</v>
      </c>
      <c r="G19" s="107"/>
      <c r="H19" s="62">
        <f>ROUND((F19/$B$23)*10000,0)</f>
        <v>269</v>
      </c>
      <c r="I19" s="69">
        <f>H15+H17</f>
        <v>337</v>
      </c>
      <c r="J19" s="62"/>
      <c r="K19" s="69">
        <f>H19-I19</f>
        <v>-68</v>
      </c>
    </row>
    <row r="20" spans="1:24" ht="15.75">
      <c r="A20" s="59" t="s">
        <v>1859</v>
      </c>
      <c r="B20" s="86">
        <v>0.01</v>
      </c>
      <c r="D20" s="86">
        <f>+'COMP Prior Yr'!D20</f>
        <v>1.3100000000000001E-2</v>
      </c>
      <c r="F20" s="85">
        <f>D20-B20</f>
        <v>3.1000000000000003E-3</v>
      </c>
      <c r="G20" s="107"/>
      <c r="H20" s="62">
        <f>-ROUND((F20/$B$23)*10000,0)</f>
        <v>-66</v>
      </c>
      <c r="I20" s="69"/>
      <c r="J20" s="62"/>
      <c r="K20" s="69"/>
    </row>
    <row r="21" spans="1:24" ht="8.1" customHeight="1">
      <c r="B21" s="82"/>
      <c r="D21" s="82"/>
      <c r="F21" s="85"/>
      <c r="G21" s="107"/>
      <c r="I21" s="69"/>
      <c r="J21" s="62"/>
      <c r="K21" s="69"/>
    </row>
    <row r="22" spans="1:24" ht="15.75">
      <c r="A22" s="59" t="s">
        <v>497</v>
      </c>
      <c r="B22" s="85">
        <v>3.9100000000000003E-2</v>
      </c>
      <c r="D22" s="85">
        <f>+'COMP Prior Yr'!D22</f>
        <v>4.8599999999999997E-2</v>
      </c>
      <c r="F22" s="85">
        <f>D22-B22</f>
        <v>9.4999999999999946E-3</v>
      </c>
      <c r="G22" s="107"/>
      <c r="H22" s="62">
        <f>ROUND((F22/$B$23)*10000,0)</f>
        <v>203</v>
      </c>
      <c r="I22" s="69">
        <f>H19+H20</f>
        <v>203</v>
      </c>
      <c r="J22" s="62"/>
      <c r="K22" s="69">
        <f>H22-I22</f>
        <v>0</v>
      </c>
    </row>
    <row r="23" spans="1:24" ht="15.75">
      <c r="A23" s="59" t="s">
        <v>483</v>
      </c>
      <c r="B23" s="86">
        <v>0.46760000000000002</v>
      </c>
      <c r="D23" s="86">
        <f>+'COMP Prior Yr'!D23</f>
        <v>0.4582</v>
      </c>
      <c r="F23" s="85">
        <f>D23-B23</f>
        <v>-9.4000000000000195E-3</v>
      </c>
      <c r="G23" s="107"/>
      <c r="H23" s="62">
        <f>ROUND((B22/D23)-(B22/B23),4)*10000</f>
        <v>17</v>
      </c>
      <c r="I23" s="69"/>
      <c r="J23" s="62"/>
      <c r="K23" s="69"/>
    </row>
    <row r="24" spans="1:24" ht="15.75">
      <c r="B24" s="82"/>
      <c r="D24" s="82"/>
      <c r="F24" s="85"/>
      <c r="G24" s="107"/>
      <c r="H24" s="87"/>
      <c r="I24" s="69"/>
      <c r="J24" s="62"/>
      <c r="K24" s="69"/>
    </row>
    <row r="25" spans="1:24" s="68" customFormat="1" ht="15.75">
      <c r="A25" s="88" t="s">
        <v>498</v>
      </c>
      <c r="B25" s="287">
        <v>8.3599999999999994E-2</v>
      </c>
      <c r="C25" s="88"/>
      <c r="D25" s="287">
        <f>+'COMP Prior Yr'!D25</f>
        <v>0.1061</v>
      </c>
      <c r="E25" s="88"/>
      <c r="F25" s="89">
        <f>D25-B25</f>
        <v>2.2500000000000006E-2</v>
      </c>
      <c r="G25" s="203"/>
      <c r="H25" s="69">
        <f>(D25-B25)*10000</f>
        <v>225.00000000000006</v>
      </c>
      <c r="I25" s="69">
        <f>H22+H23</f>
        <v>220</v>
      </c>
      <c r="J25" s="69"/>
      <c r="K25" s="69">
        <f>H25-I25</f>
        <v>5.0000000000000568</v>
      </c>
      <c r="L25" s="89"/>
      <c r="X25" s="70"/>
    </row>
    <row r="26" spans="1:24" s="90" customFormat="1" ht="4.5" customHeight="1">
      <c r="A26" s="96"/>
      <c r="B26" s="91"/>
      <c r="C26" s="96"/>
      <c r="D26" s="91"/>
      <c r="E26" s="96"/>
      <c r="G26" s="96"/>
      <c r="H26" s="92"/>
      <c r="X26" s="93"/>
    </row>
    <row r="27" spans="1:24" ht="4.5" customHeight="1">
      <c r="A27" s="96"/>
      <c r="J27" s="63"/>
    </row>
    <row r="28" spans="1:24">
      <c r="A28" s="96" t="s">
        <v>499</v>
      </c>
      <c r="B28" s="528">
        <v>88999.468720000121</v>
      </c>
      <c r="D28" s="528">
        <f>+'COMP Prior Yr'!D28</f>
        <v>112357.74520999985</v>
      </c>
      <c r="E28" s="98"/>
      <c r="F28" s="76">
        <f>D28-B28</f>
        <v>23358.276489999727</v>
      </c>
      <c r="G28" s="794"/>
      <c r="H28" s="94">
        <f>ROUND((((D28/B15)-B20)/B23)-(((B28/B15)-B20)/B23),4)*10000</f>
        <v>390</v>
      </c>
    </row>
    <row r="29" spans="1:24">
      <c r="A29" s="96" t="s">
        <v>500</v>
      </c>
      <c r="B29" s="95">
        <v>16618.129355278805</v>
      </c>
      <c r="C29" s="98"/>
      <c r="D29" s="95">
        <f>+'COMP Prior Yr'!D29</f>
        <v>21530.348039999997</v>
      </c>
      <c r="E29" s="98"/>
      <c r="F29" s="76">
        <f>B29-D29</f>
        <v>-4912.2186847211924</v>
      </c>
      <c r="G29" s="794"/>
      <c r="H29" s="94">
        <f>-ROUND((((D29/B15)-B20)/B23)-(((B29/B15)-B20)/B23),4)*10000</f>
        <v>-82</v>
      </c>
    </row>
    <row r="30" spans="1:24" ht="15.75">
      <c r="A30" s="788" t="s">
        <v>501</v>
      </c>
      <c r="B30" s="79">
        <v>0</v>
      </c>
      <c r="C30" s="98"/>
      <c r="D30" s="79">
        <f>+'COMP Prior Yr'!D30</f>
        <v>0</v>
      </c>
      <c r="E30" s="98"/>
      <c r="F30" s="76">
        <f>B30-D30</f>
        <v>0</v>
      </c>
      <c r="G30" s="98"/>
      <c r="H30" s="94">
        <f>-ROUND((((D30/B15)-B20)/B23)-(((B30/B15)-B20)/B23),4)*10000</f>
        <v>0</v>
      </c>
      <c r="I30" s="61" t="s">
        <v>493</v>
      </c>
      <c r="K30" s="81" t="s">
        <v>494</v>
      </c>
    </row>
    <row r="31" spans="1:24" ht="15.75">
      <c r="A31" s="789" t="s">
        <v>502</v>
      </c>
      <c r="B31" s="79">
        <v>16618.129355278805</v>
      </c>
      <c r="D31" s="79">
        <f>+'COMP Prior Yr'!D31</f>
        <v>21530.348039999997</v>
      </c>
      <c r="E31" s="98"/>
      <c r="F31" s="76">
        <f>D31-B31</f>
        <v>4912.2186847211924</v>
      </c>
      <c r="G31" s="98"/>
      <c r="H31" s="94">
        <f>-ROUND((((D31/B15)-B20)/B23)-(((B31/B15)-B20)/B23),4)*10000</f>
        <v>-82</v>
      </c>
      <c r="I31" s="62"/>
      <c r="K31" s="69"/>
    </row>
    <row r="32" spans="1:24" ht="8.1" customHeight="1">
      <c r="A32" s="96"/>
      <c r="B32" s="97"/>
      <c r="D32" s="97"/>
      <c r="E32" s="98"/>
      <c r="F32" s="76"/>
      <c r="H32" s="94"/>
      <c r="I32" s="69"/>
      <c r="K32" s="69"/>
    </row>
    <row r="33" spans="1:24" ht="15.75">
      <c r="A33" s="96" t="s">
        <v>503</v>
      </c>
      <c r="B33" s="79">
        <v>72381.339364721323</v>
      </c>
      <c r="D33" s="79">
        <f>+'COMP Prior Yr'!D33</f>
        <v>90827.397169999851</v>
      </c>
      <c r="E33" s="98"/>
      <c r="F33" s="76">
        <f>D33-B33</f>
        <v>18446.057805278528</v>
      </c>
      <c r="G33" s="794"/>
      <c r="H33" s="94">
        <f>ROUND((((D33/B15)-B20)/B23)-(((B33/B15)-B20)/B23),4)*10000</f>
        <v>308</v>
      </c>
      <c r="I33" s="62">
        <f>H28+H29+H30</f>
        <v>308</v>
      </c>
      <c r="K33" s="69">
        <f>I33-H33</f>
        <v>0</v>
      </c>
    </row>
    <row r="34" spans="1:24" ht="15.75">
      <c r="A34" s="96"/>
      <c r="B34" s="98"/>
      <c r="D34" s="98"/>
      <c r="E34" s="98"/>
      <c r="F34" s="76"/>
      <c r="G34" s="794"/>
      <c r="H34" s="94"/>
      <c r="I34" s="62"/>
      <c r="K34" s="69"/>
    </row>
    <row r="35" spans="1:24" ht="15.75">
      <c r="A35" s="790" t="s">
        <v>504</v>
      </c>
      <c r="B35" s="98">
        <v>0</v>
      </c>
      <c r="D35" s="98">
        <f>+'COMP Prior Yr'!D35</f>
        <v>0</v>
      </c>
      <c r="E35" s="98"/>
      <c r="F35" s="76"/>
      <c r="G35" s="794"/>
      <c r="H35" s="94"/>
      <c r="I35" s="62"/>
      <c r="K35" s="69"/>
    </row>
    <row r="36" spans="1:24" ht="15.75">
      <c r="A36" s="788" t="s">
        <v>505</v>
      </c>
      <c r="B36" s="79">
        <v>-9460.6052043690543</v>
      </c>
      <c r="D36" s="79">
        <f>+'COMP Prior Yr'!D36</f>
        <v>1006.1319359887111</v>
      </c>
      <c r="E36" s="98"/>
      <c r="F36" s="76">
        <f>D36-B36</f>
        <v>10466.737140357765</v>
      </c>
      <c r="H36" s="94">
        <f>ROUND((((D36/B15)-B20)/B23)-(((B36/B15)-B20)/B23),4)*10000</f>
        <v>175.00000000000003</v>
      </c>
      <c r="I36" s="62">
        <f>H36</f>
        <v>175.00000000000003</v>
      </c>
      <c r="K36" s="69">
        <f>H36-I36</f>
        <v>0</v>
      </c>
    </row>
    <row r="37" spans="1:24" s="68" customFormat="1" ht="15.75">
      <c r="A37" s="88" t="s">
        <v>495</v>
      </c>
      <c r="B37" s="99">
        <v>62920.734160352265</v>
      </c>
      <c r="C37" s="88"/>
      <c r="D37" s="99">
        <f>+'COMP Prior Yr'!D37</f>
        <v>91833.529105988564</v>
      </c>
      <c r="E37" s="796"/>
      <c r="F37" s="65">
        <f>D37-B37</f>
        <v>28912.794945636299</v>
      </c>
      <c r="G37" s="799"/>
      <c r="H37" s="100">
        <f>ROUND((((D37/B15)-B20)/B23)-(((B37/B15)-B20)/B23),4)*10000</f>
        <v>482</v>
      </c>
      <c r="I37" s="69">
        <f>H33+H36</f>
        <v>483</v>
      </c>
      <c r="K37" s="69">
        <f>H37-I37</f>
        <v>-1</v>
      </c>
      <c r="X37" s="70"/>
    </row>
    <row r="38" spans="1:24" s="90" customFormat="1" ht="14.1" customHeight="1">
      <c r="A38" s="96"/>
      <c r="B38" s="101"/>
      <c r="C38" s="96"/>
      <c r="D38" s="101"/>
      <c r="E38" s="98"/>
      <c r="F38" s="79"/>
      <c r="G38" s="104"/>
      <c r="H38" s="120">
        <f>D37-D17</f>
        <v>5.9885642258450389E-6</v>
      </c>
      <c r="I38" s="102" t="s">
        <v>506</v>
      </c>
      <c r="J38" s="86"/>
      <c r="X38" s="93"/>
    </row>
    <row r="39" spans="1:24" s="96" customFormat="1" ht="4.5" customHeight="1">
      <c r="B39" s="103"/>
      <c r="D39" s="103"/>
      <c r="E39" s="98"/>
      <c r="F39" s="98"/>
      <c r="G39" s="104"/>
      <c r="H39" s="105"/>
      <c r="I39" s="106"/>
      <c r="J39" s="107"/>
      <c r="X39" s="108"/>
    </row>
    <row r="40" spans="1:24" ht="15.75">
      <c r="A40" s="74" t="s">
        <v>507</v>
      </c>
      <c r="B40" s="109"/>
      <c r="C40" s="109"/>
      <c r="D40" s="109"/>
      <c r="E40" s="98"/>
      <c r="F40" s="109"/>
      <c r="G40" s="98"/>
      <c r="I40" s="85"/>
      <c r="J40" s="63"/>
    </row>
    <row r="41" spans="1:24">
      <c r="A41" s="96" t="s">
        <v>150</v>
      </c>
      <c r="B41" s="110">
        <v>0</v>
      </c>
      <c r="D41" s="110">
        <f>+'COMP Prior Yr'!D41</f>
        <v>-3.2007087065721862E-4</v>
      </c>
      <c r="E41" s="98"/>
      <c r="F41" s="76">
        <f>D41-B41</f>
        <v>-3.2007087065721862E-4</v>
      </c>
      <c r="G41" s="107"/>
      <c r="H41" s="94">
        <f>ROUND((((D41/$B$15)-$B$20)/$B$23)-(((B41/$B$15)-$B$20)/$B$23),4)*10000</f>
        <v>0</v>
      </c>
    </row>
    <row r="42" spans="1:24">
      <c r="A42" s="96" t="s">
        <v>151</v>
      </c>
      <c r="B42" s="110">
        <v>33.154318024395749</v>
      </c>
      <c r="D42" s="110">
        <f>+'COMP Prior Yr'!D42</f>
        <v>31.340474098839898</v>
      </c>
      <c r="E42" s="98"/>
      <c r="F42" s="76">
        <f>D42-B42</f>
        <v>-1.8138439255558509</v>
      </c>
      <c r="G42" s="107"/>
      <c r="H42" s="94">
        <f>ROUND((((D42/$B$15)-$B$20)/$B$23)-(((B42/$B$15)-$B$20)/$B$23),4)*10000</f>
        <v>0</v>
      </c>
    </row>
    <row r="43" spans="1:24">
      <c r="A43" s="96" t="s">
        <v>152</v>
      </c>
      <c r="B43" s="110">
        <v>-1653.7130014456873</v>
      </c>
      <c r="D43" s="110">
        <f>+'COMP Prior Yr'!D43</f>
        <v>-92.409253235451331</v>
      </c>
      <c r="E43" s="98"/>
      <c r="F43" s="76">
        <f t="shared" ref="F43:F58" si="0">D43-B43</f>
        <v>1561.3037482102359</v>
      </c>
      <c r="G43" s="107"/>
      <c r="H43" s="94">
        <f t="shared" ref="H43:H58" si="1">ROUND((((D43/$B$15)-$B$20)/$B$23)-(((B43/$B$15)-$B$20)/$B$23),4)*10000</f>
        <v>26</v>
      </c>
    </row>
    <row r="44" spans="1:24">
      <c r="A44" s="96" t="s">
        <v>481</v>
      </c>
      <c r="B44" s="110">
        <v>0</v>
      </c>
      <c r="D44" s="110">
        <f>+'COMP Prior Yr'!D44</f>
        <v>2099</v>
      </c>
      <c r="E44" s="98"/>
      <c r="F44" s="76">
        <f t="shared" si="0"/>
        <v>2099</v>
      </c>
      <c r="G44" s="107"/>
      <c r="H44" s="94">
        <f t="shared" si="1"/>
        <v>35</v>
      </c>
      <c r="O44" s="111"/>
    </row>
    <row r="45" spans="1:24">
      <c r="A45" s="96" t="s">
        <v>153</v>
      </c>
      <c r="B45" s="110">
        <v>0</v>
      </c>
      <c r="D45" s="110">
        <f>+'COMP Prior Yr'!D45</f>
        <v>0</v>
      </c>
      <c r="E45" s="98"/>
      <c r="F45" s="76">
        <f t="shared" si="0"/>
        <v>0</v>
      </c>
      <c r="G45" s="107"/>
      <c r="H45" s="94">
        <f t="shared" si="1"/>
        <v>0</v>
      </c>
    </row>
    <row r="46" spans="1:24">
      <c r="A46" s="96" t="s">
        <v>410</v>
      </c>
      <c r="B46" s="110">
        <v>26.224893640999998</v>
      </c>
      <c r="D46" s="110">
        <f>+'COMP Prior Yr'!D46</f>
        <v>14.190459380769001</v>
      </c>
      <c r="E46" s="98"/>
      <c r="F46" s="76">
        <f t="shared" si="0"/>
        <v>-12.034434260230997</v>
      </c>
      <c r="G46" s="107"/>
      <c r="H46" s="94">
        <f t="shared" si="1"/>
        <v>0</v>
      </c>
      <c r="O46" s="167"/>
    </row>
    <row r="47" spans="1:24">
      <c r="A47" s="96" t="s">
        <v>154</v>
      </c>
      <c r="B47" s="78">
        <v>65.982534347830011</v>
      </c>
      <c r="D47" s="78">
        <f>+'COMP Prior Yr'!D47</f>
        <v>53.236054178474994</v>
      </c>
      <c r="E47" s="98"/>
      <c r="F47" s="76">
        <f t="shared" si="0"/>
        <v>-12.746480169355017</v>
      </c>
      <c r="G47" s="107"/>
      <c r="H47" s="94">
        <f t="shared" si="1"/>
        <v>0</v>
      </c>
      <c r="O47" s="166"/>
    </row>
    <row r="48" spans="1:24">
      <c r="A48" s="96" t="s">
        <v>409</v>
      </c>
      <c r="B48" s="78">
        <v>-13.887985119999939</v>
      </c>
      <c r="D48" s="78">
        <f>+'COMP Prior Yr'!D48</f>
        <v>-136.8710449950413</v>
      </c>
      <c r="E48" s="98"/>
      <c r="F48" s="76">
        <f t="shared" si="0"/>
        <v>-122.98305987504136</v>
      </c>
      <c r="G48" s="107"/>
      <c r="H48" s="94">
        <f t="shared" si="1"/>
        <v>-2</v>
      </c>
      <c r="O48" s="167"/>
    </row>
    <row r="49" spans="1:15">
      <c r="A49" s="96" t="s">
        <v>155</v>
      </c>
      <c r="B49" s="78">
        <v>41.787580165283842</v>
      </c>
      <c r="D49" s="78">
        <f>+'COMP Prior Yr'!D49</f>
        <v>29.30058323299987</v>
      </c>
      <c r="E49" s="98"/>
      <c r="F49" s="76">
        <f t="shared" si="0"/>
        <v>-12.486996932283972</v>
      </c>
      <c r="G49" s="107"/>
      <c r="H49" s="94">
        <f t="shared" si="1"/>
        <v>0</v>
      </c>
      <c r="O49" s="167"/>
    </row>
    <row r="50" spans="1:15">
      <c r="A50" s="96" t="s">
        <v>156</v>
      </c>
      <c r="B50" s="78">
        <v>5.4249511649373998</v>
      </c>
      <c r="D50" s="78">
        <f>+'COMP Prior Yr'!D50</f>
        <v>4.5190721697556206</v>
      </c>
      <c r="E50" s="98"/>
      <c r="F50" s="76">
        <f t="shared" si="0"/>
        <v>-0.90587899518177917</v>
      </c>
      <c r="G50" s="107"/>
      <c r="H50" s="94">
        <f t="shared" si="1"/>
        <v>0</v>
      </c>
      <c r="O50" s="166"/>
    </row>
    <row r="51" spans="1:15">
      <c r="A51" s="96" t="s">
        <v>411</v>
      </c>
      <c r="B51" s="78">
        <v>60.114596460999998</v>
      </c>
      <c r="D51" s="78">
        <f>+'COMP Prior Yr'!D51</f>
        <v>34.068495817500001</v>
      </c>
      <c r="E51" s="98"/>
      <c r="F51" s="76">
        <f t="shared" si="0"/>
        <v>-26.046100643499997</v>
      </c>
      <c r="G51" s="107"/>
      <c r="H51" s="94">
        <f t="shared" si="1"/>
        <v>0</v>
      </c>
    </row>
    <row r="52" spans="1:15">
      <c r="A52" s="500" t="s">
        <v>412</v>
      </c>
      <c r="B52" s="78">
        <v>0</v>
      </c>
      <c r="D52" s="78">
        <f>+'COMP Prior Yr'!D52</f>
        <v>0</v>
      </c>
      <c r="E52" s="98"/>
      <c r="F52" s="76">
        <f t="shared" si="0"/>
        <v>0</v>
      </c>
      <c r="G52" s="107"/>
      <c r="H52" s="94">
        <f t="shared" si="1"/>
        <v>0</v>
      </c>
    </row>
    <row r="53" spans="1:15">
      <c r="A53" s="791" t="s">
        <v>536</v>
      </c>
      <c r="B53" s="78">
        <v>-80.415622883790007</v>
      </c>
      <c r="D53" s="78">
        <f>+'COMP Prior Yr'!D53</f>
        <v>-82.709216308034996</v>
      </c>
      <c r="E53" s="98"/>
      <c r="F53" s="76">
        <f>D53-B53</f>
        <v>-2.2935934242449889</v>
      </c>
      <c r="G53" s="107"/>
      <c r="H53" s="94">
        <f>ROUND((((D53/$B$15)-$B$20)/$B$23)-(((B53/$B$15)-$B$20)/$B$23),4)*10000</f>
        <v>0</v>
      </c>
    </row>
    <row r="54" spans="1:15">
      <c r="A54" s="500" t="s">
        <v>157</v>
      </c>
      <c r="B54" s="78">
        <v>0</v>
      </c>
      <c r="D54" s="78">
        <f>+'COMP Prior Yr'!D54</f>
        <v>0</v>
      </c>
      <c r="E54" s="98"/>
      <c r="F54" s="76">
        <f t="shared" si="0"/>
        <v>0</v>
      </c>
      <c r="G54" s="107"/>
      <c r="H54" s="94">
        <f t="shared" si="1"/>
        <v>0</v>
      </c>
    </row>
    <row r="55" spans="1:15">
      <c r="A55" s="96" t="s">
        <v>532</v>
      </c>
      <c r="B55" s="78">
        <v>-4.3022562476835446E-4</v>
      </c>
      <c r="D55" s="78">
        <f>+'COMP Prior Yr'!D55</f>
        <v>-8.992467301141005E-4</v>
      </c>
      <c r="E55" s="98"/>
      <c r="F55" s="76">
        <f t="shared" si="0"/>
        <v>-4.6902110534574604E-4</v>
      </c>
      <c r="G55" s="107"/>
      <c r="H55" s="94">
        <f t="shared" si="1"/>
        <v>0</v>
      </c>
    </row>
    <row r="56" spans="1:15">
      <c r="A56" s="96" t="s">
        <v>533</v>
      </c>
      <c r="B56" s="78">
        <v>-7945.2770384983996</v>
      </c>
      <c r="D56" s="78">
        <f>+'COMP Prior Yr'!D56</f>
        <v>-947.53246903350009</v>
      </c>
      <c r="E56" s="98"/>
      <c r="F56" s="76">
        <f t="shared" si="0"/>
        <v>6997.7445694648995</v>
      </c>
      <c r="G56" s="107"/>
      <c r="H56" s="94">
        <f t="shared" si="1"/>
        <v>117</v>
      </c>
    </row>
    <row r="57" spans="1:15" ht="15.2" customHeight="1">
      <c r="A57" s="96" t="s">
        <v>510</v>
      </c>
      <c r="B57" s="79">
        <v>0</v>
      </c>
      <c r="D57" s="79">
        <f>+'COMP Prior Yr'!D57</f>
        <v>0</v>
      </c>
      <c r="E57" s="98"/>
      <c r="F57" s="113">
        <f t="shared" si="0"/>
        <v>0</v>
      </c>
      <c r="H57" s="94">
        <f t="shared" si="1"/>
        <v>0</v>
      </c>
      <c r="I57" s="96"/>
      <c r="K57" s="96"/>
      <c r="L57" s="96"/>
      <c r="M57" s="96"/>
      <c r="N57" s="96"/>
      <c r="O57" s="96"/>
    </row>
    <row r="58" spans="1:15" ht="15.2" customHeight="1">
      <c r="A58" s="96" t="s">
        <v>508</v>
      </c>
      <c r="B58" s="78">
        <v>-9460.6052043690543</v>
      </c>
      <c r="D58" s="78">
        <f>+'COMP Prior Yr'!D58</f>
        <v>1006.1319359887111</v>
      </c>
      <c r="E58" s="98"/>
      <c r="F58" s="76">
        <f t="shared" si="0"/>
        <v>10466.737140357765</v>
      </c>
      <c r="H58" s="94">
        <f t="shared" si="1"/>
        <v>175.00000000000003</v>
      </c>
    </row>
  </sheetData>
  <mergeCells count="4">
    <mergeCell ref="A1:H1"/>
    <mergeCell ref="A2:H2"/>
    <mergeCell ref="A3:H3"/>
    <mergeCell ref="A4:H4"/>
  </mergeCells>
  <conditionalFormatting sqref="K31:K37 K15:K25">
    <cfRule type="cellIs" dxfId="3" priority="1" stopIfTrue="1" operator="equal">
      <formula>0</formula>
    </cfRule>
    <cfRule type="cellIs" dxfId="2"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operties>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3" tint="0.39997558519241921"/>
    <pageSetUpPr fitToPage="1"/>
  </sheetPr>
  <dimension ref="A1:X58"/>
  <sheetViews>
    <sheetView workbookViewId="0">
      <selection sqref="A1:H1"/>
    </sheetView>
  </sheetViews>
  <sheetFormatPr defaultRowHeight="15"/>
  <cols>
    <col min="1" max="1" width="47" style="59" bestFit="1" customWidth="1"/>
    <col min="2" max="2" width="21.28515625" style="59" bestFit="1" customWidth="1"/>
    <col min="3" max="3" width="1.85546875" style="96" bestFit="1" customWidth="1"/>
    <col min="4" max="4" width="21.28515625" style="59" bestFit="1" customWidth="1"/>
    <col min="5" max="5" width="1.7109375" style="96" customWidth="1"/>
    <col min="6" max="6" width="12.42578125" style="59" bestFit="1" customWidth="1"/>
    <col min="7" max="7" width="1.7109375" style="96" customWidth="1"/>
    <col min="8" max="8" width="11.5703125" style="62" customWidth="1"/>
    <col min="9" max="9" width="14.5703125" style="59" bestFit="1" customWidth="1"/>
    <col min="10" max="10" width="7.7109375" style="59" customWidth="1"/>
    <col min="11" max="11" width="10.85546875" style="59" customWidth="1"/>
    <col min="12" max="14" width="9.140625" style="59"/>
    <col min="15" max="15" width="30.7109375" style="59" customWidth="1"/>
    <col min="16" max="16" width="7.140625" style="59" customWidth="1"/>
    <col min="17" max="17" width="8.140625" style="59" customWidth="1"/>
    <col min="18" max="18" width="1.7109375" style="59" customWidth="1"/>
    <col min="19" max="19" width="7.7109375" style="59" customWidth="1"/>
    <col min="20" max="20" width="13" style="59" customWidth="1"/>
    <col min="21" max="21" width="1.7109375" style="59" customWidth="1"/>
    <col min="22" max="22" width="9.140625" style="59"/>
    <col min="23" max="23" width="1.42578125" style="59" customWidth="1"/>
    <col min="24" max="24" width="8.7109375" style="63" customWidth="1"/>
    <col min="25" max="25" width="6.85546875" style="59" customWidth="1"/>
    <col min="26" max="26" width="6.28515625" style="59" customWidth="1"/>
    <col min="27" max="16384" width="9.140625" style="59"/>
  </cols>
  <sheetData>
    <row r="1" spans="1:24" ht="17.45" customHeight="1">
      <c r="A1" s="1372" t="s">
        <v>204</v>
      </c>
      <c r="B1" s="1372"/>
      <c r="C1" s="1372"/>
      <c r="D1" s="1372"/>
      <c r="E1" s="1372"/>
      <c r="F1" s="1372"/>
      <c r="G1" s="1372"/>
      <c r="H1" s="1372"/>
    </row>
    <row r="2" spans="1:24" ht="17.45" customHeight="1">
      <c r="A2" s="1372" t="s">
        <v>1856</v>
      </c>
      <c r="B2" s="1372"/>
      <c r="C2" s="1372"/>
      <c r="D2" s="1372"/>
      <c r="E2" s="1372"/>
      <c r="F2" s="1372"/>
      <c r="G2" s="1372"/>
      <c r="H2" s="1372"/>
    </row>
    <row r="3" spans="1:24" ht="17.45" customHeight="1">
      <c r="A3" s="1372" t="s">
        <v>1857</v>
      </c>
      <c r="B3" s="1372"/>
      <c r="C3" s="1372"/>
      <c r="D3" s="1372"/>
      <c r="E3" s="1372"/>
      <c r="F3" s="1372"/>
      <c r="G3" s="1372"/>
      <c r="H3" s="1372"/>
    </row>
    <row r="4" spans="1:24" ht="18" customHeight="1">
      <c r="A4" s="1372" t="s">
        <v>1858</v>
      </c>
      <c r="B4" s="1372"/>
      <c r="C4" s="1372"/>
      <c r="D4" s="1372"/>
      <c r="E4" s="1372"/>
      <c r="F4" s="1372"/>
      <c r="G4" s="1372"/>
      <c r="H4" s="1372"/>
    </row>
    <row r="5" spans="1:24" ht="28.15" customHeight="1">
      <c r="A5" s="64"/>
      <c r="B5" s="455"/>
      <c r="C5" s="792"/>
      <c r="D5" s="260"/>
      <c r="E5" s="795"/>
      <c r="K5" s="65"/>
    </row>
    <row r="6" spans="1:24" s="68" customFormat="1" ht="15.75">
      <c r="A6" s="66"/>
      <c r="B6" s="67" t="s">
        <v>2698</v>
      </c>
      <c r="C6" s="96"/>
      <c r="D6" s="67" t="str">
        <f>'COMP Prior Yr'!D6</f>
        <v>December 2021</v>
      </c>
      <c r="E6" s="88"/>
      <c r="G6" s="88"/>
      <c r="H6" s="69" t="s">
        <v>487</v>
      </c>
      <c r="X6" s="70"/>
    </row>
    <row r="7" spans="1:24" s="68" customFormat="1" ht="15.75">
      <c r="A7" s="71"/>
      <c r="B7" s="72" t="str">
        <f>+'COMP Org Bud Qrtly'!B7</f>
        <v>2021 Q3</v>
      </c>
      <c r="C7" s="793"/>
      <c r="D7" s="72" t="str">
        <f>'COMP Prior Yr'!D7</f>
        <v>Actuals</v>
      </c>
      <c r="E7" s="88"/>
      <c r="F7" s="73" t="s">
        <v>489</v>
      </c>
      <c r="G7" s="74"/>
      <c r="H7" s="75" t="s">
        <v>490</v>
      </c>
      <c r="K7" s="76"/>
      <c r="X7" s="70"/>
    </row>
    <row r="8" spans="1:24" ht="15.75">
      <c r="A8" s="68"/>
    </row>
    <row r="9" spans="1:24">
      <c r="A9" s="59" t="s">
        <v>223</v>
      </c>
      <c r="B9" s="229">
        <v>1274769.5023749745</v>
      </c>
      <c r="D9" s="229">
        <f>+'COMP Prior Yr'!D9</f>
        <v>1472581.083657678</v>
      </c>
      <c r="F9" s="76">
        <f>D9-B9</f>
        <v>197811.58128270344</v>
      </c>
      <c r="G9" s="794"/>
      <c r="H9" s="62">
        <f>ROUND((((B17/(D9+D10+D11+D13))-B20)/B23)-(((B17/(B9+D10+D11+D13))-B20)/B23),4)*10000</f>
        <v>-170</v>
      </c>
      <c r="J9" s="77"/>
    </row>
    <row r="10" spans="1:24">
      <c r="A10" s="59" t="s">
        <v>4</v>
      </c>
      <c r="B10" s="230">
        <v>56422.829689230799</v>
      </c>
      <c r="D10" s="230">
        <f>+'COMP Prior Yr'!D10</f>
        <v>63731.53211</v>
      </c>
      <c r="F10" s="76">
        <f>D10-B10</f>
        <v>7308.7024207692011</v>
      </c>
      <c r="G10" s="794"/>
      <c r="H10" s="62">
        <f>ROUND((((B17/(D9+D11+D13+D10))-B20)/B23)-(((B17/(B10+D9+D11+D13))-B20)/B23),4)*10000</f>
        <v>-5</v>
      </c>
    </row>
    <row r="11" spans="1:24">
      <c r="A11" s="59" t="s">
        <v>491</v>
      </c>
      <c r="B11" s="230">
        <v>0</v>
      </c>
      <c r="D11" s="230">
        <f>+'COMP Prior Yr'!D11</f>
        <v>0</v>
      </c>
      <c r="F11" s="76">
        <f>D11-B11</f>
        <v>0</v>
      </c>
      <c r="G11" s="98"/>
      <c r="H11" s="62">
        <f>ROUND((((B17/(D9+D10+D11+D13))-B20)/B23)-(((B17/(B11+D9+D10+D13))-B20)/B23),4)*10000</f>
        <v>0</v>
      </c>
    </row>
    <row r="12" spans="1:24">
      <c r="A12" s="119" t="s">
        <v>229</v>
      </c>
      <c r="B12" s="230">
        <v>737.76340076923054</v>
      </c>
      <c r="D12" s="230">
        <f>+'COMP Prior Yr'!D12</f>
        <v>-5589.6985323076933</v>
      </c>
      <c r="F12" s="389">
        <f>D12-B12</f>
        <v>-6327.4619330769237</v>
      </c>
      <c r="G12" s="497"/>
      <c r="H12" s="390">
        <f>ROUND((((B17/(D9+D10+D11+D12+D13))-B20)/B23)-(((B17/(B12+D9+D10+D11+D13))-B20)/B23),4)*10000</f>
        <v>5</v>
      </c>
    </row>
    <row r="13" spans="1:24" ht="15.75">
      <c r="A13" s="59" t="s">
        <v>492</v>
      </c>
      <c r="B13" s="388">
        <v>-56832.140823298119</v>
      </c>
      <c r="C13" s="98"/>
      <c r="D13" s="388">
        <f>+'COMP Prior Yr'!D13</f>
        <v>-42593.076323846137</v>
      </c>
      <c r="F13" s="76">
        <f>D13-B13</f>
        <v>14239.064499451983</v>
      </c>
      <c r="G13" s="98"/>
      <c r="H13" s="62">
        <f>ROUND((((B17/(D9+D10+D11+D13))-B20)/B23)-(((B17/(B13+D9+D10+D11))-B20)/B23),4)*10000</f>
        <v>-11</v>
      </c>
      <c r="I13" s="80" t="s">
        <v>493</v>
      </c>
      <c r="K13" s="81" t="s">
        <v>494</v>
      </c>
    </row>
    <row r="14" spans="1:24" ht="8.1" customHeight="1">
      <c r="B14" s="231"/>
      <c r="D14" s="231"/>
      <c r="F14" s="76"/>
      <c r="I14" s="80"/>
      <c r="K14" s="81"/>
    </row>
    <row r="15" spans="1:24" ht="15.75">
      <c r="A15" s="68" t="s">
        <v>348</v>
      </c>
      <c r="B15" s="232">
        <v>1275097.9546000001</v>
      </c>
      <c r="C15" s="88"/>
      <c r="D15" s="232">
        <f>+'COMP Prior Yr'!D15</f>
        <v>1488129.8409</v>
      </c>
      <c r="E15" s="88"/>
      <c r="F15" s="65">
        <f>D15-B15</f>
        <v>213031.8862999999</v>
      </c>
      <c r="G15" s="798"/>
      <c r="H15" s="69">
        <f>ROUND((((B17/D15)-B20)/B23)-(((B17/B15)-B20)/B23),4)*10000</f>
        <v>-185.99999999999997</v>
      </c>
      <c r="I15" s="69">
        <f>SUM(H9:H13)</f>
        <v>-181</v>
      </c>
      <c r="J15" s="62"/>
      <c r="K15" s="69">
        <f>H15-I15</f>
        <v>-4.9999999999999716</v>
      </c>
      <c r="O15" s="112">
        <f>+F15/H15</f>
        <v>-1145.3327220430103</v>
      </c>
    </row>
    <row r="16" spans="1:24" ht="8.1" customHeight="1">
      <c r="B16" s="230"/>
      <c r="D16" s="230"/>
      <c r="F16" s="76"/>
      <c r="I16" s="69"/>
      <c r="J16" s="62"/>
      <c r="K16" s="69"/>
      <c r="O16" s="1061"/>
    </row>
    <row r="17" spans="1:24" s="68" customFormat="1" ht="15.75">
      <c r="A17" s="68" t="s">
        <v>495</v>
      </c>
      <c r="B17" s="233">
        <v>76085.6054</v>
      </c>
      <c r="C17" s="88"/>
      <c r="D17" s="233">
        <f>+'COMP Prior Yr'!D17</f>
        <v>91833.5291</v>
      </c>
      <c r="E17" s="88"/>
      <c r="F17" s="65">
        <f>D17-B17</f>
        <v>15747.923699999999</v>
      </c>
      <c r="G17" s="799"/>
      <c r="H17" s="84">
        <f>ROUND((((D17/B15)-B20)/B23)-(((B17/B15)-B20)/B23),4)*10000</f>
        <v>269</v>
      </c>
      <c r="I17" s="69"/>
      <c r="J17" s="69"/>
      <c r="K17" s="69"/>
      <c r="L17" s="84"/>
      <c r="O17" s="112">
        <f>+F17/H17</f>
        <v>58.542467286245348</v>
      </c>
      <c r="X17" s="70"/>
    </row>
    <row r="18" spans="1:24" ht="8.1" customHeight="1">
      <c r="I18" s="69"/>
      <c r="J18" s="62"/>
      <c r="K18" s="69"/>
      <c r="O18" s="1061"/>
    </row>
    <row r="19" spans="1:24" ht="15.75">
      <c r="A19" s="59" t="s">
        <v>496</v>
      </c>
      <c r="B19" s="85">
        <v>5.9700000000000003E-2</v>
      </c>
      <c r="D19" s="85">
        <f>+'COMP Prior Yr'!D19</f>
        <v>6.1699999999999998E-2</v>
      </c>
      <c r="F19" s="85">
        <f>D19-B19</f>
        <v>1.9999999999999948E-3</v>
      </c>
      <c r="G19" s="107"/>
      <c r="H19" s="62">
        <f>ROUND((F19/$B$23)*10000,0)</f>
        <v>44</v>
      </c>
      <c r="I19" s="69">
        <f>H15+H17</f>
        <v>83.000000000000028</v>
      </c>
      <c r="J19" s="62"/>
      <c r="K19" s="69">
        <f>H19-I19</f>
        <v>-39.000000000000028</v>
      </c>
    </row>
    <row r="20" spans="1:24" ht="15.75">
      <c r="A20" s="59" t="s">
        <v>1859</v>
      </c>
      <c r="B20" s="86">
        <v>1.38E-2</v>
      </c>
      <c r="D20" s="86">
        <f>+'COMP Prior Yr'!D20</f>
        <v>1.3100000000000001E-2</v>
      </c>
      <c r="F20" s="85">
        <f>D20-B20</f>
        <v>-6.9999999999999923E-4</v>
      </c>
      <c r="G20" s="107"/>
      <c r="H20" s="62">
        <f>-ROUND((F20/$B$23)*10000,0)</f>
        <v>15</v>
      </c>
      <c r="I20" s="69"/>
      <c r="J20" s="62"/>
      <c r="K20" s="69"/>
    </row>
    <row r="21" spans="1:24" ht="8.1" customHeight="1">
      <c r="B21" s="82"/>
      <c r="D21" s="82"/>
      <c r="F21" s="85"/>
      <c r="G21" s="107"/>
      <c r="I21" s="69"/>
      <c r="J21" s="62"/>
      <c r="K21" s="69"/>
    </row>
    <row r="22" spans="1:24" ht="15.75">
      <c r="A22" s="59" t="s">
        <v>497</v>
      </c>
      <c r="B22" s="85">
        <v>4.5900000000000003E-2</v>
      </c>
      <c r="D22" s="85">
        <f>+'COMP Prior Yr'!D22</f>
        <v>4.8599999999999997E-2</v>
      </c>
      <c r="F22" s="85">
        <f>D22-B22</f>
        <v>2.6999999999999941E-3</v>
      </c>
      <c r="G22" s="107"/>
      <c r="H22" s="62">
        <f>ROUND((F22/$B$23)*10000,0)</f>
        <v>59</v>
      </c>
      <c r="I22" s="69">
        <f>H19+H20</f>
        <v>59</v>
      </c>
      <c r="J22" s="62"/>
      <c r="K22" s="69">
        <f>H22-I22</f>
        <v>0</v>
      </c>
    </row>
    <row r="23" spans="1:24" ht="15.75">
      <c r="A23" s="59" t="s">
        <v>483</v>
      </c>
      <c r="B23" s="86">
        <v>0.45860000000000001</v>
      </c>
      <c r="D23" s="86">
        <f>+'COMP Prior Yr'!D23</f>
        <v>0.4582</v>
      </c>
      <c r="F23" s="85">
        <f>D23-B23</f>
        <v>-4.0000000000001146E-4</v>
      </c>
      <c r="G23" s="107"/>
      <c r="H23" s="62">
        <f>ROUND((B22/D23)-(B22/B23),4)*10000</f>
        <v>1</v>
      </c>
      <c r="I23" s="69"/>
      <c r="J23" s="62"/>
      <c r="K23" s="69"/>
    </row>
    <row r="24" spans="1:24" ht="15.75">
      <c r="B24" s="82"/>
      <c r="D24" s="82"/>
      <c r="F24" s="85"/>
      <c r="G24" s="107"/>
      <c r="H24" s="87"/>
      <c r="I24" s="69"/>
      <c r="J24" s="62"/>
      <c r="K24" s="69"/>
    </row>
    <row r="25" spans="1:24" s="68" customFormat="1" ht="15.75">
      <c r="A25" s="88" t="s">
        <v>498</v>
      </c>
      <c r="B25" s="287">
        <v>9.9999999999999992E-2</v>
      </c>
      <c r="C25" s="88"/>
      <c r="D25" s="287">
        <f>+'COMP Prior Yr'!D25</f>
        <v>0.1061</v>
      </c>
      <c r="E25" s="88"/>
      <c r="F25" s="89">
        <f>D25-B25</f>
        <v>6.1000000000000082E-3</v>
      </c>
      <c r="G25" s="203"/>
      <c r="H25" s="69">
        <f>(D25-B25)*10000</f>
        <v>61.000000000000085</v>
      </c>
      <c r="I25" s="69">
        <f>H22+H23</f>
        <v>60</v>
      </c>
      <c r="J25" s="69"/>
      <c r="K25" s="69">
        <f>H25-I25</f>
        <v>1.0000000000000853</v>
      </c>
      <c r="L25" s="89"/>
      <c r="X25" s="70"/>
    </row>
    <row r="26" spans="1:24" s="90" customFormat="1" ht="4.5" customHeight="1">
      <c r="A26" s="96"/>
      <c r="B26" s="91"/>
      <c r="C26" s="96"/>
      <c r="D26" s="91"/>
      <c r="E26" s="96"/>
      <c r="G26" s="96"/>
      <c r="H26" s="92"/>
      <c r="X26" s="93"/>
    </row>
    <row r="27" spans="1:24" ht="4.5" customHeight="1">
      <c r="A27" s="96"/>
      <c r="J27" s="63"/>
    </row>
    <row r="28" spans="1:24">
      <c r="A28" s="96" t="s">
        <v>499</v>
      </c>
      <c r="B28" s="528">
        <v>99721.377559999935</v>
      </c>
      <c r="D28" s="528">
        <f>+'COMP Prior Yr'!D28</f>
        <v>112357.74520999985</v>
      </c>
      <c r="E28" s="98"/>
      <c r="F28" s="76">
        <f>D28-B28</f>
        <v>12636.367649999913</v>
      </c>
      <c r="G28" s="794"/>
      <c r="H28" s="94">
        <f>ROUND((((D28/B15)-B20)/B23)-(((B28/B15)-B20)/B23),4)*10000</f>
        <v>216</v>
      </c>
    </row>
    <row r="29" spans="1:24">
      <c r="A29" s="96" t="s">
        <v>500</v>
      </c>
      <c r="B29" s="95">
        <v>19665.771763382159</v>
      </c>
      <c r="C29" s="98"/>
      <c r="D29" s="95">
        <f>+'COMP Prior Yr'!D29</f>
        <v>21530.348039999997</v>
      </c>
      <c r="E29" s="98"/>
      <c r="F29" s="76">
        <f>B29-D29</f>
        <v>-1864.5762766178377</v>
      </c>
      <c r="G29" s="794"/>
      <c r="H29" s="94">
        <f>-ROUND((((D29/B15)-B20)/B23)-(((B29/B15)-B20)/B23),4)*10000</f>
        <v>-32</v>
      </c>
    </row>
    <row r="30" spans="1:24" ht="15.75">
      <c r="A30" s="788" t="s">
        <v>501</v>
      </c>
      <c r="B30" s="79">
        <v>0</v>
      </c>
      <c r="C30" s="98"/>
      <c r="D30" s="79">
        <f>+'COMP Prior Yr'!D30</f>
        <v>0</v>
      </c>
      <c r="E30" s="98"/>
      <c r="F30" s="76">
        <f>B30-D30</f>
        <v>0</v>
      </c>
      <c r="G30" s="98"/>
      <c r="H30" s="94">
        <f>-ROUND((((D30/B15)-B20)/B23)-(((B30/B15)-B20)/B23),4)*10000</f>
        <v>0</v>
      </c>
      <c r="I30" s="61" t="s">
        <v>493</v>
      </c>
      <c r="K30" s="81" t="s">
        <v>494</v>
      </c>
    </row>
    <row r="31" spans="1:24" ht="15.75">
      <c r="A31" s="789" t="s">
        <v>502</v>
      </c>
      <c r="B31" s="79">
        <v>19665.771763382159</v>
      </c>
      <c r="D31" s="79">
        <f>+'COMP Prior Yr'!D31</f>
        <v>21530.348039999997</v>
      </c>
      <c r="E31" s="98"/>
      <c r="F31" s="76">
        <f>D31-B31</f>
        <v>1864.5762766178377</v>
      </c>
      <c r="G31" s="98"/>
      <c r="H31" s="94">
        <f>-ROUND((((D31/B15)-B20)/B23)-(((B31/B15)-B20)/B23),4)*10000</f>
        <v>-32</v>
      </c>
      <c r="I31" s="62"/>
      <c r="K31" s="69"/>
    </row>
    <row r="32" spans="1:24" ht="8.1" customHeight="1">
      <c r="A32" s="96"/>
      <c r="B32" s="97"/>
      <c r="D32" s="97"/>
      <c r="E32" s="98"/>
      <c r="F32" s="76"/>
      <c r="H32" s="94"/>
      <c r="I32" s="69"/>
      <c r="K32" s="69"/>
    </row>
    <row r="33" spans="1:24" ht="15.75">
      <c r="A33" s="96" t="s">
        <v>503</v>
      </c>
      <c r="B33" s="79">
        <v>80055.605796617776</v>
      </c>
      <c r="D33" s="79">
        <f>+'COMP Prior Yr'!D33</f>
        <v>90827.397169999851</v>
      </c>
      <c r="E33" s="98"/>
      <c r="F33" s="76">
        <f>D33-B33</f>
        <v>10771.791373382075</v>
      </c>
      <c r="G33" s="794"/>
      <c r="H33" s="94">
        <f>ROUND((((D33/B15)-B20)/B23)-(((B33/B15)-B20)/B23),4)*10000</f>
        <v>184</v>
      </c>
      <c r="I33" s="62">
        <f>H28+H29+H30</f>
        <v>184</v>
      </c>
      <c r="K33" s="69">
        <f>I33-H33</f>
        <v>0</v>
      </c>
    </row>
    <row r="34" spans="1:24" ht="15.75">
      <c r="A34" s="96"/>
      <c r="B34" s="98"/>
      <c r="D34" s="98"/>
      <c r="E34" s="98"/>
      <c r="F34" s="76"/>
      <c r="G34" s="794"/>
      <c r="H34" s="94"/>
      <c r="I34" s="62"/>
      <c r="K34" s="69"/>
    </row>
    <row r="35" spans="1:24" ht="15.75">
      <c r="A35" s="790" t="s">
        <v>504</v>
      </c>
      <c r="B35" s="98">
        <v>0</v>
      </c>
      <c r="D35" s="98">
        <f>+'COMP Prior Yr'!D35</f>
        <v>0</v>
      </c>
      <c r="E35" s="98"/>
      <c r="F35" s="76"/>
      <c r="G35" s="794"/>
      <c r="H35" s="94"/>
      <c r="I35" s="62"/>
      <c r="K35" s="69"/>
    </row>
    <row r="36" spans="1:24" ht="15.75">
      <c r="A36" s="788" t="s">
        <v>505</v>
      </c>
      <c r="B36" s="79">
        <v>-3970.000441326747</v>
      </c>
      <c r="D36" s="79">
        <f>+'COMP Prior Yr'!D36</f>
        <v>1006.1319359887111</v>
      </c>
      <c r="E36" s="98"/>
      <c r="F36" s="76">
        <f>D36-B36</f>
        <v>4976.1323773154581</v>
      </c>
      <c r="H36" s="94">
        <f>ROUND((((D36/B15)-B20)/B23)-(((B36/B15)-B20)/B23),4)*10000</f>
        <v>85</v>
      </c>
      <c r="I36" s="62">
        <f>H36</f>
        <v>85</v>
      </c>
      <c r="K36" s="69">
        <f>H36-I36</f>
        <v>0</v>
      </c>
    </row>
    <row r="37" spans="1:24" s="68" customFormat="1" ht="15.75">
      <c r="A37" s="88" t="s">
        <v>495</v>
      </c>
      <c r="B37" s="99">
        <v>76085.605355291031</v>
      </c>
      <c r="C37" s="88"/>
      <c r="D37" s="99">
        <f>+'COMP Prior Yr'!D37</f>
        <v>91833.529105988564</v>
      </c>
      <c r="E37" s="796"/>
      <c r="F37" s="65">
        <f>D37-B37</f>
        <v>15747.923750697533</v>
      </c>
      <c r="G37" s="799"/>
      <c r="H37" s="100">
        <f>ROUND((((D37/B15)-B20)/B23)-(((B37/B15)-B20)/B23),4)*10000</f>
        <v>269</v>
      </c>
      <c r="I37" s="69">
        <f>H33+H36</f>
        <v>269</v>
      </c>
      <c r="K37" s="69">
        <f>H37-I37</f>
        <v>0</v>
      </c>
      <c r="X37" s="70"/>
    </row>
    <row r="38" spans="1:24" s="90" customFormat="1" ht="14.1" customHeight="1">
      <c r="A38" s="96"/>
      <c r="B38" s="101"/>
      <c r="C38" s="96"/>
      <c r="D38" s="101"/>
      <c r="E38" s="98"/>
      <c r="F38" s="79"/>
      <c r="G38" s="104"/>
      <c r="H38" s="120">
        <f>D37-D17</f>
        <v>5.9885642258450389E-6</v>
      </c>
      <c r="I38" s="102" t="s">
        <v>506</v>
      </c>
      <c r="J38" s="86"/>
      <c r="X38" s="93"/>
    </row>
    <row r="39" spans="1:24" s="96" customFormat="1" ht="4.5" customHeight="1">
      <c r="B39" s="103"/>
      <c r="D39" s="103"/>
      <c r="E39" s="98"/>
      <c r="F39" s="98"/>
      <c r="G39" s="104"/>
      <c r="H39" s="105"/>
      <c r="I39" s="106"/>
      <c r="J39" s="107"/>
      <c r="X39" s="108"/>
    </row>
    <row r="40" spans="1:24" ht="15.75">
      <c r="A40" s="74" t="s">
        <v>507</v>
      </c>
      <c r="B40" s="109"/>
      <c r="C40" s="109"/>
      <c r="D40" s="109"/>
      <c r="E40" s="98"/>
      <c r="F40" s="109"/>
      <c r="G40" s="98"/>
      <c r="I40" s="85"/>
      <c r="J40" s="63"/>
    </row>
    <row r="41" spans="1:24">
      <c r="A41" s="96" t="s">
        <v>150</v>
      </c>
      <c r="B41" s="110">
        <v>0</v>
      </c>
      <c r="D41" s="110">
        <f>+'COMP Prior Yr'!D41</f>
        <v>-3.2007087065721862E-4</v>
      </c>
      <c r="E41" s="98"/>
      <c r="F41" s="76">
        <f>D41-B41</f>
        <v>-3.2007087065721862E-4</v>
      </c>
      <c r="G41" s="107"/>
      <c r="H41" s="94">
        <f>ROUND((((D41/$B$15)-$B$20)/$B$23)-(((B41/$B$15)-$B$20)/$B$23),4)*10000</f>
        <v>0</v>
      </c>
    </row>
    <row r="42" spans="1:24">
      <c r="A42" s="96" t="s">
        <v>151</v>
      </c>
      <c r="B42" s="110">
        <v>31.792772581601326</v>
      </c>
      <c r="D42" s="110">
        <f>+'COMP Prior Yr'!D42</f>
        <v>31.340474098839898</v>
      </c>
      <c r="E42" s="98"/>
      <c r="F42" s="76">
        <f>D42-B42</f>
        <v>-0.45229848276142803</v>
      </c>
      <c r="G42" s="107"/>
      <c r="H42" s="94">
        <f>ROUND((((D42/$B$15)-$B$20)/$B$23)-(((B42/$B$15)-$B$20)/$B$23),4)*10000</f>
        <v>0</v>
      </c>
    </row>
    <row r="43" spans="1:24">
      <c r="A43" s="96" t="s">
        <v>152</v>
      </c>
      <c r="B43" s="110">
        <v>-211.19159179388885</v>
      </c>
      <c r="D43" s="110">
        <f>+'COMP Prior Yr'!D43</f>
        <v>-92.409253235451331</v>
      </c>
      <c r="E43" s="98"/>
      <c r="F43" s="76">
        <f t="shared" ref="F43:F58" si="0">D43-B43</f>
        <v>118.78233855843752</v>
      </c>
      <c r="G43" s="107"/>
      <c r="H43" s="94">
        <f t="shared" ref="H43:H58" si="1">ROUND((((D43/$B$15)-$B$20)/$B$23)-(((B43/$B$15)-$B$20)/$B$23),4)*10000</f>
        <v>2</v>
      </c>
    </row>
    <row r="44" spans="1:24">
      <c r="A44" s="96" t="s">
        <v>481</v>
      </c>
      <c r="B44" s="110">
        <v>2099</v>
      </c>
      <c r="D44" s="110">
        <f>+'COMP Prior Yr'!D44</f>
        <v>2099</v>
      </c>
      <c r="E44" s="98"/>
      <c r="F44" s="76">
        <f t="shared" si="0"/>
        <v>0</v>
      </c>
      <c r="G44" s="107"/>
      <c r="H44" s="94">
        <f t="shared" si="1"/>
        <v>0</v>
      </c>
      <c r="O44" s="111"/>
    </row>
    <row r="45" spans="1:24">
      <c r="A45" s="96" t="s">
        <v>153</v>
      </c>
      <c r="B45" s="110">
        <v>0</v>
      </c>
      <c r="D45" s="110">
        <f>+'COMP Prior Yr'!D45</f>
        <v>0</v>
      </c>
      <c r="E45" s="98"/>
      <c r="F45" s="76">
        <f t="shared" si="0"/>
        <v>0</v>
      </c>
      <c r="G45" s="107"/>
      <c r="H45" s="94">
        <f t="shared" si="1"/>
        <v>0</v>
      </c>
    </row>
    <row r="46" spans="1:24">
      <c r="A46" s="96" t="s">
        <v>410</v>
      </c>
      <c r="B46" s="110">
        <v>13.49380032495</v>
      </c>
      <c r="D46" s="110">
        <f>+'COMP Prior Yr'!D46</f>
        <v>14.190459380769001</v>
      </c>
      <c r="E46" s="98"/>
      <c r="F46" s="76">
        <f t="shared" si="0"/>
        <v>0.69665905581900134</v>
      </c>
      <c r="G46" s="107"/>
      <c r="H46" s="94">
        <f t="shared" si="1"/>
        <v>0</v>
      </c>
      <c r="O46" s="167"/>
    </row>
    <row r="47" spans="1:24">
      <c r="A47" s="96" t="s">
        <v>154</v>
      </c>
      <c r="B47" s="78">
        <v>55.440549781956001</v>
      </c>
      <c r="D47" s="78">
        <f>+'COMP Prior Yr'!D47</f>
        <v>53.236054178474994</v>
      </c>
      <c r="E47" s="98"/>
      <c r="F47" s="76">
        <f t="shared" si="0"/>
        <v>-2.204495603481007</v>
      </c>
      <c r="G47" s="107"/>
      <c r="H47" s="94">
        <f t="shared" si="1"/>
        <v>0</v>
      </c>
      <c r="O47" s="166"/>
    </row>
    <row r="48" spans="1:24">
      <c r="A48" s="96" t="s">
        <v>409</v>
      </c>
      <c r="B48" s="78">
        <v>-124.49270623220218</v>
      </c>
      <c r="D48" s="78">
        <f>+'COMP Prior Yr'!D48</f>
        <v>-136.8710449950413</v>
      </c>
      <c r="E48" s="98"/>
      <c r="F48" s="76">
        <f t="shared" si="0"/>
        <v>-12.378338762839121</v>
      </c>
      <c r="G48" s="107"/>
      <c r="H48" s="94">
        <f t="shared" si="1"/>
        <v>0</v>
      </c>
      <c r="O48" s="167"/>
    </row>
    <row r="49" spans="1:15">
      <c r="A49" s="96" t="s">
        <v>155</v>
      </c>
      <c r="B49" s="78">
        <v>28.161336442258509</v>
      </c>
      <c r="D49" s="78">
        <f>+'COMP Prior Yr'!D49</f>
        <v>29.30058323299987</v>
      </c>
      <c r="E49" s="98"/>
      <c r="F49" s="76">
        <f t="shared" si="0"/>
        <v>1.1392467907413604</v>
      </c>
      <c r="G49" s="107"/>
      <c r="H49" s="94">
        <f t="shared" si="1"/>
        <v>0</v>
      </c>
      <c r="O49" s="167"/>
    </row>
    <row r="50" spans="1:15">
      <c r="A50" s="96" t="s">
        <v>156</v>
      </c>
      <c r="B50" s="78">
        <v>4.0233488741340109</v>
      </c>
      <c r="D50" s="78">
        <f>+'COMP Prior Yr'!D50</f>
        <v>4.5190721697556206</v>
      </c>
      <c r="E50" s="98"/>
      <c r="F50" s="76">
        <f t="shared" si="0"/>
        <v>0.49572329562160977</v>
      </c>
      <c r="G50" s="107"/>
      <c r="H50" s="94">
        <f t="shared" si="1"/>
        <v>0</v>
      </c>
      <c r="O50" s="166"/>
    </row>
    <row r="51" spans="1:15">
      <c r="A51" s="96" t="s">
        <v>411</v>
      </c>
      <c r="B51" s="78">
        <v>60.114596460999998</v>
      </c>
      <c r="D51" s="78">
        <f>+'COMP Prior Yr'!D51</f>
        <v>34.068495817500001</v>
      </c>
      <c r="E51" s="98"/>
      <c r="F51" s="76">
        <f t="shared" si="0"/>
        <v>-26.046100643499997</v>
      </c>
      <c r="G51" s="107"/>
      <c r="H51" s="94">
        <f t="shared" si="1"/>
        <v>0</v>
      </c>
    </row>
    <row r="52" spans="1:15">
      <c r="A52" s="500" t="s">
        <v>412</v>
      </c>
      <c r="B52" s="78">
        <v>0</v>
      </c>
      <c r="D52" s="78">
        <f>+'COMP Prior Yr'!D52</f>
        <v>0</v>
      </c>
      <c r="E52" s="98"/>
      <c r="F52" s="76">
        <f t="shared" si="0"/>
        <v>0</v>
      </c>
      <c r="G52" s="107"/>
      <c r="H52" s="94">
        <f t="shared" si="1"/>
        <v>0</v>
      </c>
    </row>
    <row r="53" spans="1:15">
      <c r="A53" s="791" t="s">
        <v>536</v>
      </c>
      <c r="B53" s="78">
        <v>-81.917834909058001</v>
      </c>
      <c r="D53" s="78">
        <f>+'COMP Prior Yr'!D53</f>
        <v>-82.709216308034996</v>
      </c>
      <c r="E53" s="98"/>
      <c r="F53" s="76">
        <f>D53-B53</f>
        <v>-0.79138139897699489</v>
      </c>
      <c r="G53" s="107"/>
      <c r="H53" s="94">
        <f>ROUND((((D53/$B$15)-$B$20)/$B$23)-(((B53/$B$15)-$B$20)/$B$23),4)*10000</f>
        <v>0</v>
      </c>
    </row>
    <row r="54" spans="1:15">
      <c r="A54" s="500" t="s">
        <v>157</v>
      </c>
      <c r="B54" s="78">
        <v>0</v>
      </c>
      <c r="D54" s="78">
        <f>+'COMP Prior Yr'!D54</f>
        <v>0</v>
      </c>
      <c r="E54" s="98"/>
      <c r="F54" s="76">
        <f t="shared" si="0"/>
        <v>0</v>
      </c>
      <c r="G54" s="107"/>
      <c r="H54" s="94">
        <f t="shared" si="1"/>
        <v>0</v>
      </c>
    </row>
    <row r="55" spans="1:15">
      <c r="A55" s="96" t="s">
        <v>532</v>
      </c>
      <c r="B55" s="78">
        <v>2.1133890277269529E-4</v>
      </c>
      <c r="D55" s="78">
        <f>+'COMP Prior Yr'!D55</f>
        <v>-8.992467301141005E-4</v>
      </c>
      <c r="E55" s="98"/>
      <c r="F55" s="76">
        <f t="shared" si="0"/>
        <v>-1.1105856328867958E-3</v>
      </c>
      <c r="G55" s="107"/>
      <c r="H55" s="94">
        <f t="shared" si="1"/>
        <v>0</v>
      </c>
    </row>
    <row r="56" spans="1:15">
      <c r="A56" s="96" t="s">
        <v>533</v>
      </c>
      <c r="B56" s="78">
        <v>-5844.4249241964008</v>
      </c>
      <c r="D56" s="78">
        <f>+'COMP Prior Yr'!D56</f>
        <v>-947.53246903350009</v>
      </c>
      <c r="E56" s="98"/>
      <c r="F56" s="76">
        <f t="shared" si="0"/>
        <v>4896.8924551629007</v>
      </c>
      <c r="G56" s="107"/>
      <c r="H56" s="94">
        <f t="shared" si="1"/>
        <v>84</v>
      </c>
    </row>
    <row r="57" spans="1:15" ht="15.2" customHeight="1">
      <c r="A57" s="96" t="s">
        <v>510</v>
      </c>
      <c r="B57" s="79">
        <v>0</v>
      </c>
      <c r="D57" s="79">
        <f>+'COMP Prior Yr'!D57</f>
        <v>0</v>
      </c>
      <c r="E57" s="98"/>
      <c r="F57" s="113">
        <f t="shared" si="0"/>
        <v>0</v>
      </c>
      <c r="H57" s="94">
        <f t="shared" si="1"/>
        <v>0</v>
      </c>
      <c r="I57" s="96"/>
      <c r="K57" s="96"/>
      <c r="L57" s="96"/>
      <c r="M57" s="96"/>
      <c r="N57" s="96"/>
      <c r="O57" s="96"/>
    </row>
    <row r="58" spans="1:15" ht="15.2" customHeight="1">
      <c r="A58" s="96" t="s">
        <v>508</v>
      </c>
      <c r="B58" s="78">
        <v>-3970.000441326747</v>
      </c>
      <c r="D58" s="78">
        <f>+'COMP Prior Yr'!D58</f>
        <v>1006.1319359887111</v>
      </c>
      <c r="E58" s="98"/>
      <c r="F58" s="76">
        <f t="shared" si="0"/>
        <v>4976.1323773154581</v>
      </c>
      <c r="H58" s="94">
        <f t="shared" si="1"/>
        <v>85</v>
      </c>
    </row>
  </sheetData>
  <mergeCells count="4">
    <mergeCell ref="A1:H1"/>
    <mergeCell ref="A2:H2"/>
    <mergeCell ref="A3:H3"/>
    <mergeCell ref="A4:H4"/>
  </mergeCells>
  <conditionalFormatting sqref="K31:K37 K15:K25">
    <cfRule type="cellIs" dxfId="1" priority="1" stopIfTrue="1" operator="equal">
      <formula>0</formula>
    </cfRule>
    <cfRule type="cellIs" dxfId="0"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opertie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2060"/>
    <pageSetUpPr fitToPage="1"/>
  </sheetPr>
  <dimension ref="A1:EX131"/>
  <sheetViews>
    <sheetView topLeftCell="EH46" workbookViewId="0">
      <selection activeCell="EN45" sqref="EN45"/>
    </sheetView>
  </sheetViews>
  <sheetFormatPr defaultRowHeight="12.75"/>
  <cols>
    <col min="1" max="1" width="66.7109375" bestFit="1" customWidth="1"/>
    <col min="2" max="2" width="11.28515625" hidden="1" customWidth="1"/>
    <col min="3" max="5" width="14.28515625" hidden="1" customWidth="1"/>
    <col min="6" max="11" width="13.5703125" hidden="1" customWidth="1"/>
    <col min="12" max="12" width="13.7109375" hidden="1" customWidth="1"/>
    <col min="13" max="13" width="11.85546875" hidden="1" customWidth="1"/>
    <col min="14" max="14" width="13.5703125" hidden="1" customWidth="1"/>
    <col min="15" max="15" width="11.7109375" hidden="1" customWidth="1"/>
    <col min="16" max="16" width="12.85546875" hidden="1" customWidth="1"/>
    <col min="17" max="19" width="11.7109375" hidden="1" customWidth="1"/>
    <col min="20" max="20" width="12.85546875" hidden="1" customWidth="1"/>
    <col min="21" max="26" width="11.7109375" hidden="1" customWidth="1"/>
    <col min="27" max="30" width="11.7109375" style="56" hidden="1" customWidth="1"/>
    <col min="31" max="31" width="12.7109375" style="56" hidden="1" customWidth="1"/>
    <col min="32" max="32" width="12.28515625" style="56" hidden="1" customWidth="1"/>
    <col min="33" max="35" width="11.7109375" style="56" hidden="1" customWidth="1"/>
    <col min="36" max="36" width="14" hidden="1" customWidth="1"/>
    <col min="37" max="38" width="10.7109375" hidden="1" customWidth="1"/>
    <col min="39" max="118" width="11.28515625" hidden="1" customWidth="1"/>
    <col min="119" max="126" width="12.28515625" hidden="1" customWidth="1"/>
    <col min="127" max="127" width="14.7109375" hidden="1" customWidth="1"/>
    <col min="128" max="130" width="14.7109375" bestFit="1" customWidth="1"/>
    <col min="131" max="132" width="14.7109375" customWidth="1"/>
    <col min="133" max="133" width="14.7109375" bestFit="1" customWidth="1"/>
    <col min="134" max="146" width="14.7109375" customWidth="1"/>
    <col min="147" max="147" width="12.140625" bestFit="1" customWidth="1"/>
    <col min="155" max="155" width="11.5703125" bestFit="1" customWidth="1"/>
  </cols>
  <sheetData>
    <row r="1" spans="1:146">
      <c r="A1" s="1104" t="s">
        <v>2621</v>
      </c>
      <c r="C1" s="28"/>
    </row>
    <row r="2" spans="1:146">
      <c r="A2" s="1105" t="s">
        <v>2724</v>
      </c>
      <c r="C2" s="28"/>
    </row>
    <row r="3" spans="1:146">
      <c r="A3" s="17" t="s">
        <v>2622</v>
      </c>
      <c r="C3" s="28"/>
    </row>
    <row r="4" spans="1:146">
      <c r="A4" s="1105" t="s">
        <v>2772</v>
      </c>
      <c r="C4" s="28"/>
    </row>
    <row r="5" spans="1:146" ht="12.75" customHeight="1">
      <c r="A5" s="17" t="s">
        <v>2623</v>
      </c>
    </row>
    <row r="6" spans="1:146" ht="12.75" customHeight="1">
      <c r="A6" s="1105" t="s">
        <v>2725</v>
      </c>
    </row>
    <row r="7" spans="1:146" s="56" customFormat="1">
      <c r="A7" s="1064"/>
      <c r="B7" s="1065"/>
      <c r="C7" s="1065"/>
      <c r="D7" s="1065"/>
      <c r="E7" s="1065"/>
      <c r="F7" s="1065"/>
      <c r="G7" s="1065"/>
      <c r="H7" s="1065"/>
      <c r="I7" s="1065"/>
      <c r="J7" s="1065"/>
      <c r="K7" s="1065"/>
      <c r="L7" s="1065"/>
      <c r="M7" s="1065"/>
      <c r="N7" s="1065"/>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row>
    <row r="8" spans="1:146">
      <c r="A8" s="1106" t="s">
        <v>2625</v>
      </c>
      <c r="B8" s="1107" t="s">
        <v>2624</v>
      </c>
      <c r="C8" s="1107" t="s">
        <v>2624</v>
      </c>
      <c r="D8" s="1108"/>
      <c r="E8" s="1108"/>
      <c r="F8" s="1108"/>
      <c r="G8" s="1108"/>
      <c r="H8" s="1108"/>
      <c r="I8" s="1108"/>
      <c r="J8" s="1108"/>
      <c r="K8" s="1108"/>
      <c r="L8" s="1108"/>
      <c r="M8" s="1108"/>
      <c r="N8" s="1108"/>
      <c r="O8" s="1108"/>
      <c r="P8" s="1108"/>
      <c r="Q8" s="1108"/>
      <c r="R8" s="1108"/>
      <c r="S8" s="1108"/>
      <c r="T8" s="1108"/>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c r="AT8" s="1108"/>
      <c r="AU8" s="1108"/>
      <c r="AV8" s="1108"/>
      <c r="AW8" s="1108"/>
      <c r="AX8" s="1108"/>
      <c r="AY8" s="1108"/>
      <c r="AZ8" s="1108"/>
      <c r="BA8" s="1109"/>
      <c r="BB8" s="1109"/>
      <c r="BC8" s="1109"/>
      <c r="BD8" s="1109"/>
      <c r="BE8" s="1109"/>
      <c r="BF8" s="1109"/>
      <c r="BG8" s="1109"/>
      <c r="BH8" s="1109"/>
      <c r="BI8" s="1109"/>
      <c r="BJ8" s="1109"/>
      <c r="BK8" s="1109"/>
      <c r="BL8" s="1109"/>
      <c r="BM8" s="1109"/>
      <c r="BN8" s="1109"/>
      <c r="BO8" s="1109"/>
      <c r="BP8" s="1109"/>
      <c r="BQ8" s="1109"/>
      <c r="BR8" s="1109"/>
      <c r="BS8" s="1109"/>
      <c r="BT8" s="1109"/>
      <c r="BU8" s="1109"/>
      <c r="BV8" s="1109"/>
      <c r="BW8" s="1109"/>
      <c r="BX8" s="1109"/>
      <c r="BY8" s="1109"/>
      <c r="BZ8" s="1109"/>
      <c r="CA8" s="1109"/>
      <c r="CB8" s="1109"/>
      <c r="CC8" s="1109"/>
      <c r="CD8" s="1109"/>
      <c r="CE8" s="1109"/>
      <c r="CF8" s="1109"/>
      <c r="CG8" s="1109"/>
      <c r="CH8" s="1109"/>
      <c r="CI8" s="1109"/>
      <c r="CJ8" s="1109"/>
      <c r="CK8" s="1109"/>
      <c r="CL8" s="1109"/>
      <c r="CM8" s="1109"/>
      <c r="CN8" s="1109"/>
      <c r="CO8" s="1109"/>
      <c r="CP8" s="1109"/>
      <c r="CQ8" s="1109"/>
      <c r="CR8" s="1109"/>
      <c r="CS8" s="1109"/>
      <c r="CT8" s="1109"/>
      <c r="CU8" s="1109"/>
      <c r="CV8" s="1109"/>
      <c r="CW8" s="1109"/>
      <c r="CX8" s="1109"/>
      <c r="CY8" s="1109"/>
      <c r="CZ8" s="1109"/>
      <c r="DA8" s="1109"/>
      <c r="DB8" s="1109"/>
      <c r="DC8" s="1109"/>
      <c r="DD8" s="1109"/>
      <c r="DE8" s="1109"/>
      <c r="DF8" s="1109"/>
      <c r="DG8" s="1109"/>
      <c r="DH8" s="1109"/>
      <c r="DI8" s="1109"/>
      <c r="DJ8" s="1109"/>
      <c r="DK8" s="1109"/>
      <c r="DL8" s="1109"/>
      <c r="DM8" s="1109"/>
      <c r="DN8" s="1109"/>
      <c r="DO8" s="1109"/>
      <c r="DP8" s="1109"/>
      <c r="DQ8" s="1109"/>
      <c r="DR8" s="1109"/>
      <c r="DS8" s="1109"/>
      <c r="DT8" s="1109"/>
      <c r="DU8" s="1109"/>
      <c r="DV8" s="1109"/>
      <c r="DW8" s="1109"/>
      <c r="DX8" s="1106"/>
      <c r="DY8" s="1106"/>
      <c r="DZ8" s="1106"/>
      <c r="EA8" s="1106"/>
      <c r="EB8" s="1106"/>
      <c r="EC8" s="1106"/>
      <c r="ED8" s="1106"/>
      <c r="EE8" s="1106"/>
      <c r="EF8" s="1106"/>
      <c r="EG8" s="1106"/>
      <c r="EH8" s="1106"/>
      <c r="EI8" s="1106"/>
      <c r="EJ8" s="1106"/>
      <c r="EK8" s="1106"/>
      <c r="EL8" s="1106"/>
      <c r="EM8" s="1106"/>
      <c r="EN8" s="1106"/>
      <c r="EO8" s="1106"/>
      <c r="EP8" s="1106"/>
    </row>
    <row r="9" spans="1:146">
      <c r="A9" s="1110"/>
      <c r="B9" s="1111"/>
      <c r="C9" s="1111"/>
      <c r="D9" s="1112"/>
      <c r="E9" s="1112"/>
      <c r="F9" s="1112"/>
      <c r="G9" s="1112"/>
      <c r="H9" s="1112"/>
      <c r="I9" s="1112"/>
      <c r="J9" s="1112"/>
      <c r="K9" s="1112"/>
      <c r="L9" s="1112"/>
      <c r="M9" s="1112"/>
      <c r="N9" s="1112"/>
      <c r="O9" s="1112"/>
      <c r="P9" s="1112"/>
      <c r="Q9" s="1112"/>
      <c r="R9" s="1112"/>
      <c r="S9" s="1112"/>
      <c r="T9" s="1112"/>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c r="AR9" s="1112"/>
      <c r="AS9" s="1112"/>
      <c r="AT9" s="1112"/>
      <c r="AU9" s="1112"/>
      <c r="AV9" s="1112"/>
      <c r="AW9" s="1112"/>
      <c r="AX9" s="1112"/>
      <c r="AY9" s="1112"/>
      <c r="AZ9" s="1112"/>
      <c r="BA9" s="1113"/>
      <c r="BB9" s="1113"/>
      <c r="BC9" s="1113"/>
      <c r="BD9" s="1113"/>
      <c r="BE9" s="1113"/>
      <c r="BF9" s="1113"/>
      <c r="BG9" s="1113"/>
      <c r="BH9" s="1113"/>
      <c r="BI9" s="1113"/>
      <c r="BJ9" s="1113"/>
      <c r="BK9" s="1113"/>
      <c r="BL9" s="1113"/>
      <c r="BM9" s="1113"/>
      <c r="BN9" s="1113"/>
      <c r="BO9" s="1113"/>
      <c r="BP9" s="1113"/>
      <c r="BQ9" s="1113"/>
      <c r="BR9" s="1113"/>
      <c r="BS9" s="1113"/>
      <c r="BT9" s="1113"/>
      <c r="BU9" s="1113"/>
      <c r="BV9" s="1113"/>
      <c r="BW9" s="1113"/>
      <c r="BX9" s="1113"/>
      <c r="BY9" s="1113"/>
      <c r="BZ9" s="1113"/>
      <c r="CA9" s="1113"/>
      <c r="CB9" s="1113"/>
      <c r="CC9" s="1113"/>
      <c r="CD9" s="1113"/>
      <c r="CE9" s="1113"/>
      <c r="CF9" s="1113"/>
      <c r="CG9" s="1113"/>
      <c r="CH9" s="1113"/>
      <c r="CI9" s="1113"/>
      <c r="CJ9" s="1113"/>
      <c r="CK9" s="1113"/>
      <c r="CL9" s="1113"/>
      <c r="CM9" s="1113"/>
      <c r="CN9" s="1113"/>
      <c r="CO9" s="1113"/>
      <c r="CP9" s="1113"/>
      <c r="CQ9" s="1113"/>
      <c r="CR9" s="1113"/>
      <c r="CS9" s="1113"/>
      <c r="CT9" s="1113"/>
      <c r="CU9" s="1113"/>
      <c r="CV9" s="1113"/>
      <c r="CW9" s="1113"/>
      <c r="CX9" s="1113"/>
      <c r="CY9" s="1113"/>
      <c r="CZ9" s="1113"/>
      <c r="DA9" s="1113"/>
      <c r="DB9" s="1113"/>
      <c r="DC9" s="1113"/>
      <c r="DD9" s="1113"/>
      <c r="DE9" s="1113"/>
      <c r="DF9" s="1113"/>
      <c r="DG9" s="1113"/>
      <c r="DH9" s="1113"/>
      <c r="DI9" s="1113"/>
      <c r="DJ9" s="1113"/>
      <c r="DK9" s="1113"/>
      <c r="DL9" s="1113"/>
      <c r="DM9" s="1113"/>
      <c r="DN9" s="1113"/>
      <c r="DO9" s="1113"/>
      <c r="DP9" s="1113"/>
      <c r="DQ9" s="1113"/>
      <c r="DR9" s="1113"/>
      <c r="DS9" s="1113"/>
      <c r="DT9" s="1113"/>
      <c r="DU9" s="1113"/>
      <c r="DV9" s="1113"/>
      <c r="DW9" s="1113"/>
      <c r="DX9" s="1114" t="s">
        <v>2509</v>
      </c>
      <c r="DY9" s="1114" t="s">
        <v>2524</v>
      </c>
      <c r="DZ9" s="1114" t="s">
        <v>2525</v>
      </c>
      <c r="EA9" s="1114" t="s">
        <v>2526</v>
      </c>
      <c r="EB9" s="1114" t="s">
        <v>2547</v>
      </c>
      <c r="EC9" s="1114" t="s">
        <v>2548</v>
      </c>
      <c r="ED9" s="1114" t="s">
        <v>2549</v>
      </c>
      <c r="EE9" s="1114" t="s">
        <v>2575</v>
      </c>
      <c r="EF9" s="1114" t="s">
        <v>2576</v>
      </c>
      <c r="EG9" s="1114" t="s">
        <v>2577</v>
      </c>
      <c r="EH9" s="1114" t="s">
        <v>2672</v>
      </c>
      <c r="EI9" s="1114" t="s">
        <v>2673</v>
      </c>
      <c r="EJ9" s="1114" t="s">
        <v>2674</v>
      </c>
      <c r="EK9" s="1114" t="s">
        <v>2705</v>
      </c>
      <c r="EL9" s="1114" t="s">
        <v>2704</v>
      </c>
      <c r="EM9" s="1114" t="s">
        <v>2706</v>
      </c>
      <c r="EN9" s="1114" t="s">
        <v>2726</v>
      </c>
      <c r="EO9" s="1114" t="s">
        <v>2727</v>
      </c>
      <c r="EP9" s="1114" t="s">
        <v>2728</v>
      </c>
    </row>
    <row r="10" spans="1:146" s="56" customFormat="1">
      <c r="A10" s="1118" t="s">
        <v>2633</v>
      </c>
      <c r="B10" s="41">
        <v>3065031</v>
      </c>
      <c r="C10" s="41">
        <v>2970123</v>
      </c>
      <c r="D10" s="116">
        <v>2885478</v>
      </c>
      <c r="E10" s="116">
        <v>2932233</v>
      </c>
      <c r="F10" s="116">
        <v>2952298</v>
      </c>
      <c r="G10" s="116">
        <v>2955399</v>
      </c>
      <c r="H10" s="116">
        <v>3007865</v>
      </c>
      <c r="I10" s="116">
        <v>3070451</v>
      </c>
      <c r="J10" s="116">
        <v>3121258</v>
      </c>
      <c r="K10" s="116">
        <v>3153533</v>
      </c>
      <c r="L10" s="116">
        <v>3345743</v>
      </c>
      <c r="M10" s="116">
        <v>3345164</v>
      </c>
      <c r="N10" s="116">
        <v>3278567.71</v>
      </c>
      <c r="O10" s="116">
        <v>3174497</v>
      </c>
      <c r="P10" s="116">
        <v>3116853</v>
      </c>
      <c r="Q10" s="116">
        <v>3212529</v>
      </c>
      <c r="R10" s="116">
        <v>3212097</v>
      </c>
      <c r="S10" s="116">
        <v>3215571</v>
      </c>
      <c r="T10" s="116">
        <v>3214735</v>
      </c>
      <c r="U10" s="116">
        <v>3200403.86</v>
      </c>
      <c r="V10" s="116">
        <v>3208317</v>
      </c>
      <c r="W10" s="116">
        <v>3210660.57</v>
      </c>
      <c r="X10" s="179">
        <v>3485440.54</v>
      </c>
      <c r="Y10" s="179">
        <v>3572887.12</v>
      </c>
      <c r="Z10" s="179">
        <v>3535378.56</v>
      </c>
      <c r="AA10" s="179">
        <v>3464644.48</v>
      </c>
      <c r="AB10" s="179">
        <v>3431812.21</v>
      </c>
      <c r="AC10" s="179">
        <v>3414517.53</v>
      </c>
      <c r="AD10" s="179">
        <v>3491014.32</v>
      </c>
      <c r="AE10" s="179">
        <v>3481535.36</v>
      </c>
      <c r="AF10" s="179">
        <v>3480772.62</v>
      </c>
      <c r="AG10" s="179">
        <v>3501815.52</v>
      </c>
      <c r="AH10" s="179">
        <v>3551366.49</v>
      </c>
      <c r="AI10" s="264">
        <v>3549325.2</v>
      </c>
      <c r="AJ10" s="264">
        <v>3849020.39</v>
      </c>
      <c r="AK10" s="264">
        <v>3951345.78</v>
      </c>
      <c r="AL10" s="264">
        <v>4106799.3</v>
      </c>
      <c r="AM10" s="264">
        <v>4242795.42</v>
      </c>
      <c r="AN10" s="264">
        <v>4355862.8099999996</v>
      </c>
      <c r="AO10" s="264">
        <v>4420155.7</v>
      </c>
      <c r="AP10" s="264">
        <v>4020256.73</v>
      </c>
      <c r="AQ10" s="264">
        <v>4117695.46</v>
      </c>
      <c r="AR10" s="264">
        <v>4177535.79</v>
      </c>
      <c r="AS10" s="264">
        <v>4253126.66</v>
      </c>
      <c r="AT10" s="264">
        <v>4231796.75</v>
      </c>
      <c r="AU10" s="264">
        <v>4195265.03</v>
      </c>
      <c r="AV10" s="264">
        <v>4454688.67</v>
      </c>
      <c r="AW10" s="264">
        <v>4327185.0599999996</v>
      </c>
      <c r="AX10" s="264">
        <v>4149218.8399999994</v>
      </c>
      <c r="AY10" s="441">
        <v>3881649.9</v>
      </c>
      <c r="AZ10" s="441">
        <v>3595984.45</v>
      </c>
      <c r="BA10" s="441">
        <v>3356242.61</v>
      </c>
      <c r="BB10" s="441">
        <v>3153815.07</v>
      </c>
      <c r="BC10" s="441">
        <v>2998600.52</v>
      </c>
      <c r="BD10" s="441">
        <v>2846062.38</v>
      </c>
      <c r="BE10" s="441">
        <v>2754013.64</v>
      </c>
      <c r="BF10" s="441">
        <v>2695425.26</v>
      </c>
      <c r="BG10" s="441">
        <v>2593528.2999999998</v>
      </c>
      <c r="BH10" s="441">
        <v>2832302.36</v>
      </c>
      <c r="BI10" s="441">
        <v>2822611.69</v>
      </c>
      <c r="BJ10" s="441">
        <v>2791257.34</v>
      </c>
      <c r="BK10" s="441">
        <v>2733301.01</v>
      </c>
      <c r="BL10" s="441">
        <v>2656755.98</v>
      </c>
      <c r="BM10" s="441">
        <v>2587102.0099999998</v>
      </c>
      <c r="BN10" s="441">
        <v>2549200.44</v>
      </c>
      <c r="BO10" s="441">
        <v>2538827.5</v>
      </c>
      <c r="BP10" s="441">
        <v>2506040.91</v>
      </c>
      <c r="BQ10" s="441">
        <v>2480624.2599999998</v>
      </c>
      <c r="BR10" s="441">
        <v>2461141.5499999998</v>
      </c>
      <c r="BS10" s="441">
        <v>2444276.2400000002</v>
      </c>
      <c r="BT10" s="441">
        <v>2630639.09</v>
      </c>
      <c r="BU10" s="441">
        <v>2626735.1800000002</v>
      </c>
      <c r="BV10" s="469">
        <v>2616417.9900000002</v>
      </c>
      <c r="BW10" s="469">
        <v>2600383.5099999998</v>
      </c>
      <c r="BX10" s="469">
        <v>2555116.81</v>
      </c>
      <c r="BY10" s="469">
        <v>2543852.42</v>
      </c>
      <c r="BZ10" s="469">
        <v>2534897.92</v>
      </c>
      <c r="CA10" s="469">
        <v>2528328.54</v>
      </c>
      <c r="CB10" s="469">
        <v>2532623.12</v>
      </c>
      <c r="CC10" s="469">
        <v>2517883.4900000002</v>
      </c>
      <c r="CD10" s="469">
        <v>2537883.17</v>
      </c>
      <c r="CE10" s="469">
        <v>2543247.84</v>
      </c>
      <c r="CF10" s="469">
        <v>2725589.12</v>
      </c>
      <c r="CG10" s="469">
        <v>2731782.47</v>
      </c>
      <c r="CH10" s="469">
        <v>2726753.03</v>
      </c>
      <c r="CI10" s="469">
        <v>2715133.36</v>
      </c>
      <c r="CJ10" s="469">
        <v>2685800.75</v>
      </c>
      <c r="CK10" s="469">
        <v>2695731.94</v>
      </c>
      <c r="CL10" s="469">
        <v>2688156.83</v>
      </c>
      <c r="CM10" s="469">
        <v>2698362.17</v>
      </c>
      <c r="CN10" s="469">
        <v>2695538.46</v>
      </c>
      <c r="CO10" s="469">
        <v>2698530.13</v>
      </c>
      <c r="CP10" s="469">
        <v>2712868.69</v>
      </c>
      <c r="CQ10" s="469">
        <v>2678963.89</v>
      </c>
      <c r="CR10" s="469">
        <v>2881127.79</v>
      </c>
      <c r="CS10" s="469">
        <v>2884220.64</v>
      </c>
      <c r="CT10" s="469">
        <v>2885477.71</v>
      </c>
      <c r="CU10" s="469">
        <v>2806305.95</v>
      </c>
      <c r="CV10" s="469">
        <v>2706387.5</v>
      </c>
      <c r="CW10" s="469">
        <v>2727131.46</v>
      </c>
      <c r="CX10" s="469">
        <v>2707613.49</v>
      </c>
      <c r="CY10" s="469">
        <v>2709115.34</v>
      </c>
      <c r="CZ10" s="469">
        <v>2702704.39</v>
      </c>
      <c r="DA10" s="469">
        <v>2704507.73</v>
      </c>
      <c r="DB10" s="469">
        <v>2702358.66</v>
      </c>
      <c r="DC10" s="469">
        <v>2685662.23</v>
      </c>
      <c r="DD10" s="469">
        <v>2884730.31</v>
      </c>
      <c r="DE10" s="469">
        <v>2871545.31</v>
      </c>
      <c r="DF10" s="469">
        <v>3047398.14</v>
      </c>
      <c r="DG10" s="469">
        <v>2968833.26</v>
      </c>
      <c r="DH10" s="469">
        <v>2931366.27</v>
      </c>
      <c r="DI10" s="469">
        <v>2907963.42</v>
      </c>
      <c r="DJ10" s="469">
        <v>2863286.67</v>
      </c>
      <c r="DK10" s="469">
        <v>2868711.93</v>
      </c>
      <c r="DL10" s="469">
        <v>2846804.47</v>
      </c>
      <c r="DM10" s="469">
        <v>2853585.55</v>
      </c>
      <c r="DN10" s="469">
        <v>2785230.28</v>
      </c>
      <c r="DO10" s="469">
        <v>2856522.46</v>
      </c>
      <c r="DP10" s="469">
        <v>3074698.81</v>
      </c>
      <c r="DQ10" s="469">
        <v>3065884.64</v>
      </c>
      <c r="DR10" s="469">
        <v>3035607.81</v>
      </c>
      <c r="DS10" s="469">
        <v>2981636.98</v>
      </c>
      <c r="DT10" s="469">
        <v>2949472.71</v>
      </c>
      <c r="DU10" s="469">
        <v>2914420.77</v>
      </c>
      <c r="DV10" s="469">
        <v>2955122.67</v>
      </c>
      <c r="DW10" s="469">
        <v>3017050.97</v>
      </c>
      <c r="DX10" s="213">
        <v>3017741.43</v>
      </c>
      <c r="DY10" s="213">
        <v>3007112.01</v>
      </c>
      <c r="DZ10" s="213">
        <v>3039422.32</v>
      </c>
      <c r="EA10" s="213">
        <v>3065669.68</v>
      </c>
      <c r="EB10" s="213">
        <v>3290228.97</v>
      </c>
      <c r="EC10" s="213">
        <v>3277817.81</v>
      </c>
      <c r="ED10" s="213">
        <v>3237878.87</v>
      </c>
      <c r="EE10" s="213">
        <v>3208927.07</v>
      </c>
      <c r="EF10" s="213">
        <v>3177923.51</v>
      </c>
      <c r="EG10" s="213">
        <v>3265234.2</v>
      </c>
      <c r="EH10" s="213">
        <v>3289735.79</v>
      </c>
      <c r="EI10" s="213">
        <v>3370157.54</v>
      </c>
      <c r="EJ10" s="213">
        <v>3449867.3</v>
      </c>
      <c r="EK10" s="213">
        <v>3507792.7</v>
      </c>
      <c r="EL10" s="213">
        <v>3572579</v>
      </c>
      <c r="EM10" s="213">
        <v>3613025.2</v>
      </c>
      <c r="EN10" s="1181">
        <f>VLOOKUP("1823070",'Input BS ACCTS'!$A$5:FY$391,98,FALSE)</f>
        <v>3939284.26</v>
      </c>
      <c r="EO10" s="1181">
        <f>VLOOKUP("1823070",'Input BS ACCTS'!$A$5:FZ$391,99,FALSE)</f>
        <v>3921548.21</v>
      </c>
      <c r="EP10" s="1181">
        <f>VLOOKUP("1823070",'Input BS ACCTS'!$A$5:GA$391,100,FALSE)</f>
        <v>3752772.99</v>
      </c>
    </row>
    <row r="11" spans="1:146" s="56" customFormat="1">
      <c r="A11" s="1125" t="s">
        <v>2647</v>
      </c>
      <c r="B11" s="40">
        <v>3478309.461538462</v>
      </c>
      <c r="C11" s="40">
        <v>3364757.923076923</v>
      </c>
      <c r="D11" s="115">
        <v>3244695.230769231</v>
      </c>
      <c r="E11" s="115">
        <v>3159811</v>
      </c>
      <c r="F11" s="115">
        <v>3093021.769230769</v>
      </c>
      <c r="G11" s="115">
        <v>3036521.538461538</v>
      </c>
      <c r="H11" s="115">
        <v>2996280.1538461535</v>
      </c>
      <c r="I11" s="115">
        <v>2978706.3846153845</v>
      </c>
      <c r="J11" s="115">
        <v>2978775.7692307695</v>
      </c>
      <c r="K11" s="115">
        <v>2994178.846153846</v>
      </c>
      <c r="L11" s="115">
        <v>3037432.076923077</v>
      </c>
      <c r="M11" s="115">
        <v>3065906.384615385</v>
      </c>
      <c r="N11" s="115">
        <v>3083318.7469230769</v>
      </c>
      <c r="O11" s="115">
        <v>3091739.2084615384</v>
      </c>
      <c r="P11" s="115">
        <v>3103026.1315384614</v>
      </c>
      <c r="Q11" s="115">
        <v>3128183.9007692309</v>
      </c>
      <c r="R11" s="115">
        <v>3149711.9007692309</v>
      </c>
      <c r="S11" s="115">
        <v>3169963.67</v>
      </c>
      <c r="T11" s="115">
        <v>3189912.5930769229</v>
      </c>
      <c r="U11" s="115">
        <v>3204723.2746153846</v>
      </c>
      <c r="V11" s="115">
        <v>3215328.3515384616</v>
      </c>
      <c r="W11" s="115">
        <v>3222205.4723076923</v>
      </c>
      <c r="X11" s="174">
        <v>3247736.8215384614</v>
      </c>
      <c r="Y11" s="174">
        <v>3265209.4461538461</v>
      </c>
      <c r="Z11" s="174">
        <v>3279841.3353846152</v>
      </c>
      <c r="AA11" s="174">
        <v>3294154.9330769228</v>
      </c>
      <c r="AB11" s="174">
        <v>3313948.4107692307</v>
      </c>
      <c r="AC11" s="174">
        <v>3336845.6823076922</v>
      </c>
      <c r="AD11" s="174">
        <v>3358267.63</v>
      </c>
      <c r="AE11" s="174">
        <v>3378993.6576923076</v>
      </c>
      <c r="AF11" s="174">
        <v>3399393.7823076919</v>
      </c>
      <c r="AG11" s="174">
        <v>3421476.8992307689</v>
      </c>
      <c r="AH11" s="174">
        <v>3448474.0246153851</v>
      </c>
      <c r="AI11" s="309">
        <v>3474705.4246153855</v>
      </c>
      <c r="AJ11" s="309">
        <v>3523810.0261538471</v>
      </c>
      <c r="AK11" s="309">
        <v>3559648.8907692311</v>
      </c>
      <c r="AL11" s="309">
        <v>3600719.0584615385</v>
      </c>
      <c r="AM11" s="309">
        <v>3655135.7399999998</v>
      </c>
      <c r="AN11" s="309">
        <v>3723690.9961538459</v>
      </c>
      <c r="AO11" s="309">
        <v>3799717.4184615389</v>
      </c>
      <c r="AP11" s="309">
        <v>3846312.7415384622</v>
      </c>
      <c r="AQ11" s="309">
        <v>3894518.9830769235</v>
      </c>
      <c r="AR11" s="309">
        <v>3948057.4776923084</v>
      </c>
      <c r="AS11" s="309">
        <v>4007469.326923077</v>
      </c>
      <c r="AT11" s="309">
        <v>4063621.7292307685</v>
      </c>
      <c r="AU11" s="309">
        <v>4113152.386153846</v>
      </c>
      <c r="AV11" s="309">
        <v>4182795.7300000009</v>
      </c>
      <c r="AW11" s="309">
        <v>4219577.6276923083</v>
      </c>
      <c r="AX11" s="309">
        <v>4234798.6323076924</v>
      </c>
      <c r="AY11" s="442">
        <v>4217479.4476923076</v>
      </c>
      <c r="AZ11" s="442">
        <v>4167724.7576923077</v>
      </c>
      <c r="BA11" s="442">
        <v>4090830.8961538458</v>
      </c>
      <c r="BB11" s="442">
        <v>3993420.0784615385</v>
      </c>
      <c r="BC11" s="442">
        <v>3914831.1392307696</v>
      </c>
      <c r="BD11" s="442">
        <v>3817013.2100000004</v>
      </c>
      <c r="BE11" s="442">
        <v>3707511.5061538466</v>
      </c>
      <c r="BF11" s="442">
        <v>3587688.3215384614</v>
      </c>
      <c r="BG11" s="442">
        <v>3461667.6715384615</v>
      </c>
      <c r="BH11" s="442">
        <v>3356824.3892307682</v>
      </c>
      <c r="BI11" s="442">
        <v>3231280.0061538452</v>
      </c>
      <c r="BJ11" s="442">
        <v>3113131.7199999997</v>
      </c>
      <c r="BK11" s="442">
        <f t="shared" ref="BK11:BP11" si="0">SUM(AY10:BK10)/13</f>
        <v>3004214.9638461536</v>
      </c>
      <c r="BL11" s="442">
        <f t="shared" si="0"/>
        <v>2909992.3546153847</v>
      </c>
      <c r="BM11" s="442">
        <f t="shared" si="0"/>
        <v>2832386.0130769229</v>
      </c>
      <c r="BN11" s="442">
        <f t="shared" si="0"/>
        <v>2770305.846153846</v>
      </c>
      <c r="BO11" s="442">
        <f t="shared" si="0"/>
        <v>2722999.1100000003</v>
      </c>
      <c r="BP11" s="442">
        <f t="shared" si="0"/>
        <v>2685109.9092307691</v>
      </c>
      <c r="BQ11" s="442">
        <f t="shared" ref="BQ11:BV11" si="1">SUM(BE10:BQ10)/13</f>
        <v>2656999.2846153849</v>
      </c>
      <c r="BR11" s="442">
        <f t="shared" si="1"/>
        <v>2634470.6623076918</v>
      </c>
      <c r="BS11" s="442">
        <f t="shared" si="1"/>
        <v>2615151.5069230767</v>
      </c>
      <c r="BT11" s="442">
        <f t="shared" si="1"/>
        <v>2618006.1830769228</v>
      </c>
      <c r="BU11" s="442">
        <f t="shared" si="1"/>
        <v>2602193.3230769234</v>
      </c>
      <c r="BV11" s="442">
        <f t="shared" si="1"/>
        <v>2586332.2692307686</v>
      </c>
      <c r="BW11" s="442">
        <f>SUM(BK10:BW10)/13</f>
        <v>2571649.6669230764</v>
      </c>
      <c r="BX11" s="442">
        <f>SUM(BL10:BX10)/13</f>
        <v>2557943.1899999995</v>
      </c>
      <c r="BY11" s="442">
        <f>SUM(BM10:BY10)/13</f>
        <v>2549258.3007692299</v>
      </c>
      <c r="BZ11" s="442">
        <f t="shared" ref="BZ11:CE11" si="2">SUM(BN10:BZ10)/13</f>
        <v>2545242.6015384616</v>
      </c>
      <c r="CA11" s="442">
        <f t="shared" si="2"/>
        <v>2543637.0707692304</v>
      </c>
      <c r="CB11" s="442">
        <f t="shared" si="2"/>
        <v>2543159.8107692306</v>
      </c>
      <c r="CC11" s="442">
        <f t="shared" si="2"/>
        <v>2544070.7784615383</v>
      </c>
      <c r="CD11" s="442">
        <f t="shared" si="2"/>
        <v>2548475.31</v>
      </c>
      <c r="CE11" s="442">
        <f t="shared" si="2"/>
        <v>2554791.1784615386</v>
      </c>
      <c r="CF11" s="442">
        <f t="shared" ref="CF11:CW11" si="3">SUM(BT10:CF10)/13</f>
        <v>2576430.6307692309</v>
      </c>
      <c r="CG11" s="442">
        <f t="shared" si="3"/>
        <v>2584210.8907692311</v>
      </c>
      <c r="CH11" s="442">
        <f t="shared" si="3"/>
        <v>2591904.5715384623</v>
      </c>
      <c r="CI11" s="442">
        <f t="shared" si="3"/>
        <v>2599498.0615384621</v>
      </c>
      <c r="CJ11" s="442">
        <f t="shared" si="3"/>
        <v>2606068.618461539</v>
      </c>
      <c r="CK11" s="442">
        <f t="shared" si="3"/>
        <v>2616885.1669230768</v>
      </c>
      <c r="CL11" s="442">
        <f t="shared" si="3"/>
        <v>2627985.5061538462</v>
      </c>
      <c r="CM11" s="442">
        <f t="shared" si="3"/>
        <v>2640559.6792307696</v>
      </c>
      <c r="CN11" s="442">
        <f t="shared" si="3"/>
        <v>2653421.9807692314</v>
      </c>
      <c r="CO11" s="442">
        <f t="shared" si="3"/>
        <v>2666184.058461539</v>
      </c>
      <c r="CP11" s="442">
        <f t="shared" si="3"/>
        <v>2681182.92</v>
      </c>
      <c r="CQ11" s="442">
        <f t="shared" si="3"/>
        <v>2692035.2830769229</v>
      </c>
      <c r="CR11" s="442">
        <f t="shared" si="3"/>
        <v>2718026.0484615387</v>
      </c>
      <c r="CS11" s="442">
        <f t="shared" si="3"/>
        <v>2730228.4730769228</v>
      </c>
      <c r="CT11" s="442">
        <f t="shared" si="3"/>
        <v>2742051.1838461538</v>
      </c>
      <c r="CU11" s="442">
        <f t="shared" si="3"/>
        <v>2748170.6392307696</v>
      </c>
      <c r="CV11" s="442">
        <f t="shared" si="3"/>
        <v>2747497.8807692309</v>
      </c>
      <c r="CW11" s="442">
        <f t="shared" si="3"/>
        <v>2750677.1661538458</v>
      </c>
      <c r="CX11" s="442">
        <f t="shared" ref="CX11:DK11" si="4">SUM(CL10:CX10)/13</f>
        <v>2751591.1315384614</v>
      </c>
      <c r="CY11" s="442">
        <f t="shared" si="4"/>
        <v>2753203.3246153845</v>
      </c>
      <c r="CZ11" s="442">
        <f t="shared" si="4"/>
        <v>2753537.3415384614</v>
      </c>
      <c r="DA11" s="442">
        <f t="shared" si="4"/>
        <v>2754227.2853846154</v>
      </c>
      <c r="DB11" s="442">
        <f t="shared" si="4"/>
        <v>2754521.7876923075</v>
      </c>
      <c r="DC11" s="442">
        <f t="shared" si="4"/>
        <v>2752428.9830769231</v>
      </c>
      <c r="DD11" s="442">
        <f t="shared" si="4"/>
        <v>2768257.1692307694</v>
      </c>
      <c r="DE11" s="442">
        <f t="shared" si="4"/>
        <v>2767520.0553846159</v>
      </c>
      <c r="DF11" s="442">
        <f t="shared" si="4"/>
        <v>2780072.1707692305</v>
      </c>
      <c r="DG11" s="442">
        <f t="shared" si="4"/>
        <v>2786484.136153846</v>
      </c>
      <c r="DH11" s="442">
        <f t="shared" si="4"/>
        <v>2796104.1607692312</v>
      </c>
      <c r="DI11" s="442">
        <f t="shared" si="4"/>
        <v>2811610.000769231</v>
      </c>
      <c r="DJ11" s="442">
        <f t="shared" si="4"/>
        <v>2822083.4784615384</v>
      </c>
      <c r="DK11" s="442">
        <f t="shared" si="4"/>
        <v>2834475.6661538463</v>
      </c>
      <c r="DL11" s="442">
        <f t="shared" ref="DL11:DR11" si="5">SUM(CZ10:DL10)/13</f>
        <v>2845067.1376923076</v>
      </c>
      <c r="DM11" s="442">
        <f t="shared" si="5"/>
        <v>2856673.3807692304</v>
      </c>
      <c r="DN11" s="442">
        <f t="shared" si="5"/>
        <v>2862882.8076923075</v>
      </c>
      <c r="DO11" s="442">
        <f t="shared" si="5"/>
        <v>2874741.5615384611</v>
      </c>
      <c r="DP11" s="442">
        <f t="shared" si="5"/>
        <v>2904667.4523076927</v>
      </c>
      <c r="DQ11" s="442">
        <f t="shared" si="5"/>
        <v>2918602.4007692309</v>
      </c>
      <c r="DR11" s="442">
        <f t="shared" si="5"/>
        <v>2931222.5930769229</v>
      </c>
      <c r="DS11" s="442">
        <f t="shared" ref="DS11:EJ11" si="6">SUM(DG10:DS10)/13</f>
        <v>2926164.0423076921</v>
      </c>
      <c r="DT11" s="442">
        <f t="shared" si="6"/>
        <v>2924674.769230769</v>
      </c>
      <c r="DU11" s="442">
        <f t="shared" si="6"/>
        <v>2923371.269230769</v>
      </c>
      <c r="DV11" s="442">
        <f t="shared" si="6"/>
        <v>2926998.903846154</v>
      </c>
      <c r="DW11" s="442">
        <f t="shared" si="6"/>
        <v>2938826.9269230766</v>
      </c>
      <c r="DX11" s="442">
        <f t="shared" si="6"/>
        <v>2950290.7346153846</v>
      </c>
      <c r="DY11" s="442">
        <f t="shared" si="6"/>
        <v>2962622.0838461537</v>
      </c>
      <c r="DZ11" s="442">
        <f t="shared" si="6"/>
        <v>2976917.2199999997</v>
      </c>
      <c r="EA11" s="442">
        <f t="shared" si="6"/>
        <v>2998489.4815384615</v>
      </c>
      <c r="EB11" s="442">
        <f t="shared" si="6"/>
        <v>3031851.5207692306</v>
      </c>
      <c r="EC11" s="442">
        <f t="shared" si="6"/>
        <v>3047476.0592307691</v>
      </c>
      <c r="ED11" s="442">
        <f t="shared" si="6"/>
        <v>3060706.3846153845</v>
      </c>
      <c r="EE11" s="442">
        <f t="shared" si="6"/>
        <v>3074038.635384615</v>
      </c>
      <c r="EF11" s="442">
        <f t="shared" si="6"/>
        <v>3089137.5992307691</v>
      </c>
      <c r="EG11" s="442">
        <f t="shared" si="6"/>
        <v>3113426.9446153841</v>
      </c>
      <c r="EH11" s="442">
        <f t="shared" si="6"/>
        <v>3142297.3307692311</v>
      </c>
      <c r="EI11" s="442">
        <f t="shared" si="6"/>
        <v>3174223.0900000003</v>
      </c>
      <c r="EJ11" s="442">
        <f t="shared" si="6"/>
        <v>3207516.653846154</v>
      </c>
      <c r="EK11" s="442">
        <f t="shared" ref="EK11:EP11" si="7">SUM(DY10:EK10)/13</f>
        <v>3245212.9053846155</v>
      </c>
      <c r="EL11" s="442">
        <f t="shared" si="7"/>
        <v>3288710.3661538465</v>
      </c>
      <c r="EM11" s="442">
        <f t="shared" si="7"/>
        <v>3332833.6646153852</v>
      </c>
      <c r="EN11" s="442">
        <f t="shared" si="7"/>
        <v>3400034.786153846</v>
      </c>
      <c r="EO11" s="442">
        <f t="shared" si="7"/>
        <v>3448597.8046153849</v>
      </c>
      <c r="EP11" s="442">
        <f t="shared" si="7"/>
        <v>3485132.8184615383</v>
      </c>
    </row>
    <row r="13" spans="1:146">
      <c r="A13" s="1126" t="s">
        <v>2628</v>
      </c>
      <c r="B13" s="147"/>
      <c r="C13" s="41"/>
      <c r="D13" s="41"/>
      <c r="E13" s="41"/>
      <c r="F13" s="41"/>
      <c r="G13" s="41"/>
      <c r="H13" s="41"/>
      <c r="I13" s="41"/>
      <c r="J13" s="41"/>
      <c r="K13" s="41"/>
      <c r="L13" s="41"/>
      <c r="M13" s="41"/>
      <c r="N13" s="41"/>
      <c r="O13" s="41"/>
      <c r="P13" s="41"/>
      <c r="Q13" s="41"/>
      <c r="R13" s="41"/>
      <c r="S13" s="41"/>
      <c r="T13" s="41"/>
      <c r="U13" s="41"/>
      <c r="V13" s="41"/>
      <c r="W13" s="41"/>
      <c r="X13" s="151"/>
      <c r="Y13" s="151"/>
      <c r="Z13" s="151"/>
      <c r="AA13" s="151"/>
      <c r="AB13" s="151"/>
      <c r="AC13" s="151"/>
      <c r="AD13" s="151"/>
      <c r="AE13" s="151"/>
      <c r="AF13" s="151"/>
      <c r="AG13" s="151"/>
      <c r="AH13" s="151"/>
      <c r="AI13" s="310"/>
      <c r="AJ13" s="310"/>
      <c r="AK13" s="310"/>
      <c r="AL13" s="310"/>
      <c r="AM13" s="310"/>
      <c r="AN13" s="310"/>
      <c r="AO13" s="310"/>
      <c r="AP13" s="310"/>
      <c r="AQ13" s="310"/>
      <c r="AR13" s="310"/>
      <c r="AS13" s="310"/>
      <c r="AT13" s="310"/>
      <c r="AU13" s="310"/>
      <c r="AV13" s="310"/>
      <c r="AW13" s="310"/>
      <c r="AX13" s="310"/>
      <c r="AY13" s="444">
        <v>504151</v>
      </c>
      <c r="AZ13" s="444">
        <v>824850</v>
      </c>
      <c r="BA13" s="444">
        <v>614473</v>
      </c>
      <c r="BB13" s="444">
        <v>360330</v>
      </c>
      <c r="BC13" s="444">
        <v>136686</v>
      </c>
      <c r="BD13" s="444">
        <v>102776</v>
      </c>
      <c r="BE13" s="444">
        <v>0</v>
      </c>
      <c r="BF13" s="444">
        <v>0</v>
      </c>
      <c r="BG13" s="444">
        <v>0</v>
      </c>
      <c r="BH13" s="444">
        <v>0</v>
      </c>
      <c r="BI13" s="444">
        <v>30078</v>
      </c>
      <c r="BJ13" s="444">
        <v>552794</v>
      </c>
      <c r="BK13" s="444">
        <v>349897</v>
      </c>
      <c r="BL13" s="444">
        <v>816229</v>
      </c>
      <c r="BM13" s="444">
        <v>565834</v>
      </c>
      <c r="BN13" s="444">
        <v>423875</v>
      </c>
      <c r="BO13" s="444">
        <v>-25795</v>
      </c>
      <c r="BP13" s="444">
        <v>38548</v>
      </c>
      <c r="BQ13" s="444">
        <v>-25795</v>
      </c>
      <c r="BR13" s="444">
        <v>-25795</v>
      </c>
      <c r="BS13" s="444">
        <v>-25795</v>
      </c>
      <c r="BT13" s="444">
        <v>-25795</v>
      </c>
      <c r="BU13" s="444">
        <v>153431</v>
      </c>
      <c r="BV13" s="483">
        <v>370630</v>
      </c>
      <c r="BW13" s="483">
        <v>157400</v>
      </c>
      <c r="BX13" s="483">
        <v>408524</v>
      </c>
      <c r="BY13" s="483">
        <v>134163</v>
      </c>
      <c r="BZ13" s="483">
        <v>93399</v>
      </c>
      <c r="CA13" s="483">
        <v>-178038</v>
      </c>
      <c r="CB13" s="483">
        <v>-178038</v>
      </c>
      <c r="CC13" s="483">
        <v>-178038</v>
      </c>
      <c r="CD13" s="483">
        <v>-178038</v>
      </c>
      <c r="CE13" s="483">
        <v>-178038</v>
      </c>
      <c r="CF13" s="483">
        <v>-178038</v>
      </c>
      <c r="CG13" s="483">
        <v>-21668</v>
      </c>
      <c r="CH13" s="483">
        <v>-178042</v>
      </c>
      <c r="CI13" s="483">
        <v>945491</v>
      </c>
      <c r="CJ13" s="483">
        <v>534613</v>
      </c>
      <c r="CK13" s="483">
        <v>275023</v>
      </c>
      <c r="CL13" s="483">
        <v>267436</v>
      </c>
      <c r="CM13" s="483">
        <v>0</v>
      </c>
      <c r="CN13" s="483">
        <v>0</v>
      </c>
      <c r="CO13" s="483">
        <v>0</v>
      </c>
      <c r="CP13" s="483">
        <v>0</v>
      </c>
      <c r="CQ13" s="483">
        <v>0</v>
      </c>
      <c r="CR13" s="657">
        <v>0</v>
      </c>
      <c r="CS13" s="657">
        <v>0</v>
      </c>
      <c r="CT13" s="657">
        <v>126390</v>
      </c>
      <c r="CU13" s="657">
        <v>720522</v>
      </c>
      <c r="CV13" s="657">
        <v>187450</v>
      </c>
      <c r="CW13" s="657">
        <v>0</v>
      </c>
      <c r="CX13" s="657">
        <v>0</v>
      </c>
      <c r="CY13" s="657">
        <v>73123</v>
      </c>
      <c r="CZ13" s="657">
        <v>181164</v>
      </c>
      <c r="DA13" s="657">
        <v>181164</v>
      </c>
      <c r="DB13" s="657">
        <v>181164</v>
      </c>
      <c r="DC13" s="657">
        <v>229744</v>
      </c>
      <c r="DD13" s="657">
        <v>181164</v>
      </c>
      <c r="DE13" s="657">
        <v>181164</v>
      </c>
      <c r="DF13" s="657">
        <v>220034</v>
      </c>
      <c r="DG13" s="657">
        <v>406812</v>
      </c>
      <c r="DH13" s="657">
        <v>1331316</v>
      </c>
      <c r="DI13" s="657">
        <v>667481</v>
      </c>
      <c r="DJ13" s="657">
        <v>249491</v>
      </c>
      <c r="DK13" s="657">
        <v>365876</v>
      </c>
      <c r="DL13" s="657">
        <v>119556</v>
      </c>
      <c r="DM13" s="657">
        <v>119556</v>
      </c>
      <c r="DN13" s="657">
        <v>119556</v>
      </c>
      <c r="DO13" s="657">
        <v>201614</v>
      </c>
      <c r="DP13" s="657">
        <v>119556</v>
      </c>
      <c r="DQ13" s="657">
        <v>119556</v>
      </c>
      <c r="DR13" s="865">
        <v>368404</v>
      </c>
      <c r="DS13" s="865">
        <v>472182</v>
      </c>
      <c r="DT13" s="657">
        <v>920964</v>
      </c>
      <c r="DU13" s="657">
        <v>839526</v>
      </c>
      <c r="DV13" s="657">
        <v>229896</v>
      </c>
      <c r="DW13" s="657">
        <v>229896</v>
      </c>
      <c r="DX13" s="374">
        <v>229896</v>
      </c>
      <c r="DY13" s="374">
        <v>229896</v>
      </c>
      <c r="DZ13" s="374">
        <v>229896</v>
      </c>
      <c r="EA13" s="374">
        <v>229896</v>
      </c>
      <c r="EB13" s="374">
        <v>229896</v>
      </c>
      <c r="EC13" s="374">
        <v>229896</v>
      </c>
      <c r="ED13" s="374">
        <v>387771</v>
      </c>
      <c r="EE13" s="374">
        <v>995543</v>
      </c>
      <c r="EF13" s="374">
        <v>239233</v>
      </c>
      <c r="EG13" s="374">
        <v>167487</v>
      </c>
      <c r="EH13" s="374">
        <v>286530</v>
      </c>
      <c r="EI13" s="374">
        <v>105895</v>
      </c>
      <c r="EJ13" s="374">
        <v>95892</v>
      </c>
      <c r="EK13" s="374">
        <v>95892</v>
      </c>
      <c r="EL13" s="374">
        <v>149500</v>
      </c>
      <c r="EM13" s="374">
        <v>95892</v>
      </c>
      <c r="EN13" s="1119">
        <f>(VLOOKUP("4073140",'Input IS ACCTS'!$A$6:FQ$507,97,FALSE))+(VLOOKUP("4073141",'Input IS ACCTS'!$A$6:FQ$507,97,FALSE))</f>
        <v>95892</v>
      </c>
      <c r="EO13" s="1119">
        <f>(VLOOKUP("4073140",'Input IS ACCTS'!$A$6:FR$507,98,FALSE))+(VLOOKUP("4073141",'Input IS ACCTS'!$A$6:FR$507,98,FALSE))</f>
        <v>95892</v>
      </c>
      <c r="EP13" s="1119">
        <f>(VLOOKUP("4073140",'Input IS ACCTS'!$A$6:FS$507,99,FALSE))+(VLOOKUP("4073141",'Input IS ACCTS'!$A$6:FS$507,99,FALSE))</f>
        <v>207131</v>
      </c>
    </row>
    <row r="14" spans="1:146">
      <c r="A14" s="1118" t="s">
        <v>2656</v>
      </c>
      <c r="B14" s="147"/>
      <c r="C14" s="41">
        <v>408016</v>
      </c>
      <c r="D14" s="41">
        <v>340634</v>
      </c>
      <c r="E14" s="41">
        <v>397522</v>
      </c>
      <c r="F14" s="41">
        <v>492485.03</v>
      </c>
      <c r="G14" s="41">
        <v>464603.13</v>
      </c>
      <c r="H14" s="41">
        <v>400671</v>
      </c>
      <c r="I14" s="41">
        <v>432562</v>
      </c>
      <c r="J14" s="41">
        <v>552285</v>
      </c>
      <c r="K14" s="41">
        <v>617121</v>
      </c>
      <c r="L14" s="41">
        <v>387542</v>
      </c>
      <c r="M14" s="41">
        <v>594748.28</v>
      </c>
      <c r="N14" s="41">
        <v>632814.36</v>
      </c>
      <c r="O14" s="41">
        <v>589619</v>
      </c>
      <c r="P14" s="41">
        <v>556587</v>
      </c>
      <c r="Q14" s="41">
        <v>477704</v>
      </c>
      <c r="R14" s="41">
        <v>419984</v>
      </c>
      <c r="S14" s="41">
        <v>503853</v>
      </c>
      <c r="T14" s="41">
        <v>404079</v>
      </c>
      <c r="U14" s="41">
        <v>697592</v>
      </c>
      <c r="V14" s="41">
        <v>613537</v>
      </c>
      <c r="W14" s="41">
        <v>496511</v>
      </c>
      <c r="X14" s="151">
        <v>499202</v>
      </c>
      <c r="Y14" s="151">
        <v>857308</v>
      </c>
      <c r="Z14" s="151">
        <v>790692</v>
      </c>
      <c r="AA14" s="151">
        <v>613238</v>
      </c>
      <c r="AB14" s="151">
        <v>575436</v>
      </c>
      <c r="AC14" s="151">
        <v>538367</v>
      </c>
      <c r="AD14" s="151">
        <v>521595.53</v>
      </c>
      <c r="AE14" s="151">
        <v>525927.81000000006</v>
      </c>
      <c r="AF14" s="151">
        <v>648490</v>
      </c>
      <c r="AG14" s="151">
        <v>545521.69000000006</v>
      </c>
      <c r="AH14" s="151">
        <v>665352</v>
      </c>
      <c r="AI14" s="310">
        <v>461751.65</v>
      </c>
      <c r="AJ14" s="310">
        <v>844399.39</v>
      </c>
      <c r="AK14" s="310">
        <v>711289</v>
      </c>
      <c r="AL14" s="310">
        <v>663572</v>
      </c>
      <c r="AM14" s="310">
        <v>1035933</v>
      </c>
      <c r="AN14" s="310">
        <v>748151</v>
      </c>
      <c r="AO14" s="310">
        <v>790490</v>
      </c>
      <c r="AP14" s="310">
        <v>752871</v>
      </c>
      <c r="AQ14" s="310">
        <v>860471</v>
      </c>
      <c r="AR14" s="310">
        <v>687014</v>
      </c>
      <c r="AS14" s="310">
        <v>819361</v>
      </c>
      <c r="AT14" s="310">
        <v>731225</v>
      </c>
      <c r="AU14" s="310">
        <v>888041</v>
      </c>
      <c r="AV14" s="310">
        <v>869994</v>
      </c>
      <c r="AW14" s="310">
        <v>641615</v>
      </c>
      <c r="AX14" s="310">
        <v>607385</v>
      </c>
      <c r="AY14" s="443">
        <v>1045099</v>
      </c>
      <c r="AZ14" s="443">
        <v>798410</v>
      </c>
      <c r="BA14" s="443">
        <v>720743</v>
      </c>
      <c r="BB14" s="443">
        <v>828407</v>
      </c>
      <c r="BC14" s="443">
        <v>840109</v>
      </c>
      <c r="BD14" s="443">
        <v>830010</v>
      </c>
      <c r="BE14" s="443">
        <v>1359474.28</v>
      </c>
      <c r="BF14" s="443">
        <v>977984.76</v>
      </c>
      <c r="BG14" s="443">
        <v>1122942</v>
      </c>
      <c r="BH14" s="443">
        <v>977920.8</v>
      </c>
      <c r="BI14" s="443">
        <v>965710</v>
      </c>
      <c r="BJ14" s="443">
        <v>762401</v>
      </c>
      <c r="BK14" s="443">
        <v>1314333</v>
      </c>
      <c r="BL14" s="443">
        <v>909548</v>
      </c>
      <c r="BM14" s="443">
        <v>1107457</v>
      </c>
      <c r="BN14" s="443">
        <v>805242</v>
      </c>
      <c r="BO14" s="443">
        <v>1066527</v>
      </c>
      <c r="BP14" s="443">
        <v>963658</v>
      </c>
      <c r="BQ14" s="443">
        <v>958301</v>
      </c>
      <c r="BR14" s="443">
        <v>1162861</v>
      </c>
      <c r="BS14" s="443">
        <v>1007541</v>
      </c>
      <c r="BT14" s="443">
        <v>1333401</v>
      </c>
      <c r="BU14" s="443">
        <v>868384</v>
      </c>
      <c r="BV14" s="151">
        <v>837994</v>
      </c>
      <c r="BW14" s="151">
        <v>1040943</v>
      </c>
      <c r="BX14" s="151">
        <v>942809</v>
      </c>
      <c r="BY14" s="151">
        <v>1031733</v>
      </c>
      <c r="BZ14" s="151">
        <v>901161</v>
      </c>
      <c r="CA14" s="151">
        <v>1189948</v>
      </c>
      <c r="CB14" s="151">
        <v>1148668</v>
      </c>
      <c r="CC14" s="151">
        <v>1029314</v>
      </c>
      <c r="CD14" s="151">
        <v>1465582</v>
      </c>
      <c r="CE14" s="151">
        <v>929023</v>
      </c>
      <c r="CF14" s="151">
        <v>1317106</v>
      </c>
      <c r="CG14" s="151">
        <v>857489</v>
      </c>
      <c r="CH14" s="151">
        <v>1491939</v>
      </c>
      <c r="CI14" s="151">
        <v>386723</v>
      </c>
      <c r="CJ14" s="151">
        <v>721418</v>
      </c>
      <c r="CK14" s="151">
        <v>888434</v>
      </c>
      <c r="CL14" s="151">
        <v>867950</v>
      </c>
      <c r="CM14" s="151">
        <v>1444351</v>
      </c>
      <c r="CN14" s="151">
        <v>1502585</v>
      </c>
      <c r="CO14" s="151">
        <v>1464894</v>
      </c>
      <c r="CP14" s="151">
        <v>1607800</v>
      </c>
      <c r="CQ14" s="151">
        <v>1269739</v>
      </c>
      <c r="CR14" s="151">
        <v>1982089</v>
      </c>
      <c r="CS14" s="151">
        <v>1355161</v>
      </c>
      <c r="CT14" s="151">
        <v>1052411</v>
      </c>
      <c r="CU14" s="151">
        <v>1319793</v>
      </c>
      <c r="CV14" s="151">
        <v>1576852</v>
      </c>
      <c r="CW14" s="151">
        <v>1847295</v>
      </c>
      <c r="CX14" s="151">
        <v>2612466</v>
      </c>
      <c r="CY14" s="151">
        <v>1025022</v>
      </c>
      <c r="CZ14" s="151">
        <v>1135987</v>
      </c>
      <c r="DA14" s="151">
        <v>2161695</v>
      </c>
      <c r="DB14" s="151">
        <v>1557022</v>
      </c>
      <c r="DC14" s="151">
        <v>894741</v>
      </c>
      <c r="DD14" s="151">
        <v>2074720</v>
      </c>
      <c r="DE14" s="151">
        <v>1027197</v>
      </c>
      <c r="DF14" s="151">
        <v>1372741</v>
      </c>
      <c r="DG14" s="151">
        <v>1682827</v>
      </c>
      <c r="DH14" s="151">
        <v>783426</v>
      </c>
      <c r="DI14" s="151">
        <v>1059598</v>
      </c>
      <c r="DJ14" s="151">
        <v>1363500</v>
      </c>
      <c r="DK14" s="151">
        <v>1061024</v>
      </c>
      <c r="DL14" s="151">
        <v>1772348</v>
      </c>
      <c r="DM14" s="826">
        <v>2123810</v>
      </c>
      <c r="DN14" s="826">
        <v>1362601</v>
      </c>
      <c r="DO14" s="826">
        <v>955467.08</v>
      </c>
      <c r="DP14" s="826">
        <v>1600939.1399999994</v>
      </c>
      <c r="DQ14" s="826">
        <v>1400855.94</v>
      </c>
      <c r="DR14" s="864">
        <v>1452939.19</v>
      </c>
      <c r="DS14" s="864">
        <v>1632643.1199999999</v>
      </c>
      <c r="DT14" s="826">
        <v>1153259.31</v>
      </c>
      <c r="DU14" s="826">
        <v>1086342.77</v>
      </c>
      <c r="DV14" s="826">
        <v>1506872.45</v>
      </c>
      <c r="DW14" s="826">
        <v>1344235.79</v>
      </c>
      <c r="DX14" s="1122">
        <v>1376350.9399999997</v>
      </c>
      <c r="DY14" s="1122">
        <v>1194803.3200000003</v>
      </c>
      <c r="DZ14" s="1122">
        <v>1406390.63</v>
      </c>
      <c r="EA14" s="1122">
        <v>1689304.23</v>
      </c>
      <c r="EB14" s="1122">
        <v>1880673.2599999998</v>
      </c>
      <c r="EC14" s="1122">
        <v>1307303.49</v>
      </c>
      <c r="ED14" s="1122">
        <v>1455001.1300000001</v>
      </c>
      <c r="EE14" s="374">
        <v>1275601.9199999999</v>
      </c>
      <c r="EF14" s="374">
        <v>1798487.29</v>
      </c>
      <c r="EG14" s="374">
        <v>1567765.76</v>
      </c>
      <c r="EH14" s="374">
        <v>1440542.38</v>
      </c>
      <c r="EI14" s="374">
        <v>1283729.7</v>
      </c>
      <c r="EJ14" s="374">
        <v>1193760.08</v>
      </c>
      <c r="EK14" s="374">
        <v>1424335.41</v>
      </c>
      <c r="EL14" s="374">
        <v>967095.3</v>
      </c>
      <c r="EM14" s="374">
        <v>1590477.13</v>
      </c>
      <c r="EN14" s="1119">
        <f>(VLOOKUP("9080",'Input IS ACCTS'!$A$6:FQ$507,97,FALSE))+(VLOOKUP("9090",'Input IS ACCTS'!$A$6:FQ$507,97,FALSE))</f>
        <v>1454114.59</v>
      </c>
      <c r="EO14" s="1119">
        <f>(VLOOKUP("9080",'Input IS ACCTS'!$A$6:FR$507,98,FALSE))+(VLOOKUP("9090",'Input IS ACCTS'!$A$6:FR$507,98,FALSE))</f>
        <v>1401498.8</v>
      </c>
      <c r="EP14" s="1119">
        <f>(VLOOKUP("9080",'Input IS ACCTS'!$A$6:FS$507,99,FALSE))+(VLOOKUP("9090",'Input IS ACCTS'!$A$6:FS$507,99,FALSE))</f>
        <v>1600464.1099999999</v>
      </c>
    </row>
    <row r="15" spans="1:146">
      <c r="A15" s="1127" t="s">
        <v>2629</v>
      </c>
      <c r="B15" s="29"/>
      <c r="C15" s="41">
        <v>5826937</v>
      </c>
      <c r="D15" s="41">
        <v>5760722</v>
      </c>
      <c r="E15" s="41">
        <v>5643078</v>
      </c>
      <c r="F15" s="41">
        <v>5665970</v>
      </c>
      <c r="G15" s="41">
        <v>5775089</v>
      </c>
      <c r="H15" s="41">
        <v>5519948</v>
      </c>
      <c r="I15" s="41">
        <v>5536891</v>
      </c>
      <c r="J15" s="41">
        <v>5728952</v>
      </c>
      <c r="K15" s="41">
        <v>5492204</v>
      </c>
      <c r="L15" s="41">
        <v>5435922</v>
      </c>
      <c r="M15" s="41">
        <v>5540218</v>
      </c>
      <c r="N15" s="41">
        <v>5727561</v>
      </c>
      <c r="O15" s="148">
        <v>5902606.8000000007</v>
      </c>
      <c r="P15" s="148">
        <v>6118559.8000000007</v>
      </c>
      <c r="Q15" s="148">
        <v>6198741.8000000007</v>
      </c>
      <c r="R15" s="148">
        <v>6126240.7699999996</v>
      </c>
      <c r="S15" s="148">
        <v>6165490.6400000006</v>
      </c>
      <c r="T15" s="148">
        <v>6168898.6400000006</v>
      </c>
      <c r="U15" s="148">
        <v>6433928.6400000006</v>
      </c>
      <c r="V15" s="148">
        <v>6495180.6400000006</v>
      </c>
      <c r="W15" s="148">
        <v>6374570.6400000006</v>
      </c>
      <c r="X15" s="143">
        <v>6486230.6400000006</v>
      </c>
      <c r="Y15" s="143">
        <v>6748790.3599999994</v>
      </c>
      <c r="Z15" s="143">
        <v>6906668</v>
      </c>
      <c r="AA15" s="143">
        <v>6930287</v>
      </c>
      <c r="AB15" s="143">
        <v>6949136</v>
      </c>
      <c r="AC15" s="143">
        <v>7009799</v>
      </c>
      <c r="AD15" s="143">
        <v>7111410.5300000003</v>
      </c>
      <c r="AE15" s="143">
        <v>7133485.3399999999</v>
      </c>
      <c r="AF15" s="143">
        <v>7377896.3399999999</v>
      </c>
      <c r="AG15" s="143">
        <v>7225826.0300000003</v>
      </c>
      <c r="AH15" s="143">
        <v>7277641.0300000003</v>
      </c>
      <c r="AI15" s="311">
        <v>7242881.6800000006</v>
      </c>
      <c r="AJ15" s="311">
        <v>7588079.0700000003</v>
      </c>
      <c r="AK15" s="311">
        <v>7442060.0700000003</v>
      </c>
      <c r="AL15" s="311">
        <v>7314940.0700000003</v>
      </c>
      <c r="AM15" s="311">
        <v>7737635.0699999994</v>
      </c>
      <c r="AN15" s="311">
        <v>7910350.0699999994</v>
      </c>
      <c r="AO15" s="311">
        <v>8162473.0700000003</v>
      </c>
      <c r="AP15" s="311">
        <v>8393748.5399999991</v>
      </c>
      <c r="AQ15" s="311">
        <v>8728291.7300000004</v>
      </c>
      <c r="AR15" s="311">
        <v>8766815.7300000004</v>
      </c>
      <c r="AS15" s="311">
        <v>9040655.0399999991</v>
      </c>
      <c r="AT15" s="311">
        <v>9106528.0399999991</v>
      </c>
      <c r="AU15" s="311">
        <v>9532817.3900000006</v>
      </c>
      <c r="AV15" s="311">
        <v>9558412</v>
      </c>
      <c r="AW15" s="311">
        <v>9488738</v>
      </c>
      <c r="AX15" s="311">
        <v>9432551</v>
      </c>
      <c r="AY15" s="371">
        <v>9945868</v>
      </c>
      <c r="AZ15" s="371">
        <v>10820977</v>
      </c>
      <c r="BA15" s="371">
        <v>11365703</v>
      </c>
      <c r="BB15" s="371">
        <v>11801569</v>
      </c>
      <c r="BC15" s="371">
        <v>11917893</v>
      </c>
      <c r="BD15" s="371">
        <v>12163665</v>
      </c>
      <c r="BE15" s="371">
        <v>12703778.279999999</v>
      </c>
      <c r="BF15" s="371">
        <v>12950538.039999999</v>
      </c>
      <c r="BG15" s="371">
        <v>13185439.039999999</v>
      </c>
      <c r="BH15" s="371">
        <v>13293365.840000002</v>
      </c>
      <c r="BI15" s="371">
        <v>13647538.84</v>
      </c>
      <c r="BJ15" s="371">
        <v>14355348.84</v>
      </c>
      <c r="BK15" s="371">
        <f t="shared" ref="BK15:CP15" si="8">SUM(AZ14:BK14)+SUM(AZ13:BK13)</f>
        <v>14470328.84</v>
      </c>
      <c r="BL15" s="371">
        <f t="shared" si="8"/>
        <v>14572845.84</v>
      </c>
      <c r="BM15" s="371">
        <f t="shared" si="8"/>
        <v>14910920.84</v>
      </c>
      <c r="BN15" s="371">
        <f t="shared" si="8"/>
        <v>14951300.84</v>
      </c>
      <c r="BO15" s="371">
        <f t="shared" si="8"/>
        <v>15015237.84</v>
      </c>
      <c r="BP15" s="371">
        <f t="shared" si="8"/>
        <v>15084657.84</v>
      </c>
      <c r="BQ15" s="371">
        <f t="shared" si="8"/>
        <v>14657689.559999999</v>
      </c>
      <c r="BR15" s="371">
        <f t="shared" si="8"/>
        <v>14816770.800000001</v>
      </c>
      <c r="BS15" s="371">
        <f t="shared" si="8"/>
        <v>14675574.800000001</v>
      </c>
      <c r="BT15" s="371">
        <f t="shared" si="8"/>
        <v>15005260</v>
      </c>
      <c r="BU15" s="371">
        <f t="shared" si="8"/>
        <v>15031287</v>
      </c>
      <c r="BV15" s="371">
        <f t="shared" si="8"/>
        <v>14924716</v>
      </c>
      <c r="BW15" s="371">
        <f t="shared" si="8"/>
        <v>14458829</v>
      </c>
      <c r="BX15" s="371">
        <f t="shared" si="8"/>
        <v>14084385</v>
      </c>
      <c r="BY15" s="371">
        <f t="shared" si="8"/>
        <v>13576990</v>
      </c>
      <c r="BZ15" s="371">
        <f t="shared" si="8"/>
        <v>13342433</v>
      </c>
      <c r="CA15" s="371">
        <f t="shared" si="8"/>
        <v>13313611</v>
      </c>
      <c r="CB15" s="371">
        <f t="shared" si="8"/>
        <v>13282035</v>
      </c>
      <c r="CC15" s="371">
        <f t="shared" si="8"/>
        <v>13200805</v>
      </c>
      <c r="CD15" s="371">
        <f t="shared" si="8"/>
        <v>13351283</v>
      </c>
      <c r="CE15" s="371">
        <f t="shared" si="8"/>
        <v>13120522</v>
      </c>
      <c r="CF15" s="371">
        <f t="shared" si="8"/>
        <v>12951984</v>
      </c>
      <c r="CG15" s="371">
        <f t="shared" si="8"/>
        <v>12765990</v>
      </c>
      <c r="CH15" s="371">
        <f t="shared" si="8"/>
        <v>12871263</v>
      </c>
      <c r="CI15" s="371">
        <f t="shared" si="8"/>
        <v>13005134</v>
      </c>
      <c r="CJ15" s="371">
        <f t="shared" si="8"/>
        <v>12909832</v>
      </c>
      <c r="CK15" s="371">
        <f t="shared" si="8"/>
        <v>12907393</v>
      </c>
      <c r="CL15" s="371">
        <f t="shared" si="8"/>
        <v>13048219</v>
      </c>
      <c r="CM15" s="371">
        <f t="shared" si="8"/>
        <v>13480660</v>
      </c>
      <c r="CN15" s="371">
        <f t="shared" si="8"/>
        <v>14012615</v>
      </c>
      <c r="CO15" s="371">
        <f t="shared" si="8"/>
        <v>14626233</v>
      </c>
      <c r="CP15" s="371">
        <f t="shared" si="8"/>
        <v>14946489</v>
      </c>
      <c r="CQ15" s="371">
        <f t="shared" ref="CQ15:DV15" si="9">SUM(CF14:CQ14)+SUM(CF13:CQ13)</f>
        <v>15465243</v>
      </c>
      <c r="CR15" s="371">
        <f t="shared" si="9"/>
        <v>16308264</v>
      </c>
      <c r="CS15" s="371">
        <f t="shared" si="9"/>
        <v>16827604</v>
      </c>
      <c r="CT15" s="371">
        <f t="shared" si="9"/>
        <v>16692508</v>
      </c>
      <c r="CU15" s="371">
        <f t="shared" si="9"/>
        <v>17400609</v>
      </c>
      <c r="CV15" s="371">
        <f t="shared" si="9"/>
        <v>17908880</v>
      </c>
      <c r="CW15" s="371">
        <f t="shared" si="9"/>
        <v>18592718</v>
      </c>
      <c r="CX15" s="371">
        <f t="shared" si="9"/>
        <v>20069798</v>
      </c>
      <c r="CY15" s="371">
        <f t="shared" si="9"/>
        <v>19723592</v>
      </c>
      <c r="CZ15" s="371">
        <f t="shared" si="9"/>
        <v>19538158</v>
      </c>
      <c r="DA15" s="371">
        <f t="shared" si="9"/>
        <v>20416123</v>
      </c>
      <c r="DB15" s="371">
        <f t="shared" si="9"/>
        <v>20546509</v>
      </c>
      <c r="DC15" s="371">
        <f t="shared" si="9"/>
        <v>20401255</v>
      </c>
      <c r="DD15" s="371">
        <f t="shared" si="9"/>
        <v>20675050</v>
      </c>
      <c r="DE15" s="371">
        <f t="shared" si="9"/>
        <v>20528250</v>
      </c>
      <c r="DF15" s="371">
        <f t="shared" si="9"/>
        <v>20942224</v>
      </c>
      <c r="DG15" s="371">
        <f t="shared" si="9"/>
        <v>20991548</v>
      </c>
      <c r="DH15" s="371">
        <f t="shared" si="9"/>
        <v>21341988</v>
      </c>
      <c r="DI15" s="371">
        <f t="shared" si="9"/>
        <v>21221772</v>
      </c>
      <c r="DJ15" s="371">
        <f t="shared" si="9"/>
        <v>20222297</v>
      </c>
      <c r="DK15" s="371">
        <f t="shared" si="9"/>
        <v>20551052</v>
      </c>
      <c r="DL15" s="371">
        <f t="shared" si="9"/>
        <v>21125805</v>
      </c>
      <c r="DM15" s="371">
        <f t="shared" si="9"/>
        <v>21026312</v>
      </c>
      <c r="DN15" s="371">
        <f t="shared" si="9"/>
        <v>20770283</v>
      </c>
      <c r="DO15" s="371">
        <f t="shared" si="9"/>
        <v>20802879.079999998</v>
      </c>
      <c r="DP15" s="371">
        <f t="shared" si="9"/>
        <v>20267490.219999999</v>
      </c>
      <c r="DQ15" s="371">
        <f t="shared" si="9"/>
        <v>20579541.159999996</v>
      </c>
      <c r="DR15" s="371">
        <f t="shared" si="9"/>
        <v>20808109.349999998</v>
      </c>
      <c r="DS15" s="371">
        <f t="shared" si="9"/>
        <v>20823295.469999999</v>
      </c>
      <c r="DT15" s="371">
        <f t="shared" si="9"/>
        <v>20782776.779999997</v>
      </c>
      <c r="DU15" s="371">
        <f t="shared" si="9"/>
        <v>20981566.549999997</v>
      </c>
      <c r="DV15" s="371">
        <f t="shared" si="9"/>
        <v>21105343.999999996</v>
      </c>
      <c r="DW15" s="371">
        <f t="shared" ref="DW15:EJ15" si="10">SUM(DL14:DW14)+SUM(DL13:DW13)</f>
        <v>21252575.789999999</v>
      </c>
      <c r="DX15" s="371">
        <f t="shared" si="10"/>
        <v>20966918.73</v>
      </c>
      <c r="DY15" s="371">
        <f t="shared" si="10"/>
        <v>20148252.049999997</v>
      </c>
      <c r="DZ15" s="371">
        <f t="shared" si="10"/>
        <v>20302381.68</v>
      </c>
      <c r="EA15" s="371">
        <f t="shared" si="10"/>
        <v>21064500.829999998</v>
      </c>
      <c r="EB15" s="371">
        <f t="shared" si="10"/>
        <v>21454574.950000003</v>
      </c>
      <c r="EC15" s="371">
        <f t="shared" si="10"/>
        <v>21471362.5</v>
      </c>
      <c r="ED15" s="371">
        <f t="shared" si="10"/>
        <v>21492791.439999998</v>
      </c>
      <c r="EE15" s="371">
        <f t="shared" si="10"/>
        <v>21659111.240000002</v>
      </c>
      <c r="EF15" s="371">
        <f t="shared" si="10"/>
        <v>21622608.219999999</v>
      </c>
      <c r="EG15" s="371">
        <f t="shared" si="10"/>
        <v>21431992.210000001</v>
      </c>
      <c r="EH15" s="371">
        <f t="shared" si="10"/>
        <v>21422296.140000001</v>
      </c>
      <c r="EI15" s="371">
        <f t="shared" si="10"/>
        <v>21237789.050000001</v>
      </c>
      <c r="EJ15" s="371">
        <f t="shared" si="10"/>
        <v>20921194.189999998</v>
      </c>
      <c r="EK15" s="371">
        <f t="shared" ref="EK15:EP15" si="11">SUM(DZ14:EK14)+SUM(DZ13:EK13)</f>
        <v>21016722.279999997</v>
      </c>
      <c r="EL15" s="371">
        <f t="shared" si="11"/>
        <v>20497030.949999999</v>
      </c>
      <c r="EM15" s="371">
        <f t="shared" si="11"/>
        <v>20264199.850000001</v>
      </c>
      <c r="EN15" s="371">
        <f t="shared" si="11"/>
        <v>19703637.18</v>
      </c>
      <c r="EO15" s="371">
        <f t="shared" si="11"/>
        <v>19663828.490000002</v>
      </c>
      <c r="EP15" s="371">
        <f t="shared" si="11"/>
        <v>19628651.469999999</v>
      </c>
    </row>
    <row r="17" spans="1:146">
      <c r="A17" s="1118" t="s">
        <v>2630</v>
      </c>
      <c r="B17" s="29"/>
      <c r="C17" s="41"/>
      <c r="D17" s="41"/>
      <c r="E17" s="41"/>
      <c r="F17" s="41"/>
      <c r="G17" s="41"/>
      <c r="H17" s="41"/>
      <c r="I17" s="41"/>
      <c r="J17" s="41"/>
      <c r="K17" s="41"/>
      <c r="L17" s="41"/>
      <c r="M17" s="41"/>
      <c r="N17" s="41"/>
      <c r="O17" s="148"/>
      <c r="P17" s="148"/>
      <c r="Q17" s="148"/>
      <c r="R17" s="148"/>
      <c r="S17" s="148"/>
      <c r="T17" s="148"/>
      <c r="U17" s="148"/>
      <c r="V17" s="148"/>
      <c r="W17" s="148"/>
      <c r="X17" s="143"/>
      <c r="Y17" s="143"/>
      <c r="Z17" s="143"/>
      <c r="AA17" s="143"/>
      <c r="AB17" s="143"/>
      <c r="AC17" s="143"/>
      <c r="AD17" s="143"/>
      <c r="AE17" s="143"/>
      <c r="AF17" s="143"/>
      <c r="AG17" s="143"/>
      <c r="AH17" s="143"/>
      <c r="AI17" s="311"/>
      <c r="AJ17" s="311"/>
      <c r="AK17" s="311"/>
      <c r="AL17" s="311"/>
      <c r="AM17" s="311"/>
      <c r="AN17" s="311"/>
      <c r="AO17" s="311"/>
      <c r="AP17" s="311"/>
      <c r="AQ17" s="311"/>
      <c r="AR17" s="311"/>
      <c r="AS17" s="311"/>
      <c r="AT17" s="311"/>
      <c r="AU17" s="311"/>
      <c r="AV17" s="311"/>
      <c r="AW17" s="311"/>
      <c r="AX17" s="311"/>
      <c r="AY17" s="444">
        <v>0</v>
      </c>
      <c r="AZ17" s="444">
        <v>0</v>
      </c>
      <c r="BA17" s="444">
        <v>0</v>
      </c>
      <c r="BB17" s="444">
        <v>0</v>
      </c>
      <c r="BC17" s="444">
        <v>0</v>
      </c>
      <c r="BD17" s="444">
        <v>0</v>
      </c>
      <c r="BE17" s="444">
        <v>512011</v>
      </c>
      <c r="BF17" s="444">
        <v>202925</v>
      </c>
      <c r="BG17" s="444">
        <v>291582</v>
      </c>
      <c r="BH17" s="444">
        <v>108285</v>
      </c>
      <c r="BI17" s="444">
        <v>0</v>
      </c>
      <c r="BJ17" s="444">
        <v>0</v>
      </c>
      <c r="BK17" s="444">
        <v>0</v>
      </c>
      <c r="BL17" s="444">
        <v>0</v>
      </c>
      <c r="BM17" s="444">
        <v>0</v>
      </c>
      <c r="BN17" s="444">
        <v>0</v>
      </c>
      <c r="BO17" s="444">
        <v>65065</v>
      </c>
      <c r="BP17" s="444">
        <v>0</v>
      </c>
      <c r="BQ17" s="444">
        <v>19797</v>
      </c>
      <c r="BR17" s="444">
        <v>208974</v>
      </c>
      <c r="BS17" s="444">
        <v>90502</v>
      </c>
      <c r="BT17" s="444">
        <v>380393</v>
      </c>
      <c r="BU17" s="444">
        <v>0</v>
      </c>
      <c r="BV17" s="483">
        <v>0</v>
      </c>
      <c r="BW17" s="483">
        <v>0</v>
      </c>
      <c r="BX17" s="483">
        <v>0</v>
      </c>
      <c r="BY17" s="483">
        <v>0</v>
      </c>
      <c r="BZ17" s="483">
        <v>0</v>
      </c>
      <c r="CA17" s="483">
        <v>144189</v>
      </c>
      <c r="CB17" s="483">
        <v>195014</v>
      </c>
      <c r="CC17" s="483">
        <v>128184</v>
      </c>
      <c r="CD17" s="483">
        <v>619807</v>
      </c>
      <c r="CE17" s="483">
        <v>41764</v>
      </c>
      <c r="CF17" s="483">
        <v>427683</v>
      </c>
      <c r="CG17" s="483">
        <v>0</v>
      </c>
      <c r="CH17" s="483">
        <v>302247</v>
      </c>
      <c r="CI17" s="483">
        <v>-15801</v>
      </c>
      <c r="CJ17" s="483">
        <v>-15801</v>
      </c>
      <c r="CK17" s="483">
        <v>-15801</v>
      </c>
      <c r="CL17" s="483">
        <v>-15801</v>
      </c>
      <c r="CM17" s="483">
        <v>438293</v>
      </c>
      <c r="CN17" s="483">
        <v>624623</v>
      </c>
      <c r="CO17" s="483">
        <v>656389</v>
      </c>
      <c r="CP17" s="483">
        <v>826590</v>
      </c>
      <c r="CQ17" s="483">
        <v>399027</v>
      </c>
      <c r="CR17" s="657">
        <v>1197956</v>
      </c>
      <c r="CS17" s="657">
        <v>392075</v>
      </c>
      <c r="CT17" s="657">
        <v>-15801</v>
      </c>
      <c r="CU17" s="657">
        <v>-181164</v>
      </c>
      <c r="CV17" s="657">
        <v>-181164</v>
      </c>
      <c r="CW17" s="657">
        <v>291716</v>
      </c>
      <c r="CX17" s="657">
        <v>997193</v>
      </c>
      <c r="CY17" s="657">
        <v>-181164</v>
      </c>
      <c r="CZ17" s="657">
        <v>111104</v>
      </c>
      <c r="DA17" s="657">
        <v>1268349</v>
      </c>
      <c r="DB17" s="657">
        <v>712465</v>
      </c>
      <c r="DC17" s="657">
        <v>0</v>
      </c>
      <c r="DD17" s="657">
        <v>1217780</v>
      </c>
      <c r="DE17" s="657">
        <v>51668</v>
      </c>
      <c r="DF17" s="657">
        <v>0</v>
      </c>
      <c r="DG17" s="657">
        <v>0</v>
      </c>
      <c r="DH17" s="657">
        <v>0</v>
      </c>
      <c r="DI17" s="657">
        <v>0</v>
      </c>
      <c r="DJ17" s="657">
        <v>0</v>
      </c>
      <c r="DK17" s="657">
        <v>0</v>
      </c>
      <c r="DL17" s="657">
        <v>677865</v>
      </c>
      <c r="DM17" s="657">
        <v>1098139</v>
      </c>
      <c r="DN17" s="657">
        <v>356143</v>
      </c>
      <c r="DO17" s="657">
        <v>0</v>
      </c>
      <c r="DP17" s="657">
        <v>563046</v>
      </c>
      <c r="DQ17" s="657">
        <v>209982</v>
      </c>
      <c r="DR17" s="657">
        <v>0</v>
      </c>
      <c r="DS17" s="657">
        <v>0</v>
      </c>
      <c r="DT17" s="657">
        <v>0</v>
      </c>
      <c r="DU17" s="657">
        <v>0</v>
      </c>
      <c r="DV17" s="657">
        <v>260945</v>
      </c>
      <c r="DW17" s="657">
        <v>254313</v>
      </c>
      <c r="DX17" s="374">
        <v>315452</v>
      </c>
      <c r="DY17" s="374">
        <v>263835</v>
      </c>
      <c r="DZ17" s="374">
        <v>496526</v>
      </c>
      <c r="EA17" s="374">
        <v>790149</v>
      </c>
      <c r="EB17" s="374">
        <v>903910</v>
      </c>
      <c r="EC17" s="374">
        <v>133416</v>
      </c>
      <c r="ED17" s="374">
        <v>0</v>
      </c>
      <c r="EE17" s="374">
        <v>0</v>
      </c>
      <c r="EF17" s="374">
        <v>0</v>
      </c>
      <c r="EG17" s="374">
        <v>0</v>
      </c>
      <c r="EH17" s="374">
        <v>-1900</v>
      </c>
      <c r="EI17" s="374">
        <v>0</v>
      </c>
      <c r="EJ17" s="374">
        <v>12226</v>
      </c>
      <c r="EK17" s="374">
        <v>300183</v>
      </c>
      <c r="EL17" s="374">
        <v>0</v>
      </c>
      <c r="EM17" s="374">
        <v>504358</v>
      </c>
      <c r="EN17" s="1119">
        <f>-(VLOOKUP("4074140",'Input IS ACCTS'!$A$6:$EB$507,97,FALSE)+(VLOOKUP("4074141",'Input IS ACCTS'!$A$6:$EB$507,97,FALSE)))</f>
        <v>391595</v>
      </c>
      <c r="EO17" s="1119">
        <f>-(VLOOKUP("4074140",'Input IS ACCTS'!$A$6:$EB$507,98,FALSE)+(VLOOKUP("4074141",'Input IS ACCTS'!$A$6:$EB$507,98,FALSE)))</f>
        <v>140516</v>
      </c>
      <c r="EP17" s="1119">
        <f>-(VLOOKUP("4074140",'Input IS ACCTS'!$A$6:$EB$507,99,FALSE)+(VLOOKUP("4074141",'Input IS ACCTS'!$A$6:$EB$507,99,FALSE)))</f>
        <v>0</v>
      </c>
    </row>
    <row r="18" spans="1:146">
      <c r="A18" s="1118" t="s">
        <v>2657</v>
      </c>
      <c r="B18" s="29"/>
      <c r="C18" s="41"/>
      <c r="D18" s="41"/>
      <c r="E18" s="41"/>
      <c r="F18" s="41"/>
      <c r="G18" s="41"/>
      <c r="H18" s="41"/>
      <c r="I18" s="41"/>
      <c r="J18" s="41"/>
      <c r="K18" s="41"/>
      <c r="L18" s="41"/>
      <c r="M18" s="41"/>
      <c r="N18" s="41"/>
      <c r="O18" s="148"/>
      <c r="P18" s="148"/>
      <c r="Q18" s="148"/>
      <c r="R18" s="148"/>
      <c r="S18" s="148"/>
      <c r="T18" s="148"/>
      <c r="U18" s="148"/>
      <c r="V18" s="148"/>
      <c r="W18" s="148"/>
      <c r="X18" s="143"/>
      <c r="Y18" s="143"/>
      <c r="Z18" s="143"/>
      <c r="AA18" s="143"/>
      <c r="AB18" s="143"/>
      <c r="AC18" s="143"/>
      <c r="AD18" s="143"/>
      <c r="AE18" s="143"/>
      <c r="AF18" s="143"/>
      <c r="AG18" s="143"/>
      <c r="AH18" s="143"/>
      <c r="AI18" s="311"/>
      <c r="AJ18" s="311"/>
      <c r="AK18" s="311"/>
      <c r="AL18" s="311"/>
      <c r="AM18" s="311"/>
      <c r="AN18" s="311"/>
      <c r="AO18" s="311"/>
      <c r="AP18" s="311"/>
      <c r="AQ18" s="311"/>
      <c r="AR18" s="311"/>
      <c r="AS18" s="311"/>
      <c r="AT18" s="311"/>
      <c r="AU18" s="311"/>
      <c r="AV18" s="311"/>
      <c r="AW18" s="311"/>
      <c r="AX18" s="311"/>
      <c r="AY18" s="443">
        <v>1549250.45</v>
      </c>
      <c r="AZ18" s="443">
        <v>1623259.76</v>
      </c>
      <c r="BA18" s="443">
        <v>1335215.47</v>
      </c>
      <c r="BB18" s="443">
        <v>1188737.49</v>
      </c>
      <c r="BC18" s="443">
        <v>976794.97</v>
      </c>
      <c r="BD18" s="443">
        <v>932785.45</v>
      </c>
      <c r="BE18" s="443">
        <v>847463.24</v>
      </c>
      <c r="BF18" s="443">
        <v>775059.97</v>
      </c>
      <c r="BG18" s="443">
        <v>831360.02</v>
      </c>
      <c r="BH18" s="443">
        <v>869635.27</v>
      </c>
      <c r="BI18" s="443">
        <v>995788.41</v>
      </c>
      <c r="BJ18" s="443">
        <v>1315195.6399999999</v>
      </c>
      <c r="BK18" s="443">
        <v>1664229.92</v>
      </c>
      <c r="BL18" s="443">
        <v>1725776.62</v>
      </c>
      <c r="BM18" s="443">
        <v>1673290.71</v>
      </c>
      <c r="BN18" s="443">
        <v>1229117.07</v>
      </c>
      <c r="BO18" s="443">
        <v>975666.7</v>
      </c>
      <c r="BP18" s="443">
        <v>1002205.77</v>
      </c>
      <c r="BQ18" s="443">
        <v>912709</v>
      </c>
      <c r="BR18" s="443">
        <v>928092</v>
      </c>
      <c r="BS18" s="443">
        <v>891243</v>
      </c>
      <c r="BT18" s="443">
        <v>927213</v>
      </c>
      <c r="BU18" s="443">
        <v>1021816</v>
      </c>
      <c r="BV18" s="151">
        <v>1208624</v>
      </c>
      <c r="BW18" s="151">
        <v>1198343</v>
      </c>
      <c r="BX18" s="151">
        <v>1351333</v>
      </c>
      <c r="BY18" s="151">
        <v>1165896</v>
      </c>
      <c r="BZ18" s="151">
        <v>994560</v>
      </c>
      <c r="CA18" s="151">
        <v>867721</v>
      </c>
      <c r="CB18" s="151">
        <v>775616</v>
      </c>
      <c r="CC18" s="151">
        <v>723092</v>
      </c>
      <c r="CD18" s="151">
        <v>667736</v>
      </c>
      <c r="CE18" s="151">
        <v>709221</v>
      </c>
      <c r="CF18" s="151">
        <v>711384</v>
      </c>
      <c r="CG18" s="151">
        <v>835821</v>
      </c>
      <c r="CH18" s="151">
        <v>1011650</v>
      </c>
      <c r="CI18" s="151">
        <v>1348016</v>
      </c>
      <c r="CJ18" s="151">
        <v>1266415</v>
      </c>
      <c r="CK18" s="151">
        <v>1184675</v>
      </c>
      <c r="CL18" s="151">
        <v>1151187</v>
      </c>
      <c r="CM18" s="151">
        <v>1006057</v>
      </c>
      <c r="CN18" s="151">
        <v>877961</v>
      </c>
      <c r="CO18" s="151">
        <v>808505</v>
      </c>
      <c r="CP18" s="151">
        <v>781210</v>
      </c>
      <c r="CQ18" s="151">
        <v>870712</v>
      </c>
      <c r="CR18" s="151">
        <v>784133</v>
      </c>
      <c r="CS18" s="151">
        <v>963086</v>
      </c>
      <c r="CT18" s="151">
        <v>1194601</v>
      </c>
      <c r="CU18" s="151">
        <v>2221480</v>
      </c>
      <c r="CV18" s="151">
        <v>1945467</v>
      </c>
      <c r="CW18" s="151">
        <v>1555578</v>
      </c>
      <c r="CX18" s="151">
        <v>1615274</v>
      </c>
      <c r="CY18" s="151">
        <v>1279309</v>
      </c>
      <c r="CZ18" s="151">
        <v>1206047</v>
      </c>
      <c r="DA18" s="151">
        <v>1074510</v>
      </c>
      <c r="DB18" s="151">
        <v>1025721</v>
      </c>
      <c r="DC18" s="151">
        <v>1124485</v>
      </c>
      <c r="DD18" s="151">
        <v>1038105</v>
      </c>
      <c r="DE18" s="151">
        <v>1156693</v>
      </c>
      <c r="DF18" s="151">
        <v>1592775</v>
      </c>
      <c r="DG18" s="151">
        <v>2089639.75</v>
      </c>
      <c r="DH18" s="151">
        <v>2114741.98</v>
      </c>
      <c r="DI18" s="151">
        <v>1727079.1</v>
      </c>
      <c r="DJ18" s="151">
        <v>1612990.88</v>
      </c>
      <c r="DK18" s="151">
        <v>1426900.47</v>
      </c>
      <c r="DL18" s="151">
        <v>1214039.6299999999</v>
      </c>
      <c r="DM18" s="826">
        <v>1145227.18</v>
      </c>
      <c r="DN18" s="826">
        <v>1126014.02</v>
      </c>
      <c r="DO18" s="826">
        <v>1157081</v>
      </c>
      <c r="DP18" s="826">
        <v>1157449.17</v>
      </c>
      <c r="DQ18" s="826">
        <v>1310429.8799999999</v>
      </c>
      <c r="DR18" s="826">
        <v>1821342.98</v>
      </c>
      <c r="DS18" s="826">
        <v>2104825.4527363186</v>
      </c>
      <c r="DT18" s="826">
        <v>2074223.393034826</v>
      </c>
      <c r="DU18" s="826">
        <v>1925868.3980099505</v>
      </c>
      <c r="DV18" s="826">
        <v>1475823.064676617</v>
      </c>
      <c r="DW18" s="826">
        <v>1319818.3084577115</v>
      </c>
      <c r="DX18" s="1122">
        <v>1290794.5174129354</v>
      </c>
      <c r="DY18" s="1122">
        <v>1160864.1890547264</v>
      </c>
      <c r="DZ18" s="1122">
        <v>1139760.6368159205</v>
      </c>
      <c r="EA18" s="1122">
        <v>1129050.8258706469</v>
      </c>
      <c r="EB18" s="1122">
        <v>1206659.721393035</v>
      </c>
      <c r="EC18" s="1122">
        <v>1403783.4825870648</v>
      </c>
      <c r="ED18" s="1122">
        <v>1842772.288557214</v>
      </c>
      <c r="EE18" s="1169">
        <v>2271144.79</v>
      </c>
      <c r="EF18" s="1169">
        <v>2037720.8</v>
      </c>
      <c r="EG18" s="1169">
        <v>1735252.44</v>
      </c>
      <c r="EH18" s="1169">
        <v>1728972.43</v>
      </c>
      <c r="EI18" s="1169">
        <v>1389625.1</v>
      </c>
      <c r="EJ18" s="1169">
        <v>1277426.24</v>
      </c>
      <c r="EK18" s="1169">
        <v>1220044.76</v>
      </c>
      <c r="EL18" s="1169">
        <v>1116595.76</v>
      </c>
      <c r="EM18" s="1169">
        <v>1182011.53</v>
      </c>
      <c r="EN18" s="1182">
        <f>-(VLOOKUP("4950203",'Input IS ACCTS'!$A$6:FP$507,97,FALSE))</f>
        <v>1158411.58</v>
      </c>
      <c r="EO18" s="1182">
        <f>-(VLOOKUP("4950203",'Input IS ACCTS'!$A$6:FQ$507,98,FALSE))</f>
        <v>1356875</v>
      </c>
      <c r="EP18" s="1182">
        <f>-(VLOOKUP("4950203",'Input IS ACCTS'!$A$6:FR$507,99,FALSE))</f>
        <v>1807593.46</v>
      </c>
    </row>
    <row r="19" spans="1:146">
      <c r="A19" s="1127" t="s">
        <v>2631</v>
      </c>
      <c r="B19" s="29"/>
      <c r="C19" s="41"/>
      <c r="D19" s="41"/>
      <c r="E19" s="41"/>
      <c r="F19" s="41"/>
      <c r="G19" s="41"/>
      <c r="H19" s="41"/>
      <c r="I19" s="41"/>
      <c r="J19" s="41"/>
      <c r="K19" s="41"/>
      <c r="L19" s="41"/>
      <c r="M19" s="41"/>
      <c r="N19" s="41"/>
      <c r="O19" s="148"/>
      <c r="P19" s="148"/>
      <c r="Q19" s="148"/>
      <c r="R19" s="148"/>
      <c r="S19" s="148"/>
      <c r="T19" s="148"/>
      <c r="U19" s="148"/>
      <c r="V19" s="148"/>
      <c r="W19" s="148"/>
      <c r="X19" s="143"/>
      <c r="Y19" s="143"/>
      <c r="Z19" s="143"/>
      <c r="AA19" s="143"/>
      <c r="AB19" s="143"/>
      <c r="AC19" s="143"/>
      <c r="AD19" s="143"/>
      <c r="AE19" s="143"/>
      <c r="AF19" s="143"/>
      <c r="AG19" s="143"/>
      <c r="AH19" s="143"/>
      <c r="AI19" s="311"/>
      <c r="AJ19" s="311"/>
      <c r="AK19" s="311"/>
      <c r="AL19" s="311"/>
      <c r="AM19" s="311"/>
      <c r="AN19" s="311"/>
      <c r="AO19" s="311"/>
      <c r="AP19" s="311"/>
      <c r="AQ19" s="311"/>
      <c r="AR19" s="311"/>
      <c r="AS19" s="311"/>
      <c r="AT19" s="311"/>
      <c r="AU19" s="311"/>
      <c r="AV19" s="311"/>
      <c r="AW19" s="311"/>
      <c r="AX19" s="311"/>
      <c r="AY19" s="371">
        <v>1549250.45</v>
      </c>
      <c r="AZ19" s="371">
        <v>3172510.21</v>
      </c>
      <c r="BA19" s="371">
        <v>4507725.68</v>
      </c>
      <c r="BB19" s="371">
        <v>5696463.1699999999</v>
      </c>
      <c r="BC19" s="371">
        <v>6673258.1399999997</v>
      </c>
      <c r="BD19" s="371">
        <v>7606043.5899999999</v>
      </c>
      <c r="BE19" s="371">
        <v>8965517.8300000001</v>
      </c>
      <c r="BF19" s="371">
        <v>9943502.8000000007</v>
      </c>
      <c r="BG19" s="371">
        <v>11066444.82</v>
      </c>
      <c r="BH19" s="371">
        <v>12044365.09</v>
      </c>
      <c r="BI19" s="371">
        <v>13040153.5</v>
      </c>
      <c r="BJ19" s="371">
        <v>14355349.140000001</v>
      </c>
      <c r="BK19" s="371">
        <f t="shared" ref="BK19:CP19" si="12">SUM(AZ18:BK18)+SUM(AZ17:BK17)</f>
        <v>14470328.609999999</v>
      </c>
      <c r="BL19" s="371">
        <f t="shared" si="12"/>
        <v>14572845.469999999</v>
      </c>
      <c r="BM19" s="371">
        <f t="shared" si="12"/>
        <v>14910920.710000001</v>
      </c>
      <c r="BN19" s="371">
        <f t="shared" si="12"/>
        <v>14951300.290000003</v>
      </c>
      <c r="BO19" s="371">
        <f t="shared" si="12"/>
        <v>15015237.02</v>
      </c>
      <c r="BP19" s="371">
        <f t="shared" si="12"/>
        <v>15084657.34</v>
      </c>
      <c r="BQ19" s="371">
        <f t="shared" si="12"/>
        <v>14657689.099999998</v>
      </c>
      <c r="BR19" s="371">
        <f t="shared" si="12"/>
        <v>14816770.129999999</v>
      </c>
      <c r="BS19" s="371">
        <f t="shared" si="12"/>
        <v>14675573.109999999</v>
      </c>
      <c r="BT19" s="371">
        <f t="shared" si="12"/>
        <v>15005258.839999998</v>
      </c>
      <c r="BU19" s="371">
        <f t="shared" si="12"/>
        <v>15031286.43</v>
      </c>
      <c r="BV19" s="371">
        <f t="shared" si="12"/>
        <v>14924714.790000001</v>
      </c>
      <c r="BW19" s="371">
        <f t="shared" si="12"/>
        <v>14458827.870000001</v>
      </c>
      <c r="BX19" s="371">
        <f t="shared" si="12"/>
        <v>14084384.25</v>
      </c>
      <c r="BY19" s="371">
        <f t="shared" si="12"/>
        <v>13576989.539999999</v>
      </c>
      <c r="BZ19" s="371">
        <f t="shared" si="12"/>
        <v>13342432.469999999</v>
      </c>
      <c r="CA19" s="371">
        <f t="shared" si="12"/>
        <v>13313610.77</v>
      </c>
      <c r="CB19" s="371">
        <f t="shared" si="12"/>
        <v>13282035</v>
      </c>
      <c r="CC19" s="371">
        <f t="shared" si="12"/>
        <v>13200805</v>
      </c>
      <c r="CD19" s="371">
        <f t="shared" si="12"/>
        <v>13351282</v>
      </c>
      <c r="CE19" s="371">
        <f t="shared" si="12"/>
        <v>13120522</v>
      </c>
      <c r="CF19" s="371">
        <f t="shared" si="12"/>
        <v>12951983</v>
      </c>
      <c r="CG19" s="371">
        <f t="shared" si="12"/>
        <v>12765988</v>
      </c>
      <c r="CH19" s="371">
        <f t="shared" si="12"/>
        <v>12871261</v>
      </c>
      <c r="CI19" s="371">
        <f t="shared" si="12"/>
        <v>13005133</v>
      </c>
      <c r="CJ19" s="371">
        <f t="shared" si="12"/>
        <v>12904414</v>
      </c>
      <c r="CK19" s="371">
        <f t="shared" si="12"/>
        <v>12907392</v>
      </c>
      <c r="CL19" s="371">
        <f t="shared" si="12"/>
        <v>13048218</v>
      </c>
      <c r="CM19" s="371">
        <f t="shared" si="12"/>
        <v>13480658</v>
      </c>
      <c r="CN19" s="371">
        <f t="shared" si="12"/>
        <v>14012612</v>
      </c>
      <c r="CO19" s="371">
        <f t="shared" si="12"/>
        <v>14626230</v>
      </c>
      <c r="CP19" s="371">
        <f t="shared" si="12"/>
        <v>14946487</v>
      </c>
      <c r="CQ19" s="371">
        <f t="shared" ref="CQ19:DV19" si="13">SUM(CF18:CQ18)+SUM(CF17:CQ17)</f>
        <v>15465241</v>
      </c>
      <c r="CR19" s="371">
        <f t="shared" si="13"/>
        <v>16308263</v>
      </c>
      <c r="CS19" s="371">
        <f t="shared" si="13"/>
        <v>16827603</v>
      </c>
      <c r="CT19" s="371">
        <f t="shared" si="13"/>
        <v>16692506</v>
      </c>
      <c r="CU19" s="371">
        <f t="shared" si="13"/>
        <v>17400607</v>
      </c>
      <c r="CV19" s="371">
        <f t="shared" si="13"/>
        <v>17914296</v>
      </c>
      <c r="CW19" s="371">
        <f t="shared" si="13"/>
        <v>18592716</v>
      </c>
      <c r="CX19" s="371">
        <f t="shared" si="13"/>
        <v>20069797</v>
      </c>
      <c r="CY19" s="371">
        <f t="shared" si="13"/>
        <v>19723592</v>
      </c>
      <c r="CZ19" s="371">
        <f t="shared" si="13"/>
        <v>19538159</v>
      </c>
      <c r="DA19" s="371">
        <f t="shared" si="13"/>
        <v>20416124</v>
      </c>
      <c r="DB19" s="371">
        <f t="shared" si="13"/>
        <v>20546510</v>
      </c>
      <c r="DC19" s="371">
        <f t="shared" si="13"/>
        <v>20401256</v>
      </c>
      <c r="DD19" s="371">
        <f t="shared" si="13"/>
        <v>20675052</v>
      </c>
      <c r="DE19" s="371">
        <f t="shared" si="13"/>
        <v>20528252</v>
      </c>
      <c r="DF19" s="371">
        <f t="shared" si="13"/>
        <v>20942227</v>
      </c>
      <c r="DG19" s="371">
        <f t="shared" si="13"/>
        <v>20991550.75</v>
      </c>
      <c r="DH19" s="371">
        <f t="shared" si="13"/>
        <v>21341989.73</v>
      </c>
      <c r="DI19" s="371">
        <f t="shared" si="13"/>
        <v>21221774.830000002</v>
      </c>
      <c r="DJ19" s="371">
        <f t="shared" si="13"/>
        <v>20222298.710000001</v>
      </c>
      <c r="DK19" s="371">
        <f t="shared" si="13"/>
        <v>20551054.18</v>
      </c>
      <c r="DL19" s="371">
        <f t="shared" si="13"/>
        <v>21125807.810000002</v>
      </c>
      <c r="DM19" s="371">
        <f t="shared" si="13"/>
        <v>21026314.990000002</v>
      </c>
      <c r="DN19" s="371">
        <f t="shared" si="13"/>
        <v>20770286.010000002</v>
      </c>
      <c r="DO19" s="371">
        <f t="shared" si="13"/>
        <v>20802882.010000002</v>
      </c>
      <c r="DP19" s="371">
        <f t="shared" si="13"/>
        <v>20267492.18</v>
      </c>
      <c r="DQ19" s="371">
        <f t="shared" si="13"/>
        <v>20579543.060000002</v>
      </c>
      <c r="DR19" s="371">
        <f t="shared" si="13"/>
        <v>20808111.039999999</v>
      </c>
      <c r="DS19" s="371">
        <f t="shared" si="13"/>
        <v>20823296.742736317</v>
      </c>
      <c r="DT19" s="371">
        <f t="shared" si="13"/>
        <v>20782778.155771144</v>
      </c>
      <c r="DU19" s="371">
        <f t="shared" si="13"/>
        <v>20981567.453781098</v>
      </c>
      <c r="DV19" s="371">
        <f t="shared" si="13"/>
        <v>21105344.638457712</v>
      </c>
      <c r="DW19" s="371">
        <f t="shared" ref="DW19:EJ19" si="14">SUM(DL18:DW18)+SUM(DL17:DW17)</f>
        <v>21252575.476915423</v>
      </c>
      <c r="DX19" s="371">
        <f t="shared" si="14"/>
        <v>20966917.364328358</v>
      </c>
      <c r="DY19" s="371">
        <f t="shared" si="14"/>
        <v>20148250.373383086</v>
      </c>
      <c r="DZ19" s="371">
        <f t="shared" si="14"/>
        <v>20302379.990199003</v>
      </c>
      <c r="EA19" s="371">
        <f t="shared" si="14"/>
        <v>21064498.816069648</v>
      </c>
      <c r="EB19" s="371">
        <f t="shared" si="14"/>
        <v>21454573.367462683</v>
      </c>
      <c r="EC19" s="371">
        <f t="shared" si="14"/>
        <v>21471360.97004975</v>
      </c>
      <c r="ED19" s="371">
        <f t="shared" si="14"/>
        <v>21492790.278606966</v>
      </c>
      <c r="EE19" s="371">
        <f t="shared" si="14"/>
        <v>21659109.615870651</v>
      </c>
      <c r="EF19" s="371">
        <f t="shared" si="14"/>
        <v>21622607.022835825</v>
      </c>
      <c r="EG19" s="371">
        <f t="shared" si="14"/>
        <v>21431991.064825874</v>
      </c>
      <c r="EH19" s="371">
        <f t="shared" si="14"/>
        <v>21422295.430149257</v>
      </c>
      <c r="EI19" s="371">
        <f t="shared" si="14"/>
        <v>21237789.221691545</v>
      </c>
      <c r="EJ19" s="371">
        <f t="shared" si="14"/>
        <v>20921194.944278605</v>
      </c>
      <c r="EK19" s="371">
        <f t="shared" ref="EK19:EP19" si="15">SUM(DZ18:EK18)+SUM(DZ17:EK17)</f>
        <v>21016723.515223879</v>
      </c>
      <c r="EL19" s="371">
        <f t="shared" si="15"/>
        <v>20497032.638407961</v>
      </c>
      <c r="EM19" s="371">
        <f t="shared" si="15"/>
        <v>20264202.342537314</v>
      </c>
      <c r="EN19" s="371">
        <f t="shared" si="15"/>
        <v>19703639.201144278</v>
      </c>
      <c r="EO19" s="371">
        <f t="shared" si="15"/>
        <v>19663830.718557213</v>
      </c>
      <c r="EP19" s="371">
        <f t="shared" si="15"/>
        <v>19628651.889999997</v>
      </c>
    </row>
    <row r="20" spans="1:146">
      <c r="A20" s="1125" t="s">
        <v>2632</v>
      </c>
      <c r="B20" s="152"/>
      <c r="C20" s="144">
        <v>3049415.35</v>
      </c>
      <c r="D20" s="144">
        <v>3130795.16</v>
      </c>
      <c r="E20" s="144">
        <v>3146422.24</v>
      </c>
      <c r="F20" s="144">
        <v>3147488.09</v>
      </c>
      <c r="G20" s="144">
        <v>3148680.27</v>
      </c>
      <c r="H20" s="144">
        <v>3444367.12</v>
      </c>
      <c r="I20" s="144">
        <v>3636930.23</v>
      </c>
      <c r="J20" s="144">
        <v>4038172.65</v>
      </c>
      <c r="K20" s="144">
        <v>4120721</v>
      </c>
      <c r="L20" s="144">
        <v>3750878.87</v>
      </c>
      <c r="M20" s="144">
        <v>3738658.66</v>
      </c>
      <c r="N20" s="144">
        <v>3957281.96</v>
      </c>
      <c r="O20" s="144"/>
      <c r="P20" s="144"/>
      <c r="Q20" s="144"/>
      <c r="R20" s="144"/>
      <c r="S20" s="144"/>
      <c r="T20" s="144"/>
      <c r="U20" s="144"/>
      <c r="V20" s="144"/>
      <c r="W20" s="144"/>
      <c r="X20" s="144"/>
      <c r="Y20" s="144"/>
      <c r="Z20" s="144"/>
      <c r="AA20" s="144"/>
      <c r="AB20" s="144"/>
      <c r="AC20" s="144"/>
      <c r="AD20" s="144"/>
      <c r="AE20" s="144"/>
      <c r="AF20" s="144"/>
      <c r="AG20" s="144"/>
      <c r="AH20" s="144"/>
      <c r="AI20" s="310"/>
      <c r="AJ20" s="310"/>
      <c r="AK20" s="310"/>
      <c r="AL20" s="310"/>
      <c r="AM20" s="310"/>
      <c r="AN20" s="310"/>
      <c r="AO20" s="310"/>
      <c r="AP20" s="310"/>
      <c r="AQ20" s="310"/>
      <c r="AR20" s="310"/>
      <c r="AS20" s="310"/>
      <c r="AT20" s="310"/>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f t="shared" ref="CZ20:DK20" si="16">+CZ19-CZ15</f>
        <v>1</v>
      </c>
      <c r="DA20" s="41">
        <f t="shared" si="16"/>
        <v>1</v>
      </c>
      <c r="DB20" s="41">
        <f t="shared" si="16"/>
        <v>1</v>
      </c>
      <c r="DC20" s="41">
        <f t="shared" si="16"/>
        <v>1</v>
      </c>
      <c r="DD20" s="41">
        <f t="shared" si="16"/>
        <v>2</v>
      </c>
      <c r="DE20" s="41">
        <f t="shared" si="16"/>
        <v>2</v>
      </c>
      <c r="DF20" s="41">
        <f t="shared" si="16"/>
        <v>3</v>
      </c>
      <c r="DG20" s="41">
        <f t="shared" si="16"/>
        <v>2.75</v>
      </c>
      <c r="DH20" s="41">
        <f t="shared" si="16"/>
        <v>1.7300000004470348</v>
      </c>
      <c r="DI20" s="41">
        <f t="shared" si="16"/>
        <v>2.830000001937151</v>
      </c>
      <c r="DJ20" s="41">
        <f t="shared" si="16"/>
        <v>1.7100000008940697</v>
      </c>
      <c r="DK20" s="41">
        <f t="shared" si="16"/>
        <v>2.1799999997019768</v>
      </c>
      <c r="DL20" s="41">
        <f t="shared" ref="DL20:DR20" si="17">+DL19-DL15</f>
        <v>2.8100000023841858</v>
      </c>
      <c r="DM20" s="41">
        <f t="shared" si="17"/>
        <v>2.9900000020861626</v>
      </c>
      <c r="DN20" s="41">
        <f t="shared" si="17"/>
        <v>3.0100000016391277</v>
      </c>
      <c r="DO20" s="41">
        <f t="shared" si="17"/>
        <v>2.9300000034272671</v>
      </c>
      <c r="DP20" s="41">
        <f t="shared" si="17"/>
        <v>1.9600000008940697</v>
      </c>
      <c r="DQ20" s="41">
        <f>+DQ19-DQ15</f>
        <v>1.9000000059604645</v>
      </c>
      <c r="DR20" s="41">
        <f t="shared" si="17"/>
        <v>1.6900000013411045</v>
      </c>
      <c r="DS20" s="41">
        <f t="shared" ref="DS20:DX20" si="18">+DS19-DS15</f>
        <v>1.2727363184094429</v>
      </c>
      <c r="DT20" s="41">
        <f t="shared" si="18"/>
        <v>1.3757711462676525</v>
      </c>
      <c r="DU20" s="41">
        <f t="shared" si="18"/>
        <v>0.90378110110759735</v>
      </c>
      <c r="DV20" s="41">
        <f t="shared" si="18"/>
        <v>0.63845771551132202</v>
      </c>
      <c r="DW20" s="41">
        <f t="shared" si="18"/>
        <v>-0.31308457627892494</v>
      </c>
      <c r="DX20" s="1120">
        <f t="shared" si="18"/>
        <v>-1.3656716421246529</v>
      </c>
      <c r="DY20" s="1120">
        <f t="shared" ref="DY20:ED20" si="19">+DY19-DY15</f>
        <v>-1.6766169108450413</v>
      </c>
      <c r="DZ20" s="1120">
        <f t="shared" si="19"/>
        <v>-1.6898009963333607</v>
      </c>
      <c r="EA20" s="1120">
        <f t="shared" si="19"/>
        <v>-2.0139303505420685</v>
      </c>
      <c r="EB20" s="1120">
        <f t="shared" si="19"/>
        <v>-1.5825373195111752</v>
      </c>
      <c r="EC20" s="1120">
        <f t="shared" si="19"/>
        <v>-1.5299502499401569</v>
      </c>
      <c r="ED20" s="1120">
        <f t="shared" si="19"/>
        <v>-1.1613930314779282</v>
      </c>
      <c r="EE20" s="1120">
        <f t="shared" ref="EE20:EJ20" si="20">+EE19-EE15</f>
        <v>-1.6241293512284756</v>
      </c>
      <c r="EF20" s="1120">
        <f t="shared" si="20"/>
        <v>-1.197164174169302</v>
      </c>
      <c r="EG20" s="1120">
        <f t="shared" si="20"/>
        <v>-1.1451741270720959</v>
      </c>
      <c r="EH20" s="1120">
        <f t="shared" si="20"/>
        <v>-0.7098507434129715</v>
      </c>
      <c r="EI20" s="1120">
        <f t="shared" si="20"/>
        <v>0.17169154435396194</v>
      </c>
      <c r="EJ20" s="1120">
        <f t="shared" si="20"/>
        <v>0.75427860766649246</v>
      </c>
      <c r="EK20" s="1120">
        <f t="shared" ref="EK20:EP20" si="21">+EK19-EK15</f>
        <v>1.2352238819003105</v>
      </c>
      <c r="EL20" s="1120">
        <f t="shared" si="21"/>
        <v>1.6884079612791538</v>
      </c>
      <c r="EM20" s="1120">
        <f t="shared" si="21"/>
        <v>2.4925373122096062</v>
      </c>
      <c r="EN20" s="1120">
        <f t="shared" si="21"/>
        <v>2.0211442783474922</v>
      </c>
      <c r="EO20" s="1120">
        <f t="shared" si="21"/>
        <v>2.2285572104156017</v>
      </c>
      <c r="EP20" s="1120">
        <f t="shared" si="21"/>
        <v>0.41999999806284904</v>
      </c>
    </row>
    <row r="21" spans="1:146">
      <c r="P21" s="3"/>
      <c r="Q21" s="3"/>
      <c r="R21" s="3"/>
      <c r="S21" s="3"/>
      <c r="T21" s="3"/>
      <c r="U21" s="3"/>
      <c r="V21" s="3"/>
      <c r="W21" s="3"/>
      <c r="X21" s="3"/>
      <c r="Y21" s="3"/>
      <c r="Z21" s="3"/>
      <c r="AA21" s="3"/>
      <c r="AC21" s="173"/>
      <c r="AD21" s="173"/>
      <c r="AE21" s="173"/>
      <c r="AF21" s="173"/>
      <c r="AG21" s="173"/>
      <c r="AH21" s="173"/>
      <c r="AI21" s="312"/>
      <c r="AJ21" s="312"/>
      <c r="AK21" s="312"/>
      <c r="AL21" s="312"/>
      <c r="AM21" s="312"/>
      <c r="AN21" s="312"/>
      <c r="AO21" s="312"/>
      <c r="AP21" s="312"/>
      <c r="AQ21" s="312"/>
      <c r="AR21" s="312"/>
      <c r="AS21" s="312"/>
      <c r="AT21" s="312"/>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row>
    <row r="22" spans="1:146">
      <c r="A22" s="1117" t="s">
        <v>2634</v>
      </c>
      <c r="B22" s="164"/>
      <c r="C22" s="41"/>
      <c r="D22" s="41"/>
      <c r="E22" s="41"/>
      <c r="F22" s="41"/>
      <c r="G22" s="41"/>
      <c r="H22" s="41"/>
      <c r="I22" s="41"/>
      <c r="J22" s="41"/>
      <c r="K22" s="41"/>
      <c r="L22" s="41">
        <v>5292.42</v>
      </c>
      <c r="M22" s="41">
        <v>12545</v>
      </c>
      <c r="N22" s="41">
        <v>13981.95</v>
      </c>
      <c r="O22" s="41">
        <v>2175</v>
      </c>
      <c r="P22" s="41">
        <v>49939</v>
      </c>
      <c r="Q22" s="41">
        <v>32465</v>
      </c>
      <c r="R22" s="41">
        <v>7665.82</v>
      </c>
      <c r="S22" s="41">
        <v>11583</v>
      </c>
      <c r="T22" s="41">
        <v>1463</v>
      </c>
      <c r="U22" s="41">
        <v>30638.35</v>
      </c>
      <c r="V22" s="41">
        <v>6120</v>
      </c>
      <c r="W22" s="41">
        <v>2478.09</v>
      </c>
      <c r="X22" s="151">
        <v>12139</v>
      </c>
      <c r="Y22" s="151">
        <v>13191</v>
      </c>
      <c r="Z22" s="151">
        <v>3750</v>
      </c>
      <c r="AA22" s="151">
        <v>150</v>
      </c>
      <c r="AB22" s="151">
        <v>13335</v>
      </c>
      <c r="AC22" s="151">
        <v>11775</v>
      </c>
      <c r="AD22" s="151">
        <v>22051.08</v>
      </c>
      <c r="AE22" s="151">
        <v>43471</v>
      </c>
      <c r="AF22" s="151">
        <v>4485</v>
      </c>
      <c r="AG22" s="151">
        <v>1500</v>
      </c>
      <c r="AH22" s="151">
        <v>7645</v>
      </c>
      <c r="AI22" s="310">
        <v>400</v>
      </c>
      <c r="AJ22" s="310">
        <v>6900</v>
      </c>
      <c r="AK22" s="310">
        <v>9000</v>
      </c>
      <c r="AL22" s="310">
        <v>23470</v>
      </c>
      <c r="AM22" s="308">
        <v>25000</v>
      </c>
      <c r="AN22" s="308">
        <v>5479.95</v>
      </c>
      <c r="AO22" s="308">
        <v>8695</v>
      </c>
      <c r="AP22" s="281">
        <v>9864.92</v>
      </c>
      <c r="AQ22" s="281">
        <v>27105</v>
      </c>
      <c r="AR22" s="281">
        <v>2826.27</v>
      </c>
      <c r="AS22" s="281">
        <v>89348</v>
      </c>
      <c r="AT22" s="281">
        <v>-3400</v>
      </c>
      <c r="AU22" s="281">
        <v>8150</v>
      </c>
      <c r="AV22" s="281">
        <v>6360</v>
      </c>
      <c r="AW22" s="281">
        <v>3000</v>
      </c>
      <c r="AX22" s="281">
        <v>3270</v>
      </c>
      <c r="AY22" s="444">
        <v>20000</v>
      </c>
      <c r="AZ22" s="444">
        <v>40850</v>
      </c>
      <c r="BA22" s="444">
        <v>63684</v>
      </c>
      <c r="BB22" s="444">
        <v>35925</v>
      </c>
      <c r="BC22" s="444">
        <v>51032</v>
      </c>
      <c r="BD22" s="444">
        <v>1675</v>
      </c>
      <c r="BE22" s="444">
        <v>1710</v>
      </c>
      <c r="BF22" s="444">
        <v>11600</v>
      </c>
      <c r="BG22" s="444">
        <v>23320</v>
      </c>
      <c r="BH22" s="444">
        <v>1079.8800000000001</v>
      </c>
      <c r="BI22" s="444">
        <v>995.12</v>
      </c>
      <c r="BJ22" s="444">
        <v>3875</v>
      </c>
      <c r="BK22" s="444">
        <v>25000</v>
      </c>
      <c r="BL22" s="444">
        <v>74625</v>
      </c>
      <c r="BM22" s="444">
        <v>2001.88</v>
      </c>
      <c r="BN22" s="444">
        <v>74620</v>
      </c>
      <c r="BO22" s="444">
        <v>14185</v>
      </c>
      <c r="BP22" s="444">
        <v>7475</v>
      </c>
      <c r="BQ22" s="444">
        <v>16175</v>
      </c>
      <c r="BR22" s="444">
        <v>12276.88</v>
      </c>
      <c r="BS22" s="444">
        <v>15000</v>
      </c>
      <c r="BT22" s="444">
        <v>4859.88</v>
      </c>
      <c r="BU22" s="444">
        <v>1595.12</v>
      </c>
      <c r="BV22" s="483">
        <v>18045</v>
      </c>
      <c r="BW22" s="483">
        <v>135000</v>
      </c>
      <c r="BX22" s="483">
        <v>14000</v>
      </c>
      <c r="BY22" s="483">
        <v>57067</v>
      </c>
      <c r="BZ22" s="483">
        <v>2910</v>
      </c>
      <c r="CA22" s="483">
        <v>4675</v>
      </c>
      <c r="CB22" s="483">
        <v>9135</v>
      </c>
      <c r="CC22" s="483">
        <v>4850</v>
      </c>
      <c r="CD22" s="483">
        <v>5612.59</v>
      </c>
      <c r="CE22" s="483">
        <v>8372.59</v>
      </c>
      <c r="CF22" s="483">
        <v>21940.080000000002</v>
      </c>
      <c r="CG22" s="483">
        <v>26575.119999999999</v>
      </c>
      <c r="CH22" s="483">
        <v>150831</v>
      </c>
      <c r="CI22" s="483">
        <v>20436.32</v>
      </c>
      <c r="CJ22" s="483">
        <v>5436.5</v>
      </c>
      <c r="CK22" s="483">
        <v>12500</v>
      </c>
      <c r="CL22" s="483">
        <v>750</v>
      </c>
      <c r="CM22" s="483">
        <v>3722.11</v>
      </c>
      <c r="CN22" s="483">
        <v>256.89999999999998</v>
      </c>
      <c r="CO22" s="483">
        <v>17073.8</v>
      </c>
      <c r="CP22" s="483">
        <v>5600</v>
      </c>
      <c r="CQ22" s="483">
        <v>5977.33</v>
      </c>
      <c r="CR22" s="657">
        <v>16739.98</v>
      </c>
      <c r="CS22" s="657">
        <v>6000</v>
      </c>
      <c r="CT22" s="657">
        <v>84295</v>
      </c>
      <c r="CU22" s="657">
        <v>47998</v>
      </c>
      <c r="CV22" s="657">
        <v>15045</v>
      </c>
      <c r="CW22" s="657">
        <v>39596.61</v>
      </c>
      <c r="CX22" s="657">
        <v>2853</v>
      </c>
      <c r="CY22" s="657">
        <v>25705</v>
      </c>
      <c r="CZ22" s="657">
        <v>68320</v>
      </c>
      <c r="DA22" s="657">
        <v>39133.199999999997</v>
      </c>
      <c r="DB22" s="657">
        <v>2100</v>
      </c>
      <c r="DC22" s="657">
        <v>5925</v>
      </c>
      <c r="DD22" s="657">
        <v>18600</v>
      </c>
      <c r="DE22" s="657">
        <v>12745</v>
      </c>
      <c r="DF22" s="657">
        <v>35405</v>
      </c>
      <c r="DG22" s="657">
        <v>54941</v>
      </c>
      <c r="DH22" s="657">
        <v>50736.07</v>
      </c>
      <c r="DI22" s="657">
        <v>7845</v>
      </c>
      <c r="DJ22" s="657">
        <v>52038.16</v>
      </c>
      <c r="DK22" s="657">
        <v>26405</v>
      </c>
      <c r="DL22" s="657">
        <v>64332.46</v>
      </c>
      <c r="DM22" s="657">
        <v>2014.94</v>
      </c>
      <c r="DN22" s="657">
        <v>-23445</v>
      </c>
      <c r="DO22" s="657">
        <v>5750</v>
      </c>
      <c r="DP22" s="657">
        <v>14545</v>
      </c>
      <c r="DQ22" s="657">
        <v>8120</v>
      </c>
      <c r="DR22" s="657">
        <v>33923.32</v>
      </c>
      <c r="DS22" s="657">
        <v>65982.100000000006</v>
      </c>
      <c r="DT22" s="657">
        <v>64297.68</v>
      </c>
      <c r="DU22" s="657">
        <v>1057.3</v>
      </c>
      <c r="DV22" s="657">
        <v>6570.68</v>
      </c>
      <c r="DW22" s="657">
        <v>39700</v>
      </c>
      <c r="DX22" s="374">
        <v>4205</v>
      </c>
      <c r="DY22" s="374">
        <v>16900</v>
      </c>
      <c r="DZ22" s="374">
        <v>25000</v>
      </c>
      <c r="EA22" s="374">
        <v>5955</v>
      </c>
      <c r="EB22" s="374">
        <v>6125</v>
      </c>
      <c r="EC22" s="374">
        <v>14500</v>
      </c>
      <c r="ED22" s="374">
        <v>98044.32</v>
      </c>
      <c r="EE22" s="374">
        <v>0</v>
      </c>
      <c r="EF22" s="374">
        <v>109190.5</v>
      </c>
      <c r="EG22" s="374">
        <v>43795</v>
      </c>
      <c r="EH22" s="374">
        <v>28675</v>
      </c>
      <c r="EI22" s="374">
        <v>2320.5300000000002</v>
      </c>
      <c r="EJ22" s="374">
        <v>15057.28</v>
      </c>
      <c r="EK22" s="374">
        <v>2600</v>
      </c>
      <c r="EL22" s="374">
        <v>24545.33</v>
      </c>
      <c r="EM22" s="374">
        <v>12388.44</v>
      </c>
      <c r="EN22" s="1119">
        <f>(VLOOKUP("6790055",'Input IS ACCTS'!$A$6:FQ$507,97,FALSE))</f>
        <v>38080.9</v>
      </c>
      <c r="EO22" s="1119">
        <f>(VLOOKUP("6790055",'Input IS ACCTS'!$A$6:FR$507,98,FALSE))</f>
        <v>8239.1</v>
      </c>
      <c r="EP22" s="1119">
        <f>(VLOOKUP("6790055",'Input IS ACCTS'!$A$6:FS$507,99,FALSE))</f>
        <v>87525</v>
      </c>
    </row>
    <row r="23" spans="1:146">
      <c r="A23" s="1128" t="s">
        <v>2635</v>
      </c>
      <c r="B23" s="164"/>
      <c r="F23" s="3"/>
      <c r="G23" s="3"/>
      <c r="H23" s="3"/>
      <c r="I23" s="3"/>
      <c r="J23" s="3"/>
      <c r="K23" s="35"/>
      <c r="L23" s="35">
        <v>5292.42</v>
      </c>
      <c r="M23" s="35">
        <v>17837.419999999998</v>
      </c>
      <c r="N23" s="35">
        <v>31819.37</v>
      </c>
      <c r="O23" s="35">
        <v>33994.369999999995</v>
      </c>
      <c r="P23" s="35">
        <v>83933.37</v>
      </c>
      <c r="Q23" s="35">
        <v>116398.37</v>
      </c>
      <c r="R23" s="35">
        <v>124064.19</v>
      </c>
      <c r="S23" s="35">
        <v>135647.19</v>
      </c>
      <c r="T23" s="35">
        <v>137110.19</v>
      </c>
      <c r="U23" s="35">
        <v>167748.54</v>
      </c>
      <c r="V23" s="35">
        <v>173868.54</v>
      </c>
      <c r="W23" s="35">
        <v>176346.63</v>
      </c>
      <c r="X23" s="180">
        <v>183193.21</v>
      </c>
      <c r="Y23" s="180">
        <v>183839.21</v>
      </c>
      <c r="Z23" s="180">
        <v>173607.26</v>
      </c>
      <c r="AA23" s="180">
        <v>171582.26</v>
      </c>
      <c r="AB23" s="180">
        <v>134978.26</v>
      </c>
      <c r="AC23" s="180">
        <v>114288.26</v>
      </c>
      <c r="AD23" s="180">
        <v>128673.52</v>
      </c>
      <c r="AE23" s="180">
        <v>160561.52000000002</v>
      </c>
      <c r="AF23" s="180">
        <v>163583.52000000002</v>
      </c>
      <c r="AG23" s="180">
        <v>134445.16999999998</v>
      </c>
      <c r="AH23" s="180">
        <v>135970.16999999998</v>
      </c>
      <c r="AI23" s="313">
        <v>133892.08000000002</v>
      </c>
      <c r="AJ23" s="313">
        <v>128653.08</v>
      </c>
      <c r="AK23" s="313">
        <v>124462.08</v>
      </c>
      <c r="AL23" s="313">
        <v>144182.08000000002</v>
      </c>
      <c r="AM23" s="313">
        <v>169032.08000000002</v>
      </c>
      <c r="AN23" s="313">
        <v>161177.03000000003</v>
      </c>
      <c r="AO23" s="313">
        <v>158097.03000000003</v>
      </c>
      <c r="AP23" s="313">
        <v>145910.87000000002</v>
      </c>
      <c r="AQ23" s="313">
        <v>129544.87</v>
      </c>
      <c r="AR23" s="313">
        <v>127886.14</v>
      </c>
      <c r="AS23" s="313">
        <v>215734.14</v>
      </c>
      <c r="AT23" s="313">
        <v>204689.14</v>
      </c>
      <c r="AU23" s="313">
        <v>212439.14</v>
      </c>
      <c r="AV23" s="313">
        <v>211899.14</v>
      </c>
      <c r="AW23" s="313">
        <v>205899.14</v>
      </c>
      <c r="AX23" s="313">
        <v>185699.14</v>
      </c>
      <c r="AY23" s="446">
        <v>180699.14</v>
      </c>
      <c r="AZ23" s="446">
        <v>216069.19</v>
      </c>
      <c r="BA23" s="446">
        <v>271058.19</v>
      </c>
      <c r="BB23" s="446">
        <v>297118.27</v>
      </c>
      <c r="BC23" s="446">
        <v>321045.27</v>
      </c>
      <c r="BD23" s="446">
        <v>319894</v>
      </c>
      <c r="BE23" s="446">
        <v>232256</v>
      </c>
      <c r="BF23" s="446">
        <v>247256</v>
      </c>
      <c r="BG23" s="446">
        <v>262426</v>
      </c>
      <c r="BH23" s="446">
        <v>257145.88</v>
      </c>
      <c r="BI23" s="446">
        <v>255141</v>
      </c>
      <c r="BJ23" s="446">
        <v>255746</v>
      </c>
      <c r="BK23" s="446">
        <f t="shared" ref="BK23:BP23" si="22">SUM(AZ22:BK22)</f>
        <v>260746</v>
      </c>
      <c r="BL23" s="446">
        <f t="shared" si="22"/>
        <v>294521</v>
      </c>
      <c r="BM23" s="446">
        <f t="shared" si="22"/>
        <v>232838.88</v>
      </c>
      <c r="BN23" s="446">
        <f t="shared" si="22"/>
        <v>271533.88</v>
      </c>
      <c r="BO23" s="446">
        <f t="shared" si="22"/>
        <v>234686.88</v>
      </c>
      <c r="BP23" s="446">
        <f t="shared" si="22"/>
        <v>240486.88</v>
      </c>
      <c r="BQ23" s="446">
        <f t="shared" ref="BQ23:BV23" si="23">SUM(BF22:BQ22)</f>
        <v>254951.88</v>
      </c>
      <c r="BR23" s="446">
        <f t="shared" si="23"/>
        <v>255628.76</v>
      </c>
      <c r="BS23" s="446">
        <f t="shared" si="23"/>
        <v>247308.76</v>
      </c>
      <c r="BT23" s="446">
        <f t="shared" si="23"/>
        <v>251088.76</v>
      </c>
      <c r="BU23" s="446">
        <f t="shared" si="23"/>
        <v>251688.76</v>
      </c>
      <c r="BV23" s="446">
        <f t="shared" si="23"/>
        <v>265858.76</v>
      </c>
      <c r="BW23" s="446">
        <f>SUM(BL22:BW22)</f>
        <v>375858.76</v>
      </c>
      <c r="BX23" s="446">
        <f>SUM(BM22:BX22)</f>
        <v>315233.76</v>
      </c>
      <c r="BY23" s="446">
        <f>SUM(BN22:BY22)</f>
        <v>370298.88</v>
      </c>
      <c r="BZ23" s="521">
        <f t="shared" ref="BZ23:CE23" si="24">SUM(BO22:BZ22)</f>
        <v>298588.88</v>
      </c>
      <c r="CA23" s="521">
        <f t="shared" si="24"/>
        <v>289078.88</v>
      </c>
      <c r="CB23" s="521">
        <f t="shared" si="24"/>
        <v>290738.88</v>
      </c>
      <c r="CC23" s="521">
        <f t="shared" si="24"/>
        <v>279413.88</v>
      </c>
      <c r="CD23" s="521">
        <f t="shared" si="24"/>
        <v>272749.59000000003</v>
      </c>
      <c r="CE23" s="521">
        <f t="shared" si="24"/>
        <v>266122.18</v>
      </c>
      <c r="CF23" s="521">
        <f t="shared" ref="CF23:CW23" si="25">SUM(BU22:CF22)</f>
        <v>283202.38</v>
      </c>
      <c r="CG23" s="521">
        <f t="shared" si="25"/>
        <v>308182.38</v>
      </c>
      <c r="CH23" s="521">
        <f t="shared" si="25"/>
        <v>440968.38</v>
      </c>
      <c r="CI23" s="521">
        <f t="shared" si="25"/>
        <v>326404.7</v>
      </c>
      <c r="CJ23" s="521">
        <f t="shared" si="25"/>
        <v>317841.2</v>
      </c>
      <c r="CK23" s="521">
        <f t="shared" si="25"/>
        <v>273274.2</v>
      </c>
      <c r="CL23" s="521">
        <f t="shared" si="25"/>
        <v>271114.2</v>
      </c>
      <c r="CM23" s="521">
        <f t="shared" si="25"/>
        <v>270161.31</v>
      </c>
      <c r="CN23" s="521">
        <f t="shared" si="25"/>
        <v>261283.21</v>
      </c>
      <c r="CO23" s="521">
        <f t="shared" si="25"/>
        <v>273507.01</v>
      </c>
      <c r="CP23" s="521">
        <f t="shared" si="25"/>
        <v>273494.42</v>
      </c>
      <c r="CQ23" s="521">
        <f t="shared" si="25"/>
        <v>271099.15999999997</v>
      </c>
      <c r="CR23" s="521">
        <f t="shared" si="25"/>
        <v>265899.05999999994</v>
      </c>
      <c r="CS23" s="521">
        <f t="shared" si="25"/>
        <v>245323.93999999997</v>
      </c>
      <c r="CT23" s="521">
        <f t="shared" si="25"/>
        <v>178787.94</v>
      </c>
      <c r="CU23" s="521">
        <f t="shared" si="25"/>
        <v>206349.62</v>
      </c>
      <c r="CV23" s="521">
        <f t="shared" si="25"/>
        <v>215958.12</v>
      </c>
      <c r="CW23" s="521">
        <f t="shared" si="25"/>
        <v>243054.72999999998</v>
      </c>
      <c r="CX23" s="521">
        <f t="shared" ref="CX23:DN23" si="26">SUM(CM22:CX22)</f>
        <v>245157.72999999998</v>
      </c>
      <c r="CY23" s="521">
        <f t="shared" si="26"/>
        <v>267140.62</v>
      </c>
      <c r="CZ23" s="521">
        <f t="shared" si="26"/>
        <v>335203.71999999997</v>
      </c>
      <c r="DA23" s="521">
        <f t="shared" si="26"/>
        <v>357263.12</v>
      </c>
      <c r="DB23" s="521">
        <f t="shared" si="26"/>
        <v>353763.12</v>
      </c>
      <c r="DC23" s="521">
        <f t="shared" si="26"/>
        <v>353710.79</v>
      </c>
      <c r="DD23" s="521">
        <f t="shared" si="26"/>
        <v>355570.81</v>
      </c>
      <c r="DE23" s="521">
        <f t="shared" si="26"/>
        <v>362315.81</v>
      </c>
      <c r="DF23" s="521">
        <f t="shared" si="26"/>
        <v>313425.81</v>
      </c>
      <c r="DG23" s="521">
        <f t="shared" si="26"/>
        <v>320368.81</v>
      </c>
      <c r="DH23" s="521">
        <f t="shared" si="26"/>
        <v>356059.88</v>
      </c>
      <c r="DI23" s="521">
        <f>SUM(CX22:DI22)</f>
        <v>324308.27</v>
      </c>
      <c r="DJ23" s="521">
        <f t="shared" si="26"/>
        <v>373493.43000000005</v>
      </c>
      <c r="DK23" s="521">
        <f t="shared" si="26"/>
        <v>374193.43000000005</v>
      </c>
      <c r="DL23" s="521">
        <f t="shared" si="26"/>
        <v>370205.89000000007</v>
      </c>
      <c r="DM23" s="521">
        <f t="shared" si="26"/>
        <v>333087.63</v>
      </c>
      <c r="DN23" s="521">
        <f t="shared" si="26"/>
        <v>307542.63</v>
      </c>
      <c r="DO23" s="521">
        <f t="shared" ref="DO23:DT23" si="27">SUM(DD22:DO22)</f>
        <v>307367.63</v>
      </c>
      <c r="DP23" s="521">
        <f t="shared" si="27"/>
        <v>303312.63</v>
      </c>
      <c r="DQ23" s="521">
        <f t="shared" si="27"/>
        <v>298687.63</v>
      </c>
      <c r="DR23" s="521">
        <f t="shared" si="27"/>
        <v>297205.95</v>
      </c>
      <c r="DS23" s="521">
        <f t="shared" si="27"/>
        <v>308247.05000000005</v>
      </c>
      <c r="DT23" s="521">
        <f t="shared" si="27"/>
        <v>321808.66000000003</v>
      </c>
      <c r="DU23" s="521">
        <f t="shared" ref="DU23:EJ23" si="28">SUM(DJ22:DU22)</f>
        <v>315020.96000000002</v>
      </c>
      <c r="DV23" s="521">
        <f t="shared" si="28"/>
        <v>269553.48</v>
      </c>
      <c r="DW23" s="521">
        <f t="shared" si="28"/>
        <v>282848.48</v>
      </c>
      <c r="DX23" s="521">
        <f t="shared" si="28"/>
        <v>222721.02</v>
      </c>
      <c r="DY23" s="521">
        <f t="shared" si="28"/>
        <v>237606.08</v>
      </c>
      <c r="DZ23" s="521">
        <f t="shared" si="28"/>
        <v>286051.07999999996</v>
      </c>
      <c r="EA23" s="521">
        <f t="shared" si="28"/>
        <v>286256.07999999996</v>
      </c>
      <c r="EB23" s="521">
        <f t="shared" si="28"/>
        <v>277836.07999999996</v>
      </c>
      <c r="EC23" s="521">
        <f t="shared" si="28"/>
        <v>284216.07999999996</v>
      </c>
      <c r="ED23" s="521">
        <f t="shared" si="28"/>
        <v>348337.07999999996</v>
      </c>
      <c r="EE23" s="521">
        <f t="shared" si="28"/>
        <v>282354.98</v>
      </c>
      <c r="EF23" s="521">
        <f t="shared" si="28"/>
        <v>327247.80000000005</v>
      </c>
      <c r="EG23" s="521">
        <f t="shared" si="28"/>
        <v>369985.5</v>
      </c>
      <c r="EH23" s="521">
        <f t="shared" si="28"/>
        <v>392089.82</v>
      </c>
      <c r="EI23" s="521">
        <f t="shared" si="28"/>
        <v>354710.35000000003</v>
      </c>
      <c r="EJ23" s="521">
        <f t="shared" si="28"/>
        <v>365562.63000000006</v>
      </c>
      <c r="EK23" s="521">
        <f t="shared" ref="EK23:EP23" si="29">SUM(DZ22:EK22)</f>
        <v>351262.63000000006</v>
      </c>
      <c r="EL23" s="521">
        <f t="shared" si="29"/>
        <v>350807.96000000008</v>
      </c>
      <c r="EM23" s="521">
        <f t="shared" si="29"/>
        <v>357241.40000000008</v>
      </c>
      <c r="EN23" s="521">
        <f t="shared" si="29"/>
        <v>389197.3000000001</v>
      </c>
      <c r="EO23" s="521">
        <f t="shared" si="29"/>
        <v>382936.40000000008</v>
      </c>
      <c r="EP23" s="521">
        <f t="shared" si="29"/>
        <v>372417.08</v>
      </c>
    </row>
    <row r="24" spans="1:146" ht="15">
      <c r="A24" s="1129" t="s">
        <v>2636</v>
      </c>
      <c r="D24" s="135"/>
      <c r="E24" s="135"/>
      <c r="F24" s="3"/>
      <c r="G24" s="3"/>
      <c r="H24" s="3"/>
      <c r="I24" s="3"/>
      <c r="J24" s="3"/>
      <c r="K24" s="35"/>
      <c r="L24" s="168">
        <v>264.62100000000004</v>
      </c>
      <c r="M24" s="168">
        <v>891.87099999999998</v>
      </c>
      <c r="N24" s="168">
        <v>1590.9684999999999</v>
      </c>
      <c r="O24" s="168">
        <v>1699.7184999999999</v>
      </c>
      <c r="P24" s="168">
        <v>4196.6684999999998</v>
      </c>
      <c r="Q24" s="168">
        <v>5819.9184999999998</v>
      </c>
      <c r="R24" s="168">
        <v>6203.2095000000008</v>
      </c>
      <c r="S24" s="168">
        <v>6782.3595000000005</v>
      </c>
      <c r="T24" s="168">
        <v>6855.5095000000001</v>
      </c>
      <c r="U24" s="168">
        <v>8387.4270000000015</v>
      </c>
      <c r="V24" s="168">
        <v>8693.4270000000015</v>
      </c>
      <c r="W24" s="168">
        <v>8817.3315000000002</v>
      </c>
      <c r="X24" s="181">
        <v>9159.6605</v>
      </c>
      <c r="Y24" s="181">
        <v>9191.9604999999992</v>
      </c>
      <c r="Z24" s="181">
        <v>8680.3630000000012</v>
      </c>
      <c r="AA24" s="181">
        <v>8579.1130000000012</v>
      </c>
      <c r="AB24" s="181">
        <v>6748.9130000000005</v>
      </c>
      <c r="AC24" s="181">
        <v>5714.4130000000005</v>
      </c>
      <c r="AD24" s="181">
        <v>6433.6760000000004</v>
      </c>
      <c r="AE24" s="181">
        <v>8028.0760000000009</v>
      </c>
      <c r="AF24" s="181">
        <v>8179.1760000000013</v>
      </c>
      <c r="AG24" s="181">
        <v>6722.2584999999999</v>
      </c>
      <c r="AH24" s="181">
        <v>6798.5084999999999</v>
      </c>
      <c r="AI24" s="314">
        <v>6694.6040000000012</v>
      </c>
      <c r="AJ24" s="314">
        <v>6432.6540000000005</v>
      </c>
      <c r="AK24" s="314">
        <v>6223.1040000000003</v>
      </c>
      <c r="AL24" s="314">
        <v>7209.1040000000012</v>
      </c>
      <c r="AM24" s="314">
        <v>8451.6040000000012</v>
      </c>
      <c r="AN24" s="314">
        <v>8058.8515000000016</v>
      </c>
      <c r="AO24" s="314">
        <v>7904.8515000000016</v>
      </c>
      <c r="AP24" s="314">
        <v>7295.5435000000016</v>
      </c>
      <c r="AQ24" s="314">
        <v>6477.2435000000005</v>
      </c>
      <c r="AR24" s="314">
        <v>6394.3070000000007</v>
      </c>
      <c r="AS24" s="314">
        <v>10786.707000000002</v>
      </c>
      <c r="AT24" s="314">
        <v>10234.457000000002</v>
      </c>
      <c r="AU24" s="314">
        <v>10621.957000000002</v>
      </c>
      <c r="AV24" s="314">
        <v>10594.957000000002</v>
      </c>
      <c r="AW24" s="314">
        <v>10294.957000000002</v>
      </c>
      <c r="AX24" s="314">
        <v>9284.9570000000003</v>
      </c>
      <c r="AY24" s="446">
        <v>9034.9570000000003</v>
      </c>
      <c r="AZ24" s="446">
        <v>10803.459500000001</v>
      </c>
      <c r="BA24" s="446">
        <v>13552.909500000002</v>
      </c>
      <c r="BB24" s="446">
        <v>14855.913500000002</v>
      </c>
      <c r="BC24" s="446">
        <v>16052.263500000001</v>
      </c>
      <c r="BD24" s="446">
        <v>15994.7</v>
      </c>
      <c r="BE24" s="446">
        <v>11612.800000000001</v>
      </c>
      <c r="BF24" s="446">
        <v>12362.800000000001</v>
      </c>
      <c r="BG24" s="446">
        <v>13121.300000000001</v>
      </c>
      <c r="BH24" s="446">
        <v>12857.294000000002</v>
      </c>
      <c r="BI24" s="446">
        <v>12757.050000000001</v>
      </c>
      <c r="BJ24" s="446">
        <v>12787.300000000001</v>
      </c>
      <c r="BK24" s="446">
        <f t="shared" ref="BK24:BP24" si="30">BK23*0.05</f>
        <v>13037.300000000001</v>
      </c>
      <c r="BL24" s="446">
        <f t="shared" si="30"/>
        <v>14726.050000000001</v>
      </c>
      <c r="BM24" s="446">
        <f t="shared" si="30"/>
        <v>11641.944000000001</v>
      </c>
      <c r="BN24" s="446">
        <f t="shared" si="30"/>
        <v>13576.694000000001</v>
      </c>
      <c r="BO24" s="446">
        <f t="shared" si="30"/>
        <v>11734.344000000001</v>
      </c>
      <c r="BP24" s="446">
        <f t="shared" si="30"/>
        <v>12024.344000000001</v>
      </c>
      <c r="BQ24" s="446">
        <f t="shared" ref="BQ24:BV24" si="31">BQ23*0.05</f>
        <v>12747.594000000001</v>
      </c>
      <c r="BR24" s="446">
        <f t="shared" si="31"/>
        <v>12781.438000000002</v>
      </c>
      <c r="BS24" s="446">
        <f t="shared" si="31"/>
        <v>12365.438000000002</v>
      </c>
      <c r="BT24" s="446">
        <f t="shared" si="31"/>
        <v>12554.438000000002</v>
      </c>
      <c r="BU24" s="446">
        <f t="shared" si="31"/>
        <v>12584.438000000002</v>
      </c>
      <c r="BV24" s="446">
        <f t="shared" si="31"/>
        <v>13292.938000000002</v>
      </c>
      <c r="BW24" s="446">
        <f t="shared" ref="BW24:CE24" si="32">BW23*0.05</f>
        <v>18792.938000000002</v>
      </c>
      <c r="BX24" s="446">
        <f t="shared" si="32"/>
        <v>15761.688000000002</v>
      </c>
      <c r="BY24" s="446">
        <f t="shared" si="32"/>
        <v>18514.944</v>
      </c>
      <c r="BZ24" s="521">
        <f t="shared" si="32"/>
        <v>14929.444000000001</v>
      </c>
      <c r="CA24" s="521">
        <f t="shared" si="32"/>
        <v>14453.944000000001</v>
      </c>
      <c r="CB24" s="521">
        <f t="shared" si="32"/>
        <v>14536.944000000001</v>
      </c>
      <c r="CC24" s="521">
        <f t="shared" si="32"/>
        <v>13970.694000000001</v>
      </c>
      <c r="CD24" s="521">
        <f t="shared" si="32"/>
        <v>13637.479500000001</v>
      </c>
      <c r="CE24" s="521">
        <f t="shared" si="32"/>
        <v>13306.109</v>
      </c>
      <c r="CF24" s="521">
        <f t="shared" ref="CF24:CK24" si="33">CF23*0.05</f>
        <v>14160.119000000001</v>
      </c>
      <c r="CG24" s="521">
        <f t="shared" si="33"/>
        <v>15409.119000000001</v>
      </c>
      <c r="CH24" s="521">
        <f t="shared" si="33"/>
        <v>22048.419000000002</v>
      </c>
      <c r="CI24" s="521">
        <f t="shared" si="33"/>
        <v>16320.235000000001</v>
      </c>
      <c r="CJ24" s="521">
        <f t="shared" si="33"/>
        <v>15892.060000000001</v>
      </c>
      <c r="CK24" s="521">
        <f t="shared" si="33"/>
        <v>13663.710000000001</v>
      </c>
      <c r="CL24" s="521">
        <f t="shared" ref="CL24:CQ24" si="34">CL23*0.05</f>
        <v>13555.710000000001</v>
      </c>
      <c r="CM24" s="521">
        <f t="shared" si="34"/>
        <v>13508.065500000001</v>
      </c>
      <c r="CN24" s="521">
        <f t="shared" si="34"/>
        <v>13064.1605</v>
      </c>
      <c r="CO24" s="521">
        <f t="shared" si="34"/>
        <v>13675.3505</v>
      </c>
      <c r="CP24" s="521">
        <f t="shared" si="34"/>
        <v>13674.721</v>
      </c>
      <c r="CQ24" s="521">
        <f t="shared" si="34"/>
        <v>13554.957999999999</v>
      </c>
      <c r="CR24" s="521">
        <f t="shared" ref="CR24:CW24" si="35">CR23*0.05</f>
        <v>13294.952999999998</v>
      </c>
      <c r="CS24" s="521">
        <f t="shared" si="35"/>
        <v>12266.197</v>
      </c>
      <c r="CT24" s="521">
        <f t="shared" si="35"/>
        <v>8939.3970000000008</v>
      </c>
      <c r="CU24" s="521">
        <f t="shared" si="35"/>
        <v>10317.481</v>
      </c>
      <c r="CV24" s="521">
        <f t="shared" si="35"/>
        <v>10797.906000000001</v>
      </c>
      <c r="CW24" s="521">
        <f t="shared" si="35"/>
        <v>12152.736499999999</v>
      </c>
      <c r="CX24" s="521">
        <f t="shared" ref="CX24:DF24" si="36">CX23*0.05</f>
        <v>12257.886500000001</v>
      </c>
      <c r="CY24" s="521">
        <f t="shared" si="36"/>
        <v>13357.031000000001</v>
      </c>
      <c r="CZ24" s="823">
        <f t="shared" si="36"/>
        <v>16760.185999999998</v>
      </c>
      <c r="DA24" s="823">
        <f t="shared" si="36"/>
        <v>17863.155999999999</v>
      </c>
      <c r="DB24" s="823">
        <f t="shared" si="36"/>
        <v>17688.155999999999</v>
      </c>
      <c r="DC24" s="823">
        <f t="shared" si="36"/>
        <v>17685.539499999999</v>
      </c>
      <c r="DD24" s="823">
        <f t="shared" si="36"/>
        <v>17778.540499999999</v>
      </c>
      <c r="DE24" s="823">
        <f t="shared" si="36"/>
        <v>18115.790499999999</v>
      </c>
      <c r="DF24" s="823">
        <f t="shared" si="36"/>
        <v>15671.290500000001</v>
      </c>
      <c r="DG24" s="823">
        <f t="shared" ref="DG24:DL24" si="37">DG23*0.05</f>
        <v>16018.440500000001</v>
      </c>
      <c r="DH24" s="823">
        <f t="shared" si="37"/>
        <v>17802.994000000002</v>
      </c>
      <c r="DI24" s="823">
        <f t="shared" si="37"/>
        <v>16215.413500000002</v>
      </c>
      <c r="DJ24" s="823">
        <f t="shared" si="37"/>
        <v>18674.671500000004</v>
      </c>
      <c r="DK24" s="823">
        <f t="shared" si="37"/>
        <v>18709.671500000004</v>
      </c>
      <c r="DL24" s="823">
        <f t="shared" si="37"/>
        <v>18510.294500000004</v>
      </c>
      <c r="DM24" s="823">
        <f t="shared" ref="DM24:DR24" si="38">DM23*0.05</f>
        <v>16654.3815</v>
      </c>
      <c r="DN24" s="823">
        <f t="shared" si="38"/>
        <v>15377.131500000001</v>
      </c>
      <c r="DO24" s="823">
        <f t="shared" si="38"/>
        <v>15368.381500000001</v>
      </c>
      <c r="DP24" s="823">
        <f t="shared" si="38"/>
        <v>15165.631500000001</v>
      </c>
      <c r="DQ24" s="823">
        <f t="shared" si="38"/>
        <v>14934.381500000001</v>
      </c>
      <c r="DR24" s="823">
        <f t="shared" si="38"/>
        <v>14860.297500000001</v>
      </c>
      <c r="DS24" s="823">
        <f t="shared" ref="DS24:DX24" si="39">DS23*0.05</f>
        <v>15412.352500000003</v>
      </c>
      <c r="DT24" s="823">
        <f t="shared" si="39"/>
        <v>16090.433000000003</v>
      </c>
      <c r="DU24" s="823">
        <f t="shared" si="39"/>
        <v>15751.048000000003</v>
      </c>
      <c r="DV24" s="823">
        <f t="shared" si="39"/>
        <v>13477.673999999999</v>
      </c>
      <c r="DW24" s="823">
        <f t="shared" si="39"/>
        <v>14142.423999999999</v>
      </c>
      <c r="DX24" s="371">
        <f t="shared" si="39"/>
        <v>11136.050999999999</v>
      </c>
      <c r="DY24" s="371">
        <f t="shared" ref="DY24:ED24" si="40">DY23*0.05</f>
        <v>11880.304</v>
      </c>
      <c r="DZ24" s="371">
        <f t="shared" si="40"/>
        <v>14302.553999999998</v>
      </c>
      <c r="EA24" s="371">
        <f t="shared" si="40"/>
        <v>14312.803999999998</v>
      </c>
      <c r="EB24" s="371">
        <f t="shared" si="40"/>
        <v>13891.803999999998</v>
      </c>
      <c r="EC24" s="371">
        <f t="shared" si="40"/>
        <v>14210.803999999998</v>
      </c>
      <c r="ED24" s="371">
        <f t="shared" si="40"/>
        <v>17416.853999999999</v>
      </c>
      <c r="EE24" s="371">
        <f t="shared" ref="EE24:EJ24" si="41">EE23*0.05</f>
        <v>14117.749</v>
      </c>
      <c r="EF24" s="371">
        <f t="shared" si="41"/>
        <v>16362.390000000003</v>
      </c>
      <c r="EG24" s="371">
        <f t="shared" si="41"/>
        <v>18499.275000000001</v>
      </c>
      <c r="EH24" s="371">
        <f t="shared" si="41"/>
        <v>19604.491000000002</v>
      </c>
      <c r="EI24" s="371">
        <f t="shared" si="41"/>
        <v>17735.517500000002</v>
      </c>
      <c r="EJ24" s="371">
        <f t="shared" si="41"/>
        <v>18278.131500000003</v>
      </c>
      <c r="EK24" s="371">
        <f t="shared" ref="EK24:EP24" si="42">EK23*0.05</f>
        <v>17563.131500000003</v>
      </c>
      <c r="EL24" s="371">
        <f t="shared" si="42"/>
        <v>17540.398000000005</v>
      </c>
      <c r="EM24" s="371">
        <f t="shared" si="42"/>
        <v>17862.070000000003</v>
      </c>
      <c r="EN24" s="371">
        <f t="shared" si="42"/>
        <v>19459.865000000005</v>
      </c>
      <c r="EO24" s="371">
        <f t="shared" si="42"/>
        <v>19146.820000000003</v>
      </c>
      <c r="EP24" s="371">
        <f t="shared" si="42"/>
        <v>18620.854000000003</v>
      </c>
    </row>
    <row r="25" spans="1:146" s="56" customFormat="1" ht="15">
      <c r="D25" s="236"/>
      <c r="E25" s="236"/>
      <c r="F25" s="163"/>
      <c r="G25" s="163"/>
      <c r="H25" s="163"/>
      <c r="I25" s="163"/>
      <c r="J25" s="163"/>
      <c r="K25" s="5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c r="BQ25" s="237"/>
      <c r="BR25" s="237"/>
      <c r="BS25" s="237"/>
      <c r="BT25" s="237"/>
      <c r="BU25" s="237"/>
      <c r="BV25" s="237"/>
      <c r="BW25" s="237"/>
      <c r="BX25" s="237"/>
      <c r="BY25" s="237"/>
      <c r="BZ25" s="237"/>
      <c r="CA25" s="237"/>
      <c r="CB25" s="237"/>
      <c r="CC25" s="237"/>
      <c r="CD25" s="237"/>
      <c r="CE25" s="237"/>
      <c r="CF25" s="237"/>
      <c r="CG25" s="237"/>
      <c r="CH25" s="237"/>
      <c r="CI25" s="237"/>
      <c r="CJ25" s="237"/>
      <c r="CK25" s="237"/>
      <c r="CL25" s="237"/>
      <c r="CM25" s="237"/>
      <c r="CN25" s="237"/>
      <c r="CO25" s="237"/>
      <c r="CP25" s="237"/>
      <c r="CQ25" s="237"/>
      <c r="CR25" s="237"/>
      <c r="CS25" s="237"/>
      <c r="CT25" s="237"/>
      <c r="CU25" s="237"/>
      <c r="CV25" s="237"/>
      <c r="CW25" s="237"/>
      <c r="CX25" s="237"/>
      <c r="CY25" s="237"/>
      <c r="CZ25" s="237"/>
      <c r="DA25" s="237"/>
      <c r="DB25" s="237"/>
      <c r="DC25" s="237"/>
      <c r="DD25" s="237"/>
      <c r="DE25" s="237"/>
      <c r="DF25" s="237"/>
      <c r="DG25" s="237"/>
      <c r="DH25" s="237"/>
      <c r="DI25" s="237"/>
      <c r="DJ25" s="237"/>
      <c r="DK25" s="237"/>
      <c r="DL25" s="237"/>
      <c r="DM25" s="237"/>
      <c r="DN25" s="237"/>
      <c r="DO25" s="237"/>
      <c r="DP25" s="237"/>
      <c r="DQ25" s="237"/>
      <c r="DR25" s="237"/>
      <c r="DS25" s="237"/>
      <c r="DT25" s="237"/>
      <c r="DU25" s="237"/>
      <c r="DV25" s="237"/>
      <c r="DW25" s="237"/>
      <c r="DX25" s="237"/>
      <c r="DY25" s="237"/>
      <c r="DZ25" s="237"/>
      <c r="EA25" s="237"/>
      <c r="EB25" s="237"/>
      <c r="EC25" s="237"/>
      <c r="ED25" s="237"/>
      <c r="EE25" s="237"/>
      <c r="EF25" s="237"/>
      <c r="EG25" s="237"/>
      <c r="EH25" s="237"/>
      <c r="EI25" s="237"/>
      <c r="EJ25" s="237"/>
      <c r="EK25" s="237"/>
      <c r="EL25" s="237"/>
      <c r="EM25" s="237"/>
      <c r="EN25" s="237"/>
      <c r="EO25" s="237"/>
      <c r="EP25" s="237"/>
    </row>
    <row r="26" spans="1:146" ht="12.75" customHeight="1">
      <c r="A26" s="1127" t="s">
        <v>2432</v>
      </c>
      <c r="F26" s="35"/>
      <c r="J26" s="135"/>
      <c r="K26" s="135"/>
      <c r="L26" s="135"/>
      <c r="M26" s="135"/>
      <c r="N26" s="17"/>
      <c r="Q26" s="35"/>
      <c r="R26" s="35"/>
      <c r="S26" s="35"/>
      <c r="T26" s="35"/>
      <c r="U26" s="35"/>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657">
        <v>1066822.57</v>
      </c>
      <c r="DH26" s="657">
        <v>1041144.7</v>
      </c>
      <c r="DI26" s="657">
        <v>965206.94</v>
      </c>
      <c r="DJ26" s="657">
        <v>930781.64</v>
      </c>
      <c r="DK26" s="657">
        <v>806809.96</v>
      </c>
      <c r="DL26" s="657">
        <v>775019.29</v>
      </c>
      <c r="DM26" s="657">
        <v>753787.61</v>
      </c>
      <c r="DN26" s="657">
        <v>720129.45</v>
      </c>
      <c r="DO26" s="657">
        <v>756683.05</v>
      </c>
      <c r="DP26" s="657">
        <v>740014.74</v>
      </c>
      <c r="DQ26" s="657">
        <v>823134.47</v>
      </c>
      <c r="DR26" s="657">
        <v>993293.22</v>
      </c>
      <c r="DS26" s="657">
        <v>1099027.43</v>
      </c>
      <c r="DT26" s="657">
        <v>1057497.58</v>
      </c>
      <c r="DU26" s="657">
        <v>995565.97</v>
      </c>
      <c r="DV26" s="657">
        <v>858234.19</v>
      </c>
      <c r="DW26" s="657">
        <v>757404.7</v>
      </c>
      <c r="DX26" s="374">
        <v>703815.08</v>
      </c>
      <c r="DY26" s="374">
        <v>735672.65</v>
      </c>
      <c r="DZ26" s="374">
        <v>728815.39</v>
      </c>
      <c r="EA26" s="374">
        <v>712266.38</v>
      </c>
      <c r="EB26" s="374">
        <v>741461.7</v>
      </c>
      <c r="EC26" s="374">
        <v>845673.32</v>
      </c>
      <c r="ED26" s="374">
        <v>974505.53</v>
      </c>
      <c r="EE26" s="374">
        <v>1339279.8</v>
      </c>
      <c r="EF26" s="374">
        <v>1246435.1200000001</v>
      </c>
      <c r="EG26" s="374">
        <v>1168468.74</v>
      </c>
      <c r="EH26" s="374">
        <v>1172223.43</v>
      </c>
      <c r="EI26" s="374">
        <v>1047174.69</v>
      </c>
      <c r="EJ26" s="374">
        <v>984453.81</v>
      </c>
      <c r="EK26" s="374">
        <v>986918.97</v>
      </c>
      <c r="EL26" s="374">
        <v>919524.78</v>
      </c>
      <c r="EM26" s="374">
        <v>971650.93</v>
      </c>
      <c r="EN26" s="1119">
        <f>(VLOOKUP("6900010",'Input IS ACCTS'!$A$6:FQ$507,97,FALSE))</f>
        <v>923528.5</v>
      </c>
      <c r="EO26" s="1119">
        <f>(VLOOKUP("6900010",'Input IS ACCTS'!$A$6:FR$507,98,FALSE))</f>
        <v>1044670.42</v>
      </c>
      <c r="EP26" s="1119">
        <f>(VLOOKUP("6900010",'Input IS ACCTS'!$A$6:FS$507,99,FALSE))</f>
        <v>1264591.1000000001</v>
      </c>
    </row>
    <row r="27" spans="1:146" ht="12.75" customHeight="1">
      <c r="A27" s="1127" t="s">
        <v>2433</v>
      </c>
      <c r="DF27" s="56"/>
      <c r="DG27" s="659">
        <v>1655787.55</v>
      </c>
      <c r="DH27" s="659">
        <v>1640421.41</v>
      </c>
      <c r="DI27" s="659">
        <v>1424624.07</v>
      </c>
      <c r="DJ27" s="659">
        <v>1125549.97</v>
      </c>
      <c r="DK27" s="659">
        <v>1177922.3799999999</v>
      </c>
      <c r="DL27" s="659">
        <v>1016378.54</v>
      </c>
      <c r="DM27" s="659">
        <v>984361.68</v>
      </c>
      <c r="DN27" s="659">
        <v>932359.53</v>
      </c>
      <c r="DO27" s="659">
        <v>949375.97</v>
      </c>
      <c r="DP27" s="659">
        <v>936155.2</v>
      </c>
      <c r="DQ27" s="659">
        <v>1112587.07</v>
      </c>
      <c r="DR27" s="659">
        <v>1504303.85</v>
      </c>
      <c r="DS27" s="659">
        <v>1618178.97</v>
      </c>
      <c r="DT27" s="659">
        <v>1572436.88</v>
      </c>
      <c r="DU27" s="659">
        <v>1352878.21</v>
      </c>
      <c r="DV27" s="659">
        <v>1062025.6200000001</v>
      </c>
      <c r="DW27" s="659">
        <v>953525.89</v>
      </c>
      <c r="DX27" s="327">
        <v>967309.63</v>
      </c>
      <c r="DY27" s="327">
        <v>851851.75</v>
      </c>
      <c r="DZ27" s="327">
        <v>911904.78</v>
      </c>
      <c r="EA27" s="327">
        <v>870947.67</v>
      </c>
      <c r="EB27" s="327">
        <v>954992.39</v>
      </c>
      <c r="EC27" s="327">
        <v>1095394.1499999999</v>
      </c>
      <c r="ED27" s="327">
        <v>1396326.38</v>
      </c>
      <c r="EE27" s="327">
        <v>1837558.54</v>
      </c>
      <c r="EF27" s="327">
        <v>1655338.08</v>
      </c>
      <c r="EG27" s="327">
        <v>1457150.65</v>
      </c>
      <c r="EH27" s="327">
        <v>1426996.58</v>
      </c>
      <c r="EI27" s="327">
        <v>1201056.29</v>
      </c>
      <c r="EJ27" s="327">
        <v>1108542.6499999999</v>
      </c>
      <c r="EK27" s="327">
        <v>1134501.22</v>
      </c>
      <c r="EL27" s="327">
        <v>1011208.09</v>
      </c>
      <c r="EM27" s="327">
        <v>1071922.69</v>
      </c>
      <c r="EN27" s="1183">
        <f>(VLOOKUP("6900030",'Input IS ACCTS'!$A$6:FQ$507,97,FALSE))</f>
        <v>1072270.76</v>
      </c>
      <c r="EO27" s="1183">
        <f>(VLOOKUP("6900030",'Input IS ACCTS'!$A$6:FR$507,98,FALSE))</f>
        <v>1236232.4099999999</v>
      </c>
      <c r="EP27" s="1183">
        <f>(VLOOKUP("6900030",'Input IS ACCTS'!$A$6:FS$507,99,FALSE))</f>
        <v>1610219.3</v>
      </c>
    </row>
    <row r="28" spans="1:146" ht="12.75" customHeight="1">
      <c r="A28" s="1127" t="s">
        <v>2434</v>
      </c>
      <c r="DF28" s="56"/>
      <c r="DG28" s="823">
        <f t="shared" ref="DG28:DP28" si="43">+DG26+DG27</f>
        <v>2722610.12</v>
      </c>
      <c r="DH28" s="823">
        <f t="shared" si="43"/>
        <v>2681566.11</v>
      </c>
      <c r="DI28" s="823">
        <f t="shared" si="43"/>
        <v>2389831.0099999998</v>
      </c>
      <c r="DJ28" s="823">
        <f t="shared" si="43"/>
        <v>2056331.6099999999</v>
      </c>
      <c r="DK28" s="823">
        <f t="shared" si="43"/>
        <v>1984732.3399999999</v>
      </c>
      <c r="DL28" s="823">
        <f t="shared" si="43"/>
        <v>1791397.83</v>
      </c>
      <c r="DM28" s="823">
        <f t="shared" si="43"/>
        <v>1738149.29</v>
      </c>
      <c r="DN28" s="823">
        <f t="shared" si="43"/>
        <v>1652488.98</v>
      </c>
      <c r="DO28" s="823">
        <f t="shared" si="43"/>
        <v>1706059.02</v>
      </c>
      <c r="DP28" s="823">
        <f t="shared" si="43"/>
        <v>1676169.94</v>
      </c>
      <c r="DQ28" s="823">
        <f t="shared" ref="DQ28:DV28" si="44">+DQ26+DQ27</f>
        <v>1935721.54</v>
      </c>
      <c r="DR28" s="823">
        <f t="shared" si="44"/>
        <v>2497597.0700000003</v>
      </c>
      <c r="DS28" s="823">
        <f t="shared" si="44"/>
        <v>2717206.4</v>
      </c>
      <c r="DT28" s="823">
        <f t="shared" si="44"/>
        <v>2629934.46</v>
      </c>
      <c r="DU28" s="823">
        <f t="shared" si="44"/>
        <v>2348444.1799999997</v>
      </c>
      <c r="DV28" s="823">
        <f t="shared" si="44"/>
        <v>1920259.81</v>
      </c>
      <c r="DW28" s="823">
        <f t="shared" ref="DW28:ED28" si="45">+DW26+DW27</f>
        <v>1710930.5899999999</v>
      </c>
      <c r="DX28" s="130">
        <f t="shared" si="45"/>
        <v>1671124.71</v>
      </c>
      <c r="DY28" s="130">
        <f t="shared" si="45"/>
        <v>1587524.4</v>
      </c>
      <c r="DZ28" s="130">
        <f t="shared" si="45"/>
        <v>1640720.17</v>
      </c>
      <c r="EA28" s="130">
        <f t="shared" si="45"/>
        <v>1583214.05</v>
      </c>
      <c r="EB28" s="130">
        <f t="shared" si="45"/>
        <v>1696454.0899999999</v>
      </c>
      <c r="EC28" s="130">
        <f t="shared" si="45"/>
        <v>1941067.4699999997</v>
      </c>
      <c r="ED28" s="130">
        <f t="shared" si="45"/>
        <v>2370831.91</v>
      </c>
      <c r="EE28" s="130">
        <f t="shared" ref="EE28:EJ28" si="46">+EE26+EE27</f>
        <v>3176838.34</v>
      </c>
      <c r="EF28" s="130">
        <f t="shared" si="46"/>
        <v>2901773.2</v>
      </c>
      <c r="EG28" s="130">
        <f t="shared" si="46"/>
        <v>2625619.3899999997</v>
      </c>
      <c r="EH28" s="130">
        <f t="shared" si="46"/>
        <v>2599220.0099999998</v>
      </c>
      <c r="EI28" s="130">
        <f t="shared" si="46"/>
        <v>2248230.98</v>
      </c>
      <c r="EJ28" s="130">
        <f t="shared" si="46"/>
        <v>2092996.46</v>
      </c>
      <c r="EK28" s="130">
        <f t="shared" ref="EK28:EP28" si="47">+EK26+EK27</f>
        <v>2121420.19</v>
      </c>
      <c r="EL28" s="130">
        <f t="shared" si="47"/>
        <v>1930732.87</v>
      </c>
      <c r="EM28" s="130">
        <f t="shared" si="47"/>
        <v>2043573.62</v>
      </c>
      <c r="EN28" s="130">
        <f t="shared" si="47"/>
        <v>1995799.26</v>
      </c>
      <c r="EO28" s="130">
        <f t="shared" si="47"/>
        <v>2280902.83</v>
      </c>
      <c r="EP28" s="130">
        <f t="shared" si="47"/>
        <v>2874810.4000000004</v>
      </c>
    </row>
    <row r="29" spans="1:146" ht="12.75" customHeight="1">
      <c r="A29" s="1127" t="s">
        <v>2637</v>
      </c>
      <c r="DG29" s="521"/>
      <c r="DH29" s="521"/>
      <c r="DI29" s="521"/>
      <c r="DJ29" s="521"/>
      <c r="DK29" s="521"/>
      <c r="DL29" s="521"/>
      <c r="DM29" s="521"/>
      <c r="DN29" s="521"/>
      <c r="DO29" s="521"/>
      <c r="DP29" s="521"/>
      <c r="DQ29" s="521"/>
      <c r="DR29" s="521">
        <f t="shared" ref="DR29:EJ29" si="48">SUM(DG28:DR28)</f>
        <v>24832654.859999999</v>
      </c>
      <c r="DS29" s="521">
        <f t="shared" si="48"/>
        <v>24827251.139999997</v>
      </c>
      <c r="DT29" s="521">
        <f t="shared" si="48"/>
        <v>24775619.489999998</v>
      </c>
      <c r="DU29" s="521">
        <f t="shared" si="48"/>
        <v>24734232.659999996</v>
      </c>
      <c r="DV29" s="521">
        <f t="shared" si="48"/>
        <v>24598160.859999996</v>
      </c>
      <c r="DW29" s="521">
        <f t="shared" si="48"/>
        <v>24324359.109999996</v>
      </c>
      <c r="DX29" s="521">
        <f t="shared" si="48"/>
        <v>24204085.989999998</v>
      </c>
      <c r="DY29" s="521">
        <f t="shared" si="48"/>
        <v>24053461.099999998</v>
      </c>
      <c r="DZ29" s="521">
        <f t="shared" si="48"/>
        <v>24041692.289999999</v>
      </c>
      <c r="EA29" s="521">
        <f t="shared" si="48"/>
        <v>23918847.320000004</v>
      </c>
      <c r="EB29" s="521">
        <f t="shared" si="48"/>
        <v>23939131.469999999</v>
      </c>
      <c r="EC29" s="521">
        <f t="shared" si="48"/>
        <v>23944477.399999999</v>
      </c>
      <c r="ED29" s="521">
        <f t="shared" si="48"/>
        <v>23817712.239999998</v>
      </c>
      <c r="EE29" s="521">
        <f t="shared" si="48"/>
        <v>24277344.18</v>
      </c>
      <c r="EF29" s="521">
        <f t="shared" si="48"/>
        <v>24549182.919999998</v>
      </c>
      <c r="EG29" s="521">
        <f t="shared" si="48"/>
        <v>24826358.129999999</v>
      </c>
      <c r="EH29" s="521">
        <f t="shared" si="48"/>
        <v>25505318.329999998</v>
      </c>
      <c r="EI29" s="521">
        <f t="shared" si="48"/>
        <v>26042618.720000003</v>
      </c>
      <c r="EJ29" s="521">
        <f t="shared" si="48"/>
        <v>26464490.470000003</v>
      </c>
      <c r="EK29" s="521">
        <f t="shared" ref="EK29:EP29" si="49">SUM(DZ28:EK28)</f>
        <v>26998386.260000005</v>
      </c>
      <c r="EL29" s="521">
        <f t="shared" si="49"/>
        <v>27288398.960000005</v>
      </c>
      <c r="EM29" s="521">
        <f t="shared" si="49"/>
        <v>27748758.530000001</v>
      </c>
      <c r="EN29" s="521">
        <f t="shared" si="49"/>
        <v>28048103.700000003</v>
      </c>
      <c r="EO29" s="521">
        <f t="shared" si="49"/>
        <v>28387939.060000002</v>
      </c>
      <c r="EP29" s="521">
        <f t="shared" si="49"/>
        <v>28891917.550000004</v>
      </c>
    </row>
    <row r="30" spans="1:146" ht="12.75" customHeight="1">
      <c r="AJ30" s="17" t="s">
        <v>523</v>
      </c>
    </row>
    <row r="31" spans="1:146" ht="12.75" customHeight="1">
      <c r="A31" s="1127" t="s">
        <v>2435</v>
      </c>
      <c r="F31" s="35"/>
      <c r="J31" s="135"/>
      <c r="K31" s="135"/>
      <c r="L31" s="135"/>
      <c r="M31" s="135"/>
      <c r="N31" s="17"/>
      <c r="Q31" s="35"/>
      <c r="R31" s="35"/>
      <c r="S31" s="35"/>
      <c r="T31" s="35"/>
      <c r="U31" s="35"/>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657">
        <v>-1077455.75</v>
      </c>
      <c r="DH31" s="657">
        <v>-1049655.22</v>
      </c>
      <c r="DI31" s="657">
        <v>-976425.94</v>
      </c>
      <c r="DJ31" s="657">
        <v>-944434.86</v>
      </c>
      <c r="DK31" s="657">
        <v>-814908.7</v>
      </c>
      <c r="DL31" s="657">
        <v>-782183.36</v>
      </c>
      <c r="DM31" s="657">
        <v>-760420.2</v>
      </c>
      <c r="DN31" s="657">
        <v>-726605.6</v>
      </c>
      <c r="DO31" s="657">
        <v>-766395.44</v>
      </c>
      <c r="DP31" s="657">
        <v>-746665.18</v>
      </c>
      <c r="DQ31" s="657">
        <v>-829620.68</v>
      </c>
      <c r="DR31" s="657">
        <v>-1001016.06</v>
      </c>
      <c r="DS31" s="657">
        <v>-1107892.52</v>
      </c>
      <c r="DT31" s="657">
        <v>-1064792.08</v>
      </c>
      <c r="DU31" s="657">
        <v>-1000768.77</v>
      </c>
      <c r="DV31" s="657">
        <v>-861987.17</v>
      </c>
      <c r="DW31" s="657">
        <v>-761201.88</v>
      </c>
      <c r="DX31" s="374">
        <v>-707180.78</v>
      </c>
      <c r="DY31" s="374">
        <v>-739814.08</v>
      </c>
      <c r="DZ31" s="374">
        <v>-732428.55</v>
      </c>
      <c r="EA31" s="374">
        <v>-719516.08</v>
      </c>
      <c r="EB31" s="374">
        <v>-759171.86</v>
      </c>
      <c r="EC31" s="374">
        <v>-852819.9</v>
      </c>
      <c r="ED31" s="374">
        <v>-986412.7</v>
      </c>
      <c r="EE31" s="374">
        <v>-1347921.56</v>
      </c>
      <c r="EF31" s="374">
        <v>-1255574.45</v>
      </c>
      <c r="EG31" s="374">
        <v>-1176632.71</v>
      </c>
      <c r="EH31" s="374">
        <v>-1182701.1299999999</v>
      </c>
      <c r="EI31" s="374">
        <v>-1055107.24</v>
      </c>
      <c r="EJ31" s="374">
        <v>-994597.45</v>
      </c>
      <c r="EK31" s="374">
        <v>-997341.73</v>
      </c>
      <c r="EL31" s="374">
        <v>-928115.15</v>
      </c>
      <c r="EM31" s="374">
        <v>-980203.27</v>
      </c>
      <c r="EN31" s="1119">
        <f>(VLOOKUP("4950205",'Input IS ACCTS'!$A$6:FQ$507,97,FALSE))</f>
        <v>-931959.41</v>
      </c>
      <c r="EO31" s="1119">
        <f>(VLOOKUP("4950205",'Input IS ACCTS'!$A$6:FR$507,98,FALSE))</f>
        <v>-1052791.18</v>
      </c>
      <c r="EP31" s="1119">
        <f>(VLOOKUP("4950205",'Input IS ACCTS'!$A$6:FS$507,99,FALSE))</f>
        <v>-1274558.2</v>
      </c>
    </row>
    <row r="32" spans="1:146" ht="12.75" customHeight="1">
      <c r="A32" s="1127" t="s">
        <v>2436</v>
      </c>
      <c r="DF32" s="56"/>
      <c r="DG32" s="659">
        <v>-1665864.94</v>
      </c>
      <c r="DH32" s="659">
        <v>-1640421.41</v>
      </c>
      <c r="DI32" s="659">
        <v>-1434294.15</v>
      </c>
      <c r="DJ32" s="659">
        <v>-1134539.23</v>
      </c>
      <c r="DK32" s="659">
        <v>-1185315.3999999999</v>
      </c>
      <c r="DL32" s="659">
        <v>-1023382.27</v>
      </c>
      <c r="DM32" s="659">
        <v>-990882.96</v>
      </c>
      <c r="DN32" s="659">
        <v>-938493.94</v>
      </c>
      <c r="DO32" s="659">
        <v>-959936.59</v>
      </c>
      <c r="DP32" s="659">
        <v>-942398.3</v>
      </c>
      <c r="DQ32" s="659">
        <v>-1118971.45</v>
      </c>
      <c r="DR32" s="659">
        <v>-1513136.83</v>
      </c>
      <c r="DS32" s="659">
        <v>-1628543.84</v>
      </c>
      <c r="DT32" s="659">
        <v>-1581269.81</v>
      </c>
      <c r="DU32" s="659">
        <v>-1360686.35</v>
      </c>
      <c r="DV32" s="659">
        <v>-1067229.21</v>
      </c>
      <c r="DW32" s="659">
        <v>-959002.58</v>
      </c>
      <c r="DX32" s="327">
        <v>-972001.62</v>
      </c>
      <c r="DY32" s="327">
        <v>-857883.31</v>
      </c>
      <c r="DZ32" s="327">
        <v>-916574.94</v>
      </c>
      <c r="EA32" s="327">
        <v>-877380.33</v>
      </c>
      <c r="EB32" s="327">
        <v>-967926.02</v>
      </c>
      <c r="EC32" s="327">
        <v>-1102359.0900000001</v>
      </c>
      <c r="ED32" s="327">
        <v>-1409825.73</v>
      </c>
      <c r="EE32" s="327">
        <v>-1837558.54</v>
      </c>
      <c r="EF32" s="327">
        <v>-1657676.57</v>
      </c>
      <c r="EG32" s="327">
        <v>-1456490.32</v>
      </c>
      <c r="EH32" s="327">
        <v>-1436211.98</v>
      </c>
      <c r="EI32" s="327">
        <v>-1208611.94</v>
      </c>
      <c r="EJ32" s="327">
        <v>-1116474.1299999999</v>
      </c>
      <c r="EK32" s="327">
        <v>-1142086.17</v>
      </c>
      <c r="EL32" s="327">
        <v>-1017929.49</v>
      </c>
      <c r="EM32" s="327">
        <v>-1078486.3799999999</v>
      </c>
      <c r="EN32" s="1183">
        <f>(VLOOKUP("4950206",'Input IS ACCTS'!$A$6:FQ$507,97,FALSE))</f>
        <v>-1080685.17</v>
      </c>
      <c r="EO32" s="1183">
        <f>(VLOOKUP("4950206",'Input IS ACCTS'!$A$6:FR$507,98,FALSE))</f>
        <v>-1242017.5900000001</v>
      </c>
      <c r="EP32" s="1183">
        <f>(VLOOKUP("4950206",'Input IS ACCTS'!$A$6:FS$507,99,FALSE))</f>
        <v>-1619789.26</v>
      </c>
    </row>
    <row r="33" spans="1:146" ht="12.75" customHeight="1">
      <c r="A33" s="1127" t="s">
        <v>2437</v>
      </c>
      <c r="DF33" s="56"/>
      <c r="DG33" s="823">
        <f>+DG31+DG32</f>
        <v>-2743320.69</v>
      </c>
      <c r="DH33" s="823">
        <f t="shared" ref="DH33:DR33" si="50">+DH31+DH32</f>
        <v>-2690076.63</v>
      </c>
      <c r="DI33" s="823">
        <f t="shared" si="50"/>
        <v>-2410720.09</v>
      </c>
      <c r="DJ33" s="823">
        <f t="shared" si="50"/>
        <v>-2078974.0899999999</v>
      </c>
      <c r="DK33" s="823">
        <f t="shared" si="50"/>
        <v>-2000224.0999999999</v>
      </c>
      <c r="DL33" s="823">
        <f t="shared" si="50"/>
        <v>-1805565.63</v>
      </c>
      <c r="DM33" s="823">
        <f t="shared" si="50"/>
        <v>-1751303.16</v>
      </c>
      <c r="DN33" s="823">
        <f t="shared" si="50"/>
        <v>-1665099.54</v>
      </c>
      <c r="DO33" s="823">
        <f t="shared" si="50"/>
        <v>-1726332.0299999998</v>
      </c>
      <c r="DP33" s="823">
        <f t="shared" si="50"/>
        <v>-1689063.48</v>
      </c>
      <c r="DQ33" s="823">
        <f t="shared" si="50"/>
        <v>-1948592.13</v>
      </c>
      <c r="DR33" s="823">
        <f t="shared" si="50"/>
        <v>-2514152.89</v>
      </c>
      <c r="DS33" s="823">
        <f t="shared" ref="DS33:DX33" si="51">+DS31+DS32</f>
        <v>-2736436.3600000003</v>
      </c>
      <c r="DT33" s="823">
        <f t="shared" si="51"/>
        <v>-2646061.89</v>
      </c>
      <c r="DU33" s="823">
        <f t="shared" si="51"/>
        <v>-2361455.12</v>
      </c>
      <c r="DV33" s="823">
        <f t="shared" si="51"/>
        <v>-1929216.38</v>
      </c>
      <c r="DW33" s="823">
        <f t="shared" si="51"/>
        <v>-1720204.46</v>
      </c>
      <c r="DX33" s="130">
        <f t="shared" si="51"/>
        <v>-1679182.4</v>
      </c>
      <c r="DY33" s="130">
        <f t="shared" ref="DY33:ED33" si="52">+DY31+DY32</f>
        <v>-1597697.3900000001</v>
      </c>
      <c r="DZ33" s="130">
        <f t="shared" si="52"/>
        <v>-1649003.49</v>
      </c>
      <c r="EA33" s="130">
        <f t="shared" si="52"/>
        <v>-1596896.41</v>
      </c>
      <c r="EB33" s="130">
        <f t="shared" si="52"/>
        <v>-1727097.88</v>
      </c>
      <c r="EC33" s="130">
        <f t="shared" si="52"/>
        <v>-1955178.9900000002</v>
      </c>
      <c r="ED33" s="130">
        <f t="shared" si="52"/>
        <v>-2396238.4299999997</v>
      </c>
      <c r="EE33" s="130">
        <f t="shared" ref="EE33:EJ33" si="53">+EE31+EE32</f>
        <v>-3185480.1</v>
      </c>
      <c r="EF33" s="130">
        <f t="shared" si="53"/>
        <v>-2913251.02</v>
      </c>
      <c r="EG33" s="130">
        <f t="shared" si="53"/>
        <v>-2633123.0300000003</v>
      </c>
      <c r="EH33" s="130">
        <f t="shared" si="53"/>
        <v>-2618913.11</v>
      </c>
      <c r="EI33" s="130">
        <f t="shared" si="53"/>
        <v>-2263719.1799999997</v>
      </c>
      <c r="EJ33" s="130">
        <f t="shared" si="53"/>
        <v>-2111071.58</v>
      </c>
      <c r="EK33" s="130">
        <f t="shared" ref="EK33:EP33" si="54">+EK31+EK32</f>
        <v>-2139427.9</v>
      </c>
      <c r="EL33" s="130">
        <f t="shared" si="54"/>
        <v>-1946044.6400000001</v>
      </c>
      <c r="EM33" s="130">
        <f t="shared" si="54"/>
        <v>-2058689.65</v>
      </c>
      <c r="EN33" s="130">
        <f t="shared" si="54"/>
        <v>-2012644.58</v>
      </c>
      <c r="EO33" s="130">
        <f t="shared" si="54"/>
        <v>-2294808.77</v>
      </c>
      <c r="EP33" s="130">
        <f t="shared" si="54"/>
        <v>-2894347.46</v>
      </c>
    </row>
    <row r="34" spans="1:146" ht="12.75" customHeight="1">
      <c r="A34" s="1127" t="s">
        <v>2638</v>
      </c>
      <c r="DG34" s="521"/>
      <c r="DH34" s="521"/>
      <c r="DI34" s="521"/>
      <c r="DJ34" s="521"/>
      <c r="DK34" s="521"/>
      <c r="DL34" s="521"/>
      <c r="DM34" s="521"/>
      <c r="DN34" s="521"/>
      <c r="DO34" s="521"/>
      <c r="DP34" s="521"/>
      <c r="DQ34" s="521"/>
      <c r="DR34" s="521">
        <f t="shared" ref="DR34:EJ34" si="55">SUM(DG33:DR33)</f>
        <v>-25023424.460000001</v>
      </c>
      <c r="DS34" s="521">
        <f t="shared" si="55"/>
        <v>-25016540.129999995</v>
      </c>
      <c r="DT34" s="521">
        <f t="shared" si="55"/>
        <v>-24972525.390000001</v>
      </c>
      <c r="DU34" s="521">
        <f t="shared" si="55"/>
        <v>-24923260.420000002</v>
      </c>
      <c r="DV34" s="521">
        <f t="shared" si="55"/>
        <v>-24773502.710000001</v>
      </c>
      <c r="DW34" s="521">
        <f t="shared" si="55"/>
        <v>-24493483.07</v>
      </c>
      <c r="DX34" s="521">
        <f t="shared" si="55"/>
        <v>-24367099.84</v>
      </c>
      <c r="DY34" s="521">
        <f t="shared" si="55"/>
        <v>-24213494.07</v>
      </c>
      <c r="DZ34" s="521">
        <f t="shared" si="55"/>
        <v>-24197398.02</v>
      </c>
      <c r="EA34" s="521">
        <f t="shared" si="55"/>
        <v>-24067962.399999999</v>
      </c>
      <c r="EB34" s="521">
        <f t="shared" si="55"/>
        <v>-24105996.799999997</v>
      </c>
      <c r="EC34" s="521">
        <f t="shared" si="55"/>
        <v>-24112583.659999996</v>
      </c>
      <c r="ED34" s="521">
        <f t="shared" si="55"/>
        <v>-23994669.200000003</v>
      </c>
      <c r="EE34" s="521">
        <f t="shared" si="55"/>
        <v>-24443712.940000005</v>
      </c>
      <c r="EF34" s="521">
        <f t="shared" si="55"/>
        <v>-24710902.070000004</v>
      </c>
      <c r="EG34" s="521">
        <f t="shared" si="55"/>
        <v>-24982569.98</v>
      </c>
      <c r="EH34" s="521">
        <f t="shared" si="55"/>
        <v>-25672266.710000001</v>
      </c>
      <c r="EI34" s="521">
        <f t="shared" si="55"/>
        <v>-26215781.43</v>
      </c>
      <c r="EJ34" s="521">
        <f t="shared" si="55"/>
        <v>-26647670.609999999</v>
      </c>
      <c r="EK34" s="521">
        <f t="shared" ref="EK34:EP34" si="56">SUM(DZ33:EK33)</f>
        <v>-27189401.119999997</v>
      </c>
      <c r="EL34" s="521">
        <f t="shared" si="56"/>
        <v>-27486442.269999996</v>
      </c>
      <c r="EM34" s="521">
        <f t="shared" si="56"/>
        <v>-27948235.509999998</v>
      </c>
      <c r="EN34" s="521">
        <f t="shared" si="56"/>
        <v>-28233782.209999993</v>
      </c>
      <c r="EO34" s="521">
        <f t="shared" si="56"/>
        <v>-28573411.989999991</v>
      </c>
      <c r="EP34" s="521">
        <f t="shared" si="56"/>
        <v>-29071521.02</v>
      </c>
    </row>
    <row r="35" spans="1:146" ht="12.75" customHeight="1">
      <c r="A35" s="29"/>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row>
    <row r="36" spans="1:146" ht="12.75" customHeight="1">
      <c r="A36" s="1127" t="s">
        <v>2439</v>
      </c>
      <c r="DG36" s="823">
        <f>+DG28+DG33</f>
        <v>-20710.569999999832</v>
      </c>
      <c r="DH36" s="823">
        <f t="shared" ref="DH36:DR36" si="57">+DH28+DH33</f>
        <v>-8510.5200000000186</v>
      </c>
      <c r="DI36" s="823">
        <f t="shared" si="57"/>
        <v>-20889.080000000075</v>
      </c>
      <c r="DJ36" s="823">
        <f t="shared" si="57"/>
        <v>-22642.479999999981</v>
      </c>
      <c r="DK36" s="823">
        <f t="shared" si="57"/>
        <v>-15491.760000000009</v>
      </c>
      <c r="DL36" s="823">
        <f t="shared" si="57"/>
        <v>-14167.799999999814</v>
      </c>
      <c r="DM36" s="823">
        <f t="shared" si="57"/>
        <v>-13153.869999999879</v>
      </c>
      <c r="DN36" s="823">
        <f t="shared" si="57"/>
        <v>-12610.560000000056</v>
      </c>
      <c r="DO36" s="823">
        <f t="shared" si="57"/>
        <v>-20273.009999999776</v>
      </c>
      <c r="DP36" s="823">
        <f t="shared" si="57"/>
        <v>-12893.540000000037</v>
      </c>
      <c r="DQ36" s="823">
        <f t="shared" si="57"/>
        <v>-12870.589999999851</v>
      </c>
      <c r="DR36" s="823">
        <f t="shared" si="57"/>
        <v>-16555.819999999832</v>
      </c>
      <c r="DS36" s="823">
        <f t="shared" ref="DS36:DX36" si="58">+DS28+DS33</f>
        <v>-19229.960000000428</v>
      </c>
      <c r="DT36" s="823">
        <f t="shared" si="58"/>
        <v>-16127.430000000168</v>
      </c>
      <c r="DU36" s="823">
        <f t="shared" si="58"/>
        <v>-13010.94000000041</v>
      </c>
      <c r="DV36" s="823">
        <f t="shared" si="58"/>
        <v>-8956.5699999998324</v>
      </c>
      <c r="DW36" s="823">
        <f t="shared" si="58"/>
        <v>-9273.8700000001118</v>
      </c>
      <c r="DX36" s="130">
        <f t="shared" si="58"/>
        <v>-8057.6899999999441</v>
      </c>
      <c r="DY36" s="130">
        <f t="shared" ref="DY36:ED36" si="59">+DY28+DY33</f>
        <v>-10172.990000000224</v>
      </c>
      <c r="DZ36" s="130">
        <f t="shared" si="59"/>
        <v>-8283.3200000000652</v>
      </c>
      <c r="EA36" s="130">
        <f t="shared" si="59"/>
        <v>-13682.35999999987</v>
      </c>
      <c r="EB36" s="130">
        <f t="shared" si="59"/>
        <v>-30643.790000000037</v>
      </c>
      <c r="EC36" s="130">
        <f t="shared" si="59"/>
        <v>-14111.520000000484</v>
      </c>
      <c r="ED36" s="130">
        <f t="shared" si="59"/>
        <v>-25406.519999999553</v>
      </c>
      <c r="EE36" s="130">
        <f t="shared" ref="EE36:EJ36" si="60">+EE28+EE33</f>
        <v>-8641.7600000002421</v>
      </c>
      <c r="EF36" s="130">
        <f t="shared" si="60"/>
        <v>-11477.819999999832</v>
      </c>
      <c r="EG36" s="130">
        <f t="shared" si="60"/>
        <v>-7503.640000000596</v>
      </c>
      <c r="EH36" s="130">
        <f t="shared" si="60"/>
        <v>-19693.100000000093</v>
      </c>
      <c r="EI36" s="130">
        <f t="shared" si="60"/>
        <v>-15488.199999999721</v>
      </c>
      <c r="EJ36" s="130">
        <f t="shared" si="60"/>
        <v>-18075.120000000112</v>
      </c>
      <c r="EK36" s="130">
        <f t="shared" ref="EK36:EP36" si="61">+EK28+EK33</f>
        <v>-18007.709999999963</v>
      </c>
      <c r="EL36" s="130">
        <f t="shared" si="61"/>
        <v>-15311.770000000019</v>
      </c>
      <c r="EM36" s="130">
        <f t="shared" si="61"/>
        <v>-15116.029999999795</v>
      </c>
      <c r="EN36" s="130">
        <f t="shared" si="61"/>
        <v>-16845.320000000065</v>
      </c>
      <c r="EO36" s="130">
        <f t="shared" si="61"/>
        <v>-13905.939999999944</v>
      </c>
      <c r="EP36" s="130">
        <f t="shared" si="61"/>
        <v>-19537.05999999959</v>
      </c>
    </row>
    <row r="37" spans="1:146" ht="12.75" customHeight="1">
      <c r="A37" s="1127" t="s">
        <v>2639</v>
      </c>
      <c r="DG37" s="521"/>
      <c r="DH37" s="521"/>
      <c r="DI37" s="521"/>
      <c r="DJ37" s="521"/>
      <c r="DK37" s="521"/>
      <c r="DL37" s="521"/>
      <c r="DM37" s="521"/>
      <c r="DN37" s="521"/>
      <c r="DO37" s="521"/>
      <c r="DP37" s="521"/>
      <c r="DQ37" s="521"/>
      <c r="DR37" s="521">
        <f t="shared" ref="DR37:EJ37" si="62">SUM(DG36:DR36)</f>
        <v>-190769.59999999916</v>
      </c>
      <c r="DS37" s="521">
        <f t="shared" si="62"/>
        <v>-189288.98999999976</v>
      </c>
      <c r="DT37" s="521">
        <f t="shared" si="62"/>
        <v>-196905.89999999991</v>
      </c>
      <c r="DU37" s="521">
        <f t="shared" si="62"/>
        <v>-189027.76000000024</v>
      </c>
      <c r="DV37" s="521">
        <f t="shared" si="62"/>
        <v>-175341.85000000009</v>
      </c>
      <c r="DW37" s="521">
        <f t="shared" si="62"/>
        <v>-169123.9600000002</v>
      </c>
      <c r="DX37" s="130">
        <f t="shared" si="62"/>
        <v>-163013.85000000033</v>
      </c>
      <c r="DY37" s="130">
        <f t="shared" si="62"/>
        <v>-160032.97000000067</v>
      </c>
      <c r="DZ37" s="130">
        <f t="shared" si="62"/>
        <v>-155705.73000000068</v>
      </c>
      <c r="EA37" s="130">
        <f t="shared" si="62"/>
        <v>-149115.08000000077</v>
      </c>
      <c r="EB37" s="130">
        <f t="shared" si="62"/>
        <v>-166865.33000000077</v>
      </c>
      <c r="EC37" s="130">
        <f t="shared" si="62"/>
        <v>-168106.26000000141</v>
      </c>
      <c r="ED37" s="130">
        <f t="shared" si="62"/>
        <v>-176956.96000000113</v>
      </c>
      <c r="EE37" s="130">
        <f t="shared" si="62"/>
        <v>-166368.76000000094</v>
      </c>
      <c r="EF37" s="130">
        <f t="shared" si="62"/>
        <v>-161719.15000000061</v>
      </c>
      <c r="EG37" s="130">
        <f t="shared" si="62"/>
        <v>-156211.85000000079</v>
      </c>
      <c r="EH37" s="130">
        <f t="shared" si="62"/>
        <v>-166948.38000000105</v>
      </c>
      <c r="EI37" s="130">
        <f t="shared" si="62"/>
        <v>-173162.71000000066</v>
      </c>
      <c r="EJ37" s="130">
        <f t="shared" si="62"/>
        <v>-183180.14000000083</v>
      </c>
      <c r="EK37" s="130">
        <f t="shared" ref="EK37:EP37" si="63">SUM(DZ36:EK36)</f>
        <v>-191014.86000000057</v>
      </c>
      <c r="EL37" s="130">
        <f t="shared" si="63"/>
        <v>-198043.31000000052</v>
      </c>
      <c r="EM37" s="130">
        <f t="shared" si="63"/>
        <v>-199476.98000000045</v>
      </c>
      <c r="EN37" s="130">
        <f t="shared" si="63"/>
        <v>-185678.51000000047</v>
      </c>
      <c r="EO37" s="130">
        <f t="shared" si="63"/>
        <v>-185472.92999999993</v>
      </c>
      <c r="EP37" s="130">
        <f t="shared" si="63"/>
        <v>-179603.46999999997</v>
      </c>
    </row>
    <row r="38" spans="1:146" ht="12.75" customHeight="1">
      <c r="A38" s="1129"/>
      <c r="AA38"/>
      <c r="AB38"/>
      <c r="AC38"/>
      <c r="AD38"/>
      <c r="AE38"/>
      <c r="AF38"/>
      <c r="AG38"/>
      <c r="AH38"/>
      <c r="AI38"/>
      <c r="DX38" s="1123"/>
      <c r="DY38" s="1123"/>
      <c r="DZ38" s="1123"/>
      <c r="EA38" s="1123"/>
      <c r="EB38" s="1123"/>
      <c r="EC38" s="1123"/>
      <c r="ED38" s="1123"/>
    </row>
    <row r="39" spans="1:146" ht="12.75" customHeight="1">
      <c r="A39" s="1118" t="s">
        <v>2645</v>
      </c>
      <c r="B39" s="117">
        <v>-2024677</v>
      </c>
      <c r="C39" s="117">
        <v>-2004531</v>
      </c>
      <c r="D39" s="117">
        <v>-1984385</v>
      </c>
      <c r="E39" s="117">
        <v>-1964239</v>
      </c>
      <c r="F39" s="117">
        <v>-1944093</v>
      </c>
      <c r="G39" s="117">
        <v>-1923947</v>
      </c>
      <c r="H39" s="117">
        <v>-1903801</v>
      </c>
      <c r="I39" s="117">
        <v>-1883655</v>
      </c>
      <c r="J39" s="117">
        <v>-1863509</v>
      </c>
      <c r="K39" s="117">
        <v>-1843363</v>
      </c>
      <c r="L39" s="117">
        <v>-1823216</v>
      </c>
      <c r="M39" s="117">
        <v>-1803070</v>
      </c>
      <c r="N39" s="117">
        <v>-1782924</v>
      </c>
      <c r="O39" s="117">
        <v>-1762778</v>
      </c>
      <c r="P39" s="117">
        <v>-1742632</v>
      </c>
      <c r="Q39" s="117">
        <v>-1722486</v>
      </c>
      <c r="R39" s="117">
        <v>-1702340</v>
      </c>
      <c r="S39" s="117">
        <v>-1682194</v>
      </c>
      <c r="T39" s="117">
        <v>-1662048</v>
      </c>
      <c r="U39" s="117">
        <v>-1641902</v>
      </c>
      <c r="V39" s="117">
        <v>-1621755.82</v>
      </c>
      <c r="W39" s="117">
        <v>-1601609.78</v>
      </c>
      <c r="X39" s="182">
        <v>-1581463.74</v>
      </c>
      <c r="Y39" s="182">
        <v>-1561317.7</v>
      </c>
      <c r="Z39" s="182">
        <v>-1541171.66</v>
      </c>
      <c r="AA39" s="182">
        <v>-1521025.62</v>
      </c>
      <c r="AB39" s="182">
        <v>-1500879.58</v>
      </c>
      <c r="AC39" s="182">
        <v>-1480733.54</v>
      </c>
      <c r="AD39" s="182">
        <v>-1537948.61</v>
      </c>
      <c r="AE39" s="182">
        <v>-2255121.23</v>
      </c>
      <c r="AF39" s="182">
        <v>-2232712.1900000004</v>
      </c>
      <c r="AG39" s="182">
        <v>-2210303.15</v>
      </c>
      <c r="AH39" s="182">
        <v>-2187894.1099999994</v>
      </c>
      <c r="AI39" s="315">
        <v>-2165485.0699999998</v>
      </c>
      <c r="AJ39" s="315">
        <v>-2143076.0300000003</v>
      </c>
      <c r="AK39" s="315">
        <v>-2120666.9899999998</v>
      </c>
      <c r="AL39" s="315">
        <v>-2098257.9500000002</v>
      </c>
      <c r="AM39" s="315">
        <v>-2075848.9100000001</v>
      </c>
      <c r="AN39" s="315">
        <v>-2053439.87</v>
      </c>
      <c r="AO39" s="315">
        <v>-2031030.8299999998</v>
      </c>
      <c r="AP39" s="315">
        <v>-2008621.79</v>
      </c>
      <c r="AQ39" s="315">
        <v>-1986212.7500000002</v>
      </c>
      <c r="AR39" s="315">
        <v>-1963803.72</v>
      </c>
      <c r="AS39" s="315">
        <v>-1941394.6900000002</v>
      </c>
      <c r="AT39" s="315">
        <v>-1918985.6500000001</v>
      </c>
      <c r="AU39" s="315">
        <v>-1896576.6099999996</v>
      </c>
      <c r="AV39" s="315">
        <v>-1874167.5700000005</v>
      </c>
      <c r="AW39" s="315">
        <v>-1851758.54</v>
      </c>
      <c r="AX39" s="315">
        <v>-1829349.4999999995</v>
      </c>
      <c r="AY39" s="448">
        <v>-1806940.4600000002</v>
      </c>
      <c r="AZ39" s="448">
        <v>-1784531.42</v>
      </c>
      <c r="BA39" s="448">
        <v>-1762122.3900000001</v>
      </c>
      <c r="BB39" s="448">
        <v>-1738249.18</v>
      </c>
      <c r="BC39" s="448">
        <v>-1723656.3900000001</v>
      </c>
      <c r="BD39" s="448">
        <v>-1701229.69</v>
      </c>
      <c r="BE39" s="448">
        <v>-1678802.9800000002</v>
      </c>
      <c r="BF39" s="448">
        <v>-1656376.27</v>
      </c>
      <c r="BG39" s="448">
        <v>-1633949.56</v>
      </c>
      <c r="BH39" s="448">
        <v>-1611522.85</v>
      </c>
      <c r="BI39" s="448">
        <v>-1589096.1500000004</v>
      </c>
      <c r="BJ39" s="448">
        <v>-1566669.44</v>
      </c>
      <c r="BK39" s="448">
        <v>-1544242.7199999997</v>
      </c>
      <c r="BL39" s="448">
        <v>-1521816.0100000002</v>
      </c>
      <c r="BM39" s="448">
        <v>-1482482.75</v>
      </c>
      <c r="BN39" s="448">
        <v>-1361613.87</v>
      </c>
      <c r="BO39" s="448">
        <v>-1241366.5699999998</v>
      </c>
      <c r="BP39" s="448">
        <v>-1219531.99</v>
      </c>
      <c r="BQ39" s="448">
        <v>-1197697.42</v>
      </c>
      <c r="BR39" s="448">
        <v>-1175862.8500000001</v>
      </c>
      <c r="BS39" s="448">
        <v>-1154028.28</v>
      </c>
      <c r="BT39" s="448">
        <v>-1132193.71</v>
      </c>
      <c r="BU39" s="448">
        <v>-1110359.1300000001</v>
      </c>
      <c r="BV39" s="469">
        <v>-1088524.56</v>
      </c>
      <c r="BW39" s="469">
        <v>-1066689.98</v>
      </c>
      <c r="BX39" s="469">
        <v>-1044855.4199999999</v>
      </c>
      <c r="BY39" s="469">
        <v>-1023020.84</v>
      </c>
      <c r="BZ39" s="469">
        <v>-1001186.26</v>
      </c>
      <c r="CA39" s="469">
        <v>-979351.69000000006</v>
      </c>
      <c r="CB39" s="469">
        <v>-957517.1100000001</v>
      </c>
      <c r="CC39" s="469">
        <v>-935682.55</v>
      </c>
      <c r="CD39" s="469">
        <v>-913847.97000000009</v>
      </c>
      <c r="CE39" s="469">
        <v>-892013.39999999991</v>
      </c>
      <c r="CF39" s="469">
        <v>-870178.82</v>
      </c>
      <c r="CG39" s="469">
        <v>-848344.25</v>
      </c>
      <c r="CH39" s="469">
        <v>-826509.69</v>
      </c>
      <c r="CI39" s="469">
        <v>-804675.1100000001</v>
      </c>
      <c r="CJ39" s="469">
        <v>-782840.54</v>
      </c>
      <c r="CK39" s="469">
        <v>-761005.96000000008</v>
      </c>
      <c r="CL39" s="469">
        <v>-739171.39000000013</v>
      </c>
      <c r="CM39" s="469">
        <v>-717336.81999999983</v>
      </c>
      <c r="CN39" s="469">
        <v>-695502.25</v>
      </c>
      <c r="CO39" s="469">
        <v>-673667.66999999993</v>
      </c>
      <c r="CP39" s="469">
        <v>-651833.1</v>
      </c>
      <c r="CQ39" s="469">
        <v>-629998.53</v>
      </c>
      <c r="CR39" s="469">
        <v>-608163.96</v>
      </c>
      <c r="CS39" s="469">
        <v>-586329.3899999999</v>
      </c>
      <c r="CT39" s="469">
        <v>-508060.83999999997</v>
      </c>
      <c r="CU39" s="469">
        <v>-481523.44</v>
      </c>
      <c r="CV39" s="469">
        <v>-454986.03</v>
      </c>
      <c r="CW39" s="469">
        <v>-428448.62999999995</v>
      </c>
      <c r="CX39" s="469">
        <v>-401911.22</v>
      </c>
      <c r="CY39" s="469">
        <v>-387616.51</v>
      </c>
      <c r="CZ39" s="469">
        <v>-385564.29</v>
      </c>
      <c r="DA39" s="469">
        <v>-383512.08</v>
      </c>
      <c r="DB39" s="469">
        <v>-381459.83999999997</v>
      </c>
      <c r="DC39" s="469">
        <v>-379407.62</v>
      </c>
      <c r="DD39" s="469">
        <v>-377355.39999999997</v>
      </c>
      <c r="DE39" s="469">
        <v>-375303.18</v>
      </c>
      <c r="DF39" s="469">
        <v>-373250.94999999995</v>
      </c>
      <c r="DG39" s="469">
        <v>-371198.73</v>
      </c>
      <c r="DH39" s="469">
        <v>-369146.50000000006</v>
      </c>
      <c r="DI39" s="469">
        <v>-367094.29</v>
      </c>
      <c r="DJ39" s="469">
        <v>-365042.07000000007</v>
      </c>
      <c r="DK39" s="469">
        <v>-362989.85</v>
      </c>
      <c r="DL39" s="469">
        <v>-360937.62000000005</v>
      </c>
      <c r="DM39" s="469">
        <v>-358885.39999999997</v>
      </c>
      <c r="DN39" s="469">
        <v>-356833.18000000005</v>
      </c>
      <c r="DO39" s="469">
        <v>-354780.97</v>
      </c>
      <c r="DP39" s="469">
        <v>-352728.74000000005</v>
      </c>
      <c r="DQ39" s="469">
        <v>-350676.51999999996</v>
      </c>
      <c r="DR39" s="469">
        <v>-348624.30000000005</v>
      </c>
      <c r="DS39" s="469">
        <v>-346572.07999999996</v>
      </c>
      <c r="DT39" s="469">
        <v>-344519.85000000003</v>
      </c>
      <c r="DU39" s="469">
        <v>-342467.63999999996</v>
      </c>
      <c r="DV39" s="469">
        <v>-340415.42000000004</v>
      </c>
      <c r="DW39" s="469">
        <v>-338363.19999999995</v>
      </c>
      <c r="DX39" s="213">
        <v>-336310.97000000003</v>
      </c>
      <c r="DY39" s="213">
        <v>-334258.74999999994</v>
      </c>
      <c r="DZ39" s="213">
        <v>-332206.53000000003</v>
      </c>
      <c r="EA39" s="213">
        <v>-330154.31999999995</v>
      </c>
      <c r="EB39" s="213">
        <v>-328102.09000000003</v>
      </c>
      <c r="EC39" s="213">
        <v>-326049.86999999994</v>
      </c>
      <c r="ED39" s="213">
        <v>-323997.65000000002</v>
      </c>
      <c r="EE39" s="213">
        <v>-321945.42999999993</v>
      </c>
      <c r="EF39" s="213">
        <v>-319893.2</v>
      </c>
      <c r="EG39" s="213">
        <v>-317840.99000000005</v>
      </c>
      <c r="EH39" s="213">
        <v>-315775.98</v>
      </c>
      <c r="EI39" s="213">
        <v>-313723.76</v>
      </c>
      <c r="EJ39" s="213">
        <v>-311671.52999999997</v>
      </c>
      <c r="EK39" s="213">
        <v>-309619.31</v>
      </c>
      <c r="EL39" s="213">
        <v>-307567.08999999997</v>
      </c>
      <c r="EM39" s="213">
        <v>-305514.88</v>
      </c>
      <c r="EN39" s="1181">
        <f>-(VLOOKUP("2190040",'Input BS ACCTS'!$A$5:FY$391,98,FALSE)+VLOOKUP("2190041",'Input BS ACCTS'!$A$5:FY$391,98,FALSE))</f>
        <v>-303462.64999999997</v>
      </c>
      <c r="EO39" s="1181">
        <f>-(VLOOKUP("2190040",'Input BS ACCTS'!$A$5:FZ$391,99,FALSE)+VLOOKUP("2190041",'Input BS ACCTS'!$A$5:FZ$391,99,FALSE))</f>
        <v>-301410.43</v>
      </c>
      <c r="EP39" s="1181">
        <f>-(VLOOKUP("2190040",'Input BS ACCTS'!$A$5:GA$391,100,FALSE)+VLOOKUP("2190041",'Input BS ACCTS'!$A$5:GA$391,100,FALSE))</f>
        <v>-299358.21000000008</v>
      </c>
    </row>
    <row r="40" spans="1:146" ht="12.75" customHeight="1">
      <c r="A40" s="1118" t="s">
        <v>2646</v>
      </c>
      <c r="B40" s="138">
        <v>-1913099.153846154</v>
      </c>
      <c r="C40" s="138">
        <v>-2125407</v>
      </c>
      <c r="D40" s="138">
        <v>-2105261</v>
      </c>
      <c r="E40" s="138">
        <v>-2085115</v>
      </c>
      <c r="F40" s="138">
        <v>-2064969</v>
      </c>
      <c r="G40" s="138">
        <v>-2044823</v>
      </c>
      <c r="H40" s="138">
        <v>-2024677</v>
      </c>
      <c r="I40" s="138">
        <v>-2004531</v>
      </c>
      <c r="J40" s="138">
        <v>-1984385</v>
      </c>
      <c r="K40" s="138">
        <v>-1964239</v>
      </c>
      <c r="L40" s="138"/>
      <c r="M40" s="138"/>
      <c r="N40" s="138">
        <v>-1903800.7692307692</v>
      </c>
      <c r="O40" s="138">
        <v>-1883654.6923076923</v>
      </c>
      <c r="P40" s="138">
        <v>-1863508.6153846155</v>
      </c>
      <c r="Q40" s="138">
        <v>-1843362.5384615385</v>
      </c>
      <c r="R40" s="138">
        <v>-1823216.4615384615</v>
      </c>
      <c r="S40" s="138">
        <v>-1803070.3846153845</v>
      </c>
      <c r="T40" s="138">
        <v>-1782924.3076923077</v>
      </c>
      <c r="U40" s="138">
        <v>-1762778.2307692308</v>
      </c>
      <c r="V40" s="138">
        <v>-1742632.1400000001</v>
      </c>
      <c r="W40" s="138">
        <v>-1722486.0461538462</v>
      </c>
      <c r="X40" s="183">
        <v>-1702339.9492307692</v>
      </c>
      <c r="Y40" s="183">
        <v>-1682193.9261538461</v>
      </c>
      <c r="Z40" s="183">
        <v>-1662047.9</v>
      </c>
      <c r="AA40" s="183">
        <v>-1641901.8707692309</v>
      </c>
      <c r="AB40" s="183">
        <v>-1621755.8384615383</v>
      </c>
      <c r="AC40" s="183">
        <v>-1601609.8030769229</v>
      </c>
      <c r="AD40" s="183">
        <v>-1587414.6192307691</v>
      </c>
      <c r="AE40" s="183">
        <v>-1629936.2523076923</v>
      </c>
      <c r="AF40" s="183">
        <v>-1672283.8053846157</v>
      </c>
      <c r="AG40" s="183">
        <v>-1714457.2784615385</v>
      </c>
      <c r="AH40" s="183">
        <v>-1756456.6715384615</v>
      </c>
      <c r="AI40" s="316">
        <v>-1798281.9984615385</v>
      </c>
      <c r="AJ40" s="316">
        <v>-1839933.2484615385</v>
      </c>
      <c r="AK40" s="316">
        <v>-1881410.4215384615</v>
      </c>
      <c r="AL40" s="316">
        <v>-1922713.5176923075</v>
      </c>
      <c r="AM40" s="316">
        <v>-1963842.5369230767</v>
      </c>
      <c r="AN40" s="316">
        <v>-2004797.4792307692</v>
      </c>
      <c r="AO40" s="316">
        <v>-2045578.3446153845</v>
      </c>
      <c r="AP40" s="316">
        <v>-2086185.1330769227</v>
      </c>
      <c r="AQ40" s="316">
        <v>-2120666.9900000002</v>
      </c>
      <c r="AR40" s="316">
        <v>-2098257.9507692307</v>
      </c>
      <c r="AS40" s="316">
        <v>-2075848.9123076922</v>
      </c>
      <c r="AT40" s="316">
        <v>-2053439.8738461535</v>
      </c>
      <c r="AU40" s="316">
        <v>-2031030.8353846152</v>
      </c>
      <c r="AV40" s="316">
        <v>-2008621.796923077</v>
      </c>
      <c r="AW40" s="316">
        <v>-1986212.759230769</v>
      </c>
      <c r="AX40" s="316">
        <v>-1963803.7215384615</v>
      </c>
      <c r="AY40" s="449">
        <v>-1941394.6838461538</v>
      </c>
      <c r="AZ40" s="449">
        <v>-1918985.6461538461</v>
      </c>
      <c r="BA40" s="449">
        <v>-1896576.6092307693</v>
      </c>
      <c r="BB40" s="449">
        <v>-1874054.943846154</v>
      </c>
      <c r="BC40" s="449">
        <v>-1852134.5284615387</v>
      </c>
      <c r="BD40" s="449">
        <v>-1830212.7546153851</v>
      </c>
      <c r="BE40" s="449">
        <v>-1808289.6207692311</v>
      </c>
      <c r="BF40" s="449">
        <v>-1786365.126923077</v>
      </c>
      <c r="BG40" s="449">
        <v>-1764439.2738461541</v>
      </c>
      <c r="BH40" s="449">
        <v>-1742512.0615384614</v>
      </c>
      <c r="BI40" s="449">
        <v>-1720583.490769231</v>
      </c>
      <c r="BJ40" s="449">
        <v>-1698653.5600000003</v>
      </c>
      <c r="BK40" s="449">
        <f t="shared" ref="BK40:BP40" si="64">SUM(AY39:BK39)/13</f>
        <v>-1676722.2692307695</v>
      </c>
      <c r="BL40" s="449">
        <f t="shared" si="64"/>
        <v>-1654789.6192307696</v>
      </c>
      <c r="BM40" s="449">
        <f t="shared" si="64"/>
        <v>-1631555.1061538463</v>
      </c>
      <c r="BN40" s="449">
        <f t="shared" si="64"/>
        <v>-1600746.7584615387</v>
      </c>
      <c r="BO40" s="449">
        <f t="shared" si="64"/>
        <v>-1562525.0192307695</v>
      </c>
      <c r="BP40" s="449">
        <f t="shared" si="64"/>
        <v>-1523746.219230769</v>
      </c>
      <c r="BQ40" s="449">
        <f t="shared" ref="BQ40:BV40" si="65">SUM(BE39:BQ39)/13</f>
        <v>-1485012.9676923077</v>
      </c>
      <c r="BR40" s="449">
        <f t="shared" si="65"/>
        <v>-1446325.2653846154</v>
      </c>
      <c r="BS40" s="449">
        <f t="shared" si="65"/>
        <v>-1407683.1123076926</v>
      </c>
      <c r="BT40" s="449">
        <f t="shared" si="65"/>
        <v>-1369086.5084615385</v>
      </c>
      <c r="BU40" s="449">
        <f t="shared" si="65"/>
        <v>-1330535.453076923</v>
      </c>
      <c r="BV40" s="449">
        <f t="shared" si="65"/>
        <v>-1292029.9461538461</v>
      </c>
      <c r="BW40" s="449">
        <f>SUM(BK39:BW39)/13</f>
        <v>-1253569.9876923077</v>
      </c>
      <c r="BX40" s="449">
        <f>SUM(BL39:BX39)/13</f>
        <v>-1215155.58</v>
      </c>
      <c r="BY40" s="449">
        <f>SUM(BM39:BY39)/13</f>
        <v>-1176786.7207692307</v>
      </c>
      <c r="BZ40" s="449">
        <f t="shared" ref="BZ40:CE40" si="66">SUM(BN39:BZ39)/13</f>
        <v>-1139763.913846154</v>
      </c>
      <c r="CA40" s="449">
        <f t="shared" si="66"/>
        <v>-1110359.1307692307</v>
      </c>
      <c r="CB40" s="449">
        <f t="shared" si="66"/>
        <v>-1088524.5569230767</v>
      </c>
      <c r="CC40" s="449">
        <f t="shared" si="66"/>
        <v>-1066689.9846153846</v>
      </c>
      <c r="CD40" s="449">
        <f t="shared" si="66"/>
        <v>-1044855.4115384615</v>
      </c>
      <c r="CE40" s="449">
        <f t="shared" si="66"/>
        <v>-1023020.8384615385</v>
      </c>
      <c r="CF40" s="449">
        <f t="shared" ref="CF40:CV40" si="67">SUM(BT39:CF39)/13</f>
        <v>-1001186.2646153847</v>
      </c>
      <c r="CG40" s="449">
        <f t="shared" si="67"/>
        <v>-979351.69076923095</v>
      </c>
      <c r="CH40" s="449">
        <f t="shared" si="67"/>
        <v>-957517.11846153857</v>
      </c>
      <c r="CI40" s="449">
        <f t="shared" si="67"/>
        <v>-935682.54538461543</v>
      </c>
      <c r="CJ40" s="449">
        <f t="shared" si="67"/>
        <v>-913847.97307692294</v>
      </c>
      <c r="CK40" s="449">
        <f t="shared" si="67"/>
        <v>-892013.39923076937</v>
      </c>
      <c r="CL40" s="449">
        <f t="shared" si="67"/>
        <v>-870178.82615384634</v>
      </c>
      <c r="CM40" s="449">
        <f t="shared" si="67"/>
        <v>-848344.25384615408</v>
      </c>
      <c r="CN40" s="449">
        <f t="shared" si="67"/>
        <v>-826509.68153846182</v>
      </c>
      <c r="CO40" s="449">
        <f t="shared" si="67"/>
        <v>-804675.10923076922</v>
      </c>
      <c r="CP40" s="449">
        <f t="shared" si="67"/>
        <v>-782840.53615384619</v>
      </c>
      <c r="CQ40" s="449">
        <f t="shared" si="67"/>
        <v>-761005.96384615381</v>
      </c>
      <c r="CR40" s="449">
        <f t="shared" si="67"/>
        <v>-739171.39153846155</v>
      </c>
      <c r="CS40" s="449">
        <f t="shared" si="67"/>
        <v>-717336.82000000007</v>
      </c>
      <c r="CT40" s="449">
        <f t="shared" si="67"/>
        <v>-691161.17307692312</v>
      </c>
      <c r="CU40" s="449">
        <f t="shared" si="67"/>
        <v>-664623.76923076925</v>
      </c>
      <c r="CV40" s="449">
        <f t="shared" si="67"/>
        <v>-637724.60923076922</v>
      </c>
      <c r="CW40" s="449">
        <f t="shared" ref="CW40:DK40" si="68">SUM(CK39:CW39)/13</f>
        <v>-610463.69307692302</v>
      </c>
      <c r="CX40" s="449">
        <f t="shared" si="68"/>
        <v>-582841.02076923079</v>
      </c>
      <c r="CY40" s="449">
        <f t="shared" si="68"/>
        <v>-555798.33769230766</v>
      </c>
      <c r="CZ40" s="449">
        <f t="shared" si="68"/>
        <v>-530277.37384615385</v>
      </c>
      <c r="DA40" s="449">
        <f t="shared" si="68"/>
        <v>-506278.12999999989</v>
      </c>
      <c r="DB40" s="449">
        <f t="shared" si="68"/>
        <v>-483800.60461538448</v>
      </c>
      <c r="DC40" s="449">
        <f t="shared" si="68"/>
        <v>-462844.79846153839</v>
      </c>
      <c r="DD40" s="449">
        <f t="shared" si="68"/>
        <v>-443410.71153846156</v>
      </c>
      <c r="DE40" s="449">
        <f t="shared" si="68"/>
        <v>-425498.34384615382</v>
      </c>
      <c r="DF40" s="449">
        <f t="shared" si="68"/>
        <v>-409107.69461538462</v>
      </c>
      <c r="DG40" s="449">
        <f t="shared" si="68"/>
        <v>-398579.83999999997</v>
      </c>
      <c r="DH40" s="449">
        <f t="shared" si="68"/>
        <v>-389935.46</v>
      </c>
      <c r="DI40" s="449">
        <f t="shared" si="68"/>
        <v>-383174.55692307686</v>
      </c>
      <c r="DJ40" s="449">
        <f t="shared" si="68"/>
        <v>-378297.12923076923</v>
      </c>
      <c r="DK40" s="449">
        <f t="shared" si="68"/>
        <v>-375303.17769230768</v>
      </c>
      <c r="DL40" s="449">
        <f t="shared" ref="DL40:DR40" si="69">SUM(CZ39:DL39)/13</f>
        <v>-373250.9553846154</v>
      </c>
      <c r="DM40" s="449">
        <f t="shared" si="69"/>
        <v>-371198.73307692312</v>
      </c>
      <c r="DN40" s="449">
        <f t="shared" si="69"/>
        <v>-369146.51</v>
      </c>
      <c r="DO40" s="449">
        <f t="shared" si="69"/>
        <v>-367094.28923076921</v>
      </c>
      <c r="DP40" s="449">
        <f t="shared" si="69"/>
        <v>-365042.06769230776</v>
      </c>
      <c r="DQ40" s="449">
        <f t="shared" si="69"/>
        <v>-362989.84615384613</v>
      </c>
      <c r="DR40" s="449">
        <f t="shared" si="69"/>
        <v>-360937.62461538462</v>
      </c>
      <c r="DS40" s="449">
        <f t="shared" ref="DS40:EJ40" si="70">SUM(DG39:DS39)/13</f>
        <v>-358885.40384615393</v>
      </c>
      <c r="DT40" s="449">
        <f t="shared" si="70"/>
        <v>-356833.1823076923</v>
      </c>
      <c r="DU40" s="449">
        <f t="shared" si="70"/>
        <v>-354780.96230769227</v>
      </c>
      <c r="DV40" s="449">
        <f t="shared" si="70"/>
        <v>-352728.74153846159</v>
      </c>
      <c r="DW40" s="449">
        <f t="shared" si="70"/>
        <v>-350676.52076923079</v>
      </c>
      <c r="DX40" s="449">
        <f t="shared" si="70"/>
        <v>-348624.29923076928</v>
      </c>
      <c r="DY40" s="449">
        <f t="shared" si="70"/>
        <v>-346572.07846153848</v>
      </c>
      <c r="DZ40" s="449">
        <f t="shared" si="70"/>
        <v>-344519.85769230773</v>
      </c>
      <c r="EA40" s="449">
        <f t="shared" si="70"/>
        <v>-342467.6376923077</v>
      </c>
      <c r="EB40" s="449">
        <f t="shared" si="70"/>
        <v>-340415.41615384619</v>
      </c>
      <c r="EC40" s="449">
        <f t="shared" si="70"/>
        <v>-338363.19538461533</v>
      </c>
      <c r="ED40" s="449">
        <f t="shared" si="70"/>
        <v>-336310.97461538459</v>
      </c>
      <c r="EE40" s="449">
        <f t="shared" si="70"/>
        <v>-334258.75384615373</v>
      </c>
      <c r="EF40" s="449">
        <f t="shared" si="70"/>
        <v>-332206.53230769228</v>
      </c>
      <c r="EG40" s="449">
        <f t="shared" si="70"/>
        <v>-330154.31230769237</v>
      </c>
      <c r="EH40" s="449">
        <f t="shared" si="70"/>
        <v>-328101.10769230773</v>
      </c>
      <c r="EI40" s="449">
        <f t="shared" si="70"/>
        <v>-326047.9030769231</v>
      </c>
      <c r="EJ40" s="449">
        <f t="shared" si="70"/>
        <v>-323994.6976923077</v>
      </c>
      <c r="EK40" s="449">
        <f t="shared" ref="EK40:EP40" si="71">SUM(DY39:EK39)/13</f>
        <v>-321941.49307692307</v>
      </c>
      <c r="EL40" s="449">
        <f t="shared" si="71"/>
        <v>-319888.28846153844</v>
      </c>
      <c r="EM40" s="449">
        <f t="shared" si="71"/>
        <v>-317835.08461538458</v>
      </c>
      <c r="EN40" s="449">
        <f t="shared" si="71"/>
        <v>-315781.87923076918</v>
      </c>
      <c r="EO40" s="449">
        <f t="shared" si="71"/>
        <v>-313728.6746153846</v>
      </c>
      <c r="EP40" s="449">
        <f t="shared" si="71"/>
        <v>-311675.46999999997</v>
      </c>
    </row>
    <row r="41" spans="1:146" ht="12.75" customHeight="1">
      <c r="A41" s="1129" t="s">
        <v>2648</v>
      </c>
      <c r="B41" s="35">
        <v>-1201429.3831439218</v>
      </c>
      <c r="C41" s="35">
        <v>-1334759.0561660565</v>
      </c>
      <c r="D41" s="35">
        <v>-1322107.3353683357</v>
      </c>
      <c r="E41" s="35">
        <v>-1309455.6145706149</v>
      </c>
      <c r="F41" s="35">
        <v>-1296803.8937728941</v>
      </c>
      <c r="G41" s="35">
        <v>-1284152.1729751732</v>
      </c>
      <c r="H41" s="35">
        <v>-1271500.4521774524</v>
      </c>
      <c r="I41" s="35">
        <v>-1258848.7313797316</v>
      </c>
      <c r="J41" s="35">
        <v>-1246197.0105820107</v>
      </c>
      <c r="K41" s="35">
        <v>-1233545.2897842899</v>
      </c>
      <c r="L41" s="35">
        <v>0</v>
      </c>
      <c r="M41" s="35">
        <v>0</v>
      </c>
      <c r="N41" s="35">
        <v>-1195589.9824676749</v>
      </c>
      <c r="O41" s="35">
        <v>-1182938.2133621366</v>
      </c>
      <c r="P41" s="35">
        <v>-1170286.4442565981</v>
      </c>
      <c r="Q41" s="35">
        <v>-1157634.6751510599</v>
      </c>
      <c r="R41" s="35">
        <v>-1144982.9060455216</v>
      </c>
      <c r="S41" s="35">
        <v>-1132331.1369399833</v>
      </c>
      <c r="T41" s="35">
        <v>-1119679.3678344449</v>
      </c>
      <c r="U41" s="35">
        <v>-1107027.5987289066</v>
      </c>
      <c r="V41" s="35">
        <v>-1094375.8209279613</v>
      </c>
      <c r="W41" s="35">
        <v>-1081724.041194703</v>
      </c>
      <c r="X41" s="35">
        <v>-1069072.2595291319</v>
      </c>
      <c r="Y41" s="35">
        <v>-1056420.5242390661</v>
      </c>
      <c r="Z41" s="35">
        <v>-1043768.787016687</v>
      </c>
      <c r="AA41" s="57">
        <v>-1031117.0478619959</v>
      </c>
      <c r="AB41" s="57">
        <v>-1018465.3067749916</v>
      </c>
      <c r="AC41" s="57">
        <v>-1005813.5637556748</v>
      </c>
      <c r="AD41" s="57">
        <v>-996898.96519050747</v>
      </c>
      <c r="AE41" s="57">
        <v>-1023602.6199881032</v>
      </c>
      <c r="AF41" s="57">
        <v>-1050196.9522622966</v>
      </c>
      <c r="AG41" s="57">
        <v>-1076681.962013087</v>
      </c>
      <c r="AH41" s="57">
        <v>-1103057.6492404747</v>
      </c>
      <c r="AI41" s="57">
        <v>-1129324.0226398674</v>
      </c>
      <c r="AJ41" s="57">
        <v>-1155481.0754481703</v>
      </c>
      <c r="AK41" s="57">
        <v>-1181528.807665383</v>
      </c>
      <c r="AL41" s="57">
        <v>-1207467.2192915063</v>
      </c>
      <c r="AM41" s="57">
        <v>-1233296.3103265397</v>
      </c>
      <c r="AN41" s="57">
        <v>-1259016.0807704835</v>
      </c>
      <c r="AO41" s="57">
        <v>-1284626.5306233368</v>
      </c>
      <c r="AP41" s="57">
        <v>-1310127.6598851008</v>
      </c>
      <c r="AQ41" s="57">
        <v>-1331782.3221693127</v>
      </c>
      <c r="AR41" s="57">
        <v>-1317709.4090504367</v>
      </c>
      <c r="AS41" s="57">
        <v>-1303636.4964146395</v>
      </c>
      <c r="AT41" s="57">
        <v>-1289563.5837788421</v>
      </c>
      <c r="AU41" s="57">
        <v>-1275490.6711430452</v>
      </c>
      <c r="AV41" s="57">
        <v>-1261417.7585072478</v>
      </c>
      <c r="AW41" s="57">
        <v>-1247344.8463545286</v>
      </c>
      <c r="AX41" s="57">
        <v>-1233271.9342018098</v>
      </c>
      <c r="AY41" s="450">
        <v>-1219199.0220490908</v>
      </c>
      <c r="AZ41" s="450">
        <v>-1205126.1098963714</v>
      </c>
      <c r="BA41" s="450">
        <v>-1191053.1982267308</v>
      </c>
      <c r="BB41" s="450">
        <v>-1176909.5556998844</v>
      </c>
      <c r="BC41" s="450">
        <v>-1163143.4991518743</v>
      </c>
      <c r="BD41" s="450">
        <v>-1149376.589487806</v>
      </c>
      <c r="BE41" s="450">
        <v>-1135608.8257415239</v>
      </c>
      <c r="BF41" s="450">
        <v>-1121840.2079130274</v>
      </c>
      <c r="BG41" s="450">
        <v>-1108070.7364853951</v>
      </c>
      <c r="BH41" s="450">
        <v>-1094300.4114586271</v>
      </c>
      <c r="BI41" s="450">
        <v>-1080529.2333158015</v>
      </c>
      <c r="BJ41" s="450">
        <v>-1066757.2010907612</v>
      </c>
      <c r="BK41" s="450">
        <f t="shared" ref="BK41:CT41" si="72">(+BK40/0.61425)-BK40</f>
        <v>-1052984.3147835075</v>
      </c>
      <c r="BL41" s="450">
        <f t="shared" si="72"/>
        <v>-1039210.5748771178</v>
      </c>
      <c r="BM41" s="450">
        <f t="shared" si="72"/>
        <v>-1024619.2628389844</v>
      </c>
      <c r="BN41" s="450">
        <f t="shared" si="72"/>
        <v>-1005271.5703321751</v>
      </c>
      <c r="BO41" s="450">
        <f t="shared" si="72"/>
        <v>-981268.25587019837</v>
      </c>
      <c r="BP41" s="450">
        <f t="shared" si="72"/>
        <v>-956915.10633824882</v>
      </c>
      <c r="BQ41" s="450">
        <f t="shared" si="72"/>
        <v>-932590.56131429831</v>
      </c>
      <c r="BR41" s="450">
        <f t="shared" si="72"/>
        <v>-908294.62128142547</v>
      </c>
      <c r="BS41" s="450">
        <f t="shared" si="72"/>
        <v>-884027.28623962984</v>
      </c>
      <c r="BT41" s="450">
        <f t="shared" si="72"/>
        <v>-859788.55618891097</v>
      </c>
      <c r="BU41" s="450">
        <f t="shared" si="72"/>
        <v>-835578.43064619158</v>
      </c>
      <c r="BV41" s="450">
        <f t="shared" si="72"/>
        <v>-811396.90961147146</v>
      </c>
      <c r="BW41" s="450">
        <f t="shared" si="72"/>
        <v>-787243.99308475014</v>
      </c>
      <c r="BX41" s="450">
        <f t="shared" si="72"/>
        <v>-763119.68251526263</v>
      </c>
      <c r="BY41" s="450">
        <f t="shared" si="72"/>
        <v>-739023.97645377414</v>
      </c>
      <c r="BZ41" s="521">
        <f t="shared" si="72"/>
        <v>-715773.59343289211</v>
      </c>
      <c r="CA41" s="521">
        <f t="shared" si="72"/>
        <v>-697307.34178954945</v>
      </c>
      <c r="CB41" s="521">
        <f t="shared" si="72"/>
        <v>-683595.19386744313</v>
      </c>
      <c r="CC41" s="521">
        <f t="shared" si="72"/>
        <v>-669883.04691149318</v>
      </c>
      <c r="CD41" s="521">
        <f t="shared" si="72"/>
        <v>-656170.89947246481</v>
      </c>
      <c r="CE41" s="521">
        <f t="shared" si="72"/>
        <v>-642458.7520334369</v>
      </c>
      <c r="CF41" s="521">
        <f t="shared" si="72"/>
        <v>-628746.60411133047</v>
      </c>
      <c r="CG41" s="521">
        <f t="shared" si="72"/>
        <v>-615034.45618922403</v>
      </c>
      <c r="CH41" s="521">
        <f t="shared" si="72"/>
        <v>-601322.30923327408</v>
      </c>
      <c r="CI41" s="521">
        <f t="shared" si="72"/>
        <v>-587610.16179424571</v>
      </c>
      <c r="CJ41" s="521">
        <f t="shared" si="72"/>
        <v>-573898.01483829564</v>
      </c>
      <c r="CK41" s="521">
        <f t="shared" si="72"/>
        <v>-560185.86691618944</v>
      </c>
      <c r="CL41" s="521">
        <f t="shared" si="72"/>
        <v>-546473.71947716118</v>
      </c>
      <c r="CM41" s="521">
        <f t="shared" si="72"/>
        <v>-532761.57252121111</v>
      </c>
      <c r="CN41" s="521">
        <f t="shared" si="72"/>
        <v>-519049.42556526128</v>
      </c>
      <c r="CO41" s="521">
        <f t="shared" si="72"/>
        <v>-505337.27860931109</v>
      </c>
      <c r="CP41" s="521">
        <f t="shared" si="72"/>
        <v>-491625.13117028284</v>
      </c>
      <c r="CQ41" s="521">
        <f t="shared" si="72"/>
        <v>-477912.98421433265</v>
      </c>
      <c r="CR41" s="521">
        <f t="shared" si="72"/>
        <v>-464200.83725838282</v>
      </c>
      <c r="CS41" s="521">
        <f t="shared" si="72"/>
        <v>-450488.69078551093</v>
      </c>
      <c r="CT41" s="521">
        <f t="shared" si="72"/>
        <v>-434050.34190382285</v>
      </c>
      <c r="CU41" s="823">
        <f>(+CU40/'Input Tax Rate'!C$30)-CU40</f>
        <v>-398315.0719590676</v>
      </c>
      <c r="CV41" s="823">
        <f>(+CV40/'Input Tax Rate'!D$30)-CV40</f>
        <v>-364514.28630713606</v>
      </c>
      <c r="CW41" s="823">
        <f>(+CW40/'Input Tax Rate'!E$30)-CW40</f>
        <v>-332592.25729873509</v>
      </c>
      <c r="CX41" s="823">
        <f>(+CX40/'Input Tax Rate'!F$30)-CX40</f>
        <v>-302464.69924175239</v>
      </c>
      <c r="CY41" s="823">
        <f>(+CY40/'Input Tax Rate'!G$30)-CY40</f>
        <v>-274525.97632047685</v>
      </c>
      <c r="CZ41" s="823">
        <f>(+CZ40/'Input Tax Rate'!H$30)-CZ40</f>
        <v>-249083.84579839895</v>
      </c>
      <c r="DA41" s="823">
        <f>(+DA40/'Input Tax Rate'!I$30)-DA40</f>
        <v>-225946.08810030005</v>
      </c>
      <c r="DB41" s="823">
        <f>(+DB40/'Input Tax Rate'!J$30)-DB40</f>
        <v>-204932.55022180604</v>
      </c>
      <c r="DC41" s="823">
        <f>(+DC40/'Input Tax Rate'!K$30)-DC40</f>
        <v>-185874.21546542237</v>
      </c>
      <c r="DD41" s="823">
        <f>(+DD40/'Input Tax Rate'!L$30)-DD40</f>
        <v>-168612.3547672134</v>
      </c>
      <c r="DE41" s="823">
        <f>(+DE40/'Input Tax Rate'!M$30)-DE40</f>
        <v>-152997.75600926077</v>
      </c>
      <c r="DF41" s="823">
        <f>(+DF40/'Input Tax Rate'!N$30)-DF40</f>
        <v>-138890.02103043225</v>
      </c>
      <c r="DG41" s="823">
        <f>(+DG40/'Input Tax Rate'!$B$37)-DG40</f>
        <v>-124440.3673684494</v>
      </c>
      <c r="DH41" s="823">
        <f>(+DH40/'Input Tax Rate'!$B$37)-DH40</f>
        <v>-121741.51079087518</v>
      </c>
      <c r="DI41" s="823">
        <f>(+DI40/'Input Tax Rate'!$B$37)-DI40</f>
        <v>-119630.69338818168</v>
      </c>
      <c r="DJ41" s="823">
        <f>(+DJ40/'Input Tax Rate'!$B$37)-DJ40</f>
        <v>-118107.91468004679</v>
      </c>
      <c r="DK41" s="823">
        <f>(+DK40/'Input Tax Rate'!$B$37)-DK40</f>
        <v>-117173.17490663152</v>
      </c>
      <c r="DL41" s="823">
        <f>(+DL40/'Input Tax Rate'!$B$37)-DL40</f>
        <v>-116532.45183872385</v>
      </c>
      <c r="DM41" s="823">
        <f>(+DM40/'Input Tax Rate'!$B$37)-DM40</f>
        <v>-115891.72877081617</v>
      </c>
      <c r="DN41" s="823">
        <f>(+DN40/'Input Tax Rate'!$B$37)-DN40</f>
        <v>-115251.00546274742</v>
      </c>
      <c r="DO41" s="823">
        <f>(+DO40/'Input Tax Rate'!$B$37)-DO40</f>
        <v>-114610.28287516179</v>
      </c>
      <c r="DP41" s="823">
        <f>(+DP40/'Input Tax Rate'!$B$37)-DP40</f>
        <v>-113969.5600474152</v>
      </c>
      <c r="DQ41" s="823">
        <f>(+DQ40/'Input Tax Rate'!$B$37)-DQ40</f>
        <v>-113328.83721966855</v>
      </c>
      <c r="DR41" s="823">
        <f>(+DR40/'Input Tax Rate'!$B$37)-DR40</f>
        <v>-112688.11439192196</v>
      </c>
      <c r="DS41" s="823">
        <f>(+DS40/'Input Tax Rate'!$B$37)-DS40</f>
        <v>-112047.3918043364</v>
      </c>
      <c r="DT41" s="823">
        <f>(+DT40/'Input Tax Rate'!$B$37)-DT40</f>
        <v>-111406.66897658975</v>
      </c>
      <c r="DU41" s="823">
        <f>(+DU40/'Input Tax Rate'!$B$37)-DU40</f>
        <v>-110765.94662916526</v>
      </c>
      <c r="DV41" s="823">
        <f>(+DV40/'Input Tax Rate'!$B$37)-DV40</f>
        <v>-110125.2240415797</v>
      </c>
      <c r="DW41" s="823">
        <f>(+DW40/'Input Tax Rate'!$B$37)-DW40</f>
        <v>-109484.50145399413</v>
      </c>
      <c r="DX41" s="449">
        <f>(+DX40/'Input Tax Rate'!$B$37)-DX40</f>
        <v>-108843.77862624754</v>
      </c>
      <c r="DY41" s="449">
        <f>(+DY40/'Input Tax Rate'!$B$37)-DY40</f>
        <v>-108203.05603866198</v>
      </c>
      <c r="DZ41" s="449">
        <f>(+DZ40/'Input Tax Rate'!$B$37)-DZ40</f>
        <v>-107562.33345107641</v>
      </c>
      <c r="EA41" s="449">
        <f>(+EA40/'Input Tax Rate'!$B$37)-EA40</f>
        <v>-106921.61110365193</v>
      </c>
      <c r="EB41" s="449">
        <f>(+EB40/'Input Tax Rate'!$B$37)-EB40</f>
        <v>-106280.88827590528</v>
      </c>
      <c r="EC41" s="449">
        <f>(+EC40/'Input Tax Rate'!$B$37)-EC40</f>
        <v>-105640.16568831971</v>
      </c>
      <c r="ED41" s="449">
        <f>(+ED40/'Input Tax Rate'!$B$37)-ED40</f>
        <v>-104999.44310073415</v>
      </c>
      <c r="EE41" s="449">
        <f>(+EE40/'Input Tax Rate'!$B$37)-EE40</f>
        <v>-104358.72051314852</v>
      </c>
      <c r="EF41" s="449">
        <f>(+EF40/'Input Tax Rate'!$B$37)-EF40</f>
        <v>-103717.99768540193</v>
      </c>
      <c r="EG41" s="449">
        <f>(+EG40/'Input Tax Rate'!$B$37)-EG40</f>
        <v>-103077.27533797751</v>
      </c>
      <c r="EH41" s="449">
        <f>(+EH40/'Input Tax Rate'!$B$37)-EH40</f>
        <v>-102436.24558438768</v>
      </c>
      <c r="EI41" s="449">
        <f>(+EI40/'Input Tax Rate'!$B$37)-EI40</f>
        <v>-101795.21583079791</v>
      </c>
      <c r="EJ41" s="449">
        <f>(+EJ40/'Input Tax Rate'!$B$37)-EJ40</f>
        <v>-101154.18583704706</v>
      </c>
      <c r="EK41" s="449">
        <f>(+EK40/'Input Tax Rate'!$B$37)-EK40</f>
        <v>-100513.15608345723</v>
      </c>
      <c r="EL41" s="449">
        <f>(+EL40/'Input Tax Rate'!$B$37)-EL40</f>
        <v>-99872.12632986746</v>
      </c>
      <c r="EM41" s="449">
        <f>(+EM40/'Input Tax Rate'!$B$37)-EM40</f>
        <v>-99231.096816438716</v>
      </c>
      <c r="EN41" s="449">
        <f>(+EN40/'Input Tax Rate'!$B$37)-EN40</f>
        <v>-98590.066822687862</v>
      </c>
      <c r="EO41" s="449">
        <f>(+EO40/'Input Tax Rate'!$B$37)-EO40</f>
        <v>-97949.037069098093</v>
      </c>
      <c r="EP41" s="449">
        <f>(+EP40/'Input Tax Rate'!$B$37)-EP40</f>
        <v>-97308.007315508323</v>
      </c>
    </row>
    <row r="42" spans="1:146" ht="12.75" customHeight="1">
      <c r="AA42"/>
      <c r="AB42"/>
      <c r="AC42"/>
      <c r="AD42"/>
      <c r="AE42"/>
      <c r="AF42"/>
      <c r="AG42"/>
      <c r="AH42"/>
      <c r="AI42"/>
    </row>
    <row r="43" spans="1:146" ht="12.75" customHeight="1">
      <c r="A43" s="1106" t="s">
        <v>2699</v>
      </c>
      <c r="B43" s="1107" t="s">
        <v>2624</v>
      </c>
      <c r="C43" s="1107" t="s">
        <v>2624</v>
      </c>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8"/>
      <c r="AA43" s="1108"/>
      <c r="AB43" s="1108"/>
      <c r="AC43" s="1108"/>
      <c r="AD43" s="1108"/>
      <c r="AE43" s="1108"/>
      <c r="AF43" s="1108"/>
      <c r="AG43" s="1108"/>
      <c r="AH43" s="1108"/>
      <c r="AI43" s="1108"/>
      <c r="AJ43" s="1108"/>
      <c r="AK43" s="1108"/>
      <c r="AL43" s="1108"/>
      <c r="AM43" s="1108"/>
      <c r="AN43" s="1108"/>
      <c r="AO43" s="1108"/>
      <c r="AP43" s="1108"/>
      <c r="AQ43" s="1108"/>
      <c r="AR43" s="1108"/>
      <c r="AS43" s="1108"/>
      <c r="AT43" s="1108"/>
      <c r="AU43" s="1108"/>
      <c r="AV43" s="1108"/>
      <c r="AW43" s="1108"/>
      <c r="AX43" s="1108"/>
      <c r="AY43" s="1108"/>
      <c r="AZ43" s="1108"/>
      <c r="BA43" s="1109"/>
      <c r="BB43" s="1109"/>
      <c r="BC43" s="1109"/>
      <c r="BD43" s="1109"/>
      <c r="BE43" s="1109"/>
      <c r="BF43" s="1109"/>
      <c r="BG43" s="1109"/>
      <c r="BH43" s="1109"/>
      <c r="BI43" s="1109"/>
      <c r="BJ43" s="1109"/>
      <c r="BK43" s="1109"/>
      <c r="BL43" s="1109"/>
      <c r="BM43" s="1109"/>
      <c r="BN43" s="1109"/>
      <c r="BO43" s="1109"/>
      <c r="BP43" s="1109"/>
      <c r="BQ43" s="1109"/>
      <c r="BR43" s="1109"/>
      <c r="BS43" s="1109"/>
      <c r="BT43" s="1109"/>
      <c r="BU43" s="1109"/>
      <c r="BV43" s="1109"/>
      <c r="BW43" s="1109"/>
      <c r="BX43" s="1109"/>
      <c r="BY43" s="1109"/>
      <c r="BZ43" s="1109"/>
      <c r="CA43" s="1109"/>
      <c r="CB43" s="1109"/>
      <c r="CC43" s="1109"/>
      <c r="CD43" s="1109"/>
      <c r="CE43" s="1109"/>
      <c r="CF43" s="1109"/>
      <c r="CG43" s="1109"/>
      <c r="CH43" s="1109"/>
      <c r="CI43" s="1109"/>
      <c r="CJ43" s="1109"/>
      <c r="CK43" s="1109"/>
      <c r="CL43" s="1109"/>
      <c r="CM43" s="1109"/>
      <c r="CN43" s="1109"/>
      <c r="CO43" s="1109"/>
      <c r="CP43" s="1109"/>
      <c r="CQ43" s="1109"/>
      <c r="CR43" s="1109"/>
      <c r="CS43" s="1109"/>
      <c r="CT43" s="1109"/>
      <c r="CU43" s="1109"/>
      <c r="CV43" s="1109"/>
      <c r="CW43" s="1109"/>
      <c r="CX43" s="1109"/>
      <c r="CY43" s="1109"/>
      <c r="CZ43" s="1109"/>
      <c r="DA43" s="1109"/>
      <c r="DB43" s="1109"/>
      <c r="DC43" s="1109"/>
      <c r="DD43" s="1109"/>
      <c r="DE43" s="1109"/>
      <c r="DF43" s="1109"/>
      <c r="DG43" s="1109"/>
      <c r="DH43" s="1109"/>
      <c r="DI43" s="1109"/>
      <c r="DJ43" s="1109"/>
      <c r="DK43" s="1109"/>
      <c r="DL43" s="1109"/>
      <c r="DM43" s="1109"/>
      <c r="DN43" s="1109"/>
      <c r="DO43" s="1109"/>
      <c r="DP43" s="1109"/>
      <c r="DQ43" s="1109"/>
      <c r="DR43" s="1109"/>
      <c r="DS43" s="1109"/>
      <c r="DT43" s="1109"/>
      <c r="DU43" s="1109"/>
      <c r="DV43" s="1109"/>
      <c r="DW43" s="1109"/>
      <c r="DX43" s="1106"/>
      <c r="DY43" s="1106"/>
      <c r="DZ43" s="1106"/>
      <c r="EA43" s="1106"/>
      <c r="EB43" s="1106"/>
      <c r="EC43" s="1106"/>
      <c r="ED43" s="1106"/>
      <c r="EE43" s="1106"/>
      <c r="EF43" s="1106"/>
      <c r="EG43" s="1106"/>
      <c r="EH43" s="1106"/>
      <c r="EI43" s="1106"/>
      <c r="EJ43" s="1106"/>
      <c r="EK43" s="1106"/>
      <c r="EL43" s="1106"/>
      <c r="EM43" s="1106"/>
      <c r="EN43" s="1106"/>
      <c r="EO43" s="1106"/>
      <c r="EP43" s="1106"/>
    </row>
    <row r="44" spans="1:146" ht="12.75" customHeight="1">
      <c r="A44" s="1110"/>
      <c r="B44" s="1111"/>
      <c r="C44" s="1111"/>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112"/>
      <c r="AB44" s="1112"/>
      <c r="AC44" s="1112"/>
      <c r="AD44" s="1112"/>
      <c r="AE44" s="1112"/>
      <c r="AF44" s="1112"/>
      <c r="AG44" s="1112"/>
      <c r="AH44" s="1112"/>
      <c r="AI44" s="1112"/>
      <c r="AJ44" s="1112"/>
      <c r="AK44" s="1112"/>
      <c r="AL44" s="1112"/>
      <c r="AM44" s="1112"/>
      <c r="AN44" s="1112"/>
      <c r="AO44" s="1112"/>
      <c r="AP44" s="1112"/>
      <c r="AQ44" s="1112"/>
      <c r="AR44" s="1112"/>
      <c r="AS44" s="1112"/>
      <c r="AT44" s="1112"/>
      <c r="AU44" s="1112"/>
      <c r="AV44" s="1112"/>
      <c r="AW44" s="1112"/>
      <c r="AX44" s="1112"/>
      <c r="AY44" s="1112"/>
      <c r="AZ44" s="1112"/>
      <c r="BA44" s="1113"/>
      <c r="BB44" s="1113"/>
      <c r="BC44" s="1113"/>
      <c r="BD44" s="1113"/>
      <c r="BE44" s="1113"/>
      <c r="BF44" s="1113"/>
      <c r="BG44" s="1113"/>
      <c r="BH44" s="1113"/>
      <c r="BI44" s="1113"/>
      <c r="BJ44" s="1113"/>
      <c r="BK44" s="1113"/>
      <c r="BL44" s="1113"/>
      <c r="BM44" s="1113"/>
      <c r="BN44" s="1113"/>
      <c r="BO44" s="1113"/>
      <c r="BP44" s="1113"/>
      <c r="BQ44" s="1113"/>
      <c r="BR44" s="1113"/>
      <c r="BS44" s="1113"/>
      <c r="BT44" s="1113"/>
      <c r="BU44" s="1113"/>
      <c r="BV44" s="1113"/>
      <c r="BW44" s="1113"/>
      <c r="BX44" s="1113"/>
      <c r="BY44" s="1113"/>
      <c r="BZ44" s="1113"/>
      <c r="CA44" s="1113"/>
      <c r="CB44" s="1113"/>
      <c r="CC44" s="1113"/>
      <c r="CD44" s="1113"/>
      <c r="CE44" s="1113"/>
      <c r="CF44" s="1113"/>
      <c r="CG44" s="1113"/>
      <c r="CH44" s="1113"/>
      <c r="CI44" s="1113"/>
      <c r="CJ44" s="1113"/>
      <c r="CK44" s="1113"/>
      <c r="CL44" s="1113"/>
      <c r="CM44" s="1113"/>
      <c r="CN44" s="1113"/>
      <c r="CO44" s="1113"/>
      <c r="CP44" s="1113"/>
      <c r="CQ44" s="1113"/>
      <c r="CR44" s="1113"/>
      <c r="CS44" s="1113"/>
      <c r="CT44" s="1113"/>
      <c r="CU44" s="1113"/>
      <c r="CV44" s="1113"/>
      <c r="CW44" s="1113"/>
      <c r="CX44" s="1113"/>
      <c r="CY44" s="1113"/>
      <c r="CZ44" s="1113"/>
      <c r="DA44" s="1113"/>
      <c r="DB44" s="1113"/>
      <c r="DC44" s="1113"/>
      <c r="DD44" s="1113"/>
      <c r="DE44" s="1113"/>
      <c r="DF44" s="1113"/>
      <c r="DG44" s="1113"/>
      <c r="DH44" s="1113"/>
      <c r="DI44" s="1113"/>
      <c r="DJ44" s="1113"/>
      <c r="DK44" s="1113"/>
      <c r="DL44" s="1113"/>
      <c r="DM44" s="1113"/>
      <c r="DN44" s="1113"/>
      <c r="DO44" s="1113"/>
      <c r="DP44" s="1113"/>
      <c r="DQ44" s="1113"/>
      <c r="DR44" s="1113"/>
      <c r="DS44" s="1113"/>
      <c r="DT44" s="1113"/>
      <c r="DU44" s="1113"/>
      <c r="DV44" s="1113"/>
      <c r="DW44" s="1113"/>
      <c r="DX44" s="1114" t="str">
        <f>+DX9</f>
        <v>Jun 20</v>
      </c>
      <c r="DY44" s="1114" t="str">
        <f t="shared" ref="DY44:EJ44" si="73">+DY9</f>
        <v>Jul 20</v>
      </c>
      <c r="DZ44" s="1114" t="str">
        <f t="shared" si="73"/>
        <v>Aug 20</v>
      </c>
      <c r="EA44" s="1114" t="str">
        <f t="shared" si="73"/>
        <v>Sep 20</v>
      </c>
      <c r="EB44" s="1114" t="str">
        <f t="shared" si="73"/>
        <v>Oct 20</v>
      </c>
      <c r="EC44" s="1114" t="str">
        <f t="shared" si="73"/>
        <v>Nov 20</v>
      </c>
      <c r="ED44" s="1114" t="str">
        <f t="shared" si="73"/>
        <v>Dec 20</v>
      </c>
      <c r="EE44" s="1114" t="str">
        <f t="shared" si="73"/>
        <v>Jan 21</v>
      </c>
      <c r="EF44" s="1114" t="str">
        <f t="shared" si="73"/>
        <v>Feb 21</v>
      </c>
      <c r="EG44" s="1114" t="str">
        <f t="shared" si="73"/>
        <v>Mar 21</v>
      </c>
      <c r="EH44" s="1114" t="str">
        <f t="shared" si="73"/>
        <v>Apr 21</v>
      </c>
      <c r="EI44" s="1114" t="str">
        <f t="shared" si="73"/>
        <v>May 21</v>
      </c>
      <c r="EJ44" s="1114" t="str">
        <f t="shared" si="73"/>
        <v>Jun 21</v>
      </c>
      <c r="EK44" s="1114" t="str">
        <f t="shared" ref="EK44:EP44" si="74">+EK9</f>
        <v>Jul 21</v>
      </c>
      <c r="EL44" s="1114" t="str">
        <f t="shared" si="74"/>
        <v>Aug 21</v>
      </c>
      <c r="EM44" s="1114" t="str">
        <f t="shared" si="74"/>
        <v>Sept 21</v>
      </c>
      <c r="EN44" s="1114" t="str">
        <f t="shared" si="74"/>
        <v>Oct 21</v>
      </c>
      <c r="EO44" s="1114" t="str">
        <f t="shared" si="74"/>
        <v>Nov 21</v>
      </c>
      <c r="EP44" s="1114" t="str">
        <f t="shared" si="74"/>
        <v>Dec 21</v>
      </c>
    </row>
    <row r="45" spans="1:146" s="56" customFormat="1">
      <c r="A45" s="1125" t="s">
        <v>2649</v>
      </c>
      <c r="B45" s="139"/>
      <c r="C45" s="115"/>
      <c r="D45" s="115"/>
      <c r="E45" s="115"/>
      <c r="F45" s="115"/>
      <c r="G45" s="115"/>
      <c r="H45" s="115"/>
      <c r="I45" s="115"/>
      <c r="J45" s="115"/>
      <c r="K45" s="115"/>
      <c r="L45" s="115"/>
      <c r="M45" s="115"/>
      <c r="N45" s="115"/>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163"/>
      <c r="BZ45" s="163"/>
      <c r="CA45" s="163"/>
      <c r="CB45" s="163"/>
      <c r="CC45" s="163"/>
      <c r="CD45" s="163"/>
      <c r="CE45" s="163"/>
      <c r="CF45" s="163"/>
      <c r="CG45" s="163"/>
      <c r="CH45" s="163"/>
      <c r="CI45" s="163"/>
      <c r="CJ45" s="163"/>
      <c r="CK45" s="163"/>
      <c r="CL45" s="163"/>
      <c r="CM45" s="163"/>
      <c r="CN45" s="163"/>
      <c r="CO45" s="163"/>
      <c r="CP45" s="163"/>
      <c r="CQ45" s="163"/>
      <c r="CR45" s="163"/>
      <c r="CS45" s="163"/>
      <c r="CT45" s="163"/>
      <c r="CU45" s="163"/>
      <c r="CV45" s="163"/>
      <c r="CW45" s="163"/>
      <c r="CX45" s="163"/>
      <c r="CY45" s="163"/>
      <c r="CZ45" s="163"/>
      <c r="DA45" s="163"/>
      <c r="DB45" s="163"/>
      <c r="DC45" s="163"/>
      <c r="DD45" s="163"/>
      <c r="DE45" s="163"/>
      <c r="DF45" s="163"/>
      <c r="DG45" s="923">
        <v>67800</v>
      </c>
      <c r="DH45" s="923">
        <v>59000</v>
      </c>
      <c r="DI45" s="923">
        <v>53800</v>
      </c>
      <c r="DJ45" s="923">
        <v>53000</v>
      </c>
      <c r="DK45" s="923">
        <v>39100</v>
      </c>
      <c r="DL45" s="923">
        <v>30200</v>
      </c>
      <c r="DM45" s="923">
        <v>31300</v>
      </c>
      <c r="DN45" s="923">
        <v>24500</v>
      </c>
      <c r="DO45" s="923">
        <v>30000</v>
      </c>
      <c r="DP45" s="923">
        <v>26000</v>
      </c>
      <c r="DQ45" s="923">
        <v>41000</v>
      </c>
      <c r="DR45" s="923">
        <v>58600</v>
      </c>
      <c r="DS45" s="923">
        <v>64900.000000000007</v>
      </c>
      <c r="DT45" s="923">
        <v>56100</v>
      </c>
      <c r="DU45" s="923">
        <v>45600</v>
      </c>
      <c r="DV45" s="923">
        <v>37000</v>
      </c>
      <c r="DW45" s="923">
        <v>32200.000000000004</v>
      </c>
      <c r="DX45" s="1124">
        <v>30700</v>
      </c>
      <c r="DY45" s="1124">
        <v>24500</v>
      </c>
      <c r="DZ45" s="1124">
        <v>26500</v>
      </c>
      <c r="EA45" s="1124">
        <v>26400</v>
      </c>
      <c r="EB45" s="1124">
        <v>31700</v>
      </c>
      <c r="EC45" s="1124">
        <v>43200</v>
      </c>
      <c r="ED45" s="1124">
        <v>71700</v>
      </c>
      <c r="EE45" s="1124">
        <v>93100</v>
      </c>
      <c r="EF45" s="1124">
        <v>65400.000000000007</v>
      </c>
      <c r="EG45" s="1124">
        <v>73600</v>
      </c>
      <c r="EH45" s="1124">
        <v>67500</v>
      </c>
      <c r="EI45" s="1124">
        <v>44400</v>
      </c>
      <c r="EJ45" s="1124">
        <v>43300</v>
      </c>
      <c r="EK45" s="1124">
        <v>41300</v>
      </c>
      <c r="EL45" s="1124">
        <v>37600</v>
      </c>
      <c r="EM45" s="1124">
        <v>45200</v>
      </c>
      <c r="EN45" s="1121">
        <v>40900</v>
      </c>
      <c r="EO45" s="1121">
        <v>57500</v>
      </c>
      <c r="EP45" s="1121">
        <v>84700</v>
      </c>
    </row>
    <row r="46" spans="1:146" s="56" customFormat="1">
      <c r="A46" s="1125" t="s">
        <v>2650</v>
      </c>
      <c r="B46" s="139"/>
      <c r="C46" s="115"/>
      <c r="D46" s="115"/>
      <c r="E46" s="115"/>
      <c r="F46" s="115"/>
      <c r="G46" s="115"/>
      <c r="H46" s="115"/>
      <c r="I46" s="115"/>
      <c r="J46" s="115"/>
      <c r="K46" s="115"/>
      <c r="L46" s="115"/>
      <c r="M46" s="115"/>
      <c r="N46" s="115"/>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I46" s="163"/>
      <c r="CJ46" s="163"/>
      <c r="CK46" s="163"/>
      <c r="CL46" s="163"/>
      <c r="CM46" s="163"/>
      <c r="CN46" s="163"/>
      <c r="CO46" s="163"/>
      <c r="CP46" s="163"/>
      <c r="CQ46" s="163"/>
      <c r="CR46" s="163"/>
      <c r="CS46" s="163"/>
      <c r="CT46" s="163"/>
      <c r="CU46" s="163"/>
      <c r="CV46" s="163"/>
      <c r="CW46" s="163"/>
      <c r="CX46" s="163"/>
      <c r="CY46" s="163"/>
      <c r="CZ46" s="163"/>
      <c r="DA46" s="163"/>
      <c r="DB46" s="163"/>
      <c r="DC46" s="163"/>
      <c r="DD46" s="163"/>
      <c r="DE46" s="163"/>
      <c r="DF46" s="163"/>
      <c r="DG46" s="163"/>
      <c r="DH46" s="163"/>
      <c r="DI46" s="163"/>
      <c r="DJ46" s="163"/>
      <c r="DK46" s="163"/>
      <c r="DL46" s="163"/>
      <c r="DM46" s="163"/>
      <c r="DN46" s="163"/>
      <c r="DO46" s="163"/>
      <c r="DP46" s="163"/>
      <c r="DQ46" s="163"/>
      <c r="DR46" s="445">
        <f t="shared" ref="DR46:EJ46" si="75">SUM(DG45:DR45)</f>
        <v>514300</v>
      </c>
      <c r="DS46" s="445">
        <f t="shared" si="75"/>
        <v>511400</v>
      </c>
      <c r="DT46" s="445">
        <f t="shared" si="75"/>
        <v>508500</v>
      </c>
      <c r="DU46" s="445">
        <f t="shared" si="75"/>
        <v>500300</v>
      </c>
      <c r="DV46" s="445">
        <f t="shared" si="75"/>
        <v>484300</v>
      </c>
      <c r="DW46" s="445">
        <f t="shared" si="75"/>
        <v>477400</v>
      </c>
      <c r="DX46" s="445">
        <f t="shared" si="75"/>
        <v>477900</v>
      </c>
      <c r="DY46" s="445">
        <f t="shared" si="75"/>
        <v>471100</v>
      </c>
      <c r="DZ46" s="445">
        <f t="shared" si="75"/>
        <v>473100</v>
      </c>
      <c r="EA46" s="445">
        <f t="shared" si="75"/>
        <v>469500</v>
      </c>
      <c r="EB46" s="445">
        <f t="shared" si="75"/>
        <v>475200</v>
      </c>
      <c r="EC46" s="445">
        <f t="shared" si="75"/>
        <v>477400</v>
      </c>
      <c r="ED46" s="445">
        <f t="shared" si="75"/>
        <v>490500</v>
      </c>
      <c r="EE46" s="445">
        <f t="shared" si="75"/>
        <v>518700</v>
      </c>
      <c r="EF46" s="445">
        <f t="shared" si="75"/>
        <v>528000</v>
      </c>
      <c r="EG46" s="445">
        <f t="shared" si="75"/>
        <v>556000</v>
      </c>
      <c r="EH46" s="445">
        <f t="shared" si="75"/>
        <v>586500</v>
      </c>
      <c r="EI46" s="445">
        <f t="shared" si="75"/>
        <v>598700</v>
      </c>
      <c r="EJ46" s="445">
        <f t="shared" si="75"/>
        <v>611300</v>
      </c>
      <c r="EK46" s="445">
        <f t="shared" ref="EK46:EP46" si="76">SUM(DZ45:EK45)</f>
        <v>628100</v>
      </c>
      <c r="EL46" s="445">
        <f t="shared" si="76"/>
        <v>639200</v>
      </c>
      <c r="EM46" s="445">
        <f t="shared" si="76"/>
        <v>658000</v>
      </c>
      <c r="EN46" s="445">
        <f t="shared" si="76"/>
        <v>667200</v>
      </c>
      <c r="EO46" s="445">
        <f t="shared" si="76"/>
        <v>681500</v>
      </c>
      <c r="EP46" s="445">
        <f t="shared" si="76"/>
        <v>694500</v>
      </c>
    </row>
    <row r="48" spans="1:146" ht="12.75" customHeight="1">
      <c r="A48" s="1106" t="s">
        <v>2626</v>
      </c>
      <c r="B48" s="1107" t="s">
        <v>2624</v>
      </c>
      <c r="C48" s="1107" t="s">
        <v>2624</v>
      </c>
      <c r="D48" s="1108"/>
      <c r="E48" s="1108"/>
      <c r="F48" s="1108"/>
      <c r="G48" s="1108"/>
      <c r="H48" s="1108"/>
      <c r="I48" s="1108"/>
      <c r="J48" s="1108"/>
      <c r="K48" s="1108"/>
      <c r="L48" s="1108"/>
      <c r="M48" s="1108"/>
      <c r="N48" s="1108"/>
      <c r="O48" s="1108"/>
      <c r="P48" s="1108"/>
      <c r="Q48" s="1108"/>
      <c r="R48" s="1108"/>
      <c r="S48" s="1108"/>
      <c r="T48" s="1108"/>
      <c r="U48" s="1108"/>
      <c r="V48" s="1108"/>
      <c r="W48" s="1108"/>
      <c r="X48" s="1108"/>
      <c r="Y48" s="1108"/>
      <c r="Z48" s="1108"/>
      <c r="AA48" s="1108"/>
      <c r="AB48" s="1108"/>
      <c r="AC48" s="1108"/>
      <c r="AD48" s="1108"/>
      <c r="AE48" s="1108"/>
      <c r="AF48" s="1108"/>
      <c r="AG48" s="1108"/>
      <c r="AH48" s="1108"/>
      <c r="AI48" s="1108"/>
      <c r="AJ48" s="1108"/>
      <c r="AK48" s="1108"/>
      <c r="AL48" s="1108"/>
      <c r="AM48" s="1108"/>
      <c r="AN48" s="1108"/>
      <c r="AO48" s="1108"/>
      <c r="AP48" s="1108"/>
      <c r="AQ48" s="1108"/>
      <c r="AR48" s="1108"/>
      <c r="AS48" s="1108"/>
      <c r="AT48" s="1108"/>
      <c r="AU48" s="1108"/>
      <c r="AV48" s="1108"/>
      <c r="AW48" s="1108"/>
      <c r="AX48" s="1108"/>
      <c r="AY48" s="1108"/>
      <c r="AZ48" s="1108"/>
      <c r="BA48" s="1109"/>
      <c r="BB48" s="1109"/>
      <c r="BC48" s="1109"/>
      <c r="BD48" s="1109"/>
      <c r="BE48" s="1109"/>
      <c r="BF48" s="1109"/>
      <c r="BG48" s="1109"/>
      <c r="BH48" s="1109"/>
      <c r="BI48" s="1109"/>
      <c r="BJ48" s="1109"/>
      <c r="BK48" s="1109"/>
      <c r="BL48" s="1109"/>
      <c r="BM48" s="1109"/>
      <c r="BN48" s="1109"/>
      <c r="BO48" s="1109"/>
      <c r="BP48" s="1109"/>
      <c r="BQ48" s="1109"/>
      <c r="BR48" s="1109"/>
      <c r="BS48" s="1109"/>
      <c r="BT48" s="1109"/>
      <c r="BU48" s="1109"/>
      <c r="BV48" s="1109"/>
      <c r="BW48" s="1109"/>
      <c r="BX48" s="1109"/>
      <c r="BY48" s="1109"/>
      <c r="BZ48" s="1109"/>
      <c r="CA48" s="1109"/>
      <c r="CB48" s="1109"/>
      <c r="CC48" s="1109"/>
      <c r="CD48" s="1109"/>
      <c r="CE48" s="1109"/>
      <c r="CF48" s="1109"/>
      <c r="CG48" s="1109"/>
      <c r="CH48" s="1109"/>
      <c r="CI48" s="1109"/>
      <c r="CJ48" s="1109"/>
      <c r="CK48" s="1109"/>
      <c r="CL48" s="1109"/>
      <c r="CM48" s="1109"/>
      <c r="CN48" s="1109"/>
      <c r="CO48" s="1109"/>
      <c r="CP48" s="1109"/>
      <c r="CQ48" s="1109"/>
      <c r="CR48" s="1109"/>
      <c r="CS48" s="1109"/>
      <c r="CT48" s="1109"/>
      <c r="CU48" s="1109"/>
      <c r="CV48" s="1109"/>
      <c r="CW48" s="1109"/>
      <c r="CX48" s="1109"/>
      <c r="CY48" s="1109"/>
      <c r="CZ48" s="1109"/>
      <c r="DA48" s="1109"/>
      <c r="DB48" s="1109"/>
      <c r="DC48" s="1109"/>
      <c r="DD48" s="1109"/>
      <c r="DE48" s="1109"/>
      <c r="DF48" s="1109"/>
      <c r="DG48" s="1109"/>
      <c r="DH48" s="1109"/>
      <c r="DI48" s="1109"/>
      <c r="DJ48" s="1109"/>
      <c r="DK48" s="1109"/>
      <c r="DL48" s="1109"/>
      <c r="DM48" s="1109"/>
      <c r="DN48" s="1109"/>
      <c r="DO48" s="1109"/>
      <c r="DP48" s="1109"/>
      <c r="DQ48" s="1109"/>
      <c r="DR48" s="1109"/>
      <c r="DS48" s="1109"/>
      <c r="DT48" s="1109"/>
      <c r="DU48" s="1109"/>
      <c r="DV48" s="1109"/>
      <c r="DW48" s="1109"/>
      <c r="DX48" s="1106"/>
      <c r="DY48" s="1106"/>
      <c r="DZ48" s="1106"/>
      <c r="EA48" s="1106"/>
      <c r="EB48" s="1106"/>
      <c r="EC48" s="1106"/>
      <c r="ED48" s="1106"/>
      <c r="EE48" s="1106"/>
      <c r="EF48" s="1106"/>
      <c r="EG48" s="1106"/>
      <c r="EH48" s="1106"/>
      <c r="EI48" s="1106"/>
      <c r="EJ48" s="1106"/>
      <c r="EK48" s="1106"/>
      <c r="EL48" s="1106"/>
      <c r="EM48" s="1106"/>
      <c r="EN48" s="1106"/>
      <c r="EO48" s="1106"/>
      <c r="EP48" s="1106"/>
    </row>
    <row r="49" spans="1:147" ht="12.75" customHeight="1">
      <c r="A49" s="1110"/>
      <c r="B49" s="1111"/>
      <c r="C49" s="1111"/>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c r="AB49" s="1112"/>
      <c r="AC49" s="1112"/>
      <c r="AD49" s="1112"/>
      <c r="AE49" s="1112"/>
      <c r="AF49" s="1112"/>
      <c r="AG49" s="1112"/>
      <c r="AH49" s="1112"/>
      <c r="AI49" s="1112"/>
      <c r="AJ49" s="1112"/>
      <c r="AK49" s="1112"/>
      <c r="AL49" s="1112"/>
      <c r="AM49" s="1112"/>
      <c r="AN49" s="1112"/>
      <c r="AO49" s="1112"/>
      <c r="AP49" s="1112"/>
      <c r="AQ49" s="1112"/>
      <c r="AR49" s="1112"/>
      <c r="AS49" s="1112"/>
      <c r="AT49" s="1112"/>
      <c r="AU49" s="1112"/>
      <c r="AV49" s="1112"/>
      <c r="AW49" s="1112"/>
      <c r="AX49" s="1112"/>
      <c r="AY49" s="1112"/>
      <c r="AZ49" s="1112"/>
      <c r="BA49" s="1113"/>
      <c r="BB49" s="1113"/>
      <c r="BC49" s="1113"/>
      <c r="BD49" s="1113"/>
      <c r="BE49" s="1113"/>
      <c r="BF49" s="1113"/>
      <c r="BG49" s="1113"/>
      <c r="BH49" s="1113"/>
      <c r="BI49" s="1113"/>
      <c r="BJ49" s="1113"/>
      <c r="BK49" s="1113"/>
      <c r="BL49" s="1113"/>
      <c r="BM49" s="1113"/>
      <c r="BN49" s="1113"/>
      <c r="BO49" s="1113"/>
      <c r="BP49" s="1113"/>
      <c r="BQ49" s="1113"/>
      <c r="BR49" s="1113"/>
      <c r="BS49" s="1113"/>
      <c r="BT49" s="1113"/>
      <c r="BU49" s="1113"/>
      <c r="BV49" s="1113"/>
      <c r="BW49" s="1113"/>
      <c r="BX49" s="1113"/>
      <c r="BY49" s="1113"/>
      <c r="BZ49" s="1113"/>
      <c r="CA49" s="1113"/>
      <c r="CB49" s="1113"/>
      <c r="CC49" s="1113"/>
      <c r="CD49" s="1113"/>
      <c r="CE49" s="1113"/>
      <c r="CF49" s="1113"/>
      <c r="CG49" s="1113"/>
      <c r="CH49" s="1113"/>
      <c r="CI49" s="1113"/>
      <c r="CJ49" s="1113"/>
      <c r="CK49" s="1113"/>
      <c r="CL49" s="1113"/>
      <c r="CM49" s="1113"/>
      <c r="CN49" s="1113"/>
      <c r="CO49" s="1113"/>
      <c r="CP49" s="1113"/>
      <c r="CQ49" s="1113"/>
      <c r="CR49" s="1113"/>
      <c r="CS49" s="1113"/>
      <c r="CT49" s="1113"/>
      <c r="CU49" s="1113"/>
      <c r="CV49" s="1113"/>
      <c r="CW49" s="1113"/>
      <c r="CX49" s="1113"/>
      <c r="CY49" s="1113"/>
      <c r="CZ49" s="1113"/>
      <c r="DA49" s="1113"/>
      <c r="DB49" s="1113"/>
      <c r="DC49" s="1113"/>
      <c r="DD49" s="1113"/>
      <c r="DE49" s="1113"/>
      <c r="DF49" s="1113"/>
      <c r="DG49" s="1113"/>
      <c r="DH49" s="1113"/>
      <c r="DI49" s="1113"/>
      <c r="DJ49" s="1113"/>
      <c r="DK49" s="1113"/>
      <c r="DL49" s="1113"/>
      <c r="DM49" s="1113"/>
      <c r="DN49" s="1113"/>
      <c r="DO49" s="1113"/>
      <c r="DP49" s="1113"/>
      <c r="DQ49" s="1113"/>
      <c r="DR49" s="1113"/>
      <c r="DS49" s="1113"/>
      <c r="DT49" s="1113"/>
      <c r="DU49" s="1113"/>
      <c r="DV49" s="1113"/>
      <c r="DW49" s="1113"/>
      <c r="DX49" s="1114" t="str">
        <f>+DX9</f>
        <v>Jun 20</v>
      </c>
      <c r="DY49" s="1114" t="str">
        <f t="shared" ref="DY49:EJ49" si="77">+DY9</f>
        <v>Jul 20</v>
      </c>
      <c r="DZ49" s="1114" t="str">
        <f t="shared" si="77"/>
        <v>Aug 20</v>
      </c>
      <c r="EA49" s="1114" t="str">
        <f t="shared" si="77"/>
        <v>Sep 20</v>
      </c>
      <c r="EB49" s="1114" t="str">
        <f t="shared" si="77"/>
        <v>Oct 20</v>
      </c>
      <c r="EC49" s="1114" t="str">
        <f t="shared" si="77"/>
        <v>Nov 20</v>
      </c>
      <c r="ED49" s="1114" t="str">
        <f t="shared" si="77"/>
        <v>Dec 20</v>
      </c>
      <c r="EE49" s="1114" t="str">
        <f t="shared" si="77"/>
        <v>Jan 21</v>
      </c>
      <c r="EF49" s="1114" t="str">
        <f t="shared" si="77"/>
        <v>Feb 21</v>
      </c>
      <c r="EG49" s="1114" t="str">
        <f t="shared" si="77"/>
        <v>Mar 21</v>
      </c>
      <c r="EH49" s="1114" t="str">
        <f t="shared" si="77"/>
        <v>Apr 21</v>
      </c>
      <c r="EI49" s="1114" t="str">
        <f t="shared" si="77"/>
        <v>May 21</v>
      </c>
      <c r="EJ49" s="1114" t="str">
        <f t="shared" si="77"/>
        <v>Jun 21</v>
      </c>
      <c r="EK49" s="1114" t="str">
        <f t="shared" ref="EK49:EP49" si="78">+EK9</f>
        <v>Jul 21</v>
      </c>
      <c r="EL49" s="1114" t="str">
        <f t="shared" si="78"/>
        <v>Aug 21</v>
      </c>
      <c r="EM49" s="1114" t="str">
        <f t="shared" si="78"/>
        <v>Sept 21</v>
      </c>
      <c r="EN49" s="1114" t="str">
        <f t="shared" si="78"/>
        <v>Oct 21</v>
      </c>
      <c r="EO49" s="1114" t="str">
        <f t="shared" si="78"/>
        <v>Nov 21</v>
      </c>
      <c r="EP49" s="1114" t="str">
        <f t="shared" si="78"/>
        <v>Dec 21</v>
      </c>
    </row>
    <row r="50" spans="1:147" ht="12.75" customHeight="1">
      <c r="A50" s="1116" t="s">
        <v>2627</v>
      </c>
      <c r="AA50"/>
      <c r="AB50"/>
      <c r="AC50"/>
      <c r="AD50"/>
      <c r="AE50"/>
      <c r="AF50"/>
      <c r="AG50"/>
      <c r="AH50"/>
      <c r="AI50"/>
    </row>
    <row r="51" spans="1:147" ht="12.75" customHeight="1">
      <c r="A51" s="1117" t="s">
        <v>2700</v>
      </c>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21"/>
      <c r="DB51" s="521"/>
      <c r="DC51" s="521"/>
      <c r="DD51" s="521"/>
      <c r="DE51" s="521"/>
      <c r="DF51" s="521"/>
      <c r="DG51" s="521"/>
      <c r="DH51" s="521"/>
      <c r="DI51" s="521"/>
      <c r="DJ51" s="521"/>
      <c r="DK51" s="521"/>
      <c r="DL51" s="521"/>
      <c r="DX51" s="447">
        <f t="shared" ref="DX51:EH51" si="79">40492.22+66049.33</f>
        <v>106541.55</v>
      </c>
      <c r="DY51" s="447">
        <f t="shared" si="79"/>
        <v>106541.55</v>
      </c>
      <c r="DZ51" s="447">
        <f t="shared" si="79"/>
        <v>106541.55</v>
      </c>
      <c r="EA51" s="447">
        <f t="shared" si="79"/>
        <v>106541.55</v>
      </c>
      <c r="EB51" s="447">
        <f t="shared" si="79"/>
        <v>106541.55</v>
      </c>
      <c r="EC51" s="447">
        <f t="shared" si="79"/>
        <v>106541.55</v>
      </c>
      <c r="ED51" s="447">
        <f t="shared" si="79"/>
        <v>106541.55</v>
      </c>
      <c r="EE51" s="447">
        <f t="shared" si="79"/>
        <v>106541.55</v>
      </c>
      <c r="EF51" s="1218">
        <f t="shared" si="79"/>
        <v>106541.55</v>
      </c>
      <c r="EG51" s="1218">
        <f t="shared" si="79"/>
        <v>106541.55</v>
      </c>
      <c r="EH51" s="1218">
        <f t="shared" si="79"/>
        <v>106541.55</v>
      </c>
      <c r="EI51" s="1218">
        <v>108531.81</v>
      </c>
      <c r="EJ51" s="1218">
        <v>108531.81</v>
      </c>
      <c r="EK51" s="1218">
        <v>108531.81</v>
      </c>
      <c r="EL51" s="1218">
        <v>108531.81</v>
      </c>
      <c r="EM51" s="1218">
        <v>108531.81</v>
      </c>
      <c r="EN51" s="1218">
        <v>108531.81</v>
      </c>
      <c r="EO51" s="1218">
        <v>108531.81</v>
      </c>
      <c r="EP51" s="1218">
        <v>108531.81</v>
      </c>
      <c r="EQ51" s="1315">
        <f>41128.47+67403.34</f>
        <v>108531.81</v>
      </c>
    </row>
    <row r="52" spans="1:147" ht="12.75" customHeight="1">
      <c r="A52" s="1117"/>
      <c r="AA52"/>
      <c r="AB52"/>
      <c r="AC52"/>
      <c r="AD52"/>
      <c r="AE52"/>
      <c r="AF52"/>
      <c r="AG52"/>
      <c r="AH52"/>
      <c r="AI52"/>
    </row>
    <row r="53" spans="1:147" ht="12.75" customHeight="1">
      <c r="A53" s="1116" t="s">
        <v>2652</v>
      </c>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row>
    <row r="54" spans="1:147" ht="12.75" customHeight="1">
      <c r="A54" s="1117" t="s">
        <v>516</v>
      </c>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1056">
        <v>844.29</v>
      </c>
      <c r="DB54" s="1056">
        <v>256.33999999999997</v>
      </c>
      <c r="DC54" s="1056">
        <v>268.31</v>
      </c>
      <c r="DD54" s="1056">
        <v>452.08</v>
      </c>
      <c r="DE54" s="1056">
        <v>299.56</v>
      </c>
      <c r="DF54" s="1056">
        <v>4375.58</v>
      </c>
      <c r="DG54" s="1056">
        <v>155.68</v>
      </c>
      <c r="DH54" s="1056">
        <v>25.74</v>
      </c>
      <c r="DI54" s="1056">
        <v>555.08000000000004</v>
      </c>
      <c r="DJ54" s="1056">
        <v>647.94000000000005</v>
      </c>
      <c r="DK54" s="1056">
        <v>-238.94</v>
      </c>
      <c r="DL54" s="1056">
        <v>570.05999999999995</v>
      </c>
      <c r="DM54" s="1056">
        <v>400.12</v>
      </c>
      <c r="DN54" s="1056">
        <v>164.95</v>
      </c>
      <c r="DO54" s="1056">
        <v>-230.67</v>
      </c>
      <c r="DP54" s="1056">
        <v>-194.98</v>
      </c>
      <c r="DQ54" s="1056">
        <v>2201.27</v>
      </c>
      <c r="DR54" s="1056">
        <v>-334.73</v>
      </c>
      <c r="DS54" s="1056">
        <v>451.61</v>
      </c>
      <c r="DT54" s="1056">
        <v>-178.66</v>
      </c>
      <c r="DU54" s="1056">
        <v>312.8</v>
      </c>
      <c r="DV54" s="1056">
        <v>-6.48</v>
      </c>
      <c r="DW54" s="1056">
        <v>352.15</v>
      </c>
      <c r="DX54" s="1115">
        <v>558.20000000000005</v>
      </c>
      <c r="DY54" s="1115">
        <v>727.53</v>
      </c>
      <c r="DZ54" s="1115">
        <v>870.18</v>
      </c>
      <c r="EA54" s="1115">
        <v>516.51</v>
      </c>
      <c r="EB54" s="1115">
        <v>485.3</v>
      </c>
      <c r="EC54" s="1115">
        <v>454.36</v>
      </c>
      <c r="ED54" s="1115">
        <v>368.1</v>
      </c>
      <c r="EE54" s="1115">
        <v>771.01</v>
      </c>
      <c r="EF54" s="1115">
        <v>-588.51</v>
      </c>
      <c r="EG54" s="1115">
        <v>593.38</v>
      </c>
      <c r="EH54" s="1115">
        <v>585.64</v>
      </c>
      <c r="EI54" s="1115">
        <v>942.88</v>
      </c>
      <c r="EJ54" s="1115">
        <v>1026.1400000000001</v>
      </c>
      <c r="EK54" s="1115">
        <v>582</v>
      </c>
      <c r="EL54" s="1115">
        <v>442.27</v>
      </c>
      <c r="EM54" s="1115">
        <v>175.61</v>
      </c>
      <c r="EN54" s="1115">
        <v>593.36</v>
      </c>
      <c r="EO54" s="1115">
        <v>1007.29</v>
      </c>
      <c r="EP54" s="1115">
        <v>293.60000000000002</v>
      </c>
    </row>
    <row r="55" spans="1:147" ht="12.75" customHeight="1">
      <c r="A55" s="1117" t="s">
        <v>2517</v>
      </c>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1056">
        <v>2883.78</v>
      </c>
      <c r="DB55" s="1056">
        <v>4570.05</v>
      </c>
      <c r="DC55" s="1056">
        <v>8189.4</v>
      </c>
      <c r="DD55" s="1056">
        <v>4017.81</v>
      </c>
      <c r="DE55" s="1056">
        <v>1114.31</v>
      </c>
      <c r="DF55" s="1056">
        <v>5155.66</v>
      </c>
      <c r="DG55" s="1056">
        <v>1244.1500000000001</v>
      </c>
      <c r="DH55" s="1056">
        <v>111.47</v>
      </c>
      <c r="DI55" s="1056">
        <v>4626.6099999999997</v>
      </c>
      <c r="DJ55" s="1056">
        <v>206.65</v>
      </c>
      <c r="DK55" s="1056">
        <v>8721.06</v>
      </c>
      <c r="DL55" s="1056">
        <v>2257.9699999999998</v>
      </c>
      <c r="DM55" s="1056">
        <v>923.72</v>
      </c>
      <c r="DN55" s="1056">
        <v>8058.34</v>
      </c>
      <c r="DO55" s="1056">
        <v>5669.46</v>
      </c>
      <c r="DP55" s="1056">
        <v>11073.47</v>
      </c>
      <c r="DQ55" s="1056">
        <v>2457.4699999999998</v>
      </c>
      <c r="DR55" s="1056">
        <v>8800.61</v>
      </c>
      <c r="DS55" s="1056">
        <v>4131.28</v>
      </c>
      <c r="DT55" s="1056">
        <v>165.71</v>
      </c>
      <c r="DU55" s="1056">
        <v>4035.25</v>
      </c>
      <c r="DV55" s="1056">
        <v>530.32000000000005</v>
      </c>
      <c r="DW55" s="1056">
        <v>6997.33</v>
      </c>
      <c r="DX55" s="1115">
        <v>1499.79</v>
      </c>
      <c r="DY55" s="1115">
        <v>7157.37</v>
      </c>
      <c r="DZ55" s="1115">
        <v>169.2</v>
      </c>
      <c r="EA55" s="1115">
        <v>5616.61</v>
      </c>
      <c r="EB55" s="1115">
        <v>7022.11</v>
      </c>
      <c r="EC55" s="1115">
        <v>106.45</v>
      </c>
      <c r="ED55" s="1115">
        <v>2751.8</v>
      </c>
      <c r="EE55" s="1115">
        <v>-19.95</v>
      </c>
      <c r="EF55" s="1115">
        <v>2546.84</v>
      </c>
      <c r="EG55" s="1115">
        <v>2683.44</v>
      </c>
      <c r="EH55" s="1115">
        <v>105.76</v>
      </c>
      <c r="EI55" s="1115">
        <v>11626.28</v>
      </c>
      <c r="EJ55" s="1115">
        <v>2692.45</v>
      </c>
      <c r="EK55" s="1115">
        <v>5992.18</v>
      </c>
      <c r="EL55" s="1115">
        <v>1878.62</v>
      </c>
      <c r="EM55" s="1115">
        <v>1976.46</v>
      </c>
      <c r="EN55" s="1115">
        <v>2852.88</v>
      </c>
      <c r="EO55" s="1115">
        <v>584.04999999999995</v>
      </c>
      <c r="EP55" s="1115">
        <v>7449.9</v>
      </c>
    </row>
    <row r="56" spans="1:147" ht="12.75" customHeight="1">
      <c r="A56" s="1117" t="s">
        <v>517</v>
      </c>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1056">
        <v>2005.31</v>
      </c>
      <c r="DB56" s="1056">
        <v>165.55</v>
      </c>
      <c r="DC56" s="1056">
        <v>3103.85</v>
      </c>
      <c r="DD56" s="1056">
        <v>195</v>
      </c>
      <c r="DE56" s="1056">
        <v>68.16</v>
      </c>
      <c r="DF56" s="1056">
        <v>3773.84</v>
      </c>
      <c r="DG56" s="1056">
        <v>-138.79</v>
      </c>
      <c r="DH56" s="1056">
        <v>5999.3</v>
      </c>
      <c r="DI56" s="1056">
        <v>107.25</v>
      </c>
      <c r="DJ56" s="1056">
        <v>2548.44</v>
      </c>
      <c r="DK56" s="1056">
        <v>2919.77</v>
      </c>
      <c r="DL56" s="1056">
        <v>105.02</v>
      </c>
      <c r="DM56" s="1056">
        <v>4795.3500000000004</v>
      </c>
      <c r="DN56" s="1056">
        <v>67.89</v>
      </c>
      <c r="DO56" s="1056">
        <v>12.91</v>
      </c>
      <c r="DP56" s="1056">
        <v>5124.66</v>
      </c>
      <c r="DQ56" s="1056">
        <v>1240.4100000000001</v>
      </c>
      <c r="DR56" s="1056">
        <v>5623.28</v>
      </c>
      <c r="DS56" s="1056">
        <v>161.44</v>
      </c>
      <c r="DT56" s="1056">
        <v>4301.0600000000004</v>
      </c>
      <c r="DU56" s="1056">
        <v>2227.19</v>
      </c>
      <c r="DV56" s="1056">
        <v>255.99</v>
      </c>
      <c r="DW56" s="1056">
        <v>0</v>
      </c>
      <c r="DX56" s="1115">
        <v>4571.95</v>
      </c>
      <c r="DY56" s="1115">
        <v>6622.6</v>
      </c>
      <c r="DZ56" s="1115">
        <v>62.38</v>
      </c>
      <c r="EA56" s="1115">
        <v>3199.87</v>
      </c>
      <c r="EB56" s="1115">
        <v>0</v>
      </c>
      <c r="EC56" s="1115">
        <v>3755.61</v>
      </c>
      <c r="ED56" s="1115">
        <v>0</v>
      </c>
      <c r="EE56" s="1115">
        <v>300</v>
      </c>
      <c r="EF56" s="1115">
        <v>1250.67</v>
      </c>
      <c r="EG56" s="1115">
        <v>5739.95</v>
      </c>
      <c r="EH56" s="1115">
        <v>158.61000000000001</v>
      </c>
      <c r="EI56" s="1115">
        <v>240.5</v>
      </c>
      <c r="EJ56" s="1115">
        <v>2592.35</v>
      </c>
      <c r="EK56" s="1115">
        <v>1167.5899999999999</v>
      </c>
      <c r="EL56" s="1115">
        <v>1270.5899999999999</v>
      </c>
      <c r="EM56" s="1115">
        <v>4872.62</v>
      </c>
      <c r="EN56" s="1115">
        <v>2434.15</v>
      </c>
      <c r="EO56" s="1115">
        <v>2137.46</v>
      </c>
      <c r="EP56" s="1115">
        <v>898.78</v>
      </c>
    </row>
    <row r="57" spans="1:147" ht="12.75" customHeight="1">
      <c r="A57" s="1117" t="s">
        <v>2653</v>
      </c>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21"/>
      <c r="DB57" s="521"/>
      <c r="DC57" s="521"/>
      <c r="DD57" s="521"/>
      <c r="DE57" s="521"/>
      <c r="DF57" s="521"/>
      <c r="DG57" s="521"/>
      <c r="DH57" s="521"/>
      <c r="DI57" s="521"/>
      <c r="DJ57" s="521"/>
      <c r="DK57" s="521"/>
      <c r="DL57" s="521"/>
      <c r="DM57" s="521">
        <f>SUM(DB54:DM56)</f>
        <v>72549.150000000023</v>
      </c>
      <c r="DN57" s="521">
        <f t="shared" ref="DN57:EJ57" si="80">SUM(DC54:DN56)</f>
        <v>75848.390000000029</v>
      </c>
      <c r="DO57" s="521">
        <f t="shared" si="80"/>
        <v>69738.530000000013</v>
      </c>
      <c r="DP57" s="521">
        <f t="shared" si="80"/>
        <v>81076.790000000023</v>
      </c>
      <c r="DQ57" s="521">
        <f t="shared" si="80"/>
        <v>85493.910000000033</v>
      </c>
      <c r="DR57" s="521">
        <f t="shared" si="80"/>
        <v>86277.990000000034</v>
      </c>
      <c r="DS57" s="521">
        <f t="shared" si="80"/>
        <v>89761.280000000028</v>
      </c>
      <c r="DT57" s="521">
        <f t="shared" si="80"/>
        <v>87912.880000000019</v>
      </c>
      <c r="DU57" s="521">
        <f t="shared" si="80"/>
        <v>89199.180000000022</v>
      </c>
      <c r="DV57" s="521">
        <f t="shared" si="80"/>
        <v>86575.98000000001</v>
      </c>
      <c r="DW57" s="521">
        <f t="shared" si="80"/>
        <v>82523.570000000007</v>
      </c>
      <c r="DX57" s="521">
        <f t="shared" si="80"/>
        <v>86220.46</v>
      </c>
      <c r="DY57" s="521">
        <f t="shared" si="80"/>
        <v>94608.770000000019</v>
      </c>
      <c r="DZ57" s="521">
        <f t="shared" si="80"/>
        <v>87419.35000000002</v>
      </c>
      <c r="EA57" s="521">
        <f t="shared" si="80"/>
        <v>91300.640000000014</v>
      </c>
      <c r="EB57" s="521">
        <f t="shared" si="80"/>
        <v>82804.900000000023</v>
      </c>
      <c r="EC57" s="521">
        <f t="shared" si="80"/>
        <v>81222.17</v>
      </c>
      <c r="ED57" s="521">
        <f t="shared" si="80"/>
        <v>70252.909999999989</v>
      </c>
      <c r="EE57" s="521">
        <f t="shared" si="80"/>
        <v>66559.64</v>
      </c>
      <c r="EF57" s="521">
        <f t="shared" si="80"/>
        <v>65480.53</v>
      </c>
      <c r="EG57" s="521">
        <f t="shared" si="80"/>
        <v>67922.06</v>
      </c>
      <c r="EH57" s="521">
        <f t="shared" si="80"/>
        <v>67992.240000000005</v>
      </c>
      <c r="EI57" s="521">
        <f t="shared" si="80"/>
        <v>73452.42</v>
      </c>
      <c r="EJ57" s="521">
        <f t="shared" si="80"/>
        <v>73133.42</v>
      </c>
      <c r="EK57" s="521">
        <f t="shared" ref="EK57:EP57" si="81">SUM(DZ54:EK56)</f>
        <v>66367.689999999988</v>
      </c>
      <c r="EL57" s="521">
        <f t="shared" si="81"/>
        <v>68857.409999999989</v>
      </c>
      <c r="EM57" s="521">
        <f t="shared" si="81"/>
        <v>66549.109999999986</v>
      </c>
      <c r="EN57" s="521">
        <f t="shared" si="81"/>
        <v>64922.09</v>
      </c>
      <c r="EO57" s="521">
        <f t="shared" si="81"/>
        <v>64334.469999999994</v>
      </c>
      <c r="EP57" s="521">
        <f t="shared" si="81"/>
        <v>69856.849999999991</v>
      </c>
    </row>
    <row r="58" spans="1:147" ht="12.75" customHeight="1">
      <c r="AA58"/>
      <c r="AB58"/>
      <c r="AC58"/>
      <c r="AD58"/>
      <c r="AE58"/>
      <c r="AF58"/>
      <c r="AG58"/>
      <c r="AH58"/>
      <c r="AI58"/>
    </row>
    <row r="59" spans="1:147" ht="12.75" customHeight="1">
      <c r="A59" s="1116" t="s">
        <v>2651</v>
      </c>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row>
    <row r="60" spans="1:147" ht="12.75" customHeight="1">
      <c r="A60" s="1128" t="s">
        <v>2654</v>
      </c>
      <c r="B60" s="201">
        <v>294547.09999999998</v>
      </c>
      <c r="C60" s="201">
        <v>313120.58</v>
      </c>
      <c r="D60" s="201">
        <v>286924.81</v>
      </c>
      <c r="E60" s="201">
        <v>435519.35</v>
      </c>
      <c r="F60" s="201">
        <v>342927.17</v>
      </c>
      <c r="G60" s="201">
        <v>289837.06</v>
      </c>
      <c r="H60" s="201">
        <v>295867.62</v>
      </c>
      <c r="I60" s="201">
        <v>307119.73</v>
      </c>
      <c r="J60" s="201">
        <v>286801.88</v>
      </c>
      <c r="K60" s="201">
        <v>272129.40000000002</v>
      </c>
      <c r="L60" s="201">
        <v>231474.04</v>
      </c>
      <c r="M60" s="201">
        <v>273017.01</v>
      </c>
      <c r="N60" s="201">
        <v>288699.03999999998</v>
      </c>
      <c r="O60" s="201">
        <v>351607.1</v>
      </c>
      <c r="P60" s="201">
        <v>314981.36</v>
      </c>
      <c r="Q60" s="201">
        <v>458198.59</v>
      </c>
      <c r="R60" s="201">
        <v>331286.89</v>
      </c>
      <c r="S60" s="201">
        <v>314647.06</v>
      </c>
      <c r="T60" s="201">
        <v>290096.68</v>
      </c>
      <c r="U60" s="201">
        <v>250453.06</v>
      </c>
      <c r="V60" s="201">
        <v>267978.48</v>
      </c>
      <c r="W60" s="201">
        <v>271088.55</v>
      </c>
      <c r="X60" s="201">
        <v>275467.33</v>
      </c>
      <c r="Y60" s="201">
        <v>311705.13</v>
      </c>
      <c r="Z60" s="201">
        <v>288304.63</v>
      </c>
      <c r="AA60" s="213">
        <v>302840.83</v>
      </c>
      <c r="AB60" s="213">
        <v>295789.34000000003</v>
      </c>
      <c r="AC60" s="213">
        <v>319726.74</v>
      </c>
      <c r="AD60" s="213">
        <v>399644.19</v>
      </c>
      <c r="AE60" s="213">
        <v>290106.89</v>
      </c>
      <c r="AF60" s="213">
        <v>278761.38</v>
      </c>
      <c r="AG60" s="213">
        <v>302395</v>
      </c>
      <c r="AH60" s="213">
        <v>312541.84000000003</v>
      </c>
      <c r="AI60" s="213">
        <v>270304.21000000002</v>
      </c>
      <c r="AJ60" s="201">
        <v>301994.95</v>
      </c>
      <c r="AK60" s="201">
        <v>398285.28</v>
      </c>
      <c r="AL60" s="201">
        <v>489154.46</v>
      </c>
      <c r="AM60" s="201">
        <v>515536.8</v>
      </c>
      <c r="AN60" s="201">
        <v>460265.5</v>
      </c>
      <c r="AO60" s="201">
        <v>431348.87</v>
      </c>
      <c r="AP60" s="201">
        <v>-37526.76</v>
      </c>
      <c r="AQ60" s="201">
        <v>385498.75</v>
      </c>
      <c r="AR60" s="201">
        <v>344753.14</v>
      </c>
      <c r="AS60" s="201">
        <v>352904.14</v>
      </c>
      <c r="AT60" s="201">
        <v>257561.25</v>
      </c>
      <c r="AU60" s="201">
        <v>233770.05</v>
      </c>
      <c r="AV60" s="201">
        <v>257926.97</v>
      </c>
      <c r="AW60" s="201">
        <v>225548.18</v>
      </c>
      <c r="AX60" s="201">
        <v>224868</v>
      </c>
      <c r="AY60" s="451">
        <v>225410.04</v>
      </c>
      <c r="AZ60" s="451">
        <v>185406.43</v>
      </c>
      <c r="BA60" s="451">
        <v>206340.9</v>
      </c>
      <c r="BB60" s="451">
        <v>211864.82</v>
      </c>
      <c r="BC60" s="451">
        <v>218307.72</v>
      </c>
      <c r="BD60" s="451">
        <v>211652.89</v>
      </c>
      <c r="BE60" s="451">
        <v>240887.38</v>
      </c>
      <c r="BF60" s="451">
        <v>245519.64</v>
      </c>
      <c r="BG60" s="451">
        <v>231748.85</v>
      </c>
      <c r="BH60" s="451">
        <v>239043.01</v>
      </c>
      <c r="BI60" s="451">
        <v>200140.07</v>
      </c>
      <c r="BJ60" s="451">
        <v>216618.72</v>
      </c>
      <c r="BK60" s="451">
        <v>223495.07</v>
      </c>
      <c r="BL60" s="451">
        <v>200606.02</v>
      </c>
      <c r="BM60" s="451">
        <v>211579.54</v>
      </c>
      <c r="BN60" s="451">
        <v>203874.41</v>
      </c>
      <c r="BO60" s="451">
        <v>200394.37</v>
      </c>
      <c r="BP60" s="451">
        <v>185387.23</v>
      </c>
      <c r="BQ60" s="451">
        <v>179381.47</v>
      </c>
      <c r="BR60" s="451">
        <v>190560.82</v>
      </c>
      <c r="BS60" s="451">
        <v>185151.5</v>
      </c>
      <c r="BT60" s="451">
        <v>186090.12</v>
      </c>
      <c r="BU60" s="451">
        <v>180551.94</v>
      </c>
      <c r="BV60" s="484">
        <v>196775.4</v>
      </c>
      <c r="BW60" s="484">
        <v>226218.89</v>
      </c>
      <c r="BX60" s="484">
        <v>208381.26</v>
      </c>
      <c r="BY60" s="484">
        <v>226752.64000000001</v>
      </c>
      <c r="BZ60" s="484">
        <v>206431.31</v>
      </c>
      <c r="CA60" s="484">
        <v>193671.52</v>
      </c>
      <c r="CB60" s="484">
        <v>184444.52</v>
      </c>
      <c r="CC60" s="484">
        <v>180864.7</v>
      </c>
      <c r="CD60" s="484">
        <v>188227.38</v>
      </c>
      <c r="CE60" s="484">
        <v>186386.85</v>
      </c>
      <c r="CF60" s="484">
        <v>180705.72</v>
      </c>
      <c r="CG60" s="484">
        <v>190571.35</v>
      </c>
      <c r="CH60" s="484">
        <v>200226.43</v>
      </c>
      <c r="CI60" s="484">
        <v>181419.15</v>
      </c>
      <c r="CJ60" s="484">
        <v>217125.73</v>
      </c>
      <c r="CK60" s="484">
        <v>227033.12</v>
      </c>
      <c r="CL60" s="484">
        <v>202955.68</v>
      </c>
      <c r="CM60" s="484">
        <v>147184.56</v>
      </c>
      <c r="CN60" s="484">
        <v>224523.04</v>
      </c>
      <c r="CO60" s="484">
        <v>172060.58</v>
      </c>
      <c r="CP60" s="484">
        <v>183689.87</v>
      </c>
      <c r="CQ60" s="484">
        <v>147887.04000000001</v>
      </c>
      <c r="CR60" s="484">
        <v>191514.07</v>
      </c>
      <c r="CS60" s="484">
        <v>194060.81</v>
      </c>
      <c r="CT60" s="484">
        <v>220760.74</v>
      </c>
      <c r="CU60" s="484">
        <v>193562.16</v>
      </c>
      <c r="CV60" s="484">
        <v>145888.32999999999</v>
      </c>
      <c r="CW60" s="484">
        <v>243752.23</v>
      </c>
      <c r="CX60" s="484">
        <v>207654.83</v>
      </c>
      <c r="CY60" s="484">
        <v>195218.07</v>
      </c>
      <c r="CZ60" s="484">
        <v>185158.7</v>
      </c>
      <c r="DA60" s="484">
        <v>178746.68</v>
      </c>
      <c r="DB60" s="484">
        <v>170443.61</v>
      </c>
      <c r="DC60" s="484">
        <v>165170.10999999999</v>
      </c>
      <c r="DD60" s="484">
        <v>194745.15</v>
      </c>
      <c r="DE60" s="484">
        <v>175347.68</v>
      </c>
      <c r="DF60" s="484">
        <v>209402.12</v>
      </c>
      <c r="DG60" s="484">
        <v>193433.75</v>
      </c>
      <c r="DH60" s="484">
        <v>223430.42</v>
      </c>
      <c r="DI60" s="484">
        <v>221766.35</v>
      </c>
      <c r="DJ60" s="484">
        <f>216342.94+6814.14</f>
        <v>223157.08000000002</v>
      </c>
      <c r="DK60" s="484">
        <f>233712.16-14273.24</f>
        <v>219438.92</v>
      </c>
      <c r="DL60" s="484">
        <v>170421.74</v>
      </c>
      <c r="DM60" s="484">
        <v>197031.4</v>
      </c>
      <c r="DN60" s="484">
        <v>121725.21</v>
      </c>
      <c r="DO60" s="484">
        <v>262355.59000000003</v>
      </c>
      <c r="DP60" s="484">
        <v>215257.95</v>
      </c>
      <c r="DQ60" s="484">
        <v>220538.86</v>
      </c>
      <c r="DR60" s="484">
        <v>248710.81</v>
      </c>
      <c r="DS60" s="484">
        <f>196712.32+46725.88</f>
        <v>243438.2</v>
      </c>
      <c r="DT60" s="484">
        <f>300068.01-46725.88</f>
        <v>253342.13</v>
      </c>
      <c r="DU60" s="484">
        <f>244577.37-7916.45</f>
        <v>236660.91999999998</v>
      </c>
      <c r="DV60" s="484">
        <f>247482.28+7916.45</f>
        <v>255398.73</v>
      </c>
      <c r="DW60" s="484">
        <v>265764.46999999997</v>
      </c>
      <c r="DX60" s="213">
        <v>202462.96</v>
      </c>
      <c r="DY60" s="213">
        <v>194724.54</v>
      </c>
      <c r="DZ60" s="213">
        <f>223785.62+9448.13</f>
        <v>233233.75</v>
      </c>
      <c r="EA60" s="213">
        <f>226930.76-9448.13+8893.57</f>
        <v>226376.2</v>
      </c>
      <c r="EB60" s="213">
        <f>234204.85-8893.57</f>
        <v>225311.28</v>
      </c>
      <c r="EC60" s="213">
        <v>236659.63</v>
      </c>
      <c r="ED60" s="213">
        <v>246249.31</v>
      </c>
      <c r="EE60" s="213">
        <f>297261.38+19195.83</f>
        <v>316457.21000000002</v>
      </c>
      <c r="EF60" s="213">
        <f>306517.42-19195.83</f>
        <v>287321.58999999997</v>
      </c>
      <c r="EG60" s="213">
        <f>365111.13+18742.5</f>
        <v>383853.63</v>
      </c>
      <c r="EH60" s="213">
        <f>580406.09-18742.5-224649</f>
        <v>337014.58999999997</v>
      </c>
      <c r="EI60" s="213">
        <f>123457.38+224649</f>
        <v>348106.38</v>
      </c>
      <c r="EJ60" s="213">
        <f>339046.36+13422.95-23719.02</f>
        <v>328750.28999999998</v>
      </c>
      <c r="EK60" s="213">
        <f>305165.39-13422.95+23719.02</f>
        <v>315461.46000000002</v>
      </c>
      <c r="EL60" s="213">
        <f>301708.82</f>
        <v>301708.82</v>
      </c>
      <c r="EM60" s="213">
        <f>269824.03+16484.7</f>
        <v>286308.73000000004</v>
      </c>
      <c r="EN60" s="213">
        <f>342486-16484.7</f>
        <v>326001.3</v>
      </c>
      <c r="EO60" s="213">
        <v>294425.11</v>
      </c>
      <c r="EP60" s="213">
        <v>201172.55</v>
      </c>
    </row>
    <row r="61" spans="1:147" ht="12.75" customHeight="1">
      <c r="A61" s="1128" t="s">
        <v>2655</v>
      </c>
      <c r="N61" s="325">
        <f t="shared" ref="N61:AX61" si="82">SUM(C60:N60)</f>
        <v>3623437.6899999995</v>
      </c>
      <c r="O61" s="325">
        <f t="shared" si="82"/>
        <v>3661924.2099999995</v>
      </c>
      <c r="P61" s="325">
        <f t="shared" si="82"/>
        <v>3689980.76</v>
      </c>
      <c r="Q61" s="325">
        <f t="shared" si="82"/>
        <v>3712660</v>
      </c>
      <c r="R61" s="325">
        <f t="shared" si="82"/>
        <v>3701019.7199999997</v>
      </c>
      <c r="S61" s="325">
        <f t="shared" si="82"/>
        <v>3725829.7199999997</v>
      </c>
      <c r="T61" s="325">
        <f t="shared" si="82"/>
        <v>3720058.7800000003</v>
      </c>
      <c r="U61" s="325">
        <f t="shared" si="82"/>
        <v>3663392.1100000003</v>
      </c>
      <c r="V61" s="325">
        <f t="shared" si="82"/>
        <v>3644568.71</v>
      </c>
      <c r="W61" s="325">
        <f t="shared" si="82"/>
        <v>3643527.86</v>
      </c>
      <c r="X61" s="325">
        <f t="shared" si="82"/>
        <v>3687521.1500000004</v>
      </c>
      <c r="Y61" s="325">
        <f t="shared" si="82"/>
        <v>3726209.27</v>
      </c>
      <c r="Z61" s="325">
        <f t="shared" si="82"/>
        <v>3725814.8599999994</v>
      </c>
      <c r="AA61" s="325">
        <f t="shared" si="82"/>
        <v>3677048.59</v>
      </c>
      <c r="AB61" s="325">
        <f t="shared" si="82"/>
        <v>3657856.57</v>
      </c>
      <c r="AC61" s="325">
        <f t="shared" si="82"/>
        <v>3519384.7199999997</v>
      </c>
      <c r="AD61" s="325">
        <f t="shared" si="82"/>
        <v>3587742.02</v>
      </c>
      <c r="AE61" s="325">
        <f t="shared" si="82"/>
        <v>3563201.8499999996</v>
      </c>
      <c r="AF61" s="325">
        <f t="shared" si="82"/>
        <v>3551866.55</v>
      </c>
      <c r="AG61" s="325">
        <f t="shared" si="82"/>
        <v>3603808.49</v>
      </c>
      <c r="AH61" s="325">
        <f t="shared" si="82"/>
        <v>3648371.85</v>
      </c>
      <c r="AI61" s="325">
        <f t="shared" si="82"/>
        <v>3647587.51</v>
      </c>
      <c r="AJ61" s="325">
        <f t="shared" si="82"/>
        <v>3674115.13</v>
      </c>
      <c r="AK61" s="325">
        <f t="shared" si="82"/>
        <v>3760695.2800000003</v>
      </c>
      <c r="AL61" s="325">
        <f t="shared" si="82"/>
        <v>3961545.1100000003</v>
      </c>
      <c r="AM61" s="325">
        <f t="shared" si="82"/>
        <v>4174241.08</v>
      </c>
      <c r="AN61" s="325">
        <f t="shared" si="82"/>
        <v>4338717.24</v>
      </c>
      <c r="AO61" s="325">
        <f t="shared" si="82"/>
        <v>4450339.37</v>
      </c>
      <c r="AP61" s="325">
        <f t="shared" si="82"/>
        <v>4013168.42</v>
      </c>
      <c r="AQ61" s="325">
        <f t="shared" si="82"/>
        <v>4108560.2800000003</v>
      </c>
      <c r="AR61" s="325">
        <f t="shared" si="82"/>
        <v>4174552.0400000005</v>
      </c>
      <c r="AS61" s="325">
        <f t="shared" si="82"/>
        <v>4225061.1800000006</v>
      </c>
      <c r="AT61" s="325">
        <f t="shared" si="82"/>
        <v>4170080.5900000008</v>
      </c>
      <c r="AU61" s="325">
        <f t="shared" si="82"/>
        <v>4133546.4300000006</v>
      </c>
      <c r="AV61" s="325">
        <f t="shared" si="82"/>
        <v>4089478.4500000007</v>
      </c>
      <c r="AW61" s="325">
        <f t="shared" si="82"/>
        <v>3916741.3500000006</v>
      </c>
      <c r="AX61" s="325">
        <f t="shared" si="82"/>
        <v>3652454.89</v>
      </c>
      <c r="AY61" s="447">
        <v>3362328.1300000004</v>
      </c>
      <c r="AZ61" s="447">
        <v>3087469.0600000005</v>
      </c>
      <c r="BA61" s="447">
        <v>2862461.09</v>
      </c>
      <c r="BB61" s="447">
        <v>3111852.67</v>
      </c>
      <c r="BC61" s="447">
        <v>2944661.64</v>
      </c>
      <c r="BD61" s="447">
        <v>2811561.39</v>
      </c>
      <c r="BE61" s="447">
        <v>2699544.63</v>
      </c>
      <c r="BF61" s="447">
        <v>2687503.02</v>
      </c>
      <c r="BG61" s="447">
        <v>2685481.8200000003</v>
      </c>
      <c r="BH61" s="447">
        <v>2666597.8600000003</v>
      </c>
      <c r="BI61" s="447">
        <v>2641189.7499999995</v>
      </c>
      <c r="BJ61" s="447">
        <v>2632940.4699999997</v>
      </c>
      <c r="BK61" s="447">
        <f>SUM(AZ60:BK60)</f>
        <v>2631025.5</v>
      </c>
      <c r="BL61" s="447">
        <f>SUM(BA60:BL60)</f>
        <v>2646225.0900000003</v>
      </c>
      <c r="BM61" s="447">
        <f>SUM(BB60:BM60)</f>
        <v>2651463.7300000004</v>
      </c>
      <c r="BN61" s="447">
        <f t="shared" ref="BN61:BS61" si="83">SUM(BC60:BN60)</f>
        <v>2643473.3200000003</v>
      </c>
      <c r="BO61" s="447">
        <f t="shared" si="83"/>
        <v>2625559.9700000002</v>
      </c>
      <c r="BP61" s="447">
        <f t="shared" si="83"/>
        <v>2599294.31</v>
      </c>
      <c r="BQ61" s="447">
        <f t="shared" si="83"/>
        <v>2537788.4000000004</v>
      </c>
      <c r="BR61" s="447">
        <f t="shared" si="83"/>
        <v>2482829.58</v>
      </c>
      <c r="BS61" s="447">
        <f t="shared" si="83"/>
        <v>2436232.23</v>
      </c>
      <c r="BT61" s="447">
        <f t="shared" ref="BT61:BY61" si="84">SUM(BI60:BT60)</f>
        <v>2383279.3400000003</v>
      </c>
      <c r="BU61" s="447">
        <f t="shared" si="84"/>
        <v>2363691.21</v>
      </c>
      <c r="BV61" s="447">
        <f t="shared" si="84"/>
        <v>2343847.89</v>
      </c>
      <c r="BW61" s="447">
        <f t="shared" si="84"/>
        <v>2346571.71</v>
      </c>
      <c r="BX61" s="447">
        <f t="shared" si="84"/>
        <v>2354346.9500000002</v>
      </c>
      <c r="BY61" s="447">
        <f t="shared" si="84"/>
        <v>2369520.0500000003</v>
      </c>
      <c r="BZ61" s="447">
        <f t="shared" ref="BZ61:CE61" si="85">SUM(BO60:BZ60)</f>
        <v>2372076.9499999997</v>
      </c>
      <c r="CA61" s="447">
        <f t="shared" si="85"/>
        <v>2365354.1</v>
      </c>
      <c r="CB61" s="447">
        <f t="shared" si="85"/>
        <v>2364411.39</v>
      </c>
      <c r="CC61" s="447">
        <f t="shared" si="85"/>
        <v>2365894.62</v>
      </c>
      <c r="CD61" s="447">
        <f t="shared" si="85"/>
        <v>2363561.1800000002</v>
      </c>
      <c r="CE61" s="447">
        <f t="shared" si="85"/>
        <v>2364796.5300000003</v>
      </c>
      <c r="CF61" s="447">
        <f t="shared" ref="CF61:CW61" si="86">SUM(BU60:CF60)</f>
        <v>2359412.1300000004</v>
      </c>
      <c r="CG61" s="447">
        <f t="shared" si="86"/>
        <v>2369431.5400000005</v>
      </c>
      <c r="CH61" s="447">
        <f t="shared" si="86"/>
        <v>2372882.5700000003</v>
      </c>
      <c r="CI61" s="447">
        <f t="shared" si="86"/>
        <v>2328082.83</v>
      </c>
      <c r="CJ61" s="447">
        <f t="shared" si="86"/>
        <v>2336827.2999999998</v>
      </c>
      <c r="CK61" s="447">
        <f t="shared" si="86"/>
        <v>2337107.7800000003</v>
      </c>
      <c r="CL61" s="447">
        <f t="shared" si="86"/>
        <v>2333632.15</v>
      </c>
      <c r="CM61" s="447">
        <f t="shared" si="86"/>
        <v>2287145.19</v>
      </c>
      <c r="CN61" s="447">
        <f t="shared" si="86"/>
        <v>2327223.7099999995</v>
      </c>
      <c r="CO61" s="447">
        <f t="shared" si="86"/>
        <v>2318419.59</v>
      </c>
      <c r="CP61" s="447">
        <f t="shared" si="86"/>
        <v>2313882.08</v>
      </c>
      <c r="CQ61" s="447">
        <f t="shared" si="86"/>
        <v>2275382.27</v>
      </c>
      <c r="CR61" s="447">
        <f t="shared" si="86"/>
        <v>2286190.62</v>
      </c>
      <c r="CS61" s="447">
        <f t="shared" si="86"/>
        <v>2289680.08</v>
      </c>
      <c r="CT61" s="447">
        <f t="shared" si="86"/>
        <v>2310214.39</v>
      </c>
      <c r="CU61" s="447">
        <f t="shared" si="86"/>
        <v>2322357.4000000004</v>
      </c>
      <c r="CV61" s="447">
        <f t="shared" si="86"/>
        <v>2251120.0000000005</v>
      </c>
      <c r="CW61" s="447">
        <f t="shared" si="86"/>
        <v>2267839.1100000003</v>
      </c>
      <c r="CX61" s="447">
        <f t="shared" ref="CX61:DE61" si="87">SUM(CM60:CX60)</f>
        <v>2272538.2599999998</v>
      </c>
      <c r="CY61" s="447">
        <f t="shared" si="87"/>
        <v>2320571.77</v>
      </c>
      <c r="CZ61" s="447">
        <f t="shared" si="87"/>
        <v>2281207.4300000002</v>
      </c>
      <c r="DA61" s="447">
        <f t="shared" si="87"/>
        <v>2287893.5300000003</v>
      </c>
      <c r="DB61" s="447">
        <f t="shared" si="87"/>
        <v>2274647.27</v>
      </c>
      <c r="DC61" s="447">
        <f t="shared" si="87"/>
        <v>2291930.34</v>
      </c>
      <c r="DD61" s="447">
        <f t="shared" si="87"/>
        <v>2295161.4199999995</v>
      </c>
      <c r="DE61" s="447">
        <f t="shared" si="87"/>
        <v>2276448.2899999996</v>
      </c>
      <c r="DF61" s="447">
        <f t="shared" ref="DF61:DK61" si="88">SUM(CU60:DF60)</f>
        <v>2265089.6699999995</v>
      </c>
      <c r="DG61" s="447">
        <f t="shared" si="88"/>
        <v>2264961.2599999993</v>
      </c>
      <c r="DH61" s="447">
        <f t="shared" si="88"/>
        <v>2342503.3499999996</v>
      </c>
      <c r="DI61" s="447">
        <f t="shared" si="88"/>
        <v>2320517.4699999997</v>
      </c>
      <c r="DJ61" s="447">
        <f t="shared" si="88"/>
        <v>2336019.7199999997</v>
      </c>
      <c r="DK61" s="447">
        <f t="shared" si="88"/>
        <v>2360240.5699999998</v>
      </c>
      <c r="DL61" s="447">
        <f t="shared" ref="DL61:DR61" si="89">SUM(DA60:DL60)</f>
        <v>2345503.6100000003</v>
      </c>
      <c r="DM61" s="447">
        <f t="shared" si="89"/>
        <v>2363788.3299999996</v>
      </c>
      <c r="DN61" s="447">
        <f t="shared" si="89"/>
        <v>2315069.9300000002</v>
      </c>
      <c r="DO61" s="447">
        <f t="shared" si="89"/>
        <v>2412255.4099999997</v>
      </c>
      <c r="DP61" s="447">
        <f t="shared" si="89"/>
        <v>2432768.21</v>
      </c>
      <c r="DQ61" s="447">
        <f t="shared" si="89"/>
        <v>2477959.3899999997</v>
      </c>
      <c r="DR61" s="447">
        <f t="shared" si="89"/>
        <v>2517268.08</v>
      </c>
      <c r="DS61" s="447">
        <f t="shared" ref="DS61:EJ61" si="90">SUM(DH60:DS60)</f>
        <v>2567272.5300000003</v>
      </c>
      <c r="DT61" s="447">
        <f t="shared" si="90"/>
        <v>2597184.2400000002</v>
      </c>
      <c r="DU61" s="447">
        <f t="shared" si="90"/>
        <v>2612078.81</v>
      </c>
      <c r="DV61" s="447">
        <f t="shared" si="90"/>
        <v>2644320.46</v>
      </c>
      <c r="DW61" s="447">
        <f t="shared" si="90"/>
        <v>2690646.01</v>
      </c>
      <c r="DX61" s="447">
        <f t="shared" si="90"/>
        <v>2722687.2299999995</v>
      </c>
      <c r="DY61" s="447">
        <f t="shared" si="90"/>
        <v>2720380.37</v>
      </c>
      <c r="DZ61" s="447">
        <f t="shared" si="90"/>
        <v>2831888.91</v>
      </c>
      <c r="EA61" s="447">
        <f t="shared" si="90"/>
        <v>2795909.5200000005</v>
      </c>
      <c r="EB61" s="447">
        <f t="shared" si="90"/>
        <v>2805962.8499999996</v>
      </c>
      <c r="EC61" s="447">
        <f t="shared" si="90"/>
        <v>2822083.6199999996</v>
      </c>
      <c r="ED61" s="447">
        <f t="shared" si="90"/>
        <v>2819622.1199999996</v>
      </c>
      <c r="EE61" s="447">
        <f t="shared" si="90"/>
        <v>2892641.13</v>
      </c>
      <c r="EF61" s="447">
        <f t="shared" si="90"/>
        <v>2926620.59</v>
      </c>
      <c r="EG61" s="447">
        <f t="shared" si="90"/>
        <v>3073813.3</v>
      </c>
      <c r="EH61" s="447">
        <f t="shared" si="90"/>
        <v>3155429.1599999997</v>
      </c>
      <c r="EI61" s="447">
        <f t="shared" si="90"/>
        <v>3237771.0699999994</v>
      </c>
      <c r="EJ61" s="447">
        <f t="shared" si="90"/>
        <v>3364058.3999999994</v>
      </c>
      <c r="EK61" s="447">
        <f t="shared" ref="EK61:EP61" si="91">SUM(DZ60:EK60)</f>
        <v>3484795.3199999994</v>
      </c>
      <c r="EL61" s="447">
        <f t="shared" si="91"/>
        <v>3553270.3899999992</v>
      </c>
      <c r="EM61" s="447">
        <f t="shared" si="91"/>
        <v>3613202.9199999995</v>
      </c>
      <c r="EN61" s="447">
        <f t="shared" si="91"/>
        <v>3713892.9399999995</v>
      </c>
      <c r="EO61" s="447">
        <f t="shared" si="91"/>
        <v>3771658.4199999995</v>
      </c>
      <c r="EP61" s="447">
        <f t="shared" si="91"/>
        <v>3726581.6599999992</v>
      </c>
    </row>
    <row r="62" spans="1:147" ht="12.75" customHeight="1">
      <c r="A62" s="1184"/>
      <c r="B62" s="56"/>
      <c r="C62" s="56"/>
      <c r="D62" s="56"/>
      <c r="E62" s="56"/>
      <c r="F62" s="56"/>
      <c r="G62" s="56"/>
      <c r="H62" s="56"/>
      <c r="I62" s="56"/>
      <c r="J62" s="56"/>
      <c r="K62" s="56"/>
      <c r="L62" s="56"/>
      <c r="M62" s="56"/>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row>
    <row r="63" spans="1:147" ht="12.75" customHeight="1">
      <c r="A63" s="1116" t="s">
        <v>2691</v>
      </c>
      <c r="B63" s="56"/>
      <c r="C63" s="56"/>
      <c r="D63" s="56"/>
      <c r="E63" s="56"/>
      <c r="F63" s="56"/>
      <c r="G63" s="56"/>
      <c r="H63" s="56"/>
      <c r="I63" s="56"/>
      <c r="J63" s="56"/>
      <c r="K63" s="56"/>
      <c r="L63" s="56"/>
      <c r="M63" s="56"/>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row>
    <row r="64" spans="1:147" ht="12.75" customHeight="1">
      <c r="A64" s="447" t="s">
        <v>2690</v>
      </c>
      <c r="B64" s="56"/>
      <c r="C64" s="56"/>
      <c r="D64" s="56"/>
      <c r="E64" s="56"/>
      <c r="F64" s="56"/>
      <c r="G64" s="56"/>
      <c r="H64" s="56"/>
      <c r="I64" s="56"/>
      <c r="J64" s="56"/>
      <c r="K64" s="56"/>
      <c r="L64" s="56"/>
      <c r="M64" s="56"/>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row>
    <row r="65" spans="1:147">
      <c r="A65" s="1128"/>
    </row>
    <row r="66" spans="1:147" ht="12.75" customHeight="1">
      <c r="A66" s="1106" t="s">
        <v>2644</v>
      </c>
      <c r="B66" s="1107" t="s">
        <v>2624</v>
      </c>
      <c r="C66" s="1107" t="s">
        <v>2624</v>
      </c>
      <c r="D66" s="1108"/>
      <c r="E66" s="110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108"/>
      <c r="AF66" s="1108"/>
      <c r="AG66" s="1108"/>
      <c r="AH66" s="1108"/>
      <c r="AI66" s="1108"/>
      <c r="AJ66" s="1108"/>
      <c r="AK66" s="1108"/>
      <c r="AL66" s="1108"/>
      <c r="AM66" s="1108"/>
      <c r="AN66" s="1108"/>
      <c r="AO66" s="1108"/>
      <c r="AP66" s="1108"/>
      <c r="AQ66" s="1108"/>
      <c r="AR66" s="1108"/>
      <c r="AS66" s="1108"/>
      <c r="AT66" s="1108"/>
      <c r="AU66" s="1108"/>
      <c r="AV66" s="1108"/>
      <c r="AW66" s="1108"/>
      <c r="AX66" s="1108"/>
      <c r="AY66" s="1108"/>
      <c r="AZ66" s="1108"/>
      <c r="BA66" s="1109"/>
      <c r="BB66" s="1109"/>
      <c r="BC66" s="1109"/>
      <c r="BD66" s="1109"/>
      <c r="BE66" s="1109"/>
      <c r="BF66" s="1109"/>
      <c r="BG66" s="1109"/>
      <c r="BH66" s="1109"/>
      <c r="BI66" s="1109"/>
      <c r="BJ66" s="1109"/>
      <c r="BK66" s="1109"/>
      <c r="BL66" s="1109"/>
      <c r="BM66" s="1109"/>
      <c r="BN66" s="1109"/>
      <c r="BO66" s="1109"/>
      <c r="BP66" s="1109"/>
      <c r="BQ66" s="1109"/>
      <c r="BR66" s="1109"/>
      <c r="BS66" s="1109"/>
      <c r="BT66" s="1109"/>
      <c r="BU66" s="1109"/>
      <c r="BV66" s="1109"/>
      <c r="BW66" s="1109"/>
      <c r="BX66" s="1109"/>
      <c r="BY66" s="1109"/>
      <c r="BZ66" s="1109"/>
      <c r="CA66" s="1109"/>
      <c r="CB66" s="1109"/>
      <c r="CC66" s="1109"/>
      <c r="CD66" s="1109"/>
      <c r="CE66" s="1109"/>
      <c r="CF66" s="1109"/>
      <c r="CG66" s="1109"/>
      <c r="CH66" s="1109"/>
      <c r="CI66" s="1109"/>
      <c r="CJ66" s="1109"/>
      <c r="CK66" s="1109"/>
      <c r="CL66" s="1109"/>
      <c r="CM66" s="1109"/>
      <c r="CN66" s="1109"/>
      <c r="CO66" s="1109"/>
      <c r="CP66" s="1109"/>
      <c r="CQ66" s="1109"/>
      <c r="CR66" s="1109"/>
      <c r="CS66" s="1109"/>
      <c r="CT66" s="1109"/>
      <c r="CU66" s="1109"/>
      <c r="CV66" s="1109"/>
      <c r="CW66" s="1109"/>
      <c r="CX66" s="1109"/>
      <c r="CY66" s="1109"/>
      <c r="CZ66" s="1109"/>
      <c r="DA66" s="1109"/>
      <c r="DB66" s="1109"/>
      <c r="DC66" s="1109"/>
      <c r="DD66" s="1109"/>
      <c r="DE66" s="1109"/>
      <c r="DF66" s="1109"/>
      <c r="DG66" s="1109"/>
      <c r="DH66" s="1109"/>
      <c r="DI66" s="1109"/>
      <c r="DJ66" s="1109"/>
      <c r="DK66" s="1109"/>
      <c r="DL66" s="1109"/>
      <c r="DM66" s="1109"/>
      <c r="DN66" s="1109"/>
      <c r="DO66" s="1109"/>
      <c r="DP66" s="1109"/>
      <c r="DQ66" s="1109"/>
      <c r="DR66" s="1109"/>
      <c r="DS66" s="1109"/>
      <c r="DT66" s="1109"/>
      <c r="DU66" s="1109"/>
      <c r="DV66" s="1109"/>
      <c r="DW66" s="1109"/>
      <c r="DX66" s="1106"/>
      <c r="DY66" s="1106"/>
      <c r="DZ66" s="1106"/>
      <c r="EA66" s="1106"/>
      <c r="EB66" s="1106"/>
      <c r="EC66" s="1106"/>
      <c r="ED66" s="1106"/>
      <c r="EE66" s="1106"/>
      <c r="EF66" s="1106"/>
      <c r="EG66" s="1106"/>
      <c r="EH66" s="1106"/>
      <c r="EI66" s="1106"/>
      <c r="EJ66" s="1106"/>
      <c r="EK66" s="1106"/>
      <c r="EL66" s="1106"/>
      <c r="EM66" s="1106"/>
      <c r="EN66" s="1106"/>
      <c r="EO66" s="1106"/>
      <c r="EP66" s="1106"/>
    </row>
    <row r="67" spans="1:147" ht="12.75" customHeight="1">
      <c r="A67" s="1129" t="s">
        <v>2640</v>
      </c>
      <c r="DC67" s="328">
        <v>-148132</v>
      </c>
      <c r="DD67" s="328">
        <v>-259413</v>
      </c>
      <c r="DE67" s="328">
        <v>-216793</v>
      </c>
      <c r="DF67" s="328">
        <v>-7586</v>
      </c>
      <c r="DG67" s="328">
        <v>-119764</v>
      </c>
      <c r="DH67" s="328">
        <v>-174835</v>
      </c>
      <c r="DI67" s="657">
        <v>-119764</v>
      </c>
      <c r="DJ67" s="657">
        <v>-119764</v>
      </c>
      <c r="DK67" s="657">
        <v>-237165</v>
      </c>
      <c r="DL67" s="657">
        <v>-395217</v>
      </c>
      <c r="DM67" s="657">
        <v>-466508</v>
      </c>
      <c r="DN67" s="657">
        <v>-508998</v>
      </c>
      <c r="DO67" s="657">
        <v>-517878</v>
      </c>
      <c r="DP67" s="657">
        <v>-505985</v>
      </c>
      <c r="DQ67" s="657">
        <v>-489780</v>
      </c>
      <c r="DR67" s="657">
        <v>-519278</v>
      </c>
      <c r="DS67" s="657">
        <v>0</v>
      </c>
      <c r="DT67" s="657">
        <v>0</v>
      </c>
      <c r="DU67" s="657">
        <v>0</v>
      </c>
      <c r="DV67" s="657">
        <v>-280180</v>
      </c>
      <c r="DW67" s="657">
        <v>-459211</v>
      </c>
      <c r="DX67" s="374">
        <v>-484349</v>
      </c>
      <c r="DY67" s="374">
        <v>-616565</v>
      </c>
      <c r="DZ67" s="374">
        <v>-651473</v>
      </c>
      <c r="EA67" s="374">
        <v>-688199</v>
      </c>
      <c r="EB67" s="374">
        <v>-636298</v>
      </c>
      <c r="EC67" s="374">
        <v>-473631</v>
      </c>
      <c r="ED67" s="374">
        <v>-115872</v>
      </c>
      <c r="EE67" s="374">
        <v>0</v>
      </c>
      <c r="EF67" s="374">
        <v>0</v>
      </c>
      <c r="EG67" s="374">
        <v>0</v>
      </c>
      <c r="EH67" s="374">
        <v>0</v>
      </c>
      <c r="EI67" s="374">
        <v>-8166</v>
      </c>
      <c r="EJ67" s="374">
        <v>-53038</v>
      </c>
      <c r="EK67" s="374">
        <v>-83304</v>
      </c>
      <c r="EL67" s="374">
        <v>-133213</v>
      </c>
      <c r="EM67" s="374">
        <v>-129123</v>
      </c>
      <c r="EN67" s="1119">
        <f>(VLOOKUP("4074071",'Input IS ACCTS'!$A$6:FQ$507,97,FALSE))+(VLOOKUP("4074072",'Input IS ACCTS'!$A$6:FQ$507,97,FALSE))</f>
        <v>-168064</v>
      </c>
      <c r="EO67" s="1119">
        <f>(VLOOKUP("4074071",'Input IS ACCTS'!$A$6:FR$507,98,FALSE))+(VLOOKUP("4074072",'Input IS ACCTS'!$A$6:FR$507,98,FALSE))</f>
        <v>-138930</v>
      </c>
      <c r="EP67" s="1119">
        <f>(VLOOKUP("4074071",'Input IS ACCTS'!$A$6:FS$507,99,FALSE))+(VLOOKUP("4074072",'Input IS ACCTS'!$A$6:FS$507,99,FALSE))</f>
        <v>-61927</v>
      </c>
    </row>
    <row r="68" spans="1:147" ht="12.75" customHeight="1">
      <c r="A68" s="1117" t="s">
        <v>2642</v>
      </c>
      <c r="DC68" s="328">
        <v>-715195.42</v>
      </c>
      <c r="DD68" s="328">
        <v>-656823.29</v>
      </c>
      <c r="DE68" s="328">
        <v>-727483.33</v>
      </c>
      <c r="DF68" s="328">
        <v>-987445.96</v>
      </c>
      <c r="DG68" s="328">
        <v>-1198922.3799999999</v>
      </c>
      <c r="DH68" s="328">
        <v>-1206056.68</v>
      </c>
      <c r="DI68" s="657">
        <v>-1002030.98</v>
      </c>
      <c r="DJ68" s="657">
        <v>-928291.85</v>
      </c>
      <c r="DK68" s="657">
        <v>-834210.52</v>
      </c>
      <c r="DL68" s="657">
        <v>-715446.95</v>
      </c>
      <c r="DM68" s="657">
        <v>-678948.45</v>
      </c>
      <c r="DN68" s="657">
        <v>-672993.03</v>
      </c>
      <c r="DO68" s="657">
        <v>-690986.28</v>
      </c>
      <c r="DP68" s="657">
        <v>-689084.13</v>
      </c>
      <c r="DQ68" s="657">
        <v>-775406.97</v>
      </c>
      <c r="DR68" s="657">
        <v>-1058406.8500000001</v>
      </c>
      <c r="DS68" s="657">
        <v>-2113054.27</v>
      </c>
      <c r="DT68" s="657">
        <v>-2057696.28</v>
      </c>
      <c r="DU68" s="657">
        <v>-1918402.13</v>
      </c>
      <c r="DV68" s="657">
        <v>-1444361.54</v>
      </c>
      <c r="DW68" s="657">
        <v>-1285441.3799999999</v>
      </c>
      <c r="DX68" s="374">
        <v>-1282825.82</v>
      </c>
      <c r="DY68" s="374">
        <v>-1174816.1299999999</v>
      </c>
      <c r="DZ68" s="374">
        <v>-1166827.43</v>
      </c>
      <c r="EA68" s="374">
        <v>-1155548.96</v>
      </c>
      <c r="EB68" s="374">
        <v>-1233487.53</v>
      </c>
      <c r="EC68" s="374">
        <v>-1427128.08</v>
      </c>
      <c r="ED68" s="374">
        <v>-1822781.85</v>
      </c>
      <c r="EE68" s="374">
        <v>-629572.49</v>
      </c>
      <c r="EF68" s="374">
        <v>-575422.13</v>
      </c>
      <c r="EG68" s="374">
        <v>-493924.82</v>
      </c>
      <c r="EH68" s="374">
        <v>-482308.89</v>
      </c>
      <c r="EI68" s="374">
        <v>-400065.18</v>
      </c>
      <c r="EJ68" s="374">
        <v>-371791.02</v>
      </c>
      <c r="EK68" s="374">
        <v>-360971.6</v>
      </c>
      <c r="EL68" s="374">
        <v>-325641.36</v>
      </c>
      <c r="EM68" s="374">
        <v>-347568.34</v>
      </c>
      <c r="EN68" s="1119">
        <f>(VLOOKUP("4950271",'Input IS ACCTS'!$A$6:FQ$507,97,FALSE))</f>
        <v>-339857.04</v>
      </c>
      <c r="EO68" s="1119">
        <f>(VLOOKUP("4950271",'Input IS ACCTS'!$A$6:FR$507,98,FALSE))</f>
        <v>-392179.59</v>
      </c>
      <c r="EP68" s="1119">
        <f>(VLOOKUP("4950271",'Input IS ACCTS'!$A$6:FS$507,99,FALSE))</f>
        <v>-512979.14</v>
      </c>
    </row>
    <row r="69" spans="1:147" ht="12.75" customHeight="1">
      <c r="A69" s="1117"/>
      <c r="DC69" s="328"/>
      <c r="DD69" s="328"/>
      <c r="DE69" s="328"/>
      <c r="DF69" s="328"/>
      <c r="DG69" s="328"/>
      <c r="DH69" s="328"/>
      <c r="DI69" s="657"/>
      <c r="DJ69" s="657"/>
      <c r="DK69" s="657"/>
      <c r="DL69" s="657"/>
      <c r="DM69" s="657"/>
      <c r="DN69" s="657"/>
      <c r="DO69" s="657"/>
      <c r="DP69" s="657"/>
      <c r="DQ69" s="657"/>
      <c r="DR69" s="657"/>
      <c r="DS69" s="657"/>
      <c r="DT69" s="657"/>
      <c r="DU69" s="657"/>
      <c r="DV69" s="657"/>
      <c r="DW69" s="657"/>
      <c r="DX69" s="374"/>
      <c r="DY69" s="374"/>
      <c r="DZ69" s="374"/>
      <c r="EA69" s="374"/>
      <c r="EB69" s="374"/>
      <c r="EC69" s="374"/>
      <c r="ED69" s="374"/>
      <c r="EE69" s="1119"/>
      <c r="EF69" s="1119"/>
      <c r="EG69" s="1119"/>
      <c r="EH69" s="1119"/>
      <c r="EI69" s="1119"/>
      <c r="EJ69" s="1119"/>
      <c r="EK69" s="1119"/>
      <c r="EL69" s="1119"/>
      <c r="EM69" s="1119"/>
      <c r="EN69" s="1119"/>
      <c r="EO69" s="1119"/>
      <c r="EP69" s="1119"/>
    </row>
    <row r="70" spans="1:147" ht="12.75" customHeight="1">
      <c r="A70" s="1117" t="s">
        <v>2658</v>
      </c>
      <c r="DC70" s="135"/>
      <c r="DD70" s="135"/>
      <c r="DE70" s="135"/>
      <c r="DF70" s="135"/>
      <c r="DG70" s="135"/>
      <c r="DH70" s="135"/>
      <c r="DI70" s="521"/>
      <c r="DJ70" s="521"/>
      <c r="DK70" s="521"/>
      <c r="DL70" s="521"/>
      <c r="DM70" s="521"/>
      <c r="DN70" s="521"/>
      <c r="DO70" s="521">
        <f t="shared" ref="DO70:DX71" si="92">SUM(DD67:DO67)</f>
        <v>-3143685</v>
      </c>
      <c r="DP70" s="521">
        <f t="shared" si="92"/>
        <v>-3390257</v>
      </c>
      <c r="DQ70" s="521">
        <f t="shared" si="92"/>
        <v>-3663244</v>
      </c>
      <c r="DR70" s="521">
        <f t="shared" si="92"/>
        <v>-4174936</v>
      </c>
      <c r="DS70" s="521">
        <f t="shared" si="92"/>
        <v>-4055172</v>
      </c>
      <c r="DT70" s="521">
        <f t="shared" si="92"/>
        <v>-3880337</v>
      </c>
      <c r="DU70" s="521">
        <f t="shared" si="92"/>
        <v>-3760573</v>
      </c>
      <c r="DV70" s="521">
        <f t="shared" si="92"/>
        <v>-3920989</v>
      </c>
      <c r="DW70" s="521">
        <f t="shared" si="92"/>
        <v>-4143035</v>
      </c>
      <c r="DX70" s="130">
        <f t="shared" si="92"/>
        <v>-4232167</v>
      </c>
      <c r="DY70" s="130">
        <f t="shared" ref="DY70:EJ71" si="93">SUM(DN67:DY67)</f>
        <v>-4382224</v>
      </c>
      <c r="DZ70" s="130">
        <f t="shared" si="93"/>
        <v>-4524699</v>
      </c>
      <c r="EA70" s="130">
        <f t="shared" si="93"/>
        <v>-4695020</v>
      </c>
      <c r="EB70" s="130">
        <f t="shared" si="93"/>
        <v>-4825333</v>
      </c>
      <c r="EC70" s="130">
        <f t="shared" si="93"/>
        <v>-4809184</v>
      </c>
      <c r="ED70" s="130">
        <f t="shared" si="93"/>
        <v>-4405778</v>
      </c>
      <c r="EE70" s="130">
        <f t="shared" si="93"/>
        <v>-4405778</v>
      </c>
      <c r="EF70" s="130">
        <f t="shared" si="93"/>
        <v>-4405778</v>
      </c>
      <c r="EG70" s="130">
        <f t="shared" si="93"/>
        <v>-4405778</v>
      </c>
      <c r="EH70" s="130">
        <f t="shared" si="93"/>
        <v>-4125598</v>
      </c>
      <c r="EI70" s="130">
        <f t="shared" si="93"/>
        <v>-3674553</v>
      </c>
      <c r="EJ70" s="130">
        <f t="shared" si="93"/>
        <v>-3243242</v>
      </c>
      <c r="EK70" s="130">
        <f t="shared" ref="EK70:EM71" si="94">SUM(DZ67:EK67)</f>
        <v>-2709981</v>
      </c>
      <c r="EL70" s="130">
        <f t="shared" si="94"/>
        <v>-2191721</v>
      </c>
      <c r="EM70" s="130">
        <f t="shared" si="94"/>
        <v>-1632645</v>
      </c>
      <c r="EN70" s="130">
        <f t="shared" ref="EN70:EP71" si="95">SUM(EC67:EN67)</f>
        <v>-1164411</v>
      </c>
      <c r="EO70" s="130">
        <f>SUM(ED67:EO67)</f>
        <v>-829710</v>
      </c>
      <c r="EP70" s="130">
        <f t="shared" si="95"/>
        <v>-775765</v>
      </c>
    </row>
    <row r="71" spans="1:147" ht="12.75" customHeight="1">
      <c r="A71" s="1117" t="s">
        <v>2659</v>
      </c>
      <c r="DC71" s="135"/>
      <c r="DD71" s="135"/>
      <c r="DE71" s="135"/>
      <c r="DF71" s="135"/>
      <c r="DG71" s="135"/>
      <c r="DH71" s="135"/>
      <c r="DI71" s="521"/>
      <c r="DJ71" s="521"/>
      <c r="DK71" s="521"/>
      <c r="DL71" s="521"/>
      <c r="DM71" s="521"/>
      <c r="DN71" s="521"/>
      <c r="DO71" s="521">
        <f t="shared" si="92"/>
        <v>-10299639.699999997</v>
      </c>
      <c r="DP71" s="521">
        <f t="shared" si="92"/>
        <v>-10331900.539999999</v>
      </c>
      <c r="DQ71" s="521">
        <f t="shared" si="92"/>
        <v>-10379824.180000002</v>
      </c>
      <c r="DR71" s="521">
        <f t="shared" si="92"/>
        <v>-10450785.070000002</v>
      </c>
      <c r="DS71" s="521">
        <f t="shared" si="92"/>
        <v>-11364916.960000001</v>
      </c>
      <c r="DT71" s="521">
        <f t="shared" si="92"/>
        <v>-12216556.559999999</v>
      </c>
      <c r="DU71" s="521">
        <f t="shared" si="92"/>
        <v>-13132927.710000001</v>
      </c>
      <c r="DV71" s="920">
        <f t="shared" si="92"/>
        <v>-13648997.399999999</v>
      </c>
      <c r="DW71" s="920">
        <f t="shared" si="92"/>
        <v>-14100228.259999998</v>
      </c>
      <c r="DX71" s="1130">
        <f t="shared" si="92"/>
        <v>-14667607.129999999</v>
      </c>
      <c r="DY71" s="1130">
        <f t="shared" si="93"/>
        <v>-15163474.809999999</v>
      </c>
      <c r="DZ71" s="1130">
        <f t="shared" si="93"/>
        <v>-15657309.209999997</v>
      </c>
      <c r="EA71" s="1130">
        <f t="shared" si="93"/>
        <v>-16121871.890000001</v>
      </c>
      <c r="EB71" s="1130">
        <f t="shared" si="93"/>
        <v>-16666275.289999997</v>
      </c>
      <c r="EC71" s="1130">
        <f t="shared" si="93"/>
        <v>-17317996.399999999</v>
      </c>
      <c r="ED71" s="1130">
        <f t="shared" si="93"/>
        <v>-18082371.400000002</v>
      </c>
      <c r="EE71" s="1130">
        <f t="shared" si="93"/>
        <v>-16598889.620000001</v>
      </c>
      <c r="EF71" s="1130">
        <f t="shared" si="93"/>
        <v>-15116615.470000001</v>
      </c>
      <c r="EG71" s="1130">
        <f t="shared" si="93"/>
        <v>-13692138.16</v>
      </c>
      <c r="EH71" s="1130">
        <f t="shared" si="93"/>
        <v>-12730085.510000002</v>
      </c>
      <c r="EI71" s="1130">
        <f t="shared" si="93"/>
        <v>-11844709.310000002</v>
      </c>
      <c r="EJ71" s="1130">
        <f t="shared" si="93"/>
        <v>-10933674.510000002</v>
      </c>
      <c r="EK71" s="1130">
        <f t="shared" si="94"/>
        <v>-10119829.979999999</v>
      </c>
      <c r="EL71" s="1130">
        <f t="shared" si="94"/>
        <v>-9278643.9099999983</v>
      </c>
      <c r="EM71" s="1130">
        <f t="shared" si="94"/>
        <v>-8470663.290000001</v>
      </c>
      <c r="EN71" s="1130">
        <f t="shared" si="95"/>
        <v>-7577032.7999999989</v>
      </c>
      <c r="EO71" s="1130">
        <f t="shared" si="95"/>
        <v>-6542084.3099999987</v>
      </c>
      <c r="EP71" s="1130">
        <f t="shared" si="95"/>
        <v>-5232281.5999999996</v>
      </c>
      <c r="EQ71" s="165"/>
    </row>
    <row r="72" spans="1:147" ht="12.75" customHeight="1">
      <c r="A72" s="1117" t="s">
        <v>2660</v>
      </c>
      <c r="DC72" s="135"/>
      <c r="DD72" s="135"/>
      <c r="DE72" s="135"/>
      <c r="DF72" s="135"/>
      <c r="DG72" s="135"/>
      <c r="DH72" s="135"/>
      <c r="DI72" s="521"/>
      <c r="DJ72" s="521"/>
      <c r="DK72" s="521"/>
      <c r="DL72" s="521"/>
      <c r="DM72" s="521"/>
      <c r="DN72" s="521"/>
      <c r="DO72" s="521"/>
      <c r="DP72" s="521"/>
      <c r="DQ72" s="521"/>
      <c r="DR72" s="521"/>
      <c r="DS72" s="521"/>
      <c r="DT72" s="521"/>
      <c r="DU72" s="521"/>
      <c r="DV72" s="521">
        <f t="shared" ref="DV72:EA72" si="96">+DV70+DV71</f>
        <v>-17569986.399999999</v>
      </c>
      <c r="DW72" s="521">
        <f t="shared" si="96"/>
        <v>-18243263.259999998</v>
      </c>
      <c r="DX72" s="130">
        <f t="shared" si="96"/>
        <v>-18899774.129999999</v>
      </c>
      <c r="DY72" s="130">
        <f t="shared" si="96"/>
        <v>-19545698.809999999</v>
      </c>
      <c r="DZ72" s="130">
        <f t="shared" si="96"/>
        <v>-20182008.209999997</v>
      </c>
      <c r="EA72" s="130">
        <f t="shared" si="96"/>
        <v>-20816891.890000001</v>
      </c>
      <c r="EB72" s="130">
        <f t="shared" ref="EB72:EG72" si="97">+EB70+EB71</f>
        <v>-21491608.289999999</v>
      </c>
      <c r="EC72" s="130">
        <f t="shared" si="97"/>
        <v>-22127180.399999999</v>
      </c>
      <c r="ED72" s="130">
        <f t="shared" si="97"/>
        <v>-22488149.400000002</v>
      </c>
      <c r="EE72" s="130">
        <f t="shared" si="97"/>
        <v>-21004667.620000001</v>
      </c>
      <c r="EF72" s="130">
        <f t="shared" si="97"/>
        <v>-19522393.469999999</v>
      </c>
      <c r="EG72" s="130">
        <f t="shared" si="97"/>
        <v>-18097916.16</v>
      </c>
      <c r="EH72" s="130">
        <f t="shared" ref="EH72:EM72" si="98">+EH70+EH71</f>
        <v>-16855683.510000002</v>
      </c>
      <c r="EI72" s="130">
        <f t="shared" si="98"/>
        <v>-15519262.310000002</v>
      </c>
      <c r="EJ72" s="130">
        <f t="shared" si="98"/>
        <v>-14176916.510000002</v>
      </c>
      <c r="EK72" s="130">
        <f t="shared" si="98"/>
        <v>-12829810.979999999</v>
      </c>
      <c r="EL72" s="130">
        <f t="shared" si="98"/>
        <v>-11470364.909999998</v>
      </c>
      <c r="EM72" s="130">
        <f t="shared" si="98"/>
        <v>-10103308.290000001</v>
      </c>
      <c r="EN72" s="130">
        <f>+EN70+EN71</f>
        <v>-8741443.7999999989</v>
      </c>
      <c r="EO72" s="130">
        <f>+EO70+EO71</f>
        <v>-7371794.3099999987</v>
      </c>
      <c r="EP72" s="130">
        <f>+EP70+EP71</f>
        <v>-6008046.5999999996</v>
      </c>
      <c r="EQ72" s="165"/>
    </row>
    <row r="73" spans="1:147" ht="12.75" customHeight="1">
      <c r="A73" s="1129"/>
      <c r="DC73" s="328"/>
      <c r="DD73" s="328"/>
      <c r="DE73" s="328"/>
      <c r="DF73" s="328"/>
      <c r="DG73" s="328"/>
      <c r="DH73" s="328"/>
      <c r="DI73" s="657"/>
      <c r="DJ73" s="657"/>
      <c r="DK73" s="657"/>
      <c r="DL73" s="657"/>
      <c r="DM73" s="657"/>
      <c r="DN73" s="657"/>
      <c r="DO73" s="657"/>
      <c r="DP73" s="657"/>
      <c r="DQ73" s="657"/>
      <c r="DR73" s="657"/>
      <c r="DS73" s="657"/>
      <c r="DT73" s="657"/>
      <c r="DU73" s="657"/>
      <c r="DV73" s="657"/>
      <c r="DW73" s="657"/>
      <c r="DX73" s="374"/>
      <c r="DY73" s="374"/>
      <c r="DZ73" s="374"/>
      <c r="EA73" s="374"/>
      <c r="EB73" s="374"/>
      <c r="EC73" s="374"/>
      <c r="ED73" s="374"/>
      <c r="EE73" s="1119"/>
      <c r="EF73" s="1119"/>
      <c r="EG73" s="1119"/>
      <c r="EH73" s="1119"/>
      <c r="EI73" s="1119"/>
      <c r="EJ73" s="1119"/>
      <c r="EK73" s="1119"/>
      <c r="EL73" s="1119"/>
      <c r="EM73" s="1119"/>
      <c r="EN73" s="1119"/>
      <c r="EO73" s="1119"/>
      <c r="EP73" s="1119"/>
    </row>
    <row r="74" spans="1:147" ht="12.75" customHeight="1">
      <c r="A74" s="1129" t="s">
        <v>2641</v>
      </c>
      <c r="DC74" s="328">
        <v>39660</v>
      </c>
      <c r="DD74" s="328">
        <v>39660</v>
      </c>
      <c r="DE74" s="328">
        <v>39660</v>
      </c>
      <c r="DF74" s="328">
        <v>46049</v>
      </c>
      <c r="DG74" s="328">
        <v>367155</v>
      </c>
      <c r="DH74" s="328">
        <v>291525</v>
      </c>
      <c r="DI74" s="657">
        <v>104259</v>
      </c>
      <c r="DJ74" s="657">
        <v>2319</v>
      </c>
      <c r="DK74" s="657">
        <v>153</v>
      </c>
      <c r="DL74" s="657">
        <v>0</v>
      </c>
      <c r="DM74" s="657">
        <v>0</v>
      </c>
      <c r="DN74" s="657">
        <v>0</v>
      </c>
      <c r="DO74" s="657">
        <v>0</v>
      </c>
      <c r="DP74" s="657">
        <v>24577</v>
      </c>
      <c r="DQ74" s="657">
        <v>0</v>
      </c>
      <c r="DR74" s="657">
        <v>-83264</v>
      </c>
      <c r="DS74" s="657">
        <v>638589</v>
      </c>
      <c r="DT74" s="657">
        <v>565830</v>
      </c>
      <c r="DU74" s="657">
        <v>402609</v>
      </c>
      <c r="DV74" s="657">
        <v>179433</v>
      </c>
      <c r="DW74" s="657">
        <v>179433</v>
      </c>
      <c r="DX74" s="374">
        <v>179433</v>
      </c>
      <c r="DY74" s="374">
        <v>179433</v>
      </c>
      <c r="DZ74" s="374">
        <v>179433</v>
      </c>
      <c r="EA74" s="374">
        <v>179433</v>
      </c>
      <c r="EB74" s="374">
        <v>179433</v>
      </c>
      <c r="EC74" s="374">
        <v>179433</v>
      </c>
      <c r="ED74" s="374">
        <v>179433</v>
      </c>
      <c r="EE74" s="374">
        <v>653716</v>
      </c>
      <c r="EF74" s="374">
        <v>570127</v>
      </c>
      <c r="EG74" s="374">
        <v>462370</v>
      </c>
      <c r="EH74" s="374">
        <v>425087</v>
      </c>
      <c r="EI74" s="374">
        <v>335362</v>
      </c>
      <c r="EJ74" s="374">
        <v>335362</v>
      </c>
      <c r="EK74" s="374">
        <v>335362</v>
      </c>
      <c r="EL74" s="374">
        <v>335362</v>
      </c>
      <c r="EM74" s="374">
        <v>336185</v>
      </c>
      <c r="EN74" s="1119">
        <f>(VLOOKUP("4073071",'Input IS ACCTS'!$A$6:FQ$507,97,FALSE))+(VLOOKUP("4073072",'Input IS ACCTS'!$A$6:FQ$507,97,FALSE))</f>
        <v>335362</v>
      </c>
      <c r="EO74" s="1119">
        <f>(VLOOKUP("4073071",'Input IS ACCTS'!$A$6:FR$507,98,FALSE))+(VLOOKUP("4073072",'Input IS ACCTS'!$A$6:FR$507,98,FALSE))</f>
        <v>335362</v>
      </c>
      <c r="EP74" s="1119">
        <f>(VLOOKUP("4073071",'Input IS ACCTS'!$A$6:FS$507,99,FALSE))+(VLOOKUP("4073072",'Input IS ACCTS'!$A$6:FS$507,99,FALSE))</f>
        <v>335359</v>
      </c>
    </row>
    <row r="75" spans="1:147" ht="12.75" customHeight="1">
      <c r="A75" s="1117" t="s">
        <v>2643</v>
      </c>
      <c r="DC75" s="328">
        <v>153193.07</v>
      </c>
      <c r="DD75" s="328">
        <v>154355.09</v>
      </c>
      <c r="DE75" s="328">
        <v>155193.71</v>
      </c>
      <c r="DF75" s="328">
        <v>179736.85</v>
      </c>
      <c r="DG75" s="328">
        <v>123134.96</v>
      </c>
      <c r="DH75" s="328">
        <v>124984.57</v>
      </c>
      <c r="DI75" s="657">
        <v>135319</v>
      </c>
      <c r="DJ75" s="657">
        <v>140386.76</v>
      </c>
      <c r="DK75" s="657">
        <v>142628.81</v>
      </c>
      <c r="DL75" s="657">
        <v>147968.45000000001</v>
      </c>
      <c r="DM75" s="657">
        <v>150503.04000000001</v>
      </c>
      <c r="DN75" s="657">
        <v>157043.65</v>
      </c>
      <c r="DO75" s="657">
        <v>158558.57</v>
      </c>
      <c r="DP75" s="657">
        <v>163523.09</v>
      </c>
      <c r="DQ75" s="657">
        <v>165041.46</v>
      </c>
      <c r="DR75" s="657">
        <v>177485.13</v>
      </c>
      <c r="DS75" s="657">
        <v>181567.07</v>
      </c>
      <c r="DT75" s="657">
        <v>182403.98</v>
      </c>
      <c r="DU75" s="657">
        <v>186206.29</v>
      </c>
      <c r="DV75" s="657">
        <v>197568.45</v>
      </c>
      <c r="DW75" s="657">
        <v>200080.26</v>
      </c>
      <c r="DX75" s="374">
        <v>202622.93</v>
      </c>
      <c r="DY75" s="374">
        <v>203476.94</v>
      </c>
      <c r="DZ75" s="374">
        <v>205236.8</v>
      </c>
      <c r="EA75" s="374">
        <v>211242.97</v>
      </c>
      <c r="EB75" s="374">
        <v>212184.05</v>
      </c>
      <c r="EC75" s="374">
        <v>215449.68</v>
      </c>
      <c r="ED75" s="374">
        <v>221506.58</v>
      </c>
      <c r="EE75" s="374">
        <v>-9971.86</v>
      </c>
      <c r="EF75" s="374">
        <v>-1905.14</v>
      </c>
      <c r="EG75" s="374">
        <v>401.93</v>
      </c>
      <c r="EH75" s="374">
        <v>4034.39</v>
      </c>
      <c r="EI75" s="374">
        <v>5684.58</v>
      </c>
      <c r="EJ75" s="374">
        <v>6508.95</v>
      </c>
      <c r="EK75" s="374">
        <v>7800.93</v>
      </c>
      <c r="EL75" s="374">
        <v>9314.52</v>
      </c>
      <c r="EM75" s="374">
        <v>10174.290000000001</v>
      </c>
      <c r="EN75" s="1119">
        <f>(VLOOKUP("6810071",'Input IS ACCTS'!$A$6:FQ$507,97,FALSE))</f>
        <v>12031.25</v>
      </c>
      <c r="EO75" s="1119">
        <f>(VLOOKUP("6810071",'Input IS ACCTS'!$A$6:FR$507,98,FALSE))</f>
        <v>12745.7</v>
      </c>
      <c r="EP75" s="1119">
        <f>(VLOOKUP("6810071",'Input IS ACCTS'!$A$6:FS$507,99,FALSE))</f>
        <v>14393.46</v>
      </c>
    </row>
    <row r="76" spans="1:147" ht="12.75" customHeight="1">
      <c r="A76" s="1117"/>
      <c r="DC76" s="328"/>
      <c r="DD76" s="328"/>
      <c r="DE76" s="328"/>
      <c r="DF76" s="328"/>
      <c r="DG76" s="328"/>
      <c r="DH76" s="328"/>
      <c r="DI76" s="657"/>
      <c r="DJ76" s="657"/>
      <c r="DK76" s="657"/>
      <c r="DL76" s="657"/>
      <c r="DM76" s="657"/>
      <c r="DN76" s="657"/>
      <c r="DO76" s="657"/>
      <c r="DP76" s="657"/>
      <c r="DQ76" s="657"/>
      <c r="DR76" s="657"/>
      <c r="DS76" s="657"/>
      <c r="DT76" s="657"/>
      <c r="DU76" s="657"/>
      <c r="DV76" s="657"/>
      <c r="DW76" s="657"/>
      <c r="DX76" s="374"/>
      <c r="DY76" s="374"/>
      <c r="DZ76" s="374"/>
      <c r="EA76" s="374"/>
      <c r="EB76" s="374"/>
      <c r="EC76" s="374"/>
      <c r="ED76" s="374"/>
      <c r="EE76" s="1119"/>
      <c r="EF76" s="1119"/>
      <c r="EG76" s="1119"/>
      <c r="EH76" s="1119"/>
      <c r="EI76" s="1119"/>
      <c r="EJ76" s="1119"/>
      <c r="EK76" s="1119"/>
      <c r="EL76" s="1119"/>
      <c r="EM76" s="1119"/>
      <c r="EN76" s="1119"/>
      <c r="EO76" s="1119"/>
      <c r="EP76" s="1119"/>
    </row>
    <row r="77" spans="1:147" ht="12.75" customHeight="1">
      <c r="A77" s="1117" t="s">
        <v>2661</v>
      </c>
      <c r="DC77" s="135"/>
      <c r="DD77" s="135"/>
      <c r="DE77" s="135"/>
      <c r="DF77" s="135"/>
      <c r="DG77" s="135"/>
      <c r="DH77" s="135"/>
      <c r="DI77" s="521"/>
      <c r="DJ77" s="521"/>
      <c r="DK77" s="521"/>
      <c r="DL77" s="521"/>
      <c r="DM77" s="521"/>
      <c r="DN77" s="521"/>
      <c r="DO77" s="521">
        <f t="shared" ref="DO77:DX78" si="99">SUM(DD74:DO74)</f>
        <v>890780</v>
      </c>
      <c r="DP77" s="521">
        <f t="shared" si="99"/>
        <v>875697</v>
      </c>
      <c r="DQ77" s="521">
        <f t="shared" si="99"/>
        <v>836037</v>
      </c>
      <c r="DR77" s="521">
        <f t="shared" si="99"/>
        <v>706724</v>
      </c>
      <c r="DS77" s="521">
        <f t="shared" si="99"/>
        <v>978158</v>
      </c>
      <c r="DT77" s="521">
        <f t="shared" si="99"/>
        <v>1252463</v>
      </c>
      <c r="DU77" s="521">
        <f t="shared" si="99"/>
        <v>1550813</v>
      </c>
      <c r="DV77" s="521">
        <f t="shared" si="99"/>
        <v>1727927</v>
      </c>
      <c r="DW77" s="521">
        <f t="shared" si="99"/>
        <v>1907207</v>
      </c>
      <c r="DX77" s="130">
        <f t="shared" si="99"/>
        <v>2086640</v>
      </c>
      <c r="DY77" s="130">
        <f t="shared" ref="DY77:EJ78" si="100">SUM(DN74:DY74)</f>
        <v>2266073</v>
      </c>
      <c r="DZ77" s="130">
        <f t="shared" si="100"/>
        <v>2445506</v>
      </c>
      <c r="EA77" s="130">
        <f t="shared" si="100"/>
        <v>2624939</v>
      </c>
      <c r="EB77" s="130">
        <f t="shared" si="100"/>
        <v>2779795</v>
      </c>
      <c r="EC77" s="130">
        <f t="shared" si="100"/>
        <v>2959228</v>
      </c>
      <c r="ED77" s="130">
        <f t="shared" si="100"/>
        <v>3221925</v>
      </c>
      <c r="EE77" s="130">
        <f t="shared" si="100"/>
        <v>3237052</v>
      </c>
      <c r="EF77" s="130">
        <f t="shared" si="100"/>
        <v>3241349</v>
      </c>
      <c r="EG77" s="130">
        <f t="shared" si="100"/>
        <v>3301110</v>
      </c>
      <c r="EH77" s="130">
        <f t="shared" si="100"/>
        <v>3546764</v>
      </c>
      <c r="EI77" s="130">
        <f t="shared" si="100"/>
        <v>3702693</v>
      </c>
      <c r="EJ77" s="130">
        <f t="shared" si="100"/>
        <v>3858622</v>
      </c>
      <c r="EK77" s="130">
        <f t="shared" ref="EK77:EM78" si="101">SUM(DZ74:EK74)</f>
        <v>4014551</v>
      </c>
      <c r="EL77" s="130">
        <f t="shared" si="101"/>
        <v>4170480</v>
      </c>
      <c r="EM77" s="130">
        <f t="shared" si="101"/>
        <v>4327232</v>
      </c>
      <c r="EN77" s="130">
        <f t="shared" ref="EN77:EP78" si="102">SUM(EC74:EN74)</f>
        <v>4483161</v>
      </c>
      <c r="EO77" s="130">
        <f t="shared" si="102"/>
        <v>4639090</v>
      </c>
      <c r="EP77" s="130">
        <f t="shared" si="102"/>
        <v>4795016</v>
      </c>
    </row>
    <row r="78" spans="1:147" ht="12.75" customHeight="1">
      <c r="A78" s="1117" t="s">
        <v>2662</v>
      </c>
      <c r="DC78" s="135"/>
      <c r="DD78" s="135"/>
      <c r="DE78" s="135"/>
      <c r="DF78" s="135"/>
      <c r="DG78" s="135"/>
      <c r="DH78" s="135"/>
      <c r="DI78" s="521"/>
      <c r="DJ78" s="521"/>
      <c r="DK78" s="521"/>
      <c r="DL78" s="521"/>
      <c r="DM78" s="521"/>
      <c r="DN78" s="521"/>
      <c r="DO78" s="521">
        <f t="shared" si="99"/>
        <v>1769813.46</v>
      </c>
      <c r="DP78" s="521">
        <f t="shared" si="99"/>
        <v>1778981.4600000002</v>
      </c>
      <c r="DQ78" s="521">
        <f t="shared" si="99"/>
        <v>1788829.21</v>
      </c>
      <c r="DR78" s="521">
        <f t="shared" si="99"/>
        <v>1786577.4900000002</v>
      </c>
      <c r="DS78" s="521">
        <f t="shared" si="99"/>
        <v>1845009.6000000003</v>
      </c>
      <c r="DT78" s="521">
        <f t="shared" si="99"/>
        <v>1902429.01</v>
      </c>
      <c r="DU78" s="521">
        <f t="shared" si="99"/>
        <v>1953316.3</v>
      </c>
      <c r="DV78" s="521">
        <f t="shared" si="99"/>
        <v>2010497.9900000002</v>
      </c>
      <c r="DW78" s="521">
        <f t="shared" si="99"/>
        <v>2067949.44</v>
      </c>
      <c r="DX78" s="130">
        <f t="shared" si="99"/>
        <v>2122603.92</v>
      </c>
      <c r="DY78" s="130">
        <f t="shared" si="100"/>
        <v>2175577.8199999998</v>
      </c>
      <c r="DZ78" s="130">
        <f t="shared" si="100"/>
        <v>2223770.9699999997</v>
      </c>
      <c r="EA78" s="130">
        <f t="shared" si="100"/>
        <v>2276455.37</v>
      </c>
      <c r="EB78" s="130">
        <f t="shared" si="100"/>
        <v>2325116.33</v>
      </c>
      <c r="EC78" s="130">
        <f t="shared" si="100"/>
        <v>2375524.5500000003</v>
      </c>
      <c r="ED78" s="130">
        <f t="shared" si="100"/>
        <v>2419546</v>
      </c>
      <c r="EE78" s="130">
        <f t="shared" si="100"/>
        <v>2228007.0699999998</v>
      </c>
      <c r="EF78" s="130">
        <f t="shared" si="100"/>
        <v>2043697.95</v>
      </c>
      <c r="EG78" s="130">
        <f t="shared" si="100"/>
        <v>1857893.59</v>
      </c>
      <c r="EH78" s="130">
        <f t="shared" si="100"/>
        <v>1664359.5299999998</v>
      </c>
      <c r="EI78" s="130">
        <f t="shared" si="100"/>
        <v>1469963.8499999999</v>
      </c>
      <c r="EJ78" s="130">
        <f t="shared" si="100"/>
        <v>1273849.8699999999</v>
      </c>
      <c r="EK78" s="130">
        <f t="shared" si="101"/>
        <v>1078173.8599999999</v>
      </c>
      <c r="EL78" s="130">
        <f t="shared" si="101"/>
        <v>882251.58</v>
      </c>
      <c r="EM78" s="130">
        <f t="shared" si="101"/>
        <v>681182.9</v>
      </c>
      <c r="EN78" s="130">
        <f t="shared" si="102"/>
        <v>481030.10000000003</v>
      </c>
      <c r="EO78" s="130">
        <f t="shared" si="102"/>
        <v>278326.11999999994</v>
      </c>
      <c r="EP78" s="130">
        <f t="shared" si="102"/>
        <v>71213</v>
      </c>
    </row>
    <row r="79" spans="1:147" ht="12.75" customHeight="1">
      <c r="A79" s="1117"/>
      <c r="DC79" s="328"/>
      <c r="DD79" s="328"/>
      <c r="DE79" s="328"/>
      <c r="DF79" s="328"/>
      <c r="DG79" s="328"/>
      <c r="DH79" s="328"/>
      <c r="DI79" s="657"/>
      <c r="DJ79" s="657"/>
      <c r="DK79" s="657"/>
      <c r="DL79" s="657"/>
      <c r="DM79" s="657"/>
      <c r="DN79" s="657"/>
      <c r="DO79" s="657"/>
      <c r="DP79" s="657"/>
      <c r="DQ79" s="657"/>
      <c r="DR79" s="657"/>
      <c r="DS79" s="657"/>
      <c r="DT79" s="657"/>
      <c r="DU79" s="657"/>
      <c r="DV79" s="657"/>
      <c r="DW79" s="657"/>
      <c r="DX79" s="374"/>
      <c r="DY79" s="374"/>
      <c r="DZ79" s="374"/>
      <c r="EA79" s="374"/>
      <c r="EB79" s="374"/>
      <c r="EC79" s="374"/>
      <c r="ED79" s="374"/>
      <c r="EE79" s="1119"/>
      <c r="EF79" s="1119"/>
      <c r="EG79" s="1119"/>
      <c r="EH79" s="1119"/>
      <c r="EI79" s="1119"/>
      <c r="EJ79" s="1119"/>
      <c r="EK79" s="1119"/>
      <c r="EL79" s="1119"/>
      <c r="EM79" s="1119"/>
      <c r="EN79" s="1119"/>
      <c r="EO79" s="1119"/>
      <c r="EP79" s="1119"/>
    </row>
    <row r="80" spans="1:147" ht="12.75" customHeight="1">
      <c r="A80" s="1117" t="s">
        <v>2663</v>
      </c>
      <c r="DC80" s="518">
        <v>200</v>
      </c>
      <c r="DD80" s="518">
        <v>0</v>
      </c>
      <c r="DE80" s="518">
        <v>0</v>
      </c>
      <c r="DF80" s="518">
        <v>200</v>
      </c>
      <c r="DG80" s="518">
        <v>200</v>
      </c>
      <c r="DH80" s="518">
        <v>1800</v>
      </c>
      <c r="DI80" s="518">
        <v>100</v>
      </c>
      <c r="DJ80" s="518">
        <v>-4600</v>
      </c>
      <c r="DK80" s="518">
        <v>-4200</v>
      </c>
      <c r="DL80" s="518">
        <v>-3600</v>
      </c>
      <c r="DM80" s="518">
        <v>-3400</v>
      </c>
      <c r="DN80" s="518">
        <v>-3400</v>
      </c>
      <c r="DO80" s="518">
        <v>-3500</v>
      </c>
      <c r="DP80" s="518">
        <v>-3400</v>
      </c>
      <c r="DQ80" s="518">
        <v>-3900</v>
      </c>
      <c r="DR80" s="518">
        <v>-5300</v>
      </c>
      <c r="DS80" s="518">
        <v>-10600</v>
      </c>
      <c r="DT80" s="518">
        <v>-10300</v>
      </c>
      <c r="DU80" s="518">
        <v>-9600</v>
      </c>
      <c r="DV80" s="518">
        <v>-7200</v>
      </c>
      <c r="DW80" s="518">
        <v>-6400</v>
      </c>
      <c r="DX80" s="374">
        <v>-6400</v>
      </c>
      <c r="DY80" s="374">
        <v>-5900</v>
      </c>
      <c r="DZ80" s="374">
        <v>-5800</v>
      </c>
      <c r="EA80" s="374">
        <v>-5800</v>
      </c>
      <c r="EB80" s="374">
        <v>-6200</v>
      </c>
      <c r="EC80" s="374">
        <v>-7100</v>
      </c>
      <c r="ED80" s="374">
        <v>-9100</v>
      </c>
      <c r="EE80" s="374">
        <v>-3100</v>
      </c>
      <c r="EF80" s="374">
        <v>-2900</v>
      </c>
      <c r="EG80" s="374">
        <v>-2500</v>
      </c>
      <c r="EH80" s="374">
        <v>-2400</v>
      </c>
      <c r="EI80" s="374">
        <v>-2000</v>
      </c>
      <c r="EJ80" s="374">
        <v>-1900</v>
      </c>
      <c r="EK80" s="374">
        <v>-1800</v>
      </c>
      <c r="EL80" s="374">
        <v>-1600</v>
      </c>
      <c r="EM80" s="374">
        <v>-1700</v>
      </c>
      <c r="EN80" s="328">
        <v>-1700</v>
      </c>
      <c r="EO80" s="328">
        <v>-2000</v>
      </c>
      <c r="EP80" s="328">
        <v>-2600</v>
      </c>
    </row>
    <row r="81" spans="1:154" ht="12.75" customHeight="1">
      <c r="A81" s="1117" t="s">
        <v>2664</v>
      </c>
      <c r="DC81" s="518">
        <v>-90900</v>
      </c>
      <c r="DD81" s="518">
        <v>-90900</v>
      </c>
      <c r="DE81" s="518">
        <v>-90900</v>
      </c>
      <c r="DF81" s="518">
        <v>-75600</v>
      </c>
      <c r="DG81" s="518">
        <v>-145400</v>
      </c>
      <c r="DH81" s="518">
        <v>-145400</v>
      </c>
      <c r="DI81" s="518">
        <v>-145400</v>
      </c>
      <c r="DJ81" s="518">
        <v>-145400</v>
      </c>
      <c r="DK81" s="518">
        <v>-145400</v>
      </c>
      <c r="DL81" s="518">
        <v>-145400</v>
      </c>
      <c r="DM81" s="518">
        <v>-145400</v>
      </c>
      <c r="DN81" s="518">
        <v>-145400</v>
      </c>
      <c r="DO81" s="518">
        <v>-145400</v>
      </c>
      <c r="DP81" s="518">
        <v>-145400</v>
      </c>
      <c r="DQ81" s="518">
        <v>-145400</v>
      </c>
      <c r="DR81" s="518">
        <v>-145400</v>
      </c>
      <c r="DS81" s="518">
        <v>-218900</v>
      </c>
      <c r="DT81" s="518">
        <v>-218900</v>
      </c>
      <c r="DU81" s="518">
        <v>-218900</v>
      </c>
      <c r="DV81" s="518">
        <v>-218900</v>
      </c>
      <c r="DW81" s="518">
        <v>-218900</v>
      </c>
      <c r="DX81" s="374">
        <v>-218900</v>
      </c>
      <c r="DY81" s="374">
        <v>-218900</v>
      </c>
      <c r="DZ81" s="374">
        <v>-218900</v>
      </c>
      <c r="EA81" s="374">
        <v>-218900</v>
      </c>
      <c r="EB81" s="374">
        <v>-218900</v>
      </c>
      <c r="EC81" s="374">
        <v>-218900</v>
      </c>
      <c r="ED81" s="374">
        <v>-218900</v>
      </c>
      <c r="EE81" s="374">
        <v>10600</v>
      </c>
      <c r="EF81" s="374">
        <v>10600</v>
      </c>
      <c r="EG81" s="374">
        <v>10600</v>
      </c>
      <c r="EH81" s="374">
        <v>10600</v>
      </c>
      <c r="EI81" s="374">
        <v>10600</v>
      </c>
      <c r="EJ81" s="374">
        <v>10600</v>
      </c>
      <c r="EK81" s="374">
        <v>10600</v>
      </c>
      <c r="EL81" s="374">
        <v>10600</v>
      </c>
      <c r="EM81" s="374">
        <v>10600</v>
      </c>
      <c r="EN81" s="328">
        <v>10600</v>
      </c>
      <c r="EO81" s="328">
        <v>10600</v>
      </c>
      <c r="EP81" s="328">
        <v>10600</v>
      </c>
      <c r="EX81" s="17"/>
    </row>
    <row r="82" spans="1:154" ht="12.75" customHeight="1">
      <c r="A82" s="1129"/>
      <c r="AA82"/>
      <c r="AB82"/>
      <c r="AC82"/>
      <c r="AD82"/>
      <c r="AE82"/>
      <c r="AF82"/>
      <c r="AG82"/>
      <c r="AH82"/>
      <c r="AI82"/>
      <c r="DX82" s="56"/>
      <c r="DY82" s="56"/>
      <c r="DZ82" s="56"/>
      <c r="EA82" s="56"/>
      <c r="EB82" s="56"/>
      <c r="EC82" s="56"/>
      <c r="ED82" s="56"/>
      <c r="EE82" s="56"/>
      <c r="EF82" s="56"/>
      <c r="EG82" s="56"/>
      <c r="EH82" s="56"/>
      <c r="EI82" s="56"/>
      <c r="EJ82" s="56"/>
      <c r="EK82" s="56"/>
      <c r="EL82" s="56"/>
      <c r="EM82" s="56"/>
      <c r="EN82" s="56"/>
      <c r="EO82" s="56"/>
      <c r="EP82" s="56"/>
    </row>
    <row r="83" spans="1:154" ht="12.75" customHeight="1">
      <c r="A83" s="1117" t="s">
        <v>2665</v>
      </c>
      <c r="DI83" s="521"/>
      <c r="DJ83" s="521"/>
      <c r="DK83" s="521"/>
      <c r="DL83" s="521"/>
      <c r="DM83" s="521"/>
      <c r="DN83" s="521"/>
      <c r="DO83" s="521"/>
      <c r="DP83" s="521"/>
      <c r="DQ83" s="521"/>
      <c r="DR83" s="521"/>
      <c r="DS83" s="521"/>
      <c r="DT83" s="521"/>
      <c r="DU83" s="521">
        <f t="shared" ref="DU83:EJ84" si="103">SUM(DJ80:DU80)</f>
        <v>-65800</v>
      </c>
      <c r="DV83" s="521">
        <f t="shared" si="103"/>
        <v>-68400</v>
      </c>
      <c r="DW83" s="521">
        <f t="shared" si="103"/>
        <v>-70600</v>
      </c>
      <c r="DX83" s="130">
        <f t="shared" si="103"/>
        <v>-73400</v>
      </c>
      <c r="DY83" s="130">
        <f t="shared" si="103"/>
        <v>-75900</v>
      </c>
      <c r="DZ83" s="130">
        <f t="shared" si="103"/>
        <v>-78300</v>
      </c>
      <c r="EA83" s="130">
        <f t="shared" si="103"/>
        <v>-80600</v>
      </c>
      <c r="EB83" s="130">
        <f t="shared" si="103"/>
        <v>-83400</v>
      </c>
      <c r="EC83" s="130">
        <f t="shared" si="103"/>
        <v>-86600</v>
      </c>
      <c r="ED83" s="130">
        <f t="shared" si="103"/>
        <v>-90400</v>
      </c>
      <c r="EE83" s="130">
        <f t="shared" si="103"/>
        <v>-82900</v>
      </c>
      <c r="EF83" s="130">
        <f t="shared" si="103"/>
        <v>-75500</v>
      </c>
      <c r="EG83" s="130">
        <f t="shared" si="103"/>
        <v>-68400</v>
      </c>
      <c r="EH83" s="130">
        <f t="shared" si="103"/>
        <v>-63600</v>
      </c>
      <c r="EI83" s="130">
        <f t="shared" si="103"/>
        <v>-59200</v>
      </c>
      <c r="EJ83" s="130">
        <f t="shared" si="103"/>
        <v>-54700</v>
      </c>
      <c r="EK83" s="130">
        <f t="shared" ref="EK83:EM84" si="104">SUM(DZ80:EK80)</f>
        <v>-50600</v>
      </c>
      <c r="EL83" s="130">
        <f t="shared" si="104"/>
        <v>-46400</v>
      </c>
      <c r="EM83" s="130">
        <f t="shared" si="104"/>
        <v>-42300</v>
      </c>
      <c r="EN83" s="130">
        <f t="shared" ref="EN83:EP84" si="105">SUM(EC80:EN80)</f>
        <v>-37800</v>
      </c>
      <c r="EO83" s="130">
        <f t="shared" si="105"/>
        <v>-32700</v>
      </c>
      <c r="EP83" s="130">
        <f t="shared" si="105"/>
        <v>-26200</v>
      </c>
    </row>
    <row r="84" spans="1:154" ht="12.75" customHeight="1">
      <c r="A84" s="1117" t="s">
        <v>2666</v>
      </c>
      <c r="DI84" s="521"/>
      <c r="DJ84" s="521"/>
      <c r="DK84" s="521"/>
      <c r="DL84" s="521"/>
      <c r="DM84" s="521"/>
      <c r="DN84" s="521"/>
      <c r="DO84" s="521"/>
      <c r="DP84" s="521"/>
      <c r="DQ84" s="521"/>
      <c r="DR84" s="521"/>
      <c r="DS84" s="521"/>
      <c r="DT84" s="521"/>
      <c r="DU84" s="920">
        <f t="shared" si="103"/>
        <v>-1965300</v>
      </c>
      <c r="DV84" s="920">
        <f t="shared" si="103"/>
        <v>-2038800</v>
      </c>
      <c r="DW84" s="920">
        <f t="shared" si="103"/>
        <v>-2112300</v>
      </c>
      <c r="DX84" s="1130">
        <f t="shared" si="103"/>
        <v>-2185800</v>
      </c>
      <c r="DY84" s="1130">
        <f t="shared" si="103"/>
        <v>-2259300</v>
      </c>
      <c r="DZ84" s="1130">
        <f t="shared" si="103"/>
        <v>-2332800</v>
      </c>
      <c r="EA84" s="1130">
        <f t="shared" si="103"/>
        <v>-2406300</v>
      </c>
      <c r="EB84" s="1130">
        <f t="shared" si="103"/>
        <v>-2479800</v>
      </c>
      <c r="EC84" s="1130">
        <f t="shared" si="103"/>
        <v>-2553300</v>
      </c>
      <c r="ED84" s="1130">
        <f t="shared" si="103"/>
        <v>-2626800</v>
      </c>
      <c r="EE84" s="1130">
        <f t="shared" si="103"/>
        <v>-2397300</v>
      </c>
      <c r="EF84" s="1130">
        <f t="shared" si="103"/>
        <v>-2167800</v>
      </c>
      <c r="EG84" s="1130">
        <f t="shared" si="103"/>
        <v>-1938300</v>
      </c>
      <c r="EH84" s="1130">
        <f t="shared" si="103"/>
        <v>-1708800</v>
      </c>
      <c r="EI84" s="1130">
        <f t="shared" si="103"/>
        <v>-1479300</v>
      </c>
      <c r="EJ84" s="1130">
        <f t="shared" si="103"/>
        <v>-1249800</v>
      </c>
      <c r="EK84" s="1130">
        <f t="shared" si="104"/>
        <v>-1020300</v>
      </c>
      <c r="EL84" s="1130">
        <f t="shared" si="104"/>
        <v>-790800</v>
      </c>
      <c r="EM84" s="1130">
        <f t="shared" si="104"/>
        <v>-561300</v>
      </c>
      <c r="EN84" s="1130">
        <f t="shared" si="105"/>
        <v>-331800</v>
      </c>
      <c r="EO84" s="1130">
        <f t="shared" si="105"/>
        <v>-102300</v>
      </c>
      <c r="EP84" s="1130">
        <f t="shared" si="105"/>
        <v>127200</v>
      </c>
    </row>
    <row r="85" spans="1:154" ht="12.75" customHeight="1">
      <c r="A85" s="1117" t="s">
        <v>2667</v>
      </c>
      <c r="DU85" s="521">
        <f t="shared" ref="DU85:EA85" si="106">DU84+DU83</f>
        <v>-2031100</v>
      </c>
      <c r="DV85" s="521">
        <f t="shared" si="106"/>
        <v>-2107200</v>
      </c>
      <c r="DW85" s="521">
        <f t="shared" si="106"/>
        <v>-2182900</v>
      </c>
      <c r="DX85" s="130">
        <f t="shared" si="106"/>
        <v>-2259200</v>
      </c>
      <c r="DY85" s="130">
        <f t="shared" si="106"/>
        <v>-2335200</v>
      </c>
      <c r="DZ85" s="130">
        <f t="shared" si="106"/>
        <v>-2411100</v>
      </c>
      <c r="EA85" s="130">
        <f t="shared" si="106"/>
        <v>-2486900</v>
      </c>
      <c r="EB85" s="130">
        <f t="shared" ref="EB85:EG85" si="107">EB84+EB83</f>
        <v>-2563200</v>
      </c>
      <c r="EC85" s="130">
        <f t="shared" si="107"/>
        <v>-2639900</v>
      </c>
      <c r="ED85" s="130">
        <f t="shared" si="107"/>
        <v>-2717200</v>
      </c>
      <c r="EE85" s="130">
        <f t="shared" si="107"/>
        <v>-2480200</v>
      </c>
      <c r="EF85" s="130">
        <f t="shared" si="107"/>
        <v>-2243300</v>
      </c>
      <c r="EG85" s="130">
        <f t="shared" si="107"/>
        <v>-2006700</v>
      </c>
      <c r="EH85" s="130">
        <f t="shared" ref="EH85:EM85" si="108">EH84+EH83</f>
        <v>-1772400</v>
      </c>
      <c r="EI85" s="130">
        <f t="shared" si="108"/>
        <v>-1538500</v>
      </c>
      <c r="EJ85" s="130">
        <f t="shared" si="108"/>
        <v>-1304500</v>
      </c>
      <c r="EK85" s="130">
        <f t="shared" si="108"/>
        <v>-1070900</v>
      </c>
      <c r="EL85" s="130">
        <f t="shared" si="108"/>
        <v>-837200</v>
      </c>
      <c r="EM85" s="130">
        <f t="shared" si="108"/>
        <v>-603600</v>
      </c>
      <c r="EN85" s="130">
        <f>EN84+EN83</f>
        <v>-369600</v>
      </c>
      <c r="EO85" s="130">
        <f>EO84+EO83</f>
        <v>-135000</v>
      </c>
      <c r="EP85" s="130">
        <f>EP84+EP83</f>
        <v>101000</v>
      </c>
    </row>
    <row r="86" spans="1:154" ht="12.75" customHeight="1">
      <c r="A86" s="1129"/>
      <c r="DX86" s="56"/>
      <c r="DY86" s="56"/>
      <c r="DZ86" s="56"/>
      <c r="EA86" s="56"/>
      <c r="EB86" s="56"/>
      <c r="EC86" s="56"/>
      <c r="ED86" s="56"/>
      <c r="EE86" s="56"/>
      <c r="EF86" s="56"/>
      <c r="EG86" s="56"/>
      <c r="EH86" s="56"/>
      <c r="EI86" s="56"/>
      <c r="EJ86" s="56"/>
      <c r="EK86" s="56"/>
      <c r="EL86" s="56"/>
      <c r="EM86" s="56"/>
      <c r="EN86" s="56"/>
      <c r="EO86" s="56"/>
      <c r="EP86" s="56"/>
    </row>
    <row r="87" spans="1:154" ht="12.75" customHeight="1">
      <c r="A87" s="1117" t="s">
        <v>2478</v>
      </c>
      <c r="EJ87" s="1193"/>
      <c r="EK87" s="1193"/>
      <c r="EL87" s="1193"/>
      <c r="EM87" s="1193"/>
      <c r="EN87" s="1193"/>
      <c r="EO87" s="1193"/>
      <c r="EP87" s="1193">
        <f>((EP72)/1000)-Report!$B$123-Report!$B$124</f>
        <v>0</v>
      </c>
    </row>
    <row r="88" spans="1:154" ht="12.75" customHeight="1">
      <c r="A88" s="1117" t="s">
        <v>2479</v>
      </c>
      <c r="EJ88" s="1193"/>
      <c r="EK88" s="1193"/>
      <c r="EL88" s="1193"/>
      <c r="EM88" s="1193"/>
      <c r="EN88" s="1193"/>
      <c r="EO88" s="1193"/>
      <c r="EP88" s="1193">
        <f>+-EP77/1000-Report!$F$123</f>
        <v>0</v>
      </c>
    </row>
    <row r="89" spans="1:154" ht="12.75" customHeight="1">
      <c r="A89" s="1117" t="s">
        <v>2480</v>
      </c>
      <c r="EJ89" s="1193"/>
      <c r="EK89" s="1193"/>
      <c r="EL89" s="1193"/>
      <c r="EM89" s="1193"/>
      <c r="EN89" s="1193"/>
      <c r="EO89" s="1193"/>
      <c r="EP89" s="1193">
        <f>+-EP78/1000-Report!$H$123</f>
        <v>0</v>
      </c>
    </row>
    <row r="90" spans="1:154" ht="12.75" customHeight="1">
      <c r="A90" s="1117" t="s">
        <v>2481</v>
      </c>
      <c r="EJ90" s="1193"/>
      <c r="EK90" s="1193"/>
      <c r="EL90" s="1193"/>
      <c r="EM90" s="1193"/>
      <c r="EN90" s="1193"/>
      <c r="EO90" s="1193"/>
      <c r="EP90" s="1193">
        <f>+-EP85/1000+Report!$J$123</f>
        <v>0.54457999999998208</v>
      </c>
      <c r="EQ90" t="s">
        <v>2714</v>
      </c>
    </row>
    <row r="91" spans="1:154" ht="12.75" customHeight="1">
      <c r="A91" s="1117"/>
      <c r="EJ91" s="1194"/>
      <c r="EK91" s="1194"/>
      <c r="EL91" s="1194"/>
      <c r="EM91" s="1194"/>
      <c r="EN91" s="1194"/>
      <c r="EO91" s="1194"/>
      <c r="EP91" s="1194"/>
    </row>
    <row r="92" spans="1:154" ht="12.75" customHeight="1"/>
    <row r="93" spans="1:154" ht="12.75" customHeight="1"/>
    <row r="94" spans="1:154" ht="12.75" customHeight="1"/>
    <row r="95" spans="1:154" ht="12.75" customHeight="1"/>
    <row r="96" spans="1:154" ht="12.75" customHeight="1"/>
    <row r="97" spans="9:153" ht="12.75" customHeight="1"/>
    <row r="98" spans="9:153" ht="12.75" customHeight="1">
      <c r="DW98" s="430"/>
      <c r="DX98" s="430"/>
      <c r="DY98" s="430"/>
      <c r="DZ98" s="430"/>
      <c r="EA98" s="430"/>
      <c r="EB98" s="430"/>
      <c r="EC98" s="430"/>
      <c r="ED98" s="430"/>
      <c r="EE98" s="430"/>
      <c r="EF98" s="430"/>
      <c r="EG98" s="430"/>
      <c r="EH98" s="430"/>
      <c r="EI98" s="430"/>
      <c r="EJ98" s="430"/>
      <c r="EK98" s="430"/>
      <c r="EL98" s="430"/>
      <c r="EM98" s="430"/>
      <c r="EN98" s="430"/>
      <c r="EO98" s="430"/>
      <c r="EP98" s="430"/>
    </row>
    <row r="99" spans="9:153" ht="12.75" customHeight="1"/>
    <row r="100" spans="9:153" ht="12.75" customHeight="1"/>
    <row r="101" spans="9:153" ht="12.75" customHeight="1"/>
    <row r="102" spans="9:153" ht="12.75" customHeight="1"/>
    <row r="103" spans="9:153" ht="12.75" customHeight="1"/>
    <row r="104" spans="9:153" ht="12.75" customHeight="1">
      <c r="ET104" s="56"/>
      <c r="EU104" s="56"/>
      <c r="EV104" s="56"/>
      <c r="EW104" s="56"/>
    </row>
    <row r="105" spans="9:153" ht="12.75" customHeight="1"/>
    <row r="106" spans="9:153" ht="12.75" customHeight="1"/>
    <row r="107" spans="9:153" ht="12.75" customHeight="1"/>
    <row r="108" spans="9:153" ht="12.75" customHeight="1">
      <c r="N108" s="53"/>
      <c r="O108" s="53"/>
      <c r="P108" s="53"/>
    </row>
    <row r="109" spans="9:153">
      <c r="I109" s="53"/>
      <c r="J109" s="53"/>
      <c r="K109" s="53"/>
      <c r="L109" s="53"/>
      <c r="M109" s="53"/>
      <c r="N109" s="55"/>
      <c r="O109" s="55"/>
      <c r="P109" s="55"/>
    </row>
    <row r="110" spans="9:153">
      <c r="I110" s="55"/>
      <c r="J110" s="55"/>
      <c r="K110" s="55"/>
      <c r="L110" s="55"/>
      <c r="M110" s="55"/>
      <c r="N110" s="56"/>
      <c r="O110" s="56"/>
      <c r="P110" s="56"/>
    </row>
    <row r="111" spans="9:153">
      <c r="I111" s="56"/>
      <c r="J111" s="56"/>
      <c r="K111" s="56"/>
      <c r="L111" s="56"/>
      <c r="M111" s="56"/>
      <c r="N111" s="57"/>
      <c r="O111" s="57"/>
      <c r="P111" s="57"/>
      <c r="Q111" s="35"/>
    </row>
    <row r="112" spans="9:153">
      <c r="I112" s="57"/>
      <c r="J112" s="57"/>
      <c r="K112" s="57"/>
      <c r="L112" s="57"/>
      <c r="M112" s="57"/>
      <c r="N112" s="57"/>
      <c r="O112" s="57"/>
      <c r="P112" s="57"/>
      <c r="Q112" s="35"/>
    </row>
    <row r="113" spans="1:149" hidden="1">
      <c r="I113" s="57"/>
      <c r="J113" s="57"/>
      <c r="K113" s="57"/>
      <c r="L113" s="57"/>
      <c r="M113" s="57"/>
    </row>
    <row r="114" spans="1:149" hidden="1"/>
    <row r="116" spans="1:149">
      <c r="I116" s="46"/>
      <c r="J116" s="46"/>
      <c r="K116" s="46"/>
      <c r="L116" s="46"/>
      <c r="M116" s="46"/>
    </row>
    <row r="117" spans="1:149">
      <c r="A117" s="45"/>
      <c r="D117" s="54"/>
    </row>
    <row r="119" spans="1:149" ht="12.75" customHeight="1"/>
    <row r="122" spans="1:149">
      <c r="ES122" s="56"/>
    </row>
    <row r="129" spans="2:37">
      <c r="B129" s="35"/>
    </row>
    <row r="130" spans="2:37">
      <c r="P130" s="35"/>
    </row>
    <row r="131" spans="2:37" ht="15">
      <c r="AH131" s="247"/>
      <c r="AI131" s="248"/>
      <c r="AJ131" s="248"/>
      <c r="AK131" s="248"/>
    </row>
  </sheetData>
  <phoneticPr fontId="65" type="noConversion"/>
  <pageMargins left="0.25" right="0.25" top="0.75" bottom="0.75" header="0.3" footer="0.3"/>
  <pageSetup scale="56" orientation="landscape" r:id="rId1"/>
  <headerFooter alignWithMargins="0">
    <oddFooter>&amp;L&amp;Z&amp;F
&amp;D</oddFooter>
  </headerFooter>
  <customProperties>
    <customPr name="_pios_id" r:id="rId2"/>
    <customPr name="FPMExcelClientCellBasedFunctionStatus" r:id="rId3"/>
  </customProperties>
  <ignoredErrors>
    <ignoredError sqref="BK15:BP15 BK19:BP19" formulaRange="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B97"/>
  <sheetViews>
    <sheetView topLeftCell="DH1" workbookViewId="0"/>
  </sheetViews>
  <sheetFormatPr defaultColWidth="8.85546875" defaultRowHeight="12.75"/>
  <cols>
    <col min="1" max="1" width="19.85546875" style="633" customWidth="1"/>
    <col min="2" max="2" width="38.140625" style="633" bestFit="1" customWidth="1"/>
    <col min="3" max="31" width="9.5703125" style="633" hidden="1" customWidth="1"/>
    <col min="32" max="49" width="10.5703125" style="633" hidden="1" customWidth="1"/>
    <col min="50" max="74" width="11.5703125" style="633" hidden="1" customWidth="1"/>
    <col min="75" max="79" width="12.28515625" style="633" hidden="1" customWidth="1"/>
    <col min="80" max="81" width="10.7109375" style="633" hidden="1" customWidth="1"/>
    <col min="82" max="83" width="9.5703125" style="633" hidden="1" customWidth="1"/>
    <col min="84" max="109" width="12.28515625" style="633" hidden="1" customWidth="1"/>
    <col min="110" max="122" width="12.28515625" style="633" customWidth="1"/>
    <col min="123" max="123" width="8.85546875" style="633"/>
    <col min="124" max="126" width="12.28515625" style="633" bestFit="1" customWidth="1"/>
    <col min="127" max="127" width="14.28515625" style="633" bestFit="1" customWidth="1"/>
    <col min="128" max="130" width="8.85546875" style="633"/>
    <col min="131" max="131" width="15.5703125" style="633" customWidth="1"/>
    <col min="132" max="132" width="9.42578125" style="633" bestFit="1" customWidth="1"/>
    <col min="133" max="16384" width="8.85546875" style="633"/>
  </cols>
  <sheetData>
    <row r="1" spans="1:126" ht="15">
      <c r="A1" s="632" t="s">
        <v>204</v>
      </c>
      <c r="B1" s="632"/>
      <c r="C1" s="632"/>
      <c r="D1" s="632"/>
      <c r="E1" s="632"/>
      <c r="F1" s="632"/>
      <c r="G1" s="632"/>
      <c r="H1" s="632"/>
      <c r="I1" s="632"/>
      <c r="J1" s="632"/>
      <c r="K1" s="632"/>
      <c r="L1" s="632"/>
      <c r="M1" s="632"/>
      <c r="N1" s="632"/>
      <c r="O1" s="632"/>
      <c r="P1" s="632"/>
      <c r="Q1" s="632"/>
      <c r="R1" s="632"/>
      <c r="S1" s="632"/>
      <c r="U1" s="634"/>
    </row>
    <row r="2" spans="1:126" ht="15">
      <c r="A2" s="635" t="s">
        <v>547</v>
      </c>
      <c r="B2" s="635"/>
      <c r="C2" s="635"/>
      <c r="D2" s="635"/>
      <c r="E2" s="635"/>
      <c r="F2" s="635"/>
      <c r="G2" s="635"/>
      <c r="H2" s="635"/>
      <c r="I2" s="635"/>
      <c r="J2" s="635"/>
      <c r="K2" s="635"/>
      <c r="L2" s="635"/>
      <c r="M2" s="635"/>
      <c r="N2" s="635"/>
      <c r="O2" s="635"/>
      <c r="P2" s="635"/>
      <c r="Q2" s="635"/>
      <c r="R2" s="635"/>
      <c r="S2" s="635"/>
      <c r="U2" s="636"/>
    </row>
    <row r="3" spans="1:126" ht="15">
      <c r="A3" s="635"/>
      <c r="B3" s="635"/>
      <c r="C3" s="635"/>
      <c r="D3" s="635"/>
      <c r="E3" s="635"/>
      <c r="F3" s="635"/>
      <c r="G3" s="635"/>
      <c r="H3" s="635"/>
      <c r="I3" s="635"/>
      <c r="J3" s="635"/>
      <c r="K3" s="635"/>
      <c r="L3" s="635"/>
      <c r="M3" s="635"/>
      <c r="N3" s="635"/>
      <c r="O3" s="635"/>
      <c r="P3" s="635"/>
      <c r="Q3" s="635"/>
      <c r="R3" s="635"/>
      <c r="S3" s="635"/>
      <c r="U3" s="636"/>
    </row>
    <row r="4" spans="1:126" ht="15">
      <c r="B4" s="831" t="s">
        <v>2278</v>
      </c>
      <c r="C4" s="635"/>
      <c r="D4" s="635"/>
      <c r="E4" s="635"/>
      <c r="F4" s="635"/>
      <c r="G4" s="635"/>
      <c r="H4" s="635"/>
      <c r="I4" s="635"/>
      <c r="J4" s="635"/>
      <c r="K4" s="635"/>
      <c r="L4" s="635"/>
      <c r="M4" s="635"/>
      <c r="N4" s="635"/>
      <c r="O4" s="635"/>
      <c r="P4" s="635"/>
      <c r="Q4" s="635"/>
      <c r="R4" s="635"/>
      <c r="S4" s="635"/>
      <c r="U4" s="636"/>
    </row>
    <row r="5" spans="1:126" ht="15">
      <c r="B5" s="833" t="s">
        <v>2279</v>
      </c>
      <c r="C5" s="636"/>
      <c r="D5" s="636"/>
      <c r="E5" s="636"/>
      <c r="F5" s="636"/>
      <c r="G5" s="636"/>
      <c r="H5" s="636"/>
      <c r="I5" s="636"/>
      <c r="J5" s="636"/>
      <c r="K5" s="636"/>
      <c r="L5" s="636"/>
      <c r="M5" s="636"/>
      <c r="N5" s="636"/>
      <c r="O5" s="636"/>
      <c r="P5" s="636"/>
      <c r="Q5" s="636"/>
      <c r="R5" s="636"/>
      <c r="S5" s="636"/>
      <c r="T5" s="636"/>
      <c r="U5" s="636"/>
    </row>
    <row r="6" spans="1:126" ht="15">
      <c r="B6" s="832" t="s">
        <v>2282</v>
      </c>
      <c r="C6" s="636"/>
      <c r="D6" s="636"/>
      <c r="E6" s="636"/>
      <c r="F6" s="636"/>
      <c r="G6" s="636"/>
      <c r="H6" s="636"/>
      <c r="I6" s="636"/>
      <c r="J6" s="636"/>
      <c r="K6" s="636"/>
      <c r="L6" s="636"/>
      <c r="M6" s="636"/>
      <c r="N6" s="636"/>
      <c r="O6" s="636"/>
      <c r="P6" s="636"/>
      <c r="Q6" s="636"/>
      <c r="R6" s="636"/>
      <c r="S6" s="636"/>
      <c r="T6" s="636"/>
      <c r="U6" s="636"/>
    </row>
    <row r="7" spans="1:126" ht="15">
      <c r="B7" s="834" t="s">
        <v>2280</v>
      </c>
      <c r="C7" s="636"/>
      <c r="D7" s="636"/>
      <c r="E7" s="636"/>
      <c r="F7" s="636"/>
      <c r="G7" s="636"/>
      <c r="H7" s="636"/>
      <c r="I7" s="636"/>
      <c r="J7" s="636"/>
      <c r="K7" s="636"/>
      <c r="L7" s="636"/>
      <c r="M7" s="636"/>
      <c r="N7" s="636"/>
      <c r="O7" s="636"/>
      <c r="P7" s="636"/>
      <c r="Q7" s="636"/>
      <c r="R7" s="636"/>
      <c r="S7" s="636"/>
      <c r="T7" s="636"/>
      <c r="U7" s="636"/>
    </row>
    <row r="8" spans="1:126" ht="15">
      <c r="B8" s="835" t="s">
        <v>2281</v>
      </c>
      <c r="C8" s="636"/>
      <c r="D8" s="636"/>
      <c r="E8" s="636"/>
      <c r="F8" s="636"/>
      <c r="G8" s="636"/>
      <c r="H8" s="636"/>
      <c r="I8" s="636"/>
      <c r="J8" s="636"/>
      <c r="K8" s="636"/>
      <c r="L8" s="636"/>
      <c r="M8" s="636"/>
      <c r="N8" s="636"/>
      <c r="O8" s="636"/>
      <c r="P8" s="636"/>
      <c r="Q8" s="636"/>
      <c r="R8" s="636"/>
      <c r="S8" s="636"/>
      <c r="T8" s="636"/>
      <c r="U8" s="636"/>
    </row>
    <row r="9" spans="1:126" ht="15">
      <c r="A9" s="636"/>
      <c r="B9" s="928" t="s">
        <v>2377</v>
      </c>
      <c r="C9" s="636"/>
      <c r="D9" s="636"/>
      <c r="E9" s="636"/>
      <c r="F9" s="636"/>
      <c r="G9" s="636"/>
      <c r="H9" s="636"/>
      <c r="I9" s="636"/>
      <c r="J9" s="636"/>
      <c r="K9" s="636"/>
      <c r="L9" s="636"/>
      <c r="M9" s="636"/>
      <c r="N9" s="636"/>
      <c r="O9" s="636"/>
      <c r="P9" s="636"/>
      <c r="Q9" s="636"/>
      <c r="R9" s="636"/>
      <c r="S9" s="636"/>
      <c r="T9" s="636"/>
      <c r="U9" s="636"/>
    </row>
    <row r="10" spans="1:126" ht="15.75">
      <c r="A10" s="637" t="s">
        <v>548</v>
      </c>
      <c r="B10" s="638"/>
      <c r="C10" s="638"/>
      <c r="D10" s="638"/>
      <c r="E10" s="638"/>
      <c r="F10" s="638"/>
      <c r="G10" s="638"/>
      <c r="H10" s="638"/>
      <c r="I10" s="638"/>
      <c r="J10" s="638"/>
      <c r="K10" s="638"/>
      <c r="L10" s="638"/>
      <c r="M10" s="638"/>
      <c r="N10" s="638"/>
      <c r="O10" s="639"/>
      <c r="P10" s="639"/>
      <c r="Q10" s="639"/>
      <c r="R10" s="639"/>
      <c r="S10" s="639"/>
      <c r="T10" s="636"/>
      <c r="U10" s="636"/>
    </row>
    <row r="11" spans="1:126" ht="15">
      <c r="A11" s="636"/>
      <c r="B11" s="636"/>
      <c r="C11" s="636"/>
      <c r="D11" s="636"/>
      <c r="E11" s="636"/>
      <c r="F11" s="636"/>
      <c r="G11" s="636"/>
      <c r="H11" s="636"/>
      <c r="I11" s="636"/>
      <c r="J11" s="636"/>
      <c r="K11" s="636"/>
      <c r="L11" s="636"/>
      <c r="M11" s="636"/>
      <c r="N11" s="636"/>
      <c r="O11" s="636"/>
      <c r="P11" s="636"/>
      <c r="Q11" s="636"/>
      <c r="R11" s="636"/>
      <c r="S11" s="636"/>
      <c r="U11" s="639"/>
      <c r="V11" s="640"/>
    </row>
    <row r="12" spans="1:126">
      <c r="A12" s="641"/>
      <c r="B12" s="642" t="s">
        <v>559</v>
      </c>
      <c r="C12" s="643">
        <v>40911</v>
      </c>
      <c r="D12" s="643">
        <v>40941</v>
      </c>
      <c r="E12" s="643">
        <v>40971</v>
      </c>
      <c r="F12" s="643">
        <v>41001</v>
      </c>
      <c r="G12" s="643">
        <v>41031</v>
      </c>
      <c r="H12" s="643">
        <v>41061</v>
      </c>
      <c r="I12" s="643">
        <v>41091</v>
      </c>
      <c r="J12" s="643">
        <v>41122</v>
      </c>
      <c r="K12" s="643">
        <v>41153</v>
      </c>
      <c r="L12" s="643">
        <v>41184</v>
      </c>
      <c r="M12" s="643">
        <v>41215</v>
      </c>
      <c r="N12" s="643">
        <v>41246</v>
      </c>
      <c r="O12" s="643">
        <v>41277</v>
      </c>
      <c r="P12" s="643">
        <v>41308</v>
      </c>
      <c r="Q12" s="643">
        <v>41339</v>
      </c>
      <c r="R12" s="643">
        <v>41370</v>
      </c>
      <c r="S12" s="643">
        <v>41401</v>
      </c>
      <c r="T12" s="643">
        <v>41432</v>
      </c>
      <c r="U12" s="643">
        <v>41463</v>
      </c>
      <c r="V12" s="643">
        <v>41494</v>
      </c>
      <c r="W12" s="643">
        <v>41525</v>
      </c>
      <c r="X12" s="643">
        <v>41556</v>
      </c>
      <c r="Y12" s="643">
        <v>41587</v>
      </c>
      <c r="Z12" s="643">
        <v>41618</v>
      </c>
      <c r="AA12" s="643">
        <f t="shared" ref="AA12:AF12" si="0">+Z12+31</f>
        <v>41649</v>
      </c>
      <c r="AB12" s="643">
        <f t="shared" si="0"/>
        <v>41680</v>
      </c>
      <c r="AC12" s="643">
        <f t="shared" si="0"/>
        <v>41711</v>
      </c>
      <c r="AD12" s="643">
        <f t="shared" si="0"/>
        <v>41742</v>
      </c>
      <c r="AE12" s="643">
        <f t="shared" si="0"/>
        <v>41773</v>
      </c>
      <c r="AF12" s="643">
        <f t="shared" si="0"/>
        <v>41804</v>
      </c>
      <c r="AG12" s="643">
        <f t="shared" ref="AG12:AL12" si="1">+AF12+31</f>
        <v>41835</v>
      </c>
      <c r="AH12" s="643">
        <f t="shared" si="1"/>
        <v>41866</v>
      </c>
      <c r="AI12" s="643">
        <f t="shared" si="1"/>
        <v>41897</v>
      </c>
      <c r="AJ12" s="643">
        <f t="shared" si="1"/>
        <v>41928</v>
      </c>
      <c r="AK12" s="643">
        <f t="shared" si="1"/>
        <v>41959</v>
      </c>
      <c r="AL12" s="643">
        <f t="shared" si="1"/>
        <v>41990</v>
      </c>
      <c r="AM12" s="643">
        <f t="shared" ref="AM12:AR12" si="2">+AL12+31</f>
        <v>42021</v>
      </c>
      <c r="AN12" s="643">
        <f t="shared" si="2"/>
        <v>42052</v>
      </c>
      <c r="AO12" s="643">
        <f t="shared" si="2"/>
        <v>42083</v>
      </c>
      <c r="AP12" s="643">
        <f t="shared" si="2"/>
        <v>42114</v>
      </c>
      <c r="AQ12" s="643">
        <f t="shared" si="2"/>
        <v>42145</v>
      </c>
      <c r="AR12" s="643">
        <f t="shared" si="2"/>
        <v>42176</v>
      </c>
      <c r="AS12" s="643">
        <f t="shared" ref="AS12:AX12" si="3">+AR12+31</f>
        <v>42207</v>
      </c>
      <c r="AT12" s="643">
        <f t="shared" si="3"/>
        <v>42238</v>
      </c>
      <c r="AU12" s="643">
        <f t="shared" si="3"/>
        <v>42269</v>
      </c>
      <c r="AV12" s="643">
        <f t="shared" si="3"/>
        <v>42300</v>
      </c>
      <c r="AW12" s="643">
        <f t="shared" si="3"/>
        <v>42331</v>
      </c>
      <c r="AX12" s="643">
        <f t="shared" si="3"/>
        <v>42362</v>
      </c>
      <c r="AY12" s="643">
        <f>+AX12+31</f>
        <v>42393</v>
      </c>
      <c r="AZ12" s="643">
        <f>+AY12+31</f>
        <v>42424</v>
      </c>
      <c r="BA12" s="643">
        <f>+AZ12+31</f>
        <v>42455</v>
      </c>
      <c r="BB12" s="643">
        <f t="shared" ref="BB12:BO12" si="4">+BA12+31</f>
        <v>42486</v>
      </c>
      <c r="BC12" s="643">
        <f t="shared" si="4"/>
        <v>42517</v>
      </c>
      <c r="BD12" s="643">
        <f t="shared" si="4"/>
        <v>42548</v>
      </c>
      <c r="BE12" s="643">
        <f t="shared" si="4"/>
        <v>42579</v>
      </c>
      <c r="BF12" s="643">
        <f t="shared" si="4"/>
        <v>42610</v>
      </c>
      <c r="BG12" s="643">
        <f t="shared" si="4"/>
        <v>42641</v>
      </c>
      <c r="BH12" s="643">
        <f t="shared" si="4"/>
        <v>42672</v>
      </c>
      <c r="BI12" s="643">
        <f t="shared" si="4"/>
        <v>42703</v>
      </c>
      <c r="BJ12" s="643">
        <f t="shared" si="4"/>
        <v>42734</v>
      </c>
      <c r="BK12" s="643">
        <f t="shared" si="4"/>
        <v>42765</v>
      </c>
      <c r="BL12" s="643">
        <f>+BK12+28</f>
        <v>42793</v>
      </c>
      <c r="BM12" s="643">
        <f t="shared" si="4"/>
        <v>42824</v>
      </c>
      <c r="BN12" s="643">
        <f t="shared" si="4"/>
        <v>42855</v>
      </c>
      <c r="BO12" s="643">
        <f t="shared" si="4"/>
        <v>42886</v>
      </c>
      <c r="BP12" s="643">
        <f t="shared" ref="BP12:CH12" si="5">+BO12+30</f>
        <v>42916</v>
      </c>
      <c r="BQ12" s="643">
        <f t="shared" si="5"/>
        <v>42946</v>
      </c>
      <c r="BR12" s="643">
        <f t="shared" si="5"/>
        <v>42976</v>
      </c>
      <c r="BS12" s="643">
        <f t="shared" si="5"/>
        <v>43006</v>
      </c>
      <c r="BT12" s="643">
        <f t="shared" si="5"/>
        <v>43036</v>
      </c>
      <c r="BU12" s="643">
        <f t="shared" si="5"/>
        <v>43066</v>
      </c>
      <c r="BV12" s="643">
        <f t="shared" si="5"/>
        <v>43096</v>
      </c>
      <c r="BW12" s="643">
        <f t="shared" si="5"/>
        <v>43126</v>
      </c>
      <c r="BX12" s="643">
        <f t="shared" si="5"/>
        <v>43156</v>
      </c>
      <c r="BY12" s="643">
        <f t="shared" si="5"/>
        <v>43186</v>
      </c>
      <c r="BZ12" s="643">
        <f t="shared" si="5"/>
        <v>43216</v>
      </c>
      <c r="CA12" s="643">
        <f t="shared" si="5"/>
        <v>43246</v>
      </c>
      <c r="CB12" s="643">
        <f t="shared" si="5"/>
        <v>43276</v>
      </c>
      <c r="CC12" s="643">
        <f t="shared" si="5"/>
        <v>43306</v>
      </c>
      <c r="CD12" s="643">
        <f t="shared" si="5"/>
        <v>43336</v>
      </c>
      <c r="CE12" s="643">
        <f t="shared" si="5"/>
        <v>43366</v>
      </c>
      <c r="CF12" s="643">
        <f t="shared" si="5"/>
        <v>43396</v>
      </c>
      <c r="CG12" s="643">
        <f t="shared" si="5"/>
        <v>43426</v>
      </c>
      <c r="CH12" s="643">
        <f t="shared" si="5"/>
        <v>43456</v>
      </c>
      <c r="CI12" s="643">
        <f t="shared" ref="CI12:CQ12" si="6">+CH12+30</f>
        <v>43486</v>
      </c>
      <c r="CJ12" s="643">
        <f t="shared" si="6"/>
        <v>43516</v>
      </c>
      <c r="CK12" s="643">
        <f t="shared" si="6"/>
        <v>43546</v>
      </c>
      <c r="CL12" s="643">
        <f t="shared" si="6"/>
        <v>43576</v>
      </c>
      <c r="CM12" s="643">
        <f t="shared" si="6"/>
        <v>43606</v>
      </c>
      <c r="CN12" s="643">
        <f t="shared" si="6"/>
        <v>43636</v>
      </c>
      <c r="CO12" s="643">
        <f t="shared" si="6"/>
        <v>43666</v>
      </c>
      <c r="CP12" s="643">
        <f t="shared" si="6"/>
        <v>43696</v>
      </c>
      <c r="CQ12" s="643">
        <f t="shared" si="6"/>
        <v>43726</v>
      </c>
      <c r="CR12" s="643">
        <f t="shared" ref="CR12:DL12" si="7">+CQ12+30</f>
        <v>43756</v>
      </c>
      <c r="CS12" s="643">
        <f t="shared" si="7"/>
        <v>43786</v>
      </c>
      <c r="CT12" s="643">
        <f t="shared" si="7"/>
        <v>43816</v>
      </c>
      <c r="CU12" s="643">
        <f t="shared" si="7"/>
        <v>43846</v>
      </c>
      <c r="CV12" s="643">
        <f t="shared" si="7"/>
        <v>43876</v>
      </c>
      <c r="CW12" s="643">
        <f t="shared" si="7"/>
        <v>43906</v>
      </c>
      <c r="CX12" s="643">
        <f t="shared" si="7"/>
        <v>43936</v>
      </c>
      <c r="CY12" s="643">
        <f t="shared" si="7"/>
        <v>43966</v>
      </c>
      <c r="CZ12" s="643">
        <f t="shared" si="7"/>
        <v>43996</v>
      </c>
      <c r="DA12" s="643">
        <f t="shared" si="7"/>
        <v>44026</v>
      </c>
      <c r="DB12" s="643">
        <f t="shared" si="7"/>
        <v>44056</v>
      </c>
      <c r="DC12" s="643">
        <f t="shared" si="7"/>
        <v>44086</v>
      </c>
      <c r="DD12" s="643">
        <f t="shared" si="7"/>
        <v>44116</v>
      </c>
      <c r="DE12" s="643">
        <f t="shared" si="7"/>
        <v>44146</v>
      </c>
      <c r="DF12" s="643">
        <f t="shared" si="7"/>
        <v>44176</v>
      </c>
      <c r="DG12" s="643">
        <f t="shared" si="7"/>
        <v>44206</v>
      </c>
      <c r="DH12" s="643">
        <f t="shared" si="7"/>
        <v>44236</v>
      </c>
      <c r="DI12" s="643">
        <f t="shared" si="7"/>
        <v>44266</v>
      </c>
      <c r="DJ12" s="643">
        <f t="shared" si="7"/>
        <v>44296</v>
      </c>
      <c r="DK12" s="643">
        <f t="shared" si="7"/>
        <v>44326</v>
      </c>
      <c r="DL12" s="643">
        <f t="shared" si="7"/>
        <v>44356</v>
      </c>
      <c r="DM12" s="643">
        <f t="shared" ref="DM12:DR12" si="8">+DL12+30</f>
        <v>44386</v>
      </c>
      <c r="DN12" s="643">
        <f t="shared" si="8"/>
        <v>44416</v>
      </c>
      <c r="DO12" s="643">
        <f t="shared" si="8"/>
        <v>44446</v>
      </c>
      <c r="DP12" s="643">
        <f t="shared" si="8"/>
        <v>44476</v>
      </c>
      <c r="DQ12" s="643">
        <f t="shared" si="8"/>
        <v>44506</v>
      </c>
      <c r="DR12" s="643">
        <f t="shared" si="8"/>
        <v>44536</v>
      </c>
    </row>
    <row r="14" spans="1:126">
      <c r="A14" s="644">
        <v>224</v>
      </c>
      <c r="B14" s="633" t="s">
        <v>264</v>
      </c>
      <c r="C14" s="645">
        <v>223400</v>
      </c>
      <c r="D14" s="645">
        <v>223400</v>
      </c>
      <c r="E14" s="645">
        <v>223400</v>
      </c>
      <c r="F14" s="645">
        <v>223400</v>
      </c>
      <c r="G14" s="645">
        <v>223400</v>
      </c>
      <c r="H14" s="645">
        <v>254434.08</v>
      </c>
      <c r="I14" s="645">
        <v>251034.08</v>
      </c>
      <c r="J14" s="645">
        <v>206764.68</v>
      </c>
      <c r="K14" s="645">
        <v>231764.68</v>
      </c>
      <c r="L14" s="645">
        <v>231764.68</v>
      </c>
      <c r="M14" s="645">
        <v>231764.68</v>
      </c>
      <c r="N14" s="645">
        <v>231764.68</v>
      </c>
      <c r="O14" s="645">
        <v>231764.68</v>
      </c>
      <c r="P14" s="645">
        <v>231764.68</v>
      </c>
      <c r="Q14" s="645">
        <v>231764.68</v>
      </c>
      <c r="R14" s="645">
        <v>231764.68</v>
      </c>
      <c r="S14" s="645">
        <v>231764.68</v>
      </c>
      <c r="T14" s="645">
        <v>231764.68</v>
      </c>
      <c r="U14" s="645">
        <v>231764.68</v>
      </c>
      <c r="V14" s="645">
        <v>231764.68</v>
      </c>
      <c r="W14" s="645">
        <v>231764.68</v>
      </c>
      <c r="X14" s="645">
        <v>231764.68</v>
      </c>
      <c r="Y14" s="645">
        <v>231764.68</v>
      </c>
      <c r="Z14" s="645">
        <v>231764.68</v>
      </c>
      <c r="AA14" s="645">
        <v>231764.68</v>
      </c>
      <c r="AB14" s="645">
        <v>231764.68</v>
      </c>
      <c r="AC14" s="645">
        <v>231764.68</v>
      </c>
      <c r="AD14" s="645">
        <v>231764.68</v>
      </c>
      <c r="AE14" s="645">
        <v>241764.68</v>
      </c>
      <c r="AF14" s="645">
        <v>241764.68</v>
      </c>
      <c r="AG14" s="645">
        <v>241764.68</v>
      </c>
      <c r="AH14" s="645">
        <v>241764.68</v>
      </c>
      <c r="AI14" s="645">
        <v>241764.68</v>
      </c>
      <c r="AJ14" s="645">
        <v>241764.68</v>
      </c>
      <c r="AK14" s="645">
        <v>241764.68</v>
      </c>
      <c r="AL14" s="645">
        <v>241764.68</v>
      </c>
      <c r="AM14" s="645">
        <v>241764.68</v>
      </c>
      <c r="AN14" s="645">
        <v>241764.68</v>
      </c>
      <c r="AO14" s="645">
        <v>241764.68</v>
      </c>
      <c r="AP14" s="645">
        <v>241764.68</v>
      </c>
      <c r="AQ14" s="645">
        <v>261764.68</v>
      </c>
      <c r="AR14" s="645">
        <v>261764.68</v>
      </c>
      <c r="AS14" s="645">
        <v>261764.68</v>
      </c>
      <c r="AT14" s="645">
        <v>261764.68</v>
      </c>
      <c r="AU14" s="645">
        <v>261764.68</v>
      </c>
      <c r="AV14" s="645">
        <v>261764.68</v>
      </c>
      <c r="AW14" s="645">
        <v>261764.68</v>
      </c>
      <c r="AX14" s="646">
        <v>261764.68</v>
      </c>
      <c r="AY14" s="646">
        <v>261764.68</v>
      </c>
      <c r="AZ14" s="646">
        <v>261764.68</v>
      </c>
      <c r="BA14" s="646">
        <v>261764.68</v>
      </c>
      <c r="BB14" s="646">
        <v>261764.68</v>
      </c>
      <c r="BC14" s="646">
        <v>261764.68</v>
      </c>
      <c r="BD14" s="646">
        <v>261764.68</v>
      </c>
      <c r="BE14" s="646">
        <v>261764.68</v>
      </c>
      <c r="BF14" s="646">
        <v>261764.68</v>
      </c>
      <c r="BG14" s="646">
        <v>261764.68</v>
      </c>
      <c r="BH14" s="646">
        <v>261764.68</v>
      </c>
      <c r="BI14" s="646">
        <v>261764.68</v>
      </c>
      <c r="BJ14" s="646">
        <v>261764.68</v>
      </c>
      <c r="BK14" s="646">
        <v>261764.68</v>
      </c>
      <c r="BL14" s="646">
        <v>261764.68</v>
      </c>
      <c r="BM14" s="646">
        <v>261764.68</v>
      </c>
      <c r="BN14" s="646">
        <v>261764.68</v>
      </c>
      <c r="BO14" s="646">
        <v>261764.68</v>
      </c>
      <c r="BP14" s="646">
        <v>261764.68</v>
      </c>
      <c r="BQ14" s="646">
        <v>261764.68</v>
      </c>
      <c r="BR14" s="646">
        <v>261764.68</v>
      </c>
      <c r="BS14" s="646">
        <v>261764.68</v>
      </c>
      <c r="BT14" s="646">
        <v>261764.68</v>
      </c>
      <c r="BU14" s="646">
        <v>261764.68</v>
      </c>
      <c r="BV14" s="646">
        <v>261764.68</v>
      </c>
      <c r="BW14" s="646">
        <v>261764.68</v>
      </c>
      <c r="BX14" s="646">
        <v>261764.68</v>
      </c>
      <c r="BY14" s="646">
        <v>261764.68</v>
      </c>
      <c r="BZ14" s="646">
        <v>261764.68</v>
      </c>
      <c r="CA14" s="646">
        <v>211764.68</v>
      </c>
      <c r="CB14" s="646">
        <v>286764.68</v>
      </c>
      <c r="CC14" s="646">
        <v>286764.68</v>
      </c>
      <c r="CD14" s="646">
        <v>286764.68</v>
      </c>
      <c r="CE14" s="646">
        <v>286764.68</v>
      </c>
      <c r="CF14" s="646">
        <v>311764.68</v>
      </c>
      <c r="CG14" s="646">
        <v>311764.68</v>
      </c>
      <c r="CH14" s="646">
        <v>311764.68</v>
      </c>
      <c r="CI14" s="646">
        <v>311764.68</v>
      </c>
      <c r="CJ14" s="646">
        <v>311764.68</v>
      </c>
      <c r="CK14" s="646">
        <v>311764.68</v>
      </c>
      <c r="CL14" s="646">
        <v>311764.68</v>
      </c>
      <c r="CM14" s="646">
        <v>311764.68</v>
      </c>
      <c r="CN14" s="646">
        <v>311764.68</v>
      </c>
      <c r="CO14" s="646">
        <v>336764.68</v>
      </c>
      <c r="CP14" s="646">
        <v>336764.68</v>
      </c>
      <c r="CQ14" s="646">
        <v>336764.68</v>
      </c>
      <c r="CR14" s="646">
        <v>336764.68</v>
      </c>
      <c r="CS14" s="646">
        <v>336764.68</v>
      </c>
      <c r="CT14" s="646">
        <v>336764.68</v>
      </c>
      <c r="CU14" s="646">
        <v>336764.68</v>
      </c>
      <c r="CV14" s="646">
        <v>336764.68</v>
      </c>
      <c r="CW14" s="646">
        <v>336764.68</v>
      </c>
      <c r="CX14" s="646">
        <v>336764.68</v>
      </c>
      <c r="CY14" s="646">
        <v>336764.68</v>
      </c>
      <c r="CZ14" s="646">
        <v>336764.68</v>
      </c>
      <c r="DA14" s="646">
        <v>336764.68</v>
      </c>
      <c r="DB14" s="646">
        <v>336764.68</v>
      </c>
      <c r="DC14" s="646">
        <v>336764.68</v>
      </c>
      <c r="DD14" s="646">
        <v>336764.68</v>
      </c>
      <c r="DE14" s="646">
        <v>336764.68</v>
      </c>
      <c r="DF14" s="646">
        <v>336764.68</v>
      </c>
      <c r="DG14" s="646">
        <v>336764.68</v>
      </c>
      <c r="DH14" s="646">
        <v>336764.68</v>
      </c>
      <c r="DI14" s="646">
        <v>566764.68000000005</v>
      </c>
      <c r="DJ14" s="646">
        <v>566764.68000000005</v>
      </c>
      <c r="DK14" s="646">
        <v>520000</v>
      </c>
      <c r="DL14" s="646">
        <v>520000</v>
      </c>
      <c r="DM14" s="646">
        <f>'Bal Sheet'!EN66</f>
        <v>520000</v>
      </c>
      <c r="DN14" s="646">
        <f>'Bal Sheet'!EO66</f>
        <v>520000</v>
      </c>
      <c r="DO14" s="646">
        <f>'Bal Sheet'!EP66</f>
        <v>520000</v>
      </c>
      <c r="DP14" s="646">
        <f>'Bal Sheet'!EQ66</f>
        <v>520000</v>
      </c>
      <c r="DQ14" s="646">
        <f>'Bal Sheet'!ER66</f>
        <v>520000</v>
      </c>
      <c r="DR14" s="646">
        <f>'Bal Sheet'!ES66</f>
        <v>520000</v>
      </c>
      <c r="DV14" s="933"/>
    </row>
    <row r="15" spans="1:126">
      <c r="A15" s="647">
        <v>226</v>
      </c>
      <c r="B15" s="640" t="s">
        <v>265</v>
      </c>
      <c r="C15" s="648">
        <v>-322</v>
      </c>
      <c r="D15" s="648">
        <v>-315</v>
      </c>
      <c r="E15" s="648">
        <v>-308</v>
      </c>
      <c r="F15" s="648">
        <v>-301</v>
      </c>
      <c r="G15" s="648">
        <v>-294</v>
      </c>
      <c r="H15" s="648">
        <v>-424.66644000000008</v>
      </c>
      <c r="I15" s="648">
        <v>-418.65434000000005</v>
      </c>
      <c r="J15" s="648">
        <v>-417.32601</v>
      </c>
      <c r="K15" s="648">
        <v>-446.49768</v>
      </c>
      <c r="L15" s="648">
        <v>-444.91518000000002</v>
      </c>
      <c r="M15" s="648">
        <v>-443.33267999999998</v>
      </c>
      <c r="N15" s="648">
        <v>-441.75018</v>
      </c>
      <c r="O15" s="648">
        <v>-440.16768000000002</v>
      </c>
      <c r="P15" s="648">
        <v>-438.58517999999998</v>
      </c>
      <c r="Q15" s="648">
        <v>-437.00268</v>
      </c>
      <c r="R15" s="648">
        <v>-435.42018000000002</v>
      </c>
      <c r="S15" s="648">
        <v>-433.83767999999998</v>
      </c>
      <c r="T15" s="648">
        <v>-432.25518</v>
      </c>
      <c r="U15" s="648">
        <v>-430.67268000000001</v>
      </c>
      <c r="V15" s="648">
        <v>-429.09017999999998</v>
      </c>
      <c r="W15" s="648">
        <v>-427.50767999999999</v>
      </c>
      <c r="X15" s="648">
        <v>-425.92518000000001</v>
      </c>
      <c r="Y15" s="648">
        <v>-424.34267999999997</v>
      </c>
      <c r="Z15" s="648">
        <v>-422.76017999999999</v>
      </c>
      <c r="AA15" s="648">
        <v>-421.17768000000001</v>
      </c>
      <c r="AB15" s="648">
        <v>-419.59517999999997</v>
      </c>
      <c r="AC15" s="648">
        <v>-418.01267999999999</v>
      </c>
      <c r="AD15" s="648">
        <v>-416.43018000000001</v>
      </c>
      <c r="AE15" s="648">
        <v>-421.54768000000001</v>
      </c>
      <c r="AF15" s="648">
        <v>-419.93726000000004</v>
      </c>
      <c r="AG15" s="648">
        <v>-418.33615000000003</v>
      </c>
      <c r="AH15" s="648">
        <v>-416.73503999999997</v>
      </c>
      <c r="AI15" s="648">
        <v>-415.13393000000002</v>
      </c>
      <c r="AJ15" s="648">
        <v>-413.53282000000002</v>
      </c>
      <c r="AK15" s="648">
        <v>-411.93171000000001</v>
      </c>
      <c r="AL15" s="648">
        <v>-410.3306</v>
      </c>
      <c r="AM15" s="648">
        <v>-408.72949</v>
      </c>
      <c r="AN15" s="648">
        <v>-407.12837999999999</v>
      </c>
      <c r="AO15" s="648">
        <v>-405.52727000000004</v>
      </c>
      <c r="AP15" s="648">
        <v>-403.92615999999998</v>
      </c>
      <c r="AQ15" s="648">
        <v>-439.52504999999996</v>
      </c>
      <c r="AR15" s="648">
        <v>-437.81940999999995</v>
      </c>
      <c r="AS15" s="648">
        <v>-436.11496999999997</v>
      </c>
      <c r="AT15" s="648">
        <v>-434.41053000000005</v>
      </c>
      <c r="AU15" s="648">
        <v>-432.70609000000002</v>
      </c>
      <c r="AV15" s="648">
        <v>-431.00165000000004</v>
      </c>
      <c r="AW15" s="648">
        <v>-429.29721000000001</v>
      </c>
      <c r="AX15" s="649">
        <v>-427.59277000000003</v>
      </c>
      <c r="AY15" s="649">
        <v>-425.88833</v>
      </c>
      <c r="AZ15" s="649">
        <v>-424.18389000000002</v>
      </c>
      <c r="BA15" s="649">
        <v>-422.47944999999999</v>
      </c>
      <c r="BB15" s="649">
        <v>-420.77501000000001</v>
      </c>
      <c r="BC15" s="649">
        <v>-419.07057000000003</v>
      </c>
      <c r="BD15" s="649">
        <v>-417.36613</v>
      </c>
      <c r="BE15" s="649">
        <v>-415.66169000000002</v>
      </c>
      <c r="BF15" s="649">
        <v>-413.95724999999999</v>
      </c>
      <c r="BG15" s="649">
        <v>-412.25281000000001</v>
      </c>
      <c r="BH15" s="649">
        <v>-410.54836999999998</v>
      </c>
      <c r="BI15" s="649">
        <v>-408.84393</v>
      </c>
      <c r="BJ15" s="649">
        <v>-407.13948999999997</v>
      </c>
      <c r="BK15" s="649">
        <v>-405.43504999999999</v>
      </c>
      <c r="BL15" s="649">
        <v>-403.73061000000001</v>
      </c>
      <c r="BM15" s="649">
        <v>-402.02616999999998</v>
      </c>
      <c r="BN15" s="649">
        <v>-400.32173</v>
      </c>
      <c r="BO15" s="649">
        <v>-398.61728999999997</v>
      </c>
      <c r="BP15" s="649">
        <v>-396.91284999999999</v>
      </c>
      <c r="BQ15" s="649">
        <v>-395.20840999999996</v>
      </c>
      <c r="BR15" s="649">
        <v>-393.50396999999998</v>
      </c>
      <c r="BS15" s="649">
        <v>-391.79953</v>
      </c>
      <c r="BT15" s="649">
        <v>-390.09509000000003</v>
      </c>
      <c r="BU15" s="649">
        <v>-388.39065000000005</v>
      </c>
      <c r="BV15" s="649">
        <v>-386.68621000000002</v>
      </c>
      <c r="BW15" s="649">
        <v>-384.98177000000004</v>
      </c>
      <c r="BX15" s="649">
        <v>-383.27733000000001</v>
      </c>
      <c r="BY15" s="649">
        <v>-381.57289000000003</v>
      </c>
      <c r="BZ15" s="649">
        <v>-379.86845</v>
      </c>
      <c r="CA15" s="649">
        <v>-378.16401000000002</v>
      </c>
      <c r="CB15" s="649">
        <v>-571.30250999999998</v>
      </c>
      <c r="CC15" s="649">
        <v>-774.52298999999994</v>
      </c>
      <c r="CD15" s="649">
        <v>-771.70187999999996</v>
      </c>
      <c r="CE15" s="649">
        <v>-768.88076999999998</v>
      </c>
      <c r="CF15" s="649">
        <v>-893.46370999999999</v>
      </c>
      <c r="CG15" s="649">
        <v>-890.29544999999996</v>
      </c>
      <c r="CH15" s="649">
        <v>-887.12718999999993</v>
      </c>
      <c r="CI15" s="649">
        <v>-883.95893000000001</v>
      </c>
      <c r="CJ15" s="649">
        <v>-880.79067000000009</v>
      </c>
      <c r="CK15" s="649">
        <v>-877.62241000000006</v>
      </c>
      <c r="CL15" s="649">
        <v>-874.45415000000003</v>
      </c>
      <c r="CM15" s="649">
        <v>-871.28588999999999</v>
      </c>
      <c r="CN15" s="649">
        <v>-868.11762999999996</v>
      </c>
      <c r="CO15" s="649">
        <v>-1171.44937</v>
      </c>
      <c r="CP15" s="649">
        <v>-1167.4566100000002</v>
      </c>
      <c r="CQ15" s="649">
        <v>-1163.4621999999999</v>
      </c>
      <c r="CR15" s="649">
        <v>-1159.4677900000002</v>
      </c>
      <c r="CS15" s="649">
        <v>-1155.4733799999999</v>
      </c>
      <c r="CT15" s="649">
        <v>-1151.4789699999999</v>
      </c>
      <c r="CU15" s="649">
        <v>-1147.4845600000001</v>
      </c>
      <c r="CV15" s="649">
        <v>-1143.4901499999999</v>
      </c>
      <c r="CW15" s="649">
        <v>-1139.4957400000001</v>
      </c>
      <c r="CX15" s="649">
        <v>-1135.5013300000001</v>
      </c>
      <c r="CY15" s="649">
        <v>-1131.50692</v>
      </c>
      <c r="CZ15" s="649">
        <v>-1127.51251</v>
      </c>
      <c r="DA15" s="649">
        <v>-1123.5181</v>
      </c>
      <c r="DB15" s="649">
        <v>-1119.52369</v>
      </c>
      <c r="DC15" s="649">
        <v>-1115.52928</v>
      </c>
      <c r="DD15" s="649">
        <v>-1111.5348700000002</v>
      </c>
      <c r="DE15" s="649">
        <v>-1107.5404599999999</v>
      </c>
      <c r="DF15" s="649">
        <v>-1103.5460500000002</v>
      </c>
      <c r="DG15" s="649">
        <v>-1099.5516399999999</v>
      </c>
      <c r="DH15" s="649">
        <v>-1095.5572299999999</v>
      </c>
      <c r="DI15" s="649">
        <v>-1719.07629</v>
      </c>
      <c r="DJ15" s="649">
        <v>-1711.4238500000001</v>
      </c>
      <c r="DK15" s="649">
        <v>-1703.5929099999998</v>
      </c>
      <c r="DL15" s="649">
        <v>-1695.76197</v>
      </c>
      <c r="DM15" s="649">
        <f>'Bal Sheet'!EN68</f>
        <v>-1687.93103</v>
      </c>
      <c r="DN15" s="649">
        <f>'Bal Sheet'!EO68</f>
        <v>-1680.1000900000001</v>
      </c>
      <c r="DO15" s="649">
        <f>'Bal Sheet'!EP68</f>
        <v>-1672.2691499999999</v>
      </c>
      <c r="DP15" s="649">
        <f>'Bal Sheet'!EQ68</f>
        <v>-1664.43821</v>
      </c>
      <c r="DQ15" s="649">
        <f>'Bal Sheet'!ER68</f>
        <v>-1656.60727</v>
      </c>
      <c r="DR15" s="649">
        <f>'Bal Sheet'!ES68</f>
        <v>-1648.7763300000001</v>
      </c>
    </row>
    <row r="16" spans="1:126">
      <c r="A16" s="647" t="s">
        <v>567</v>
      </c>
      <c r="B16" s="633" t="s">
        <v>247</v>
      </c>
      <c r="C16" s="648">
        <v>-995</v>
      </c>
      <c r="D16" s="648">
        <v>-918</v>
      </c>
      <c r="E16" s="648">
        <v>-842</v>
      </c>
      <c r="F16" s="648">
        <v>-765</v>
      </c>
      <c r="G16" s="648">
        <v>-689</v>
      </c>
      <c r="H16" s="648">
        <v>-1092.07682</v>
      </c>
      <c r="I16" s="648">
        <v>-1020.6470899999999</v>
      </c>
      <c r="J16" s="648">
        <v>-990.46615999999995</v>
      </c>
      <c r="K16" s="648">
        <v>-1168.9336000000001</v>
      </c>
      <c r="L16" s="648">
        <v>-1186.8225199999999</v>
      </c>
      <c r="M16" s="648">
        <v>-1179.68469</v>
      </c>
      <c r="N16" s="648">
        <v>-1179.82277</v>
      </c>
      <c r="O16" s="648">
        <v>-1172.58357</v>
      </c>
      <c r="P16" s="648">
        <v>-1165.4093400000002</v>
      </c>
      <c r="Q16" s="648">
        <v>-1158.2351100000001</v>
      </c>
      <c r="R16" s="648">
        <v>-1151.06088</v>
      </c>
      <c r="S16" s="648">
        <v>-1143.8866499999999</v>
      </c>
      <c r="T16" s="648">
        <v>-1136.7124199999998</v>
      </c>
      <c r="U16" s="648">
        <v>-1130.1549399999999</v>
      </c>
      <c r="V16" s="648">
        <v>-1122.9566599999998</v>
      </c>
      <c r="W16" s="648">
        <v>-1116.1136999999999</v>
      </c>
      <c r="X16" s="648">
        <v>-1108.9346599999999</v>
      </c>
      <c r="Y16" s="648">
        <v>-1101.7556200000001</v>
      </c>
      <c r="Z16" s="648">
        <v>-1094.5765800000001</v>
      </c>
      <c r="AA16" s="648">
        <v>-1087.3975399999999</v>
      </c>
      <c r="AB16" s="648">
        <v>-1080.2184999999999</v>
      </c>
      <c r="AC16" s="648">
        <v>-1073.03946</v>
      </c>
      <c r="AD16" s="648">
        <v>-1065.86042</v>
      </c>
      <c r="AE16" s="648">
        <v>-1151.4688799999999</v>
      </c>
      <c r="AF16" s="648">
        <v>-1146.2596899999999</v>
      </c>
      <c r="AG16" s="648">
        <v>-1141.3574199999998</v>
      </c>
      <c r="AH16" s="648">
        <v>-1134.10501</v>
      </c>
      <c r="AI16" s="648">
        <v>-1136.8983899999998</v>
      </c>
      <c r="AJ16" s="648">
        <v>-1129.58024</v>
      </c>
      <c r="AK16" s="648">
        <v>-1122.0975100000001</v>
      </c>
      <c r="AL16" s="648">
        <v>-1114.6147800000001</v>
      </c>
      <c r="AM16" s="648">
        <v>-1107.1320499999999</v>
      </c>
      <c r="AN16" s="648">
        <v>-1099.64932</v>
      </c>
      <c r="AO16" s="648">
        <v>-1092.16659</v>
      </c>
      <c r="AP16" s="648">
        <v>-1084.6838600000001</v>
      </c>
      <c r="AQ16" s="648">
        <v>-1266.2268100000001</v>
      </c>
      <c r="AR16" s="648">
        <v>-1277.9586899999999</v>
      </c>
      <c r="AS16" s="648">
        <v>-1271.07864</v>
      </c>
      <c r="AT16" s="648">
        <v>-1263.0125500000001</v>
      </c>
      <c r="AU16" s="648">
        <v>-1264.8353400000001</v>
      </c>
      <c r="AV16" s="648">
        <v>-1256.7414699999999</v>
      </c>
      <c r="AW16" s="648">
        <v>-1248.64831</v>
      </c>
      <c r="AX16" s="649">
        <v>-1240.5544399999999</v>
      </c>
      <c r="AY16" s="649">
        <v>-1232.46057</v>
      </c>
      <c r="AZ16" s="649">
        <v>-1224.3667</v>
      </c>
      <c r="BA16" s="649">
        <v>-1216.2728300000001</v>
      </c>
      <c r="BB16" s="649">
        <v>-1208.17896</v>
      </c>
      <c r="BC16" s="649">
        <v>-1200.08509</v>
      </c>
      <c r="BD16" s="649">
        <v>-1191.9912199999999</v>
      </c>
      <c r="BE16" s="649">
        <v>-1183.8973500000002</v>
      </c>
      <c r="BF16" s="649">
        <v>-1175.80348</v>
      </c>
      <c r="BG16" s="649">
        <v>-1167.7096100000001</v>
      </c>
      <c r="BH16" s="649">
        <v>-1159.61574</v>
      </c>
      <c r="BI16" s="649">
        <v>-1151.52187</v>
      </c>
      <c r="BJ16" s="649">
        <v>-1143.4280000000001</v>
      </c>
      <c r="BK16" s="649">
        <v>-1135.33413</v>
      </c>
      <c r="BL16" s="649">
        <v>-1127.24026</v>
      </c>
      <c r="BM16" s="649">
        <v>-1119.1463899999999</v>
      </c>
      <c r="BN16" s="649">
        <v>-1111.05252</v>
      </c>
      <c r="BO16" s="649">
        <v>-1102.9586499999998</v>
      </c>
      <c r="BP16" s="649">
        <v>-1094.8647800000001</v>
      </c>
      <c r="BQ16" s="649">
        <v>-1086.77091</v>
      </c>
      <c r="BR16" s="649">
        <v>-1078.67704</v>
      </c>
      <c r="BS16" s="649">
        <v>-1070.5831699999999</v>
      </c>
      <c r="BT16" s="649">
        <v>-1062.4893</v>
      </c>
      <c r="BU16" s="649">
        <v>-1054.39543</v>
      </c>
      <c r="BV16" s="649">
        <v>-1046.3015600000001</v>
      </c>
      <c r="BW16" s="649">
        <v>-1038.20769</v>
      </c>
      <c r="BX16" s="649">
        <v>-1030.11382</v>
      </c>
      <c r="BY16" s="649">
        <v>-1067.87933</v>
      </c>
      <c r="BZ16" s="649">
        <v>-1053.2341200000001</v>
      </c>
      <c r="CA16" s="649">
        <v>-1040.1659300000001</v>
      </c>
      <c r="CB16" s="649">
        <v>-1785.06277</v>
      </c>
      <c r="CC16" s="649">
        <v>-1787.67147</v>
      </c>
      <c r="CD16" s="649">
        <v>-1779.1369099999999</v>
      </c>
      <c r="CE16" s="649">
        <v>-1807.0138899999999</v>
      </c>
      <c r="CF16" s="649">
        <v>-2037.07448</v>
      </c>
      <c r="CG16" s="649">
        <v>-2030.6094499999999</v>
      </c>
      <c r="CH16" s="649">
        <v>-2027.97783</v>
      </c>
      <c r="CI16" s="649">
        <v>-2020.07215</v>
      </c>
      <c r="CJ16" s="649">
        <v>-2012.1834799999999</v>
      </c>
      <c r="CK16" s="649">
        <v>-2018.04828</v>
      </c>
      <c r="CL16" s="649">
        <v>-2010.10456</v>
      </c>
      <c r="CM16" s="649">
        <v>-2002.16084</v>
      </c>
      <c r="CN16" s="649">
        <v>-1994.21712</v>
      </c>
      <c r="CO16" s="649">
        <v>-2205.5789</v>
      </c>
      <c r="CP16" s="649">
        <v>-2242.15967</v>
      </c>
      <c r="CQ16" s="649">
        <v>-2244.4437000000003</v>
      </c>
      <c r="CR16" s="649">
        <v>-2235.7572300000002</v>
      </c>
      <c r="CS16" s="649">
        <v>-2227.0707599999996</v>
      </c>
      <c r="CT16" s="649">
        <v>-2233.0608900000002</v>
      </c>
      <c r="CU16" s="649">
        <v>-2224.3343199999999</v>
      </c>
      <c r="CV16" s="649">
        <v>-2226.9272999999998</v>
      </c>
      <c r="CW16" s="649">
        <v>-2222.0164199999999</v>
      </c>
      <c r="CX16" s="649">
        <v>-2211.8215099999998</v>
      </c>
      <c r="CY16" s="649">
        <v>-2201.6266000000001</v>
      </c>
      <c r="CZ16" s="649">
        <v>-2191.4316899999999</v>
      </c>
      <c r="DA16" s="649">
        <v>-2181.2367799999997</v>
      </c>
      <c r="DB16" s="649">
        <v>-2171.04187</v>
      </c>
      <c r="DC16" s="649">
        <v>-2160.8469599999999</v>
      </c>
      <c r="DD16" s="649">
        <v>-2150.6520499999997</v>
      </c>
      <c r="DE16" s="649">
        <v>-2140.45714</v>
      </c>
      <c r="DF16" s="649">
        <v>-2130.2622299999998</v>
      </c>
      <c r="DG16" s="649">
        <v>-2126.6312200000002</v>
      </c>
      <c r="DH16" s="649">
        <v>-2115.7154100000002</v>
      </c>
      <c r="DI16" s="649">
        <v>-3962.9508900000001</v>
      </c>
      <c r="DJ16" s="649">
        <v>-4083.4283599999999</v>
      </c>
      <c r="DK16" s="649">
        <v>-4214.9540700000007</v>
      </c>
      <c r="DL16" s="649">
        <v>-4360.24496</v>
      </c>
      <c r="DM16" s="649">
        <f>-'Bal Sheet'!EN44</f>
        <v>-4339.27621</v>
      </c>
      <c r="DN16" s="649">
        <f>-'Bal Sheet'!EO44</f>
        <v>-4318.30746</v>
      </c>
      <c r="DO16" s="649">
        <f>-'Bal Sheet'!EP44</f>
        <v>-4297.33871</v>
      </c>
      <c r="DP16" s="649">
        <f>-'Bal Sheet'!EQ44</f>
        <v>-4276.36996</v>
      </c>
      <c r="DQ16" s="649">
        <f>-'Bal Sheet'!ER44</f>
        <v>-4255.40121</v>
      </c>
      <c r="DR16" s="649">
        <f>-'Bal Sheet'!ES44</f>
        <v>-4248.9452799999999</v>
      </c>
    </row>
    <row r="17" spans="1:131">
      <c r="A17" s="644" t="s">
        <v>555</v>
      </c>
      <c r="B17" s="633" t="s">
        <v>556</v>
      </c>
      <c r="C17" s="650">
        <v>-3379.4855400000001</v>
      </c>
      <c r="D17" s="650">
        <v>-3379.4855400000001</v>
      </c>
      <c r="E17" s="650">
        <v>-3379.4855400000001</v>
      </c>
      <c r="F17" s="650">
        <v>-3379.4855400000001</v>
      </c>
      <c r="G17" s="650">
        <v>-3379.4855400000001</v>
      </c>
      <c r="H17" s="650">
        <v>-3379.4855400000001</v>
      </c>
      <c r="I17" s="650">
        <v>-3379.4855400000001</v>
      </c>
      <c r="J17" s="650">
        <v>-3379.4855400000001</v>
      </c>
      <c r="K17" s="650">
        <v>-3379.4855400000001</v>
      </c>
      <c r="L17" s="650">
        <v>-3379.4855400000001</v>
      </c>
      <c r="M17" s="650">
        <v>-3379.4855400000001</v>
      </c>
      <c r="N17" s="650">
        <v>-3379.4855400000001</v>
      </c>
      <c r="O17" s="650">
        <v>-3379.4855400000001</v>
      </c>
      <c r="P17" s="650">
        <v>-3343.0035899999998</v>
      </c>
      <c r="Q17" s="650">
        <v>-3306.5216399999999</v>
      </c>
      <c r="R17" s="650">
        <v>-3270.0396900000001</v>
      </c>
      <c r="S17" s="650">
        <v>-3233.5577400000002</v>
      </c>
      <c r="T17" s="650">
        <v>-3197.0757899999999</v>
      </c>
      <c r="U17" s="650">
        <v>-3160.59384</v>
      </c>
      <c r="V17" s="650">
        <v>-3124.1118900000001</v>
      </c>
      <c r="W17" s="650">
        <v>-3087.6299399999998</v>
      </c>
      <c r="X17" s="650">
        <v>-3051.1479900000004</v>
      </c>
      <c r="Y17" s="650">
        <v>-3014.6660400000001</v>
      </c>
      <c r="Z17" s="650">
        <v>-2978.1840899999997</v>
      </c>
      <c r="AA17" s="651">
        <v>-2941.7021400000003</v>
      </c>
      <c r="AB17" s="651">
        <v>-2905.22019</v>
      </c>
      <c r="AC17" s="651">
        <v>-2868.7382400000001</v>
      </c>
      <c r="AD17" s="651">
        <v>-2829.8726099999999</v>
      </c>
      <c r="AE17" s="651">
        <v>-2806.1155600000002</v>
      </c>
      <c r="AF17" s="651">
        <v>-2769.60484</v>
      </c>
      <c r="AG17" s="651">
        <v>-2733.0941200000002</v>
      </c>
      <c r="AH17" s="651">
        <v>-2696.5834</v>
      </c>
      <c r="AI17" s="651">
        <v>-2660.0726800000002</v>
      </c>
      <c r="AJ17" s="651">
        <v>-2623.56196</v>
      </c>
      <c r="AK17" s="651">
        <v>-2587.0512400000002</v>
      </c>
      <c r="AL17" s="651">
        <v>-2550.54052</v>
      </c>
      <c r="AM17" s="651">
        <v>-2514.0297999999998</v>
      </c>
      <c r="AN17" s="651">
        <v>-2477.51908</v>
      </c>
      <c r="AO17" s="651">
        <v>-2413.4844399999997</v>
      </c>
      <c r="AP17" s="651">
        <v>-2216.7097200000003</v>
      </c>
      <c r="AQ17" s="651">
        <v>-2020.9469199999999</v>
      </c>
      <c r="AR17" s="651">
        <v>-1985.4002</v>
      </c>
      <c r="AS17" s="651">
        <v>-1949.85348</v>
      </c>
      <c r="AT17" s="651">
        <v>-1914.3067599999999</v>
      </c>
      <c r="AU17" s="651">
        <v>-1878.7600400000001</v>
      </c>
      <c r="AV17" s="651">
        <v>-1843.2133200000001</v>
      </c>
      <c r="AW17" s="651">
        <v>-1807.6666</v>
      </c>
      <c r="AX17" s="651">
        <v>-1772.11988</v>
      </c>
      <c r="AY17" s="651">
        <v>-1736.5731599999999</v>
      </c>
      <c r="AZ17" s="651">
        <v>-1701.0264399999999</v>
      </c>
      <c r="BA17" s="651">
        <v>-1665.47972</v>
      </c>
      <c r="BB17" s="651">
        <v>-1629.933</v>
      </c>
      <c r="BC17" s="651">
        <v>-1594.3862799999999</v>
      </c>
      <c r="BD17" s="651">
        <v>-1558.8395600000001</v>
      </c>
      <c r="BE17" s="651">
        <v>-1523.2928400000001</v>
      </c>
      <c r="BF17" s="651">
        <v>-1487.74612</v>
      </c>
      <c r="BG17" s="651">
        <v>-1452.1994</v>
      </c>
      <c r="BH17" s="651">
        <v>-1416.6526799999999</v>
      </c>
      <c r="BI17" s="651">
        <v>-1381.1059599999999</v>
      </c>
      <c r="BJ17" s="651">
        <v>-1345.55924</v>
      </c>
      <c r="BK17" s="651">
        <v>-1310.01252</v>
      </c>
      <c r="BL17" s="651">
        <v>-1274.4657999999999</v>
      </c>
      <c r="BM17" s="651">
        <v>-1238.9190800000001</v>
      </c>
      <c r="BN17" s="651">
        <v>-1203.3723600000001</v>
      </c>
      <c r="BO17" s="651">
        <v>-1167.8256399999998</v>
      </c>
      <c r="BP17" s="651">
        <v>-1132.27892</v>
      </c>
      <c r="BQ17" s="651">
        <v>-1096.7321999999999</v>
      </c>
      <c r="BR17" s="651">
        <v>-1061.1854799999999</v>
      </c>
      <c r="BS17" s="651">
        <v>-1025.63876</v>
      </c>
      <c r="BT17" s="651">
        <v>-990.09204</v>
      </c>
      <c r="BU17" s="651">
        <v>-954.54531999999995</v>
      </c>
      <c r="BV17" s="651">
        <v>-918.99860000000001</v>
      </c>
      <c r="BW17" s="651">
        <v>-883.45187999999996</v>
      </c>
      <c r="BX17" s="651">
        <v>-847.90516000000002</v>
      </c>
      <c r="BY17" s="651">
        <v>-812.35843999999997</v>
      </c>
      <c r="BZ17" s="651">
        <v>-776.81171999999992</v>
      </c>
      <c r="CA17" s="651">
        <v>-757.66402000000005</v>
      </c>
      <c r="CB17" s="651">
        <v>-754.91507999999999</v>
      </c>
      <c r="CC17" s="651">
        <v>-752.16614000000004</v>
      </c>
      <c r="CD17" s="651">
        <v>-749.41719999999998</v>
      </c>
      <c r="CE17" s="651">
        <v>-746.66826000000003</v>
      </c>
      <c r="CF17" s="651">
        <v>-743.91931999999997</v>
      </c>
      <c r="CG17" s="651">
        <v>-741.17038000000002</v>
      </c>
      <c r="CH17" s="651">
        <v>-738.42143999999996</v>
      </c>
      <c r="CI17" s="651">
        <v>-735.67250000000001</v>
      </c>
      <c r="CJ17" s="651">
        <v>-732.92356000000007</v>
      </c>
      <c r="CK17" s="651">
        <v>-730.17462</v>
      </c>
      <c r="CL17" s="651">
        <v>-727.42568000000006</v>
      </c>
      <c r="CM17" s="651">
        <v>-724.67674</v>
      </c>
      <c r="CN17" s="651">
        <v>-721.92780000000005</v>
      </c>
      <c r="CO17" s="651">
        <v>-719.17885999999999</v>
      </c>
      <c r="CP17" s="651">
        <v>-716.42992000000004</v>
      </c>
      <c r="CQ17" s="651">
        <v>-713.68097999999998</v>
      </c>
      <c r="CR17" s="651">
        <v>-710.93204000000003</v>
      </c>
      <c r="CS17" s="651">
        <v>-708.18309999999997</v>
      </c>
      <c r="CT17" s="651">
        <v>-705.43416000000002</v>
      </c>
      <c r="CU17" s="651">
        <v>-702.68521999999996</v>
      </c>
      <c r="CV17" s="651">
        <v>-699.93628000000001</v>
      </c>
      <c r="CW17" s="651">
        <v>-697.18733999999995</v>
      </c>
      <c r="CX17" s="651">
        <v>-694.4384</v>
      </c>
      <c r="CY17" s="651">
        <v>-691.68945999999994</v>
      </c>
      <c r="CZ17" s="651">
        <v>-688.94051999999999</v>
      </c>
      <c r="DA17" s="651">
        <v>-686.19157999999993</v>
      </c>
      <c r="DB17" s="651">
        <v>-683.44263999999998</v>
      </c>
      <c r="DC17" s="651">
        <v>-680.69369999999992</v>
      </c>
      <c r="DD17" s="651">
        <v>-677.94475999999997</v>
      </c>
      <c r="DE17" s="651">
        <v>-675.19581999999991</v>
      </c>
      <c r="DF17" s="651">
        <v>-672.44687999999996</v>
      </c>
      <c r="DG17" s="651">
        <v>-669.6979399999999</v>
      </c>
      <c r="DH17" s="651">
        <v>-666.94899999999996</v>
      </c>
      <c r="DI17" s="651">
        <v>-664.20006000000001</v>
      </c>
      <c r="DJ17" s="651">
        <v>-661.43832999999995</v>
      </c>
      <c r="DK17" s="651">
        <v>-658.68939</v>
      </c>
      <c r="DL17" s="651">
        <v>-655.94044999999994</v>
      </c>
      <c r="DM17" s="651">
        <f>-VLOOKUP("2190040",'Input BS ACCTS'!$A$5:$DD$391,95,FALSE)/1000</f>
        <v>-653.19150999999999</v>
      </c>
      <c r="DN17" s="651">
        <f>-VLOOKUP("2190040",'Input BS ACCTS'!$A$5:$DD$391,96,FALSE)/1000</f>
        <v>-650.44256999999993</v>
      </c>
      <c r="DO17" s="651">
        <f>-VLOOKUP("2190040",'Input BS ACCTS'!$A$5:$DD$391,97,FALSE)/1000</f>
        <v>-647.69362999999998</v>
      </c>
      <c r="DP17" s="651">
        <f>-VLOOKUP("2190040",'Input BS ACCTS'!$A$5:$DD$391,98,FALSE)/1000</f>
        <v>-644.94468999999992</v>
      </c>
      <c r="DQ17" s="651">
        <f>-VLOOKUP("2190040",'Input BS ACCTS'!$A$5:$DD$391,99,FALSE)/1000</f>
        <v>-642.19574999999998</v>
      </c>
      <c r="DR17" s="651">
        <f>-VLOOKUP("2190040",'Input BS ACCTS'!$A$5:$DD$391,100,FALSE)/1000</f>
        <v>-639.44681000000003</v>
      </c>
    </row>
    <row r="18" spans="1:131">
      <c r="B18" s="652" t="s">
        <v>559</v>
      </c>
      <c r="C18" s="645">
        <f t="shared" ref="C18:T18" si="9">SUM(C14:C17)</f>
        <v>218703.51446000001</v>
      </c>
      <c r="D18" s="645">
        <f t="shared" si="9"/>
        <v>218787.51446000001</v>
      </c>
      <c r="E18" s="645">
        <f t="shared" si="9"/>
        <v>218870.51446000001</v>
      </c>
      <c r="F18" s="645">
        <f t="shared" si="9"/>
        <v>218954.51446000001</v>
      </c>
      <c r="G18" s="645">
        <f t="shared" si="9"/>
        <v>219037.51446000001</v>
      </c>
      <c r="H18" s="645">
        <f t="shared" si="9"/>
        <v>249537.8512</v>
      </c>
      <c r="I18" s="645">
        <f t="shared" si="9"/>
        <v>246215.29302999997</v>
      </c>
      <c r="J18" s="645">
        <f t="shared" si="9"/>
        <v>201977.40229</v>
      </c>
      <c r="K18" s="645">
        <f t="shared" si="9"/>
        <v>226769.76318000001</v>
      </c>
      <c r="L18" s="645">
        <f t="shared" si="9"/>
        <v>226753.45676</v>
      </c>
      <c r="M18" s="645">
        <f t="shared" si="9"/>
        <v>226762.17709000001</v>
      </c>
      <c r="N18" s="645">
        <f t="shared" si="9"/>
        <v>226763.62151</v>
      </c>
      <c r="O18" s="645">
        <f t="shared" si="9"/>
        <v>226772.44321</v>
      </c>
      <c r="P18" s="645">
        <f t="shared" si="9"/>
        <v>226817.68188999998</v>
      </c>
      <c r="Q18" s="645">
        <f t="shared" si="9"/>
        <v>226862.92056999999</v>
      </c>
      <c r="R18" s="645">
        <f t="shared" si="9"/>
        <v>226908.15925</v>
      </c>
      <c r="S18" s="645">
        <f t="shared" si="9"/>
        <v>226953.39793000001</v>
      </c>
      <c r="T18" s="645">
        <f t="shared" si="9"/>
        <v>226998.63660999999</v>
      </c>
      <c r="U18" s="645">
        <f t="shared" ref="U18:AF18" si="10">SUM(U14:U17)</f>
        <v>227043.25854000001</v>
      </c>
      <c r="V18" s="645">
        <f t="shared" si="10"/>
        <v>227088.52127</v>
      </c>
      <c r="W18" s="645">
        <f t="shared" si="10"/>
        <v>227133.42867999998</v>
      </c>
      <c r="X18" s="645">
        <f t="shared" si="10"/>
        <v>227178.67217000001</v>
      </c>
      <c r="Y18" s="645">
        <f t="shared" si="10"/>
        <v>227223.91565999997</v>
      </c>
      <c r="Z18" s="645">
        <f t="shared" si="10"/>
        <v>227269.15914999999</v>
      </c>
      <c r="AA18" s="645">
        <f t="shared" si="10"/>
        <v>227314.40263999999</v>
      </c>
      <c r="AB18" s="645">
        <f t="shared" si="10"/>
        <v>227359.64613000001</v>
      </c>
      <c r="AC18" s="645">
        <f t="shared" si="10"/>
        <v>227404.88961999997</v>
      </c>
      <c r="AD18" s="645">
        <f t="shared" si="10"/>
        <v>227452.51678999999</v>
      </c>
      <c r="AE18" s="645">
        <f t="shared" si="10"/>
        <v>237385.54788</v>
      </c>
      <c r="AF18" s="645">
        <f t="shared" si="10"/>
        <v>237428.87821</v>
      </c>
      <c r="AG18" s="645">
        <f t="shared" ref="AG18:AL18" si="11">SUM(AG14:AG17)</f>
        <v>237471.89231000002</v>
      </c>
      <c r="AH18" s="645">
        <f t="shared" si="11"/>
        <v>237517.25654999999</v>
      </c>
      <c r="AI18" s="645">
        <f t="shared" si="11"/>
        <v>237552.57499999998</v>
      </c>
      <c r="AJ18" s="645">
        <f t="shared" si="11"/>
        <v>237598.00498</v>
      </c>
      <c r="AK18" s="645">
        <f t="shared" si="11"/>
        <v>237643.59954</v>
      </c>
      <c r="AL18" s="645">
        <f t="shared" si="11"/>
        <v>237689.19409999999</v>
      </c>
      <c r="AM18" s="645">
        <f t="shared" ref="AM18:AR18" si="12">SUM(AM14:AM17)</f>
        <v>237734.78866000002</v>
      </c>
      <c r="AN18" s="645">
        <f t="shared" si="12"/>
        <v>237780.38321999999</v>
      </c>
      <c r="AO18" s="645">
        <f t="shared" si="12"/>
        <v>237853.50169999999</v>
      </c>
      <c r="AP18" s="645">
        <f t="shared" si="12"/>
        <v>238059.36025999999</v>
      </c>
      <c r="AQ18" s="645">
        <f t="shared" si="12"/>
        <v>258037.98122000002</v>
      </c>
      <c r="AR18" s="645">
        <f t="shared" si="12"/>
        <v>258063.50169999999</v>
      </c>
      <c r="AS18" s="645">
        <f t="shared" ref="AS18:AX18" si="13">SUM(AS14:AS17)</f>
        <v>258107.63291000001</v>
      </c>
      <c r="AT18" s="645">
        <f t="shared" si="13"/>
        <v>258152.95015999998</v>
      </c>
      <c r="AU18" s="645">
        <f t="shared" si="13"/>
        <v>258188.37853000002</v>
      </c>
      <c r="AV18" s="645">
        <f t="shared" si="13"/>
        <v>258233.72355999998</v>
      </c>
      <c r="AW18" s="645">
        <f t="shared" si="13"/>
        <v>258279.06788000002</v>
      </c>
      <c r="AX18" s="645">
        <f t="shared" si="13"/>
        <v>258324.41290999998</v>
      </c>
      <c r="AY18" s="645">
        <f t="shared" ref="AY18:BG18" si="14">SUM(AY14:AY17)</f>
        <v>258369.75794000001</v>
      </c>
      <c r="AZ18" s="645">
        <f t="shared" si="14"/>
        <v>258415.10297000001</v>
      </c>
      <c r="BA18" s="645">
        <f t="shared" si="14"/>
        <v>258460.44799999997</v>
      </c>
      <c r="BB18" s="645">
        <f t="shared" si="14"/>
        <v>258505.79303</v>
      </c>
      <c r="BC18" s="645">
        <f t="shared" si="14"/>
        <v>258551.13805999997</v>
      </c>
      <c r="BD18" s="645">
        <f t="shared" si="14"/>
        <v>258596.48308999999</v>
      </c>
      <c r="BE18" s="645">
        <f t="shared" si="14"/>
        <v>258641.82811999996</v>
      </c>
      <c r="BF18" s="645">
        <f t="shared" si="14"/>
        <v>258687.17314999999</v>
      </c>
      <c r="BG18" s="645">
        <f t="shared" si="14"/>
        <v>258732.51817999998</v>
      </c>
      <c r="BH18" s="645">
        <f t="shared" ref="BH18:BM18" si="15">SUM(BH14:BH17)</f>
        <v>258777.86320999998</v>
      </c>
      <c r="BI18" s="645">
        <f t="shared" si="15"/>
        <v>258823.20824000001</v>
      </c>
      <c r="BJ18" s="645">
        <f t="shared" si="15"/>
        <v>258868.55326999997</v>
      </c>
      <c r="BK18" s="645">
        <f t="shared" si="15"/>
        <v>258913.8983</v>
      </c>
      <c r="BL18" s="645">
        <f t="shared" si="15"/>
        <v>258959.24333</v>
      </c>
      <c r="BM18" s="645">
        <f t="shared" si="15"/>
        <v>259004.58835999999</v>
      </c>
      <c r="BN18" s="645">
        <f t="shared" ref="BN18:BS18" si="16">SUM(BN14:BN17)</f>
        <v>259049.93338999999</v>
      </c>
      <c r="BO18" s="645">
        <f t="shared" si="16"/>
        <v>259095.27842000002</v>
      </c>
      <c r="BP18" s="645">
        <f t="shared" si="16"/>
        <v>259140.62344999998</v>
      </c>
      <c r="BQ18" s="645">
        <f t="shared" si="16"/>
        <v>259185.96848000001</v>
      </c>
      <c r="BR18" s="645">
        <f t="shared" si="16"/>
        <v>259231.31351000001</v>
      </c>
      <c r="BS18" s="645">
        <f t="shared" si="16"/>
        <v>259276.65854</v>
      </c>
      <c r="BT18" s="645">
        <f t="shared" ref="BT18:BY18" si="17">SUM(BT14:BT17)</f>
        <v>259322.00357000003</v>
      </c>
      <c r="BU18" s="645">
        <f t="shared" si="17"/>
        <v>259367.3486</v>
      </c>
      <c r="BV18" s="645">
        <f t="shared" si="17"/>
        <v>259412.69362999999</v>
      </c>
      <c r="BW18" s="645">
        <f t="shared" si="17"/>
        <v>259458.03865999996</v>
      </c>
      <c r="BX18" s="645">
        <f t="shared" si="17"/>
        <v>259503.38368999999</v>
      </c>
      <c r="BY18" s="645">
        <f t="shared" si="17"/>
        <v>259502.86933999998</v>
      </c>
      <c r="BZ18" s="645">
        <f t="shared" ref="BZ18:CE18" si="18">SUM(BZ14:BZ17)</f>
        <v>259554.76570999998</v>
      </c>
      <c r="CA18" s="645">
        <f t="shared" si="18"/>
        <v>209588.68604</v>
      </c>
      <c r="CB18" s="645">
        <f t="shared" si="18"/>
        <v>283653.39963999996</v>
      </c>
      <c r="CC18" s="645">
        <f t="shared" si="18"/>
        <v>283450.31939999998</v>
      </c>
      <c r="CD18" s="645">
        <f t="shared" si="18"/>
        <v>283464.42400999996</v>
      </c>
      <c r="CE18" s="645">
        <f t="shared" si="18"/>
        <v>283442.11708</v>
      </c>
      <c r="CF18" s="645">
        <f t="shared" ref="CF18:CK18" si="19">SUM(CF14:CF17)</f>
        <v>308090.22249000001</v>
      </c>
      <c r="CG18" s="645">
        <f t="shared" si="19"/>
        <v>308102.60472</v>
      </c>
      <c r="CH18" s="645">
        <f t="shared" si="19"/>
        <v>308111.15353999997</v>
      </c>
      <c r="CI18" s="645">
        <f t="shared" si="19"/>
        <v>308124.97641999996</v>
      </c>
      <c r="CJ18" s="645">
        <f t="shared" si="19"/>
        <v>308138.78228999994</v>
      </c>
      <c r="CK18" s="645">
        <f t="shared" si="19"/>
        <v>308138.83468999999</v>
      </c>
      <c r="CL18" s="645">
        <f t="shared" ref="CL18:CQ18" si="20">SUM(CL14:CL17)</f>
        <v>308152.69561</v>
      </c>
      <c r="CM18" s="645">
        <f t="shared" si="20"/>
        <v>308166.55652999994</v>
      </c>
      <c r="CN18" s="645">
        <f t="shared" si="20"/>
        <v>308180.41745000001</v>
      </c>
      <c r="CO18" s="645">
        <f t="shared" si="20"/>
        <v>332668.47287</v>
      </c>
      <c r="CP18" s="645">
        <f t="shared" si="20"/>
        <v>332638.63379999995</v>
      </c>
      <c r="CQ18" s="645">
        <f t="shared" si="20"/>
        <v>332643.09311999998</v>
      </c>
      <c r="CR18" s="645">
        <f t="shared" ref="CR18:CW18" si="21">SUM(CR14:CR17)</f>
        <v>332658.52294</v>
      </c>
      <c r="CS18" s="645">
        <f t="shared" si="21"/>
        <v>332673.95276000001</v>
      </c>
      <c r="CT18" s="645">
        <f t="shared" si="21"/>
        <v>332674.70597999997</v>
      </c>
      <c r="CU18" s="645">
        <f t="shared" si="21"/>
        <v>332690.17589999997</v>
      </c>
      <c r="CV18" s="645">
        <f t="shared" si="21"/>
        <v>332694.32626999996</v>
      </c>
      <c r="CW18" s="645">
        <f t="shared" si="21"/>
        <v>332705.98050000001</v>
      </c>
      <c r="CX18" s="645">
        <f t="shared" ref="CX18:DC18" si="22">SUM(CX14:CX17)</f>
        <v>332722.91876000003</v>
      </c>
      <c r="CY18" s="645">
        <f t="shared" si="22"/>
        <v>332739.85701999994</v>
      </c>
      <c r="CZ18" s="645">
        <f t="shared" si="22"/>
        <v>332756.79528000002</v>
      </c>
      <c r="DA18" s="645">
        <f t="shared" si="22"/>
        <v>332773.73354000004</v>
      </c>
      <c r="DB18" s="645">
        <f t="shared" si="22"/>
        <v>332790.67179999995</v>
      </c>
      <c r="DC18" s="645">
        <f t="shared" si="22"/>
        <v>332807.61005999998</v>
      </c>
      <c r="DD18" s="645">
        <f t="shared" ref="DD18:DI18" si="23">SUM(DD14:DD17)</f>
        <v>332824.54832000006</v>
      </c>
      <c r="DE18" s="645">
        <f t="shared" si="23"/>
        <v>332841.48657999997</v>
      </c>
      <c r="DF18" s="645">
        <f t="shared" si="23"/>
        <v>332858.42483999999</v>
      </c>
      <c r="DG18" s="645">
        <f t="shared" si="23"/>
        <v>332868.79920000001</v>
      </c>
      <c r="DH18" s="645">
        <f t="shared" si="23"/>
        <v>332886.45835999999</v>
      </c>
      <c r="DI18" s="645">
        <f t="shared" si="23"/>
        <v>560418.45276000013</v>
      </c>
      <c r="DJ18" s="645">
        <f t="shared" ref="DJ18:DO18" si="24">SUM(DJ14:DJ17)</f>
        <v>560308.38945999998</v>
      </c>
      <c r="DK18" s="645">
        <f t="shared" si="24"/>
        <v>513422.76363</v>
      </c>
      <c r="DL18" s="645">
        <f t="shared" si="24"/>
        <v>513288.05262000003</v>
      </c>
      <c r="DM18" s="645">
        <f t="shared" si="24"/>
        <v>513319.60125000007</v>
      </c>
      <c r="DN18" s="645">
        <f t="shared" si="24"/>
        <v>513351.14987999998</v>
      </c>
      <c r="DO18" s="645">
        <f t="shared" si="24"/>
        <v>513382.69851000002</v>
      </c>
      <c r="DP18" s="645">
        <f>SUM(DP14:DP17)</f>
        <v>513414.24714000005</v>
      </c>
      <c r="DQ18" s="645">
        <f>SUM(DQ14:DQ17)</f>
        <v>513445.79577000003</v>
      </c>
      <c r="DR18" s="645">
        <f>SUM(DR14:DR17)</f>
        <v>513462.83158</v>
      </c>
    </row>
    <row r="19" spans="1:131">
      <c r="T19" s="645"/>
      <c r="U19" s="645"/>
      <c r="V19" s="645"/>
      <c r="W19" s="645"/>
      <c r="X19" s="645"/>
      <c r="Y19" s="645"/>
      <c r="Z19" s="645"/>
      <c r="AA19" s="645"/>
      <c r="AB19" s="645"/>
      <c r="AC19" s="645"/>
      <c r="AD19" s="645"/>
      <c r="AE19" s="645"/>
      <c r="AF19" s="645"/>
      <c r="AG19" s="645"/>
      <c r="AH19" s="645"/>
      <c r="AI19" s="645"/>
      <c r="AJ19" s="645"/>
      <c r="AK19" s="645"/>
      <c r="AL19" s="645"/>
      <c r="AM19" s="645"/>
      <c r="AN19" s="645"/>
      <c r="AO19" s="645"/>
      <c r="AP19" s="645"/>
      <c r="AQ19" s="645"/>
      <c r="AR19" s="645"/>
      <c r="AS19" s="645"/>
      <c r="AT19" s="645"/>
      <c r="AU19" s="645"/>
      <c r="AV19" s="645"/>
      <c r="AW19" s="645"/>
    </row>
    <row r="20" spans="1:131">
      <c r="B20" s="645" t="s">
        <v>566</v>
      </c>
      <c r="C20" s="645"/>
      <c r="D20" s="645"/>
      <c r="E20" s="645"/>
      <c r="F20" s="645"/>
      <c r="G20" s="645"/>
      <c r="H20" s="645"/>
      <c r="I20" s="645"/>
      <c r="J20" s="645"/>
      <c r="K20" s="645"/>
      <c r="L20" s="645"/>
      <c r="M20" s="645"/>
      <c r="N20" s="645"/>
      <c r="O20" s="645">
        <f t="shared" ref="O20:AF20" si="25">SUM(C18:O18)/13</f>
        <v>225069.66004384618</v>
      </c>
      <c r="P20" s="645">
        <f t="shared" si="25"/>
        <v>225693.82676923083</v>
      </c>
      <c r="Q20" s="645">
        <f t="shared" si="25"/>
        <v>226315.01185461541</v>
      </c>
      <c r="R20" s="645">
        <f t="shared" si="25"/>
        <v>226933.29222307695</v>
      </c>
      <c r="S20" s="645">
        <f t="shared" si="25"/>
        <v>227548.59095153844</v>
      </c>
      <c r="T20" s="645">
        <f t="shared" si="25"/>
        <v>228160.98496307692</v>
      </c>
      <c r="U20" s="645">
        <f t="shared" si="25"/>
        <v>226430.63168153845</v>
      </c>
      <c r="V20" s="645">
        <f t="shared" si="25"/>
        <v>224959.34154615382</v>
      </c>
      <c r="W20" s="645">
        <f t="shared" si="25"/>
        <v>226894.42049923074</v>
      </c>
      <c r="X20" s="645">
        <f t="shared" si="25"/>
        <v>226925.87503692307</v>
      </c>
      <c r="Y20" s="645">
        <f t="shared" si="25"/>
        <v>226962.0641830769</v>
      </c>
      <c r="Z20" s="645">
        <f t="shared" si="25"/>
        <v>227001.06280307693</v>
      </c>
      <c r="AA20" s="645">
        <f t="shared" si="25"/>
        <v>227043.43058230769</v>
      </c>
      <c r="AB20" s="645">
        <f t="shared" si="25"/>
        <v>227088.60003769232</v>
      </c>
      <c r="AC20" s="645">
        <f t="shared" si="25"/>
        <v>227133.76986307692</v>
      </c>
      <c r="AD20" s="645">
        <f t="shared" si="25"/>
        <v>227179.1234184615</v>
      </c>
      <c r="AE20" s="645">
        <f t="shared" si="25"/>
        <v>227985.07639</v>
      </c>
      <c r="AF20" s="645">
        <f t="shared" si="25"/>
        <v>228790.88256538459</v>
      </c>
      <c r="AG20" s="645">
        <f t="shared" ref="AG20:AL20" si="26">SUM(U18:AG18)/13</f>
        <v>229596.51761923078</v>
      </c>
      <c r="AH20" s="645">
        <f t="shared" si="26"/>
        <v>230402.20977384617</v>
      </c>
      <c r="AI20" s="645">
        <f t="shared" si="26"/>
        <v>231207.13698384617</v>
      </c>
      <c r="AJ20" s="645">
        <f t="shared" si="26"/>
        <v>232012.10439153851</v>
      </c>
      <c r="AK20" s="645">
        <f t="shared" si="26"/>
        <v>232817.09880461541</v>
      </c>
      <c r="AL20" s="645">
        <f t="shared" si="26"/>
        <v>233622.12022307696</v>
      </c>
      <c r="AM20" s="645">
        <f t="shared" ref="AM20:AR20" si="27">SUM(AA18:AM18)/13</f>
        <v>234427.16864692309</v>
      </c>
      <c r="AN20" s="645">
        <f t="shared" si="27"/>
        <v>235232.24407615385</v>
      </c>
      <c r="AO20" s="645">
        <f t="shared" si="27"/>
        <v>236039.4637353846</v>
      </c>
      <c r="AP20" s="645">
        <f t="shared" si="27"/>
        <v>236859.03840000002</v>
      </c>
      <c r="AQ20" s="645">
        <f t="shared" si="27"/>
        <v>239211.76643307693</v>
      </c>
      <c r="AR20" s="645">
        <f t="shared" si="27"/>
        <v>240802.37826538461</v>
      </c>
      <c r="AS20" s="645">
        <f t="shared" ref="AS20:AX20" si="28">SUM(AG18:AS18)/13</f>
        <v>242393.05170384614</v>
      </c>
      <c r="AT20" s="645">
        <f t="shared" si="28"/>
        <v>243983.9023076923</v>
      </c>
      <c r="AU20" s="645">
        <f t="shared" si="28"/>
        <v>245573.98861384613</v>
      </c>
      <c r="AV20" s="645">
        <f t="shared" si="28"/>
        <v>247164.8461953846</v>
      </c>
      <c r="AW20" s="645">
        <f t="shared" si="28"/>
        <v>248755.69718769228</v>
      </c>
      <c r="AX20" s="653">
        <f t="shared" si="28"/>
        <v>250346.52898538456</v>
      </c>
      <c r="AY20" s="653">
        <f t="shared" ref="AY20:BU20" si="29">SUM(AM18:AY18)/13</f>
        <v>251937.34158846151</v>
      </c>
      <c r="AZ20" s="653">
        <f t="shared" si="29"/>
        <v>253528.13499692304</v>
      </c>
      <c r="BA20" s="653">
        <f t="shared" si="29"/>
        <v>255118.90921076926</v>
      </c>
      <c r="BB20" s="653">
        <f t="shared" si="29"/>
        <v>256707.54700538458</v>
      </c>
      <c r="BC20" s="653">
        <f t="shared" si="29"/>
        <v>258283.83760538459</v>
      </c>
      <c r="BD20" s="653">
        <f t="shared" si="29"/>
        <v>258326.79928769229</v>
      </c>
      <c r="BE20" s="653">
        <f t="shared" si="29"/>
        <v>258371.28593538457</v>
      </c>
      <c r="BF20" s="653">
        <f t="shared" si="29"/>
        <v>258415.86595384611</v>
      </c>
      <c r="BG20" s="653">
        <f t="shared" si="29"/>
        <v>258460.44810923078</v>
      </c>
      <c r="BH20" s="653">
        <f t="shared" si="29"/>
        <v>258505.79308461538</v>
      </c>
      <c r="BI20" s="653">
        <f t="shared" si="29"/>
        <v>258551.13806000006</v>
      </c>
      <c r="BJ20" s="653">
        <f t="shared" si="29"/>
        <v>258596.48309000002</v>
      </c>
      <c r="BK20" s="653">
        <f t="shared" si="29"/>
        <v>258641.82812000002</v>
      </c>
      <c r="BL20" s="653">
        <f t="shared" si="29"/>
        <v>258687.17314999999</v>
      </c>
      <c r="BM20" s="653">
        <f t="shared" si="29"/>
        <v>258732.51817999998</v>
      </c>
      <c r="BN20" s="653">
        <f t="shared" si="29"/>
        <v>258777.86320999998</v>
      </c>
      <c r="BO20" s="653">
        <f t="shared" si="29"/>
        <v>258823.20823999995</v>
      </c>
      <c r="BP20" s="653">
        <f t="shared" si="29"/>
        <v>258868.55326999997</v>
      </c>
      <c r="BQ20" s="653">
        <f t="shared" si="29"/>
        <v>258913.89829999997</v>
      </c>
      <c r="BR20" s="653">
        <f t="shared" si="29"/>
        <v>258959.24332999997</v>
      </c>
      <c r="BS20" s="653">
        <f t="shared" si="29"/>
        <v>259004.58835999997</v>
      </c>
      <c r="BT20" s="653">
        <f t="shared" si="29"/>
        <v>259049.93339000002</v>
      </c>
      <c r="BU20" s="653">
        <f t="shared" si="29"/>
        <v>259095.27842000002</v>
      </c>
      <c r="BV20" s="653">
        <f t="shared" ref="BV20:CG20" si="30">SUM(BJ18:BV18)/13</f>
        <v>259140.62345000004</v>
      </c>
      <c r="BW20" s="653">
        <f t="shared" si="30"/>
        <v>259185.96848000007</v>
      </c>
      <c r="BX20" s="653">
        <f t="shared" si="30"/>
        <v>259231.31351000004</v>
      </c>
      <c r="BY20" s="653">
        <f t="shared" si="30"/>
        <v>259273.13089538459</v>
      </c>
      <c r="BZ20" s="653">
        <f t="shared" si="30"/>
        <v>259315.45223</v>
      </c>
      <c r="CA20" s="653">
        <f t="shared" si="30"/>
        <v>255510.74089538463</v>
      </c>
      <c r="CB20" s="442">
        <f t="shared" si="30"/>
        <v>257399.82714307692</v>
      </c>
      <c r="CC20" s="442">
        <f t="shared" si="30"/>
        <v>259269.80375461539</v>
      </c>
      <c r="CD20" s="442">
        <f t="shared" si="30"/>
        <v>261137.37725692306</v>
      </c>
      <c r="CE20" s="442">
        <f>SUM(BS18:CE18)/13</f>
        <v>262999.74676230771</v>
      </c>
      <c r="CF20" s="442">
        <f>SUM(BT18:CF18)/13</f>
        <v>266754.6362969231</v>
      </c>
      <c r="CG20" s="442">
        <f t="shared" si="30"/>
        <v>270506.99023153854</v>
      </c>
      <c r="CH20" s="442">
        <f t="shared" ref="CH20:CM20" si="31">SUM(BV18:CH18)/13</f>
        <v>274256.51368846156</v>
      </c>
      <c r="CI20" s="442">
        <f t="shared" si="31"/>
        <v>278003.61236461537</v>
      </c>
      <c r="CJ20" s="442">
        <f t="shared" si="31"/>
        <v>281748.28495153843</v>
      </c>
      <c r="CK20" s="442">
        <f t="shared" si="31"/>
        <v>285489.47348999995</v>
      </c>
      <c r="CL20" s="442">
        <f t="shared" si="31"/>
        <v>289231.76781846152</v>
      </c>
      <c r="CM20" s="442">
        <f t="shared" si="31"/>
        <v>292971.13634307688</v>
      </c>
      <c r="CN20" s="442">
        <f t="shared" ref="CN20:CS20" si="32">SUM(CB18:CN18)/13</f>
        <v>300555.11568230769</v>
      </c>
      <c r="CO20" s="442">
        <f t="shared" si="32"/>
        <v>304325.5059307692</v>
      </c>
      <c r="CP20" s="442">
        <f t="shared" si="32"/>
        <v>308109.22242307692</v>
      </c>
      <c r="CQ20" s="442">
        <f t="shared" si="32"/>
        <v>311892.19696999999</v>
      </c>
      <c r="CR20" s="442">
        <f t="shared" si="32"/>
        <v>315678.07434384612</v>
      </c>
      <c r="CS20" s="442">
        <f t="shared" si="32"/>
        <v>317569.13051846152</v>
      </c>
      <c r="CT20" s="442">
        <f t="shared" ref="CT20:DL20" si="33">SUM(CH18:CT18)/13</f>
        <v>319459.29215384612</v>
      </c>
      <c r="CU20" s="442">
        <f t="shared" si="33"/>
        <v>321349.98618153849</v>
      </c>
      <c r="CV20" s="442">
        <f t="shared" si="33"/>
        <v>323239.93617</v>
      </c>
      <c r="CW20" s="442">
        <f t="shared" si="33"/>
        <v>325129.72064769233</v>
      </c>
      <c r="CX20" s="442">
        <f t="shared" si="33"/>
        <v>327020.80403769237</v>
      </c>
      <c r="CY20" s="442">
        <f t="shared" si="33"/>
        <v>328912.12414615386</v>
      </c>
      <c r="CZ20" s="442">
        <f t="shared" si="33"/>
        <v>330803.68097307696</v>
      </c>
      <c r="DA20" s="442">
        <f t="shared" si="33"/>
        <v>332695.47451846156</v>
      </c>
      <c r="DB20" s="442">
        <f t="shared" si="33"/>
        <v>332704.8744361538</v>
      </c>
      <c r="DC20" s="442">
        <f t="shared" si="33"/>
        <v>332717.87260999996</v>
      </c>
      <c r="DD20" s="442">
        <f t="shared" si="33"/>
        <v>332731.83070230769</v>
      </c>
      <c r="DE20" s="442">
        <f t="shared" si="33"/>
        <v>332745.90482846153</v>
      </c>
      <c r="DF20" s="442">
        <f t="shared" si="33"/>
        <v>332760.09498846153</v>
      </c>
      <c r="DG20" s="442">
        <f t="shared" si="33"/>
        <v>332775.02523615386</v>
      </c>
      <c r="DH20" s="442">
        <f t="shared" si="33"/>
        <v>332790.12388692301</v>
      </c>
      <c r="DI20" s="442">
        <f t="shared" si="33"/>
        <v>350307.36438615381</v>
      </c>
      <c r="DJ20" s="442">
        <f t="shared" si="33"/>
        <v>367815.2419984616</v>
      </c>
      <c r="DK20" s="442">
        <f t="shared" si="33"/>
        <v>381715.23006538465</v>
      </c>
      <c r="DL20" s="442">
        <f t="shared" si="33"/>
        <v>395603.55280384619</v>
      </c>
      <c r="DM20" s="442">
        <f t="shared" ref="DM20:DR20" si="34">SUM(DA18:DM18)/13</f>
        <v>409492.99941692315</v>
      </c>
      <c r="DN20" s="442">
        <f t="shared" si="34"/>
        <v>423383.56990461546</v>
      </c>
      <c r="DO20" s="442">
        <f t="shared" si="34"/>
        <v>437275.26426692319</v>
      </c>
      <c r="DP20" s="442">
        <f t="shared" si="34"/>
        <v>451168.08250384621</v>
      </c>
      <c r="DQ20" s="442">
        <f t="shared" si="34"/>
        <v>465062.0246153847</v>
      </c>
      <c r="DR20" s="442">
        <f t="shared" si="34"/>
        <v>478955.97423076921</v>
      </c>
    </row>
    <row r="21" spans="1:131">
      <c r="T21" s="645"/>
      <c r="U21" s="645"/>
      <c r="V21" s="645"/>
      <c r="W21" s="645"/>
      <c r="X21" s="645"/>
      <c r="Y21" s="645"/>
      <c r="Z21" s="645"/>
      <c r="AA21" s="645"/>
      <c r="AB21" s="645"/>
      <c r="AC21" s="645"/>
      <c r="AD21" s="645"/>
      <c r="AE21" s="645"/>
      <c r="AF21" s="645"/>
      <c r="AG21" s="645"/>
      <c r="AH21" s="645"/>
      <c r="AI21" s="645"/>
      <c r="AJ21" s="645"/>
      <c r="AK21" s="645"/>
      <c r="AL21" s="645"/>
      <c r="AM21" s="645"/>
      <c r="AN21" s="645"/>
      <c r="AO21" s="645"/>
      <c r="AP21" s="645"/>
      <c r="AQ21" s="645"/>
      <c r="AR21" s="645"/>
      <c r="AS21" s="645"/>
      <c r="AT21" s="645"/>
      <c r="AU21" s="645"/>
      <c r="AV21" s="645"/>
      <c r="AW21" s="645"/>
      <c r="DT21" s="1343" t="s">
        <v>2498</v>
      </c>
      <c r="DU21" s="1343"/>
      <c r="DV21" s="1343"/>
      <c r="DW21" s="1343"/>
      <c r="DX21" s="1343"/>
      <c r="DY21" s="1343"/>
      <c r="DZ21" s="1343"/>
      <c r="EA21" s="1343"/>
    </row>
    <row r="22" spans="1:131">
      <c r="T22" s="645"/>
      <c r="U22" s="645"/>
      <c r="V22" s="645"/>
      <c r="W22" s="645"/>
      <c r="X22" s="645"/>
      <c r="Y22" s="645"/>
      <c r="Z22" s="645"/>
      <c r="AA22" s="645"/>
      <c r="AB22" s="645"/>
      <c r="AC22" s="645"/>
      <c r="AD22" s="645"/>
      <c r="AE22" s="645"/>
      <c r="AF22" s="645"/>
      <c r="AG22" s="645"/>
      <c r="AH22" s="645"/>
      <c r="AI22" s="645"/>
      <c r="AJ22" s="645"/>
      <c r="AK22" s="645"/>
      <c r="AL22" s="645"/>
      <c r="AM22" s="645"/>
      <c r="AN22" s="645"/>
      <c r="AO22" s="645"/>
      <c r="AP22" s="645"/>
      <c r="AQ22" s="645"/>
      <c r="AR22" s="645"/>
      <c r="AS22" s="645"/>
      <c r="AT22" s="645"/>
      <c r="AU22" s="645"/>
      <c r="AV22" s="645"/>
      <c r="AW22" s="645"/>
      <c r="DT22" s="1343"/>
      <c r="DU22" s="1343"/>
      <c r="DV22" s="1343"/>
      <c r="DW22" s="1343"/>
      <c r="DX22" s="1343"/>
      <c r="DY22" s="1343"/>
      <c r="DZ22" s="1343"/>
      <c r="EA22" s="1343"/>
    </row>
    <row r="23" spans="1:131">
      <c r="T23" s="645"/>
      <c r="U23" s="645"/>
      <c r="V23" s="645"/>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c r="AT23" s="645"/>
      <c r="AU23" s="645"/>
      <c r="AV23" s="645"/>
      <c r="AW23" s="645"/>
    </row>
    <row r="24" spans="1:131">
      <c r="B24" s="642" t="s">
        <v>558</v>
      </c>
      <c r="C24" s="643">
        <f>C12</f>
        <v>40911</v>
      </c>
      <c r="D24" s="643">
        <f t="shared" ref="D24:AF24" si="35">D12</f>
        <v>40941</v>
      </c>
      <c r="E24" s="643">
        <f t="shared" si="35"/>
        <v>40971</v>
      </c>
      <c r="F24" s="643">
        <f t="shared" si="35"/>
        <v>41001</v>
      </c>
      <c r="G24" s="643">
        <f t="shared" si="35"/>
        <v>41031</v>
      </c>
      <c r="H24" s="643">
        <f t="shared" si="35"/>
        <v>41061</v>
      </c>
      <c r="I24" s="643">
        <f t="shared" si="35"/>
        <v>41091</v>
      </c>
      <c r="J24" s="643">
        <f t="shared" si="35"/>
        <v>41122</v>
      </c>
      <c r="K24" s="643">
        <f t="shared" si="35"/>
        <v>41153</v>
      </c>
      <c r="L24" s="643">
        <f t="shared" si="35"/>
        <v>41184</v>
      </c>
      <c r="M24" s="643">
        <f t="shared" si="35"/>
        <v>41215</v>
      </c>
      <c r="N24" s="643">
        <f t="shared" si="35"/>
        <v>41246</v>
      </c>
      <c r="O24" s="643">
        <f t="shared" si="35"/>
        <v>41277</v>
      </c>
      <c r="P24" s="643">
        <f t="shared" si="35"/>
        <v>41308</v>
      </c>
      <c r="Q24" s="643">
        <f t="shared" si="35"/>
        <v>41339</v>
      </c>
      <c r="R24" s="643">
        <f t="shared" si="35"/>
        <v>41370</v>
      </c>
      <c r="S24" s="643">
        <f t="shared" si="35"/>
        <v>41401</v>
      </c>
      <c r="T24" s="643">
        <f t="shared" si="35"/>
        <v>41432</v>
      </c>
      <c r="U24" s="643">
        <f t="shared" si="35"/>
        <v>41463</v>
      </c>
      <c r="V24" s="643">
        <f t="shared" si="35"/>
        <v>41494</v>
      </c>
      <c r="W24" s="643">
        <f t="shared" si="35"/>
        <v>41525</v>
      </c>
      <c r="X24" s="643">
        <f t="shared" si="35"/>
        <v>41556</v>
      </c>
      <c r="Y24" s="643">
        <f t="shared" si="35"/>
        <v>41587</v>
      </c>
      <c r="Z24" s="643">
        <f t="shared" si="35"/>
        <v>41618</v>
      </c>
      <c r="AA24" s="643">
        <f t="shared" si="35"/>
        <v>41649</v>
      </c>
      <c r="AB24" s="643">
        <f t="shared" si="35"/>
        <v>41680</v>
      </c>
      <c r="AC24" s="643">
        <f t="shared" si="35"/>
        <v>41711</v>
      </c>
      <c r="AD24" s="643">
        <f t="shared" si="35"/>
        <v>41742</v>
      </c>
      <c r="AE24" s="643">
        <f t="shared" si="35"/>
        <v>41773</v>
      </c>
      <c r="AF24" s="643">
        <f t="shared" si="35"/>
        <v>41804</v>
      </c>
      <c r="AG24" s="643">
        <f t="shared" ref="AG24:AL24" si="36">AG12</f>
        <v>41835</v>
      </c>
      <c r="AH24" s="643">
        <f t="shared" si="36"/>
        <v>41866</v>
      </c>
      <c r="AI24" s="643">
        <f t="shared" si="36"/>
        <v>41897</v>
      </c>
      <c r="AJ24" s="643">
        <f t="shared" si="36"/>
        <v>41928</v>
      </c>
      <c r="AK24" s="643">
        <f t="shared" si="36"/>
        <v>41959</v>
      </c>
      <c r="AL24" s="643">
        <f t="shared" si="36"/>
        <v>41990</v>
      </c>
      <c r="AM24" s="643">
        <f t="shared" ref="AM24:AR24" si="37">AM12</f>
        <v>42021</v>
      </c>
      <c r="AN24" s="643">
        <f t="shared" si="37"/>
        <v>42052</v>
      </c>
      <c r="AO24" s="643">
        <f t="shared" si="37"/>
        <v>42083</v>
      </c>
      <c r="AP24" s="643">
        <f t="shared" si="37"/>
        <v>42114</v>
      </c>
      <c r="AQ24" s="643">
        <f t="shared" si="37"/>
        <v>42145</v>
      </c>
      <c r="AR24" s="643">
        <f t="shared" si="37"/>
        <v>42176</v>
      </c>
      <c r="AS24" s="643">
        <f t="shared" ref="AS24:AX24" si="38">AS12</f>
        <v>42207</v>
      </c>
      <c r="AT24" s="643">
        <f t="shared" si="38"/>
        <v>42238</v>
      </c>
      <c r="AU24" s="643">
        <f t="shared" si="38"/>
        <v>42269</v>
      </c>
      <c r="AV24" s="643">
        <f t="shared" si="38"/>
        <v>42300</v>
      </c>
      <c r="AW24" s="643">
        <f t="shared" si="38"/>
        <v>42331</v>
      </c>
      <c r="AX24" s="643">
        <f t="shared" si="38"/>
        <v>42362</v>
      </c>
      <c r="AY24" s="643">
        <f t="shared" ref="AY24:BG24" si="39">AY12</f>
        <v>42393</v>
      </c>
      <c r="AZ24" s="643">
        <f t="shared" si="39"/>
        <v>42424</v>
      </c>
      <c r="BA24" s="643">
        <f t="shared" si="39"/>
        <v>42455</v>
      </c>
      <c r="BB24" s="643">
        <f t="shared" si="39"/>
        <v>42486</v>
      </c>
      <c r="BC24" s="643">
        <f t="shared" si="39"/>
        <v>42517</v>
      </c>
      <c r="BD24" s="643">
        <f t="shared" si="39"/>
        <v>42548</v>
      </c>
      <c r="BE24" s="643">
        <f t="shared" si="39"/>
        <v>42579</v>
      </c>
      <c r="BF24" s="643">
        <f t="shared" si="39"/>
        <v>42610</v>
      </c>
      <c r="BG24" s="643">
        <f t="shared" si="39"/>
        <v>42641</v>
      </c>
      <c r="BH24" s="643">
        <f t="shared" ref="BH24:BM24" si="40">BH12</f>
        <v>42672</v>
      </c>
      <c r="BI24" s="643">
        <f t="shared" si="40"/>
        <v>42703</v>
      </c>
      <c r="BJ24" s="643">
        <f t="shared" si="40"/>
        <v>42734</v>
      </c>
      <c r="BK24" s="643">
        <f t="shared" si="40"/>
        <v>42765</v>
      </c>
      <c r="BL24" s="643">
        <f t="shared" si="40"/>
        <v>42793</v>
      </c>
      <c r="BM24" s="643">
        <f t="shared" si="40"/>
        <v>42824</v>
      </c>
      <c r="BN24" s="643">
        <f t="shared" ref="BN24:BS24" si="41">BN12</f>
        <v>42855</v>
      </c>
      <c r="BO24" s="643">
        <f t="shared" si="41"/>
        <v>42886</v>
      </c>
      <c r="BP24" s="643">
        <f t="shared" si="41"/>
        <v>42916</v>
      </c>
      <c r="BQ24" s="643">
        <f t="shared" si="41"/>
        <v>42946</v>
      </c>
      <c r="BR24" s="643">
        <f t="shared" si="41"/>
        <v>42976</v>
      </c>
      <c r="BS24" s="643">
        <f t="shared" si="41"/>
        <v>43006</v>
      </c>
      <c r="BT24" s="643">
        <f t="shared" ref="BT24:BY24" si="42">BT12</f>
        <v>43036</v>
      </c>
      <c r="BU24" s="643">
        <f t="shared" si="42"/>
        <v>43066</v>
      </c>
      <c r="BV24" s="643">
        <f t="shared" si="42"/>
        <v>43096</v>
      </c>
      <c r="BW24" s="643">
        <f t="shared" si="42"/>
        <v>43126</v>
      </c>
      <c r="BX24" s="643">
        <f t="shared" si="42"/>
        <v>43156</v>
      </c>
      <c r="BY24" s="643">
        <f t="shared" si="42"/>
        <v>43186</v>
      </c>
      <c r="BZ24" s="643">
        <f t="shared" ref="BZ24:CE24" si="43">BZ12</f>
        <v>43216</v>
      </c>
      <c r="CA24" s="643">
        <f t="shared" si="43"/>
        <v>43246</v>
      </c>
      <c r="CB24" s="643">
        <f t="shared" si="43"/>
        <v>43276</v>
      </c>
      <c r="CC24" s="643">
        <f t="shared" si="43"/>
        <v>43306</v>
      </c>
      <c r="CD24" s="643">
        <f t="shared" si="43"/>
        <v>43336</v>
      </c>
      <c r="CE24" s="643">
        <f t="shared" si="43"/>
        <v>43366</v>
      </c>
      <c r="CF24" s="643">
        <f t="shared" ref="CF24:CK24" si="44">CF12</f>
        <v>43396</v>
      </c>
      <c r="CG24" s="643">
        <f t="shared" si="44"/>
        <v>43426</v>
      </c>
      <c r="CH24" s="643">
        <f t="shared" si="44"/>
        <v>43456</v>
      </c>
      <c r="CI24" s="643">
        <f t="shared" si="44"/>
        <v>43486</v>
      </c>
      <c r="CJ24" s="643">
        <f t="shared" si="44"/>
        <v>43516</v>
      </c>
      <c r="CK24" s="643">
        <f t="shared" si="44"/>
        <v>43546</v>
      </c>
      <c r="CL24" s="643">
        <f t="shared" ref="CL24:CQ24" si="45">CL12</f>
        <v>43576</v>
      </c>
      <c r="CM24" s="643">
        <f t="shared" si="45"/>
        <v>43606</v>
      </c>
      <c r="CN24" s="643">
        <f t="shared" si="45"/>
        <v>43636</v>
      </c>
      <c r="CO24" s="643">
        <f t="shared" si="45"/>
        <v>43666</v>
      </c>
      <c r="CP24" s="643">
        <f t="shared" si="45"/>
        <v>43696</v>
      </c>
      <c r="CQ24" s="643">
        <f t="shared" si="45"/>
        <v>43726</v>
      </c>
      <c r="CR24" s="643">
        <f t="shared" ref="CR24:CW24" si="46">CR12</f>
        <v>43756</v>
      </c>
      <c r="CS24" s="643">
        <f t="shared" si="46"/>
        <v>43786</v>
      </c>
      <c r="CT24" s="643">
        <f t="shared" si="46"/>
        <v>43816</v>
      </c>
      <c r="CU24" s="643">
        <f t="shared" si="46"/>
        <v>43846</v>
      </c>
      <c r="CV24" s="643">
        <f t="shared" si="46"/>
        <v>43876</v>
      </c>
      <c r="CW24" s="643">
        <f t="shared" si="46"/>
        <v>43906</v>
      </c>
      <c r="CX24" s="643">
        <f t="shared" ref="CX24:DC24" si="47">CX12</f>
        <v>43936</v>
      </c>
      <c r="CY24" s="643">
        <f t="shared" si="47"/>
        <v>43966</v>
      </c>
      <c r="CZ24" s="643">
        <f t="shared" si="47"/>
        <v>43996</v>
      </c>
      <c r="DA24" s="643">
        <f t="shared" si="47"/>
        <v>44026</v>
      </c>
      <c r="DB24" s="643">
        <f t="shared" si="47"/>
        <v>44056</v>
      </c>
      <c r="DC24" s="643">
        <f t="shared" si="47"/>
        <v>44086</v>
      </c>
      <c r="DD24" s="643">
        <f t="shared" ref="DD24:DI24" si="48">DD12</f>
        <v>44116</v>
      </c>
      <c r="DE24" s="643">
        <f t="shared" si="48"/>
        <v>44146</v>
      </c>
      <c r="DF24" s="643">
        <f t="shared" si="48"/>
        <v>44176</v>
      </c>
      <c r="DG24" s="643">
        <f t="shared" si="48"/>
        <v>44206</v>
      </c>
      <c r="DH24" s="643">
        <f t="shared" si="48"/>
        <v>44236</v>
      </c>
      <c r="DI24" s="643">
        <f t="shared" si="48"/>
        <v>44266</v>
      </c>
      <c r="DJ24" s="643">
        <f t="shared" ref="DJ24:DO24" si="49">DJ12</f>
        <v>44296</v>
      </c>
      <c r="DK24" s="643">
        <f t="shared" si="49"/>
        <v>44326</v>
      </c>
      <c r="DL24" s="643">
        <f t="shared" si="49"/>
        <v>44356</v>
      </c>
      <c r="DM24" s="643">
        <f t="shared" si="49"/>
        <v>44386</v>
      </c>
      <c r="DN24" s="643">
        <f t="shared" si="49"/>
        <v>44416</v>
      </c>
      <c r="DO24" s="643">
        <f t="shared" si="49"/>
        <v>44446</v>
      </c>
      <c r="DP24" s="643">
        <f>DP12</f>
        <v>44476</v>
      </c>
      <c r="DQ24" s="643">
        <f>DQ12</f>
        <v>44506</v>
      </c>
      <c r="DR24" s="643">
        <f>DR12</f>
        <v>44536</v>
      </c>
      <c r="DT24" s="935" t="s">
        <v>1358</v>
      </c>
      <c r="DU24" s="935" t="s">
        <v>1359</v>
      </c>
    </row>
    <row r="25" spans="1:131">
      <c r="B25" s="642"/>
      <c r="C25" s="642"/>
      <c r="D25" s="642"/>
      <c r="E25" s="642"/>
      <c r="F25" s="642"/>
      <c r="G25" s="642"/>
      <c r="H25" s="642"/>
      <c r="I25" s="642"/>
      <c r="J25" s="642"/>
      <c r="K25" s="642"/>
      <c r="L25" s="642"/>
      <c r="M25" s="642"/>
      <c r="N25" s="642"/>
      <c r="O25" s="643"/>
      <c r="P25" s="643"/>
      <c r="Q25" s="643"/>
      <c r="R25" s="643"/>
      <c r="S25" s="643"/>
      <c r="T25" s="643"/>
      <c r="U25" s="643"/>
      <c r="V25" s="643"/>
      <c r="W25" s="643"/>
      <c r="X25" s="643"/>
      <c r="Y25" s="643"/>
      <c r="Z25" s="643"/>
      <c r="AA25" s="643"/>
      <c r="AB25" s="643"/>
      <c r="AC25" s="643"/>
      <c r="AD25" s="643"/>
      <c r="AE25" s="643"/>
      <c r="AF25" s="643"/>
      <c r="AG25" s="643"/>
      <c r="AH25" s="643"/>
      <c r="AI25" s="643"/>
      <c r="AJ25" s="643"/>
      <c r="AK25" s="643"/>
      <c r="AL25" s="643"/>
      <c r="AM25" s="643"/>
      <c r="AN25" s="643"/>
      <c r="AO25" s="643"/>
      <c r="AP25" s="643"/>
      <c r="AQ25" s="643"/>
      <c r="AR25" s="643"/>
      <c r="AS25" s="643"/>
      <c r="AT25" s="643"/>
      <c r="AU25" s="643"/>
      <c r="AV25" s="643"/>
      <c r="AW25" s="643"/>
      <c r="AX25" s="643"/>
      <c r="AY25" s="643"/>
      <c r="AZ25" s="643"/>
      <c r="BA25" s="643"/>
      <c r="BB25" s="643"/>
      <c r="BC25" s="643"/>
      <c r="BD25" s="643"/>
      <c r="BE25" s="643"/>
      <c r="BF25" s="643"/>
      <c r="BG25" s="643"/>
      <c r="BH25" s="643"/>
      <c r="BI25" s="643"/>
      <c r="BJ25" s="643"/>
      <c r="BK25" s="643"/>
      <c r="BL25" s="643"/>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3"/>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T25" s="931">
        <v>147148.94</v>
      </c>
      <c r="DU25" s="931">
        <v>574154.80000000005</v>
      </c>
      <c r="DV25" s="931">
        <f>+DT25+DU25</f>
        <v>721303.74</v>
      </c>
      <c r="DW25" s="17" t="s">
        <v>2497</v>
      </c>
    </row>
    <row r="26" spans="1:131">
      <c r="A26" s="644" t="s">
        <v>549</v>
      </c>
      <c r="B26" s="645" t="s">
        <v>554</v>
      </c>
      <c r="C26" s="645">
        <v>1138.6145100000001</v>
      </c>
      <c r="D26" s="645">
        <v>1138.6145100000001</v>
      </c>
      <c r="E26" s="645">
        <v>1138.6145100000001</v>
      </c>
      <c r="F26" s="645">
        <v>1138.6145100000001</v>
      </c>
      <c r="G26" s="645">
        <v>1138.6145100000001</v>
      </c>
      <c r="H26" s="645">
        <v>1226.9161000000001</v>
      </c>
      <c r="I26" s="645">
        <v>1178.1222499999999</v>
      </c>
      <c r="J26" s="645">
        <v>1061.2871100000002</v>
      </c>
      <c r="K26" s="645">
        <v>942.94106000000011</v>
      </c>
      <c r="L26" s="645">
        <v>1002.52439</v>
      </c>
      <c r="M26" s="645">
        <v>997.10771999999997</v>
      </c>
      <c r="N26" s="645">
        <v>997.10771999999997</v>
      </c>
      <c r="O26" s="645">
        <v>996.83771999999999</v>
      </c>
      <c r="P26" s="645">
        <v>997.10771999999997</v>
      </c>
      <c r="Q26" s="645">
        <v>997.10771999999997</v>
      </c>
      <c r="R26" s="645">
        <v>997.10771999999997</v>
      </c>
      <c r="S26" s="645">
        <v>997.10771999999997</v>
      </c>
      <c r="T26" s="645">
        <v>997.10771999999997</v>
      </c>
      <c r="U26" s="645">
        <v>997.10771999999997</v>
      </c>
      <c r="V26" s="645">
        <v>997.10771999999997</v>
      </c>
      <c r="W26" s="645">
        <v>997.10771999999997</v>
      </c>
      <c r="X26" s="645">
        <v>997.10771999999997</v>
      </c>
      <c r="Y26" s="645">
        <v>997.10771999999997</v>
      </c>
      <c r="Z26" s="645">
        <v>997.10771999999997</v>
      </c>
      <c r="AA26" s="654">
        <v>997.10771999999997</v>
      </c>
      <c r="AB26" s="654">
        <v>997.10771999999997</v>
      </c>
      <c r="AC26" s="654">
        <v>997.10771999999997</v>
      </c>
      <c r="AD26" s="654">
        <v>997.10771999999997</v>
      </c>
      <c r="AE26" s="654">
        <v>1015.23272</v>
      </c>
      <c r="AF26" s="654">
        <v>1033.35772</v>
      </c>
      <c r="AG26" s="654">
        <v>1033.35772</v>
      </c>
      <c r="AH26" s="654">
        <v>1033.35772</v>
      </c>
      <c r="AI26" s="654">
        <v>1033.35772</v>
      </c>
      <c r="AJ26" s="654">
        <v>1033.35772</v>
      </c>
      <c r="AK26" s="654">
        <v>1033.35772</v>
      </c>
      <c r="AL26" s="654">
        <v>1033.35772</v>
      </c>
      <c r="AM26" s="654">
        <v>1033.35772</v>
      </c>
      <c r="AN26" s="654">
        <v>1033.3577299999999</v>
      </c>
      <c r="AO26" s="654">
        <v>1033.3577299999999</v>
      </c>
      <c r="AP26" s="654">
        <v>1033.3577299999999</v>
      </c>
      <c r="AQ26" s="654">
        <v>1033.3577299999999</v>
      </c>
      <c r="AR26" s="654">
        <v>1136.0244</v>
      </c>
      <c r="AS26" s="654">
        <v>1103.3577299999999</v>
      </c>
      <c r="AT26" s="654">
        <v>1103.3577299999999</v>
      </c>
      <c r="AU26" s="654">
        <v>1103.3577299999999</v>
      </c>
      <c r="AV26" s="654">
        <v>1103.3577299999999</v>
      </c>
      <c r="AW26" s="654">
        <v>1103.3577299999999</v>
      </c>
      <c r="AX26" s="655">
        <v>1103.3577299999999</v>
      </c>
      <c r="AY26" s="655">
        <v>1103.3577299999999</v>
      </c>
      <c r="AZ26" s="655">
        <v>1103.3577299999999</v>
      </c>
      <c r="BA26" s="655">
        <v>1103.3577299999999</v>
      </c>
      <c r="BB26" s="655">
        <v>1103.3577299999999</v>
      </c>
      <c r="BC26" s="655">
        <v>1103.3577299999999</v>
      </c>
      <c r="BD26" s="655">
        <v>1103.3577299999999</v>
      </c>
      <c r="BE26" s="655">
        <v>1103.3577299999999</v>
      </c>
      <c r="BF26" s="655">
        <v>1093.1077299999999</v>
      </c>
      <c r="BG26" s="655">
        <v>1103.3577299999999</v>
      </c>
      <c r="BH26" s="655">
        <v>1103.3577299999999</v>
      </c>
      <c r="BI26" s="655">
        <v>1103.3577299999999</v>
      </c>
      <c r="BJ26" s="655">
        <v>1103.3577299999999</v>
      </c>
      <c r="BK26" s="655">
        <v>1103.3577299999999</v>
      </c>
      <c r="BL26" s="655">
        <v>1103.3577299999999</v>
      </c>
      <c r="BM26" s="655">
        <v>1103.3577299999999</v>
      </c>
      <c r="BN26" s="655">
        <v>1103.3577299999999</v>
      </c>
      <c r="BO26" s="655">
        <v>1103.3577299999999</v>
      </c>
      <c r="BP26" s="655">
        <v>1103.3577299999999</v>
      </c>
      <c r="BQ26" s="655">
        <v>1103.3577299999999</v>
      </c>
      <c r="BR26" s="655">
        <v>1103.3577299999999</v>
      </c>
      <c r="BS26" s="655">
        <v>1103.3577299999999</v>
      </c>
      <c r="BT26" s="655">
        <v>1103.3577299999999</v>
      </c>
      <c r="BU26" s="655">
        <v>1103.3577299999999</v>
      </c>
      <c r="BV26" s="655">
        <v>1103.3577299999999</v>
      </c>
      <c r="BW26" s="655">
        <v>1103.3577299999999</v>
      </c>
      <c r="BX26" s="655">
        <v>1103.3577299999999</v>
      </c>
      <c r="BY26" s="655">
        <v>1103.3577299999999</v>
      </c>
      <c r="BZ26" s="655">
        <v>1103.3577299999999</v>
      </c>
      <c r="CA26" s="655">
        <v>976.274</v>
      </c>
      <c r="CB26" s="655">
        <v>1055.2326499999999</v>
      </c>
      <c r="CC26" s="655">
        <v>1117.9410600000001</v>
      </c>
      <c r="CD26" s="655">
        <v>1117.9410600000001</v>
      </c>
      <c r="CE26" s="655">
        <v>1117.9410600000001</v>
      </c>
      <c r="CF26" s="655">
        <v>1198.2883200000001</v>
      </c>
      <c r="CG26" s="655">
        <v>1210.6493899999998</v>
      </c>
      <c r="CH26" s="655">
        <v>1210.6493899999998</v>
      </c>
      <c r="CI26" s="655">
        <v>1210.6493899999998</v>
      </c>
      <c r="CJ26" s="655">
        <v>1210.6493899999998</v>
      </c>
      <c r="CK26" s="655">
        <v>1210.6493899999998</v>
      </c>
      <c r="CL26" s="655">
        <v>1210.6493899999998</v>
      </c>
      <c r="CM26" s="655">
        <v>1210.6493899999998</v>
      </c>
      <c r="CN26" s="655">
        <v>1210.6493899999998</v>
      </c>
      <c r="CO26" s="655">
        <v>1230.78828</v>
      </c>
      <c r="CP26" s="655">
        <v>1286.17022</v>
      </c>
      <c r="CQ26" s="655">
        <v>1286.17022</v>
      </c>
      <c r="CR26" s="655">
        <v>1286.17022</v>
      </c>
      <c r="CS26" s="655">
        <v>1286.17022</v>
      </c>
      <c r="CT26" s="655">
        <v>1286.17022</v>
      </c>
      <c r="CU26" s="655">
        <v>1286.17022</v>
      </c>
      <c r="CV26" s="655">
        <v>1286.17022</v>
      </c>
      <c r="CW26" s="655">
        <v>1281.1355100000001</v>
      </c>
      <c r="CX26" s="655">
        <v>1286.17022</v>
      </c>
      <c r="CY26" s="655">
        <v>1286.17022</v>
      </c>
      <c r="CZ26" s="655">
        <v>1286.17022</v>
      </c>
      <c r="DA26" s="655">
        <v>1286.17022</v>
      </c>
      <c r="DB26" s="655">
        <v>1286.17022</v>
      </c>
      <c r="DC26" s="655">
        <v>1286.17022</v>
      </c>
      <c r="DD26" s="655">
        <v>1286.17022</v>
      </c>
      <c r="DE26" s="655">
        <v>1286.17022</v>
      </c>
      <c r="DF26" s="655">
        <v>1286.17022</v>
      </c>
      <c r="DG26" s="655">
        <v>1286.17022</v>
      </c>
      <c r="DH26" s="655">
        <v>1286.17022</v>
      </c>
      <c r="DI26" s="655">
        <v>1603.85772</v>
      </c>
      <c r="DJ26" s="655">
        <v>1846.79522</v>
      </c>
      <c r="DK26" s="655">
        <v>1636.3541599999999</v>
      </c>
      <c r="DL26" s="655">
        <v>1741.5746899999999</v>
      </c>
      <c r="DM26" s="655">
        <f>IncomeStmt!EB37/1000</f>
        <v>1636.3541599999999</v>
      </c>
      <c r="DN26" s="655">
        <f>IncomeStmt!EC37/1000</f>
        <v>1636.3541599999999</v>
      </c>
      <c r="DO26" s="655">
        <f>IncomeStmt!ED37/1000</f>
        <v>1542.9166599999999</v>
      </c>
      <c r="DP26" s="655">
        <f>IncomeStmt!EE37/1000</f>
        <v>1636.3541599999999</v>
      </c>
      <c r="DQ26" s="655">
        <f>IncomeStmt!EF37/1000</f>
        <v>1636.3541599999999</v>
      </c>
      <c r="DR26" s="655">
        <f>IncomeStmt!EG37/1000</f>
        <v>1636.3541599999999</v>
      </c>
      <c r="DT26" s="932">
        <f>-1353.53*5</f>
        <v>-6767.65</v>
      </c>
      <c r="DU26" s="932">
        <f>(+-5876.07*5)+(-1687.11*3-3374.34)</f>
        <v>-37816.019999999997</v>
      </c>
      <c r="DV26" s="932">
        <f>+DT26+DU26</f>
        <v>-44583.67</v>
      </c>
      <c r="DW26" s="17" t="s">
        <v>2496</v>
      </c>
    </row>
    <row r="27" spans="1:131">
      <c r="A27" s="644" t="s">
        <v>550</v>
      </c>
      <c r="B27" s="645" t="s">
        <v>553</v>
      </c>
      <c r="C27" s="645">
        <v>6.9079600000000001</v>
      </c>
      <c r="D27" s="645">
        <v>6.9079600000000001</v>
      </c>
      <c r="E27" s="645">
        <v>6.9079600000000001</v>
      </c>
      <c r="F27" s="645">
        <v>6.9079600000000001</v>
      </c>
      <c r="G27" s="645">
        <v>6.9079600000000001</v>
      </c>
      <c r="H27" s="645">
        <v>7.29101</v>
      </c>
      <c r="I27" s="645">
        <v>6.0121000000000002</v>
      </c>
      <c r="J27" s="645">
        <v>1.32833</v>
      </c>
      <c r="K27" s="645">
        <v>1.32833</v>
      </c>
      <c r="L27" s="645">
        <v>1.5825</v>
      </c>
      <c r="M27" s="645">
        <v>1.5825</v>
      </c>
      <c r="N27" s="645">
        <v>1.5825</v>
      </c>
      <c r="O27" s="645">
        <v>1.5825</v>
      </c>
      <c r="P27" s="645">
        <v>1.5825</v>
      </c>
      <c r="Q27" s="645">
        <v>1.5825</v>
      </c>
      <c r="R27" s="645">
        <v>1.5825</v>
      </c>
      <c r="S27" s="645">
        <v>1.5825</v>
      </c>
      <c r="T27" s="645">
        <v>1.5825</v>
      </c>
      <c r="U27" s="645">
        <v>1.5825</v>
      </c>
      <c r="V27" s="645">
        <v>1.5825</v>
      </c>
      <c r="W27" s="645">
        <v>1.5825</v>
      </c>
      <c r="X27" s="645">
        <v>1.5825</v>
      </c>
      <c r="Y27" s="645">
        <v>1.5825</v>
      </c>
      <c r="Z27" s="645">
        <v>1.5825</v>
      </c>
      <c r="AA27" s="656">
        <v>1.5825</v>
      </c>
      <c r="AB27" s="656">
        <v>1.5825</v>
      </c>
      <c r="AC27" s="656">
        <v>1.5825</v>
      </c>
      <c r="AD27" s="656">
        <v>1.5825</v>
      </c>
      <c r="AE27" s="656">
        <v>1.5825</v>
      </c>
      <c r="AF27" s="656">
        <v>1.61042</v>
      </c>
      <c r="AG27" s="656">
        <v>1.6011099999999998</v>
      </c>
      <c r="AH27" s="656">
        <v>1.6011099999999998</v>
      </c>
      <c r="AI27" s="656">
        <v>1.6011099999999998</v>
      </c>
      <c r="AJ27" s="656">
        <v>1.6011099999999998</v>
      </c>
      <c r="AK27" s="656">
        <v>1.6011099999999998</v>
      </c>
      <c r="AL27" s="656">
        <v>1.6011099999999998</v>
      </c>
      <c r="AM27" s="657">
        <v>1.6011099999999998</v>
      </c>
      <c r="AN27" s="657">
        <v>1.6011099999999998</v>
      </c>
      <c r="AO27" s="657">
        <v>1.6011099999999998</v>
      </c>
      <c r="AP27" s="657">
        <v>1.6011099999999998</v>
      </c>
      <c r="AQ27" s="657">
        <v>1.6011099999999998</v>
      </c>
      <c r="AR27" s="657">
        <v>1.70564</v>
      </c>
      <c r="AS27" s="657">
        <v>1.70444</v>
      </c>
      <c r="AT27" s="657">
        <v>1.70444</v>
      </c>
      <c r="AU27" s="657">
        <v>1.70444</v>
      </c>
      <c r="AV27" s="657">
        <v>1.70444</v>
      </c>
      <c r="AW27" s="657">
        <v>1.70444</v>
      </c>
      <c r="AX27" s="657">
        <v>1.70444</v>
      </c>
      <c r="AY27" s="657">
        <v>1.70444</v>
      </c>
      <c r="AZ27" s="657">
        <v>1.70444</v>
      </c>
      <c r="BA27" s="657">
        <v>1.70444</v>
      </c>
      <c r="BB27" s="657">
        <v>1.70444</v>
      </c>
      <c r="BC27" s="657">
        <v>1.70444</v>
      </c>
      <c r="BD27" s="657">
        <v>1.70444</v>
      </c>
      <c r="BE27" s="657">
        <v>1.70444</v>
      </c>
      <c r="BF27" s="657">
        <v>1.70444</v>
      </c>
      <c r="BG27" s="657">
        <v>1.70444</v>
      </c>
      <c r="BH27" s="657">
        <v>1.70444</v>
      </c>
      <c r="BI27" s="657">
        <v>1.70444</v>
      </c>
      <c r="BJ27" s="657">
        <v>1.70444</v>
      </c>
      <c r="BK27" s="657">
        <v>1.70444</v>
      </c>
      <c r="BL27" s="657">
        <v>1.70444</v>
      </c>
      <c r="BM27" s="657">
        <v>1.70444</v>
      </c>
      <c r="BN27" s="657">
        <v>1.70444</v>
      </c>
      <c r="BO27" s="657">
        <v>1.70444</v>
      </c>
      <c r="BP27" s="657">
        <v>1.70444</v>
      </c>
      <c r="BQ27" s="657">
        <v>1.70444</v>
      </c>
      <c r="BR27" s="657">
        <v>1.70444</v>
      </c>
      <c r="BS27" s="657">
        <v>1.70444</v>
      </c>
      <c r="BT27" s="657">
        <v>1.70444</v>
      </c>
      <c r="BU27" s="657">
        <v>1.70444</v>
      </c>
      <c r="BV27" s="657">
        <v>1.70444</v>
      </c>
      <c r="BW27" s="657">
        <v>1.70444</v>
      </c>
      <c r="BX27" s="657">
        <v>1.70444</v>
      </c>
      <c r="BY27" s="657">
        <v>1.70444</v>
      </c>
      <c r="BZ27" s="657">
        <v>1.70444</v>
      </c>
      <c r="CA27" s="657">
        <v>1.70444</v>
      </c>
      <c r="CB27" s="657">
        <v>2.8199099999999997</v>
      </c>
      <c r="CC27" s="657">
        <v>2.82111</v>
      </c>
      <c r="CD27" s="657">
        <v>2.82111</v>
      </c>
      <c r="CE27" s="657">
        <v>2.82111</v>
      </c>
      <c r="CF27" s="657">
        <v>3.1670599999999998</v>
      </c>
      <c r="CG27" s="657">
        <v>3.1682600000000001</v>
      </c>
      <c r="CH27" s="657">
        <v>3.1682600000000001</v>
      </c>
      <c r="CI27" s="657">
        <v>3.1682600000000001</v>
      </c>
      <c r="CJ27" s="657">
        <v>3.1682600000000001</v>
      </c>
      <c r="CK27" s="657">
        <v>3.1682600000000001</v>
      </c>
      <c r="CL27" s="657">
        <v>3.1682600000000001</v>
      </c>
      <c r="CM27" s="657">
        <v>3.1682600000000001</v>
      </c>
      <c r="CN27" s="657">
        <v>3.1682600000000001</v>
      </c>
      <c r="CO27" s="657">
        <v>3.1682600000000001</v>
      </c>
      <c r="CP27" s="657">
        <v>3.9927600000000001</v>
      </c>
      <c r="CQ27" s="657">
        <v>3.9944099999999998</v>
      </c>
      <c r="CR27" s="657">
        <v>3.9944099999999998</v>
      </c>
      <c r="CS27" s="657">
        <v>3.9944099999999998</v>
      </c>
      <c r="CT27" s="657">
        <v>3.9944099999999998</v>
      </c>
      <c r="CU27" s="657">
        <v>3.9944099999999998</v>
      </c>
      <c r="CV27" s="657">
        <v>3.9944099999999998</v>
      </c>
      <c r="CW27" s="657">
        <v>3.9944099999999998</v>
      </c>
      <c r="CX27" s="657">
        <v>3.9944099999999998</v>
      </c>
      <c r="CY27" s="657">
        <v>3.9944099999999998</v>
      </c>
      <c r="CZ27" s="657">
        <v>3.9944099999999998</v>
      </c>
      <c r="DA27" s="657">
        <v>3.9944099999999998</v>
      </c>
      <c r="DB27" s="657">
        <v>3.9944099999999998</v>
      </c>
      <c r="DC27" s="657">
        <v>3.9944099999999998</v>
      </c>
      <c r="DD27" s="657">
        <v>3.9944099999999998</v>
      </c>
      <c r="DE27" s="657">
        <v>3.9944099999999998</v>
      </c>
      <c r="DF27" s="657">
        <v>3.9944099999999998</v>
      </c>
      <c r="DG27" s="657">
        <v>3.9944099999999998</v>
      </c>
      <c r="DH27" s="657">
        <v>3.9944099999999998</v>
      </c>
      <c r="DI27" s="657">
        <v>7.83094</v>
      </c>
      <c r="DJ27" s="657">
        <v>7.6524399999999995</v>
      </c>
      <c r="DK27" s="657">
        <v>7.83094</v>
      </c>
      <c r="DL27" s="657">
        <v>7.83094</v>
      </c>
      <c r="DM27" s="657">
        <f>VLOOKUP("7500120",'Input IS ACCTS'!$A$6:$CV$507,94,FALSE)/1000</f>
        <v>7.83094</v>
      </c>
      <c r="DN27" s="657">
        <f>VLOOKUP("7500120",'Input IS ACCTS'!$A$6:$CV$507,95,FALSE)/1000</f>
        <v>7.83094</v>
      </c>
      <c r="DO27" s="657">
        <f>VLOOKUP("7500120",'Input IS ACCTS'!$A$6:$CV$507,96,FALSE)/1000</f>
        <v>7.83094</v>
      </c>
      <c r="DP27" s="657">
        <f>VLOOKUP("7500120",'Input IS ACCTS'!$A$6:$CV$507,97,FALSE)/1000</f>
        <v>7.83094</v>
      </c>
      <c r="DQ27" s="657">
        <f>VLOOKUP("7500120",'Input IS ACCTS'!$A$6:$CV$507,98,FALSE)/1000</f>
        <v>7.83094</v>
      </c>
      <c r="DR27" s="657">
        <f>VLOOKUP("7500120",'Input IS ACCTS'!$A$6:$CV$507,99,FALSE)/1000</f>
        <v>7.83094</v>
      </c>
      <c r="DT27" s="931">
        <f>+DT25+DT26</f>
        <v>140381.29</v>
      </c>
      <c r="DU27" s="931">
        <f>+DU25+DU26</f>
        <v>536338.78</v>
      </c>
      <c r="DV27" s="931">
        <f>+DV25+DV26</f>
        <v>676720.07</v>
      </c>
      <c r="DW27" s="17" t="s">
        <v>2495</v>
      </c>
    </row>
    <row r="28" spans="1:131">
      <c r="A28" s="644" t="s">
        <v>551</v>
      </c>
      <c r="B28" s="645" t="s">
        <v>552</v>
      </c>
      <c r="C28" s="650">
        <v>109.36700999999999</v>
      </c>
      <c r="D28" s="650">
        <v>109.36700999999999</v>
      </c>
      <c r="E28" s="650">
        <v>109.36700999999999</v>
      </c>
      <c r="F28" s="650">
        <v>109.36700999999999</v>
      </c>
      <c r="G28" s="650">
        <v>109.36700999999999</v>
      </c>
      <c r="H28" s="650">
        <v>114.38930999999999</v>
      </c>
      <c r="I28" s="650">
        <v>107.91167999999999</v>
      </c>
      <c r="J28" s="650">
        <v>77.184479999999994</v>
      </c>
      <c r="K28" s="650">
        <v>42.177010000000003</v>
      </c>
      <c r="L28" s="650">
        <v>43.593679999999999</v>
      </c>
      <c r="M28" s="650">
        <v>43.619779999999999</v>
      </c>
      <c r="N28" s="650">
        <v>43.714030000000001</v>
      </c>
      <c r="O28" s="650">
        <v>43.721150000000002</v>
      </c>
      <c r="P28" s="650">
        <v>43.656179999999999</v>
      </c>
      <c r="Q28" s="650">
        <v>43.656179999999999</v>
      </c>
      <c r="R28" s="650">
        <v>43.656179999999999</v>
      </c>
      <c r="S28" s="650">
        <v>43.656179999999999</v>
      </c>
      <c r="T28" s="650">
        <v>43.656179999999999</v>
      </c>
      <c r="U28" s="650">
        <v>43.657899999999998</v>
      </c>
      <c r="V28" s="650">
        <v>43.680230000000002</v>
      </c>
      <c r="W28" s="650">
        <v>43.69491</v>
      </c>
      <c r="X28" s="650">
        <v>43.660989999999998</v>
      </c>
      <c r="Y28" s="650">
        <v>43.660989999999998</v>
      </c>
      <c r="Z28" s="650">
        <v>43.660989999999998</v>
      </c>
      <c r="AA28" s="658">
        <v>43.660989999999998</v>
      </c>
      <c r="AB28" s="658">
        <v>43.660989999999998</v>
      </c>
      <c r="AC28" s="658">
        <v>43.660989999999998</v>
      </c>
      <c r="AD28" s="658">
        <v>43.660989999999998</v>
      </c>
      <c r="AE28" s="658">
        <v>43.675370000000001</v>
      </c>
      <c r="AF28" s="658">
        <v>44.086239999999997</v>
      </c>
      <c r="AG28" s="658">
        <v>43.971830000000004</v>
      </c>
      <c r="AH28" s="658">
        <v>43.96313</v>
      </c>
      <c r="AI28" s="658">
        <v>44.167339999999996</v>
      </c>
      <c r="AJ28" s="658">
        <v>43.995539999999998</v>
      </c>
      <c r="AK28" s="658">
        <v>43.993449999999996</v>
      </c>
      <c r="AL28" s="658">
        <v>43.993449999999996</v>
      </c>
      <c r="AM28" s="659">
        <v>43.993449999999996</v>
      </c>
      <c r="AN28" s="659">
        <v>43.993449999999996</v>
      </c>
      <c r="AO28" s="659">
        <v>43.993449999999996</v>
      </c>
      <c r="AP28" s="659">
        <v>43.993449999999996</v>
      </c>
      <c r="AQ28" s="659">
        <v>76.660119999999992</v>
      </c>
      <c r="AR28" s="659">
        <v>10.94284</v>
      </c>
      <c r="AS28" s="659">
        <v>43.616109999999999</v>
      </c>
      <c r="AT28" s="659">
        <v>43.612809999999996</v>
      </c>
      <c r="AU28" s="659">
        <v>43.723930000000003</v>
      </c>
      <c r="AV28" s="659">
        <v>43.640589999999996</v>
      </c>
      <c r="AW28" s="659">
        <v>43.639879999999998</v>
      </c>
      <c r="AX28" s="659">
        <v>43.658709999999999</v>
      </c>
      <c r="AY28" s="659">
        <v>43.640589999999996</v>
      </c>
      <c r="AZ28" s="659">
        <v>43.640589999999996</v>
      </c>
      <c r="BA28" s="659">
        <v>43.640589999999996</v>
      </c>
      <c r="BB28" s="659">
        <v>43.640589999999996</v>
      </c>
      <c r="BC28" s="659">
        <v>43.640589999999996</v>
      </c>
      <c r="BD28" s="659">
        <v>43.640589999999996</v>
      </c>
      <c r="BE28" s="659">
        <v>43.640589999999996</v>
      </c>
      <c r="BF28" s="659">
        <v>43.640589999999996</v>
      </c>
      <c r="BG28" s="659">
        <v>43.640589999999996</v>
      </c>
      <c r="BH28" s="659">
        <v>43.640589999999996</v>
      </c>
      <c r="BI28" s="659">
        <v>43.640589999999996</v>
      </c>
      <c r="BJ28" s="659">
        <v>43.640589999999996</v>
      </c>
      <c r="BK28" s="659">
        <v>43.640589999999996</v>
      </c>
      <c r="BL28" s="659">
        <v>43.640589999999996</v>
      </c>
      <c r="BM28" s="659">
        <v>43.640589999999996</v>
      </c>
      <c r="BN28" s="659">
        <v>43.640589999999996</v>
      </c>
      <c r="BO28" s="659">
        <v>43.640589999999996</v>
      </c>
      <c r="BP28" s="659">
        <v>43.640589999999996</v>
      </c>
      <c r="BQ28" s="659">
        <v>43.640589999999996</v>
      </c>
      <c r="BR28" s="659">
        <v>43.640589999999996</v>
      </c>
      <c r="BS28" s="659">
        <v>43.640589999999996</v>
      </c>
      <c r="BT28" s="659">
        <v>43.640589999999996</v>
      </c>
      <c r="BU28" s="659">
        <v>43.640589999999996</v>
      </c>
      <c r="BV28" s="659">
        <v>43.640589999999996</v>
      </c>
      <c r="BW28" s="659">
        <v>43.640589999999996</v>
      </c>
      <c r="BX28" s="659">
        <v>43.640589999999996</v>
      </c>
      <c r="BY28" s="659">
        <v>43.640589999999996</v>
      </c>
      <c r="BZ28" s="659">
        <v>43.640589999999996</v>
      </c>
      <c r="CA28" s="659">
        <v>25.664549999999998</v>
      </c>
      <c r="CB28" s="659">
        <v>9.7971900000000005</v>
      </c>
      <c r="CC28" s="659">
        <v>9.8831299999999995</v>
      </c>
      <c r="CD28" s="659">
        <v>9.8852700000000002</v>
      </c>
      <c r="CE28" s="659">
        <v>10.320620000000002</v>
      </c>
      <c r="CF28" s="659">
        <v>10.636850000000001</v>
      </c>
      <c r="CG28" s="659">
        <v>10.660830000000001</v>
      </c>
      <c r="CH28" s="659">
        <v>10.68206</v>
      </c>
      <c r="CI28" s="659">
        <v>10.654620000000001</v>
      </c>
      <c r="CJ28" s="659">
        <v>10.654620000000001</v>
      </c>
      <c r="CK28" s="659">
        <v>10.884139999999999</v>
      </c>
      <c r="CL28" s="659">
        <v>10.69266</v>
      </c>
      <c r="CM28" s="659">
        <v>10.69266</v>
      </c>
      <c r="CN28" s="659">
        <v>10.69266</v>
      </c>
      <c r="CO28" s="659">
        <v>10.69266</v>
      </c>
      <c r="CP28" s="659">
        <v>11.405860000000001</v>
      </c>
      <c r="CQ28" s="659">
        <v>11.465909999999999</v>
      </c>
      <c r="CR28" s="659">
        <v>11.435409999999999</v>
      </c>
      <c r="CS28" s="659">
        <v>11.435409999999999</v>
      </c>
      <c r="CT28" s="659">
        <v>11.633809999999999</v>
      </c>
      <c r="CU28" s="659">
        <v>11.47551</v>
      </c>
      <c r="CV28" s="659">
        <v>11.47551</v>
      </c>
      <c r="CW28" s="659">
        <v>11.486870000000001</v>
      </c>
      <c r="CX28" s="659">
        <v>11.476790000000001</v>
      </c>
      <c r="CY28" s="659">
        <v>11.476790000000001</v>
      </c>
      <c r="CZ28" s="659">
        <v>11.476790000000001</v>
      </c>
      <c r="DA28" s="659">
        <v>11.476790000000001</v>
      </c>
      <c r="DB28" s="659">
        <v>11.476790000000001</v>
      </c>
      <c r="DC28" s="659">
        <v>11.476790000000001</v>
      </c>
      <c r="DD28" s="659">
        <v>11.476790000000001</v>
      </c>
      <c r="DE28" s="659">
        <v>11.476790000000001</v>
      </c>
      <c r="DF28" s="659">
        <v>11.476790000000001</v>
      </c>
      <c r="DG28" s="659">
        <v>11.476790000000001</v>
      </c>
      <c r="DH28" s="659">
        <v>11.476790000000001</v>
      </c>
      <c r="DI28" s="659">
        <v>21.131589999999999</v>
      </c>
      <c r="DJ28" s="659">
        <v>22.693210000000001</v>
      </c>
      <c r="DK28" s="659">
        <v>24.477970000000003</v>
      </c>
      <c r="DL28" s="659">
        <v>26.535630000000001</v>
      </c>
      <c r="DM28" s="659">
        <f>VLOOKUP("7500130",'Input IS ACCTS'!$A$6:$CV$507,94,FALSE)/1000</f>
        <v>23.717689999999997</v>
      </c>
      <c r="DN28" s="659">
        <f>VLOOKUP("7500130",'Input IS ACCTS'!$A$6:$CV$507,95,FALSE)/1000</f>
        <v>23.717689999999997</v>
      </c>
      <c r="DO28" s="659">
        <f>VLOOKUP("7500130",'Input IS ACCTS'!$A$6:$CV$507,96,FALSE)/1000</f>
        <v>23.717689999999997</v>
      </c>
      <c r="DP28" s="659">
        <f>VLOOKUP("7500130",'Input IS ACCTS'!$A$6:$CV$507,97,FALSE)/1000</f>
        <v>23.717689999999997</v>
      </c>
      <c r="DQ28" s="659">
        <f>VLOOKUP("7500130",'Input IS ACCTS'!$A$6:$CV$507,98,FALSE)/1000</f>
        <v>25.183589999999999</v>
      </c>
      <c r="DR28" s="659">
        <f>VLOOKUP("7500130",'Input IS ACCTS'!$A$6:$CV$507,99,FALSE)/1000</f>
        <v>23.717689999999997</v>
      </c>
      <c r="DT28" s="933"/>
      <c r="DU28" s="933"/>
      <c r="DV28" s="933"/>
    </row>
    <row r="29" spans="1:131">
      <c r="B29" s="652" t="s">
        <v>561</v>
      </c>
      <c r="C29" s="645">
        <f t="shared" ref="C29:AF29" si="50">SUM(C26:C28)</f>
        <v>1254.88948</v>
      </c>
      <c r="D29" s="645">
        <f t="shared" si="50"/>
        <v>1254.88948</v>
      </c>
      <c r="E29" s="645">
        <f t="shared" si="50"/>
        <v>1254.88948</v>
      </c>
      <c r="F29" s="645">
        <f t="shared" si="50"/>
        <v>1254.88948</v>
      </c>
      <c r="G29" s="645">
        <f t="shared" si="50"/>
        <v>1254.88948</v>
      </c>
      <c r="H29" s="645">
        <f t="shared" si="50"/>
        <v>1348.5964200000001</v>
      </c>
      <c r="I29" s="645">
        <f t="shared" si="50"/>
        <v>1292.0460299999997</v>
      </c>
      <c r="J29" s="645">
        <f t="shared" si="50"/>
        <v>1139.7999200000002</v>
      </c>
      <c r="K29" s="645">
        <f t="shared" si="50"/>
        <v>986.44640000000015</v>
      </c>
      <c r="L29" s="645">
        <f t="shared" si="50"/>
        <v>1047.70057</v>
      </c>
      <c r="M29" s="645">
        <f t="shared" si="50"/>
        <v>1042.31</v>
      </c>
      <c r="N29" s="645">
        <f t="shared" si="50"/>
        <v>1042.40425</v>
      </c>
      <c r="O29" s="645">
        <f t="shared" si="50"/>
        <v>1042.1413700000001</v>
      </c>
      <c r="P29" s="645">
        <f t="shared" si="50"/>
        <v>1042.3463999999999</v>
      </c>
      <c r="Q29" s="645">
        <f t="shared" si="50"/>
        <v>1042.3463999999999</v>
      </c>
      <c r="R29" s="645">
        <f t="shared" si="50"/>
        <v>1042.3463999999999</v>
      </c>
      <c r="S29" s="645">
        <f t="shared" si="50"/>
        <v>1042.3463999999999</v>
      </c>
      <c r="T29" s="645">
        <f t="shared" si="50"/>
        <v>1042.3463999999999</v>
      </c>
      <c r="U29" s="645">
        <f t="shared" si="50"/>
        <v>1042.3481199999999</v>
      </c>
      <c r="V29" s="645">
        <f t="shared" si="50"/>
        <v>1042.3704499999999</v>
      </c>
      <c r="W29" s="645">
        <f t="shared" si="50"/>
        <v>1042.3851299999999</v>
      </c>
      <c r="X29" s="645">
        <f t="shared" si="50"/>
        <v>1042.35121</v>
      </c>
      <c r="Y29" s="645">
        <f t="shared" si="50"/>
        <v>1042.35121</v>
      </c>
      <c r="Z29" s="645">
        <f t="shared" si="50"/>
        <v>1042.35121</v>
      </c>
      <c r="AA29" s="645">
        <f t="shared" si="50"/>
        <v>1042.35121</v>
      </c>
      <c r="AB29" s="645">
        <f t="shared" si="50"/>
        <v>1042.35121</v>
      </c>
      <c r="AC29" s="645">
        <f t="shared" si="50"/>
        <v>1042.35121</v>
      </c>
      <c r="AD29" s="645">
        <f t="shared" si="50"/>
        <v>1042.35121</v>
      </c>
      <c r="AE29" s="645">
        <f t="shared" si="50"/>
        <v>1060.4905899999999</v>
      </c>
      <c r="AF29" s="645">
        <f t="shared" si="50"/>
        <v>1079.05438</v>
      </c>
      <c r="AG29" s="645">
        <f t="shared" ref="AG29:AL29" si="51">SUM(AG26:AG28)</f>
        <v>1078.93066</v>
      </c>
      <c r="AH29" s="645">
        <f t="shared" si="51"/>
        <v>1078.9219600000001</v>
      </c>
      <c r="AI29" s="645">
        <f t="shared" si="51"/>
        <v>1079.12617</v>
      </c>
      <c r="AJ29" s="645">
        <f t="shared" si="51"/>
        <v>1078.9543699999999</v>
      </c>
      <c r="AK29" s="645">
        <f t="shared" si="51"/>
        <v>1078.95228</v>
      </c>
      <c r="AL29" s="645">
        <f t="shared" si="51"/>
        <v>1078.95228</v>
      </c>
      <c r="AM29" s="645">
        <f t="shared" ref="AM29:AR29" si="52">SUM(AM26:AM28)</f>
        <v>1078.95228</v>
      </c>
      <c r="AN29" s="645">
        <f t="shared" si="52"/>
        <v>1078.9522899999999</v>
      </c>
      <c r="AO29" s="645">
        <f t="shared" si="52"/>
        <v>1078.9522899999999</v>
      </c>
      <c r="AP29" s="645">
        <f t="shared" si="52"/>
        <v>1078.9522899999999</v>
      </c>
      <c r="AQ29" s="645">
        <f t="shared" si="52"/>
        <v>1111.61896</v>
      </c>
      <c r="AR29" s="645">
        <f t="shared" si="52"/>
        <v>1148.6728799999999</v>
      </c>
      <c r="AS29" s="645">
        <f t="shared" ref="AS29:AX29" si="53">SUM(AS26:AS28)</f>
        <v>1148.6782799999999</v>
      </c>
      <c r="AT29" s="645">
        <f t="shared" si="53"/>
        <v>1148.67498</v>
      </c>
      <c r="AU29" s="645">
        <f t="shared" si="53"/>
        <v>1148.7861</v>
      </c>
      <c r="AV29" s="645">
        <f t="shared" si="53"/>
        <v>1148.7027599999999</v>
      </c>
      <c r="AW29" s="645">
        <f t="shared" si="53"/>
        <v>1148.7020499999999</v>
      </c>
      <c r="AX29" s="645">
        <f t="shared" si="53"/>
        <v>1148.7208799999999</v>
      </c>
      <c r="AY29" s="645">
        <f t="shared" ref="AY29:BG29" si="54">SUM(AY26:AY28)</f>
        <v>1148.7027599999999</v>
      </c>
      <c r="AZ29" s="645">
        <f t="shared" si="54"/>
        <v>1148.7027599999999</v>
      </c>
      <c r="BA29" s="645">
        <f t="shared" si="54"/>
        <v>1148.7027599999999</v>
      </c>
      <c r="BB29" s="645">
        <f t="shared" si="54"/>
        <v>1148.7027599999999</v>
      </c>
      <c r="BC29" s="645">
        <f t="shared" si="54"/>
        <v>1148.7027599999999</v>
      </c>
      <c r="BD29" s="645">
        <f t="shared" si="54"/>
        <v>1148.7027599999999</v>
      </c>
      <c r="BE29" s="645">
        <f t="shared" si="54"/>
        <v>1148.7027599999999</v>
      </c>
      <c r="BF29" s="645">
        <f t="shared" si="54"/>
        <v>1138.4527599999999</v>
      </c>
      <c r="BG29" s="645">
        <f t="shared" si="54"/>
        <v>1148.7027599999999</v>
      </c>
      <c r="BH29" s="645">
        <f t="shared" ref="BH29:BM29" si="55">SUM(BH26:BH28)</f>
        <v>1148.7027599999999</v>
      </c>
      <c r="BI29" s="645">
        <f t="shared" si="55"/>
        <v>1148.7027599999999</v>
      </c>
      <c r="BJ29" s="645">
        <f t="shared" si="55"/>
        <v>1148.7027599999999</v>
      </c>
      <c r="BK29" s="645">
        <f t="shared" si="55"/>
        <v>1148.7027599999999</v>
      </c>
      <c r="BL29" s="645">
        <f t="shared" si="55"/>
        <v>1148.7027599999999</v>
      </c>
      <c r="BM29" s="645">
        <f t="shared" si="55"/>
        <v>1148.7027599999999</v>
      </c>
      <c r="BN29" s="645">
        <f t="shared" ref="BN29:BS29" si="56">SUM(BN26:BN28)</f>
        <v>1148.7027599999999</v>
      </c>
      <c r="BO29" s="645">
        <f t="shared" si="56"/>
        <v>1148.7027599999999</v>
      </c>
      <c r="BP29" s="645">
        <f t="shared" si="56"/>
        <v>1148.7027599999999</v>
      </c>
      <c r="BQ29" s="645">
        <f t="shared" si="56"/>
        <v>1148.7027599999999</v>
      </c>
      <c r="BR29" s="645">
        <f t="shared" si="56"/>
        <v>1148.7027599999999</v>
      </c>
      <c r="BS29" s="645">
        <f t="shared" si="56"/>
        <v>1148.7027599999999</v>
      </c>
      <c r="BT29" s="645">
        <f t="shared" ref="BT29:BY29" si="57">SUM(BT26:BT28)</f>
        <v>1148.7027599999999</v>
      </c>
      <c r="BU29" s="645">
        <f t="shared" si="57"/>
        <v>1148.7027599999999</v>
      </c>
      <c r="BV29" s="645">
        <f t="shared" si="57"/>
        <v>1148.7027599999999</v>
      </c>
      <c r="BW29" s="645">
        <f t="shared" si="57"/>
        <v>1148.7027599999999</v>
      </c>
      <c r="BX29" s="645">
        <f t="shared" si="57"/>
        <v>1148.7027599999999</v>
      </c>
      <c r="BY29" s="645">
        <f t="shared" si="57"/>
        <v>1148.7027599999999</v>
      </c>
      <c r="BZ29" s="645">
        <f t="shared" ref="BZ29:CE29" si="58">SUM(BZ26:BZ28)</f>
        <v>1148.7027599999999</v>
      </c>
      <c r="CA29" s="645">
        <f t="shared" si="58"/>
        <v>1003.6429899999999</v>
      </c>
      <c r="CB29" s="645">
        <f t="shared" si="58"/>
        <v>1067.8497499999999</v>
      </c>
      <c r="CC29" s="645">
        <f t="shared" si="58"/>
        <v>1130.6453000000001</v>
      </c>
      <c r="CD29" s="645">
        <f t="shared" si="58"/>
        <v>1130.6474400000002</v>
      </c>
      <c r="CE29" s="645">
        <f t="shared" si="58"/>
        <v>1131.0827900000002</v>
      </c>
      <c r="CF29" s="645">
        <f t="shared" ref="CF29:CK29" si="59">SUM(CF26:CF28)</f>
        <v>1212.0922300000002</v>
      </c>
      <c r="CG29" s="645">
        <f t="shared" si="59"/>
        <v>1224.4784799999998</v>
      </c>
      <c r="CH29" s="645">
        <f t="shared" si="59"/>
        <v>1224.4997099999998</v>
      </c>
      <c r="CI29" s="645">
        <f t="shared" si="59"/>
        <v>1224.4722699999998</v>
      </c>
      <c r="CJ29" s="645">
        <f t="shared" si="59"/>
        <v>1224.4722699999998</v>
      </c>
      <c r="CK29" s="645">
        <f t="shared" si="59"/>
        <v>1224.7017899999996</v>
      </c>
      <c r="CL29" s="645">
        <f t="shared" ref="CL29:CQ29" si="60">SUM(CL26:CL28)</f>
        <v>1224.5103099999997</v>
      </c>
      <c r="CM29" s="645">
        <f t="shared" si="60"/>
        <v>1224.5103099999997</v>
      </c>
      <c r="CN29" s="645">
        <f t="shared" si="60"/>
        <v>1224.5103099999997</v>
      </c>
      <c r="CO29" s="645">
        <f t="shared" si="60"/>
        <v>1244.6491999999998</v>
      </c>
      <c r="CP29" s="645">
        <f t="shared" si="60"/>
        <v>1301.5688400000001</v>
      </c>
      <c r="CQ29" s="645">
        <f t="shared" si="60"/>
        <v>1301.6305399999999</v>
      </c>
      <c r="CR29" s="645">
        <f t="shared" ref="CR29:CW29" si="61">SUM(CR26:CR28)</f>
        <v>1301.60004</v>
      </c>
      <c r="CS29" s="645">
        <f t="shared" si="61"/>
        <v>1301.60004</v>
      </c>
      <c r="CT29" s="645">
        <f t="shared" si="61"/>
        <v>1301.79844</v>
      </c>
      <c r="CU29" s="645">
        <f t="shared" si="61"/>
        <v>1301.64014</v>
      </c>
      <c r="CV29" s="645">
        <f t="shared" si="61"/>
        <v>1301.64014</v>
      </c>
      <c r="CW29" s="645">
        <f t="shared" si="61"/>
        <v>1296.61679</v>
      </c>
      <c r="CX29" s="645">
        <f t="shared" ref="CX29:DC29" si="62">SUM(CX26:CX28)</f>
        <v>1301.6414199999999</v>
      </c>
      <c r="CY29" s="645">
        <f t="shared" si="62"/>
        <v>1301.6414199999999</v>
      </c>
      <c r="CZ29" s="645">
        <f t="shared" si="62"/>
        <v>1301.6414199999999</v>
      </c>
      <c r="DA29" s="645">
        <f t="shared" si="62"/>
        <v>1301.6414199999999</v>
      </c>
      <c r="DB29" s="645">
        <f t="shared" si="62"/>
        <v>1301.6414199999999</v>
      </c>
      <c r="DC29" s="645">
        <f t="shared" si="62"/>
        <v>1301.6414199999999</v>
      </c>
      <c r="DD29" s="645">
        <f t="shared" ref="DD29:DI29" si="63">SUM(DD26:DD28)</f>
        <v>1301.6414199999999</v>
      </c>
      <c r="DE29" s="645">
        <f t="shared" si="63"/>
        <v>1301.6414199999999</v>
      </c>
      <c r="DF29" s="645">
        <f t="shared" si="63"/>
        <v>1301.6414199999999</v>
      </c>
      <c r="DG29" s="645">
        <f t="shared" si="63"/>
        <v>1301.6414199999999</v>
      </c>
      <c r="DH29" s="645">
        <f t="shared" si="63"/>
        <v>1301.6414199999999</v>
      </c>
      <c r="DI29" s="645">
        <f t="shared" si="63"/>
        <v>1632.82025</v>
      </c>
      <c r="DJ29" s="645">
        <f t="shared" ref="DJ29:DO29" si="64">SUM(DJ26:DJ28)</f>
        <v>1877.1408699999999</v>
      </c>
      <c r="DK29" s="645">
        <f t="shared" si="64"/>
        <v>1668.6630699999998</v>
      </c>
      <c r="DL29" s="645">
        <f t="shared" si="64"/>
        <v>1775.9412600000001</v>
      </c>
      <c r="DM29" s="645">
        <f t="shared" si="64"/>
        <v>1667.9027899999999</v>
      </c>
      <c r="DN29" s="645">
        <f t="shared" si="64"/>
        <v>1667.9027899999999</v>
      </c>
      <c r="DO29" s="645">
        <f t="shared" si="64"/>
        <v>1574.4652899999999</v>
      </c>
      <c r="DP29" s="645">
        <f>SUM(DP26:DP28)</f>
        <v>1667.9027899999999</v>
      </c>
      <c r="DQ29" s="645">
        <f>SUM(DQ26:DQ28)</f>
        <v>1669.36869</v>
      </c>
      <c r="DR29" s="645">
        <f>SUM(DR26:DR28)</f>
        <v>1667.9027899999999</v>
      </c>
    </row>
    <row r="30" spans="1:131">
      <c r="T30" s="645"/>
      <c r="U30" s="645"/>
      <c r="V30" s="645"/>
      <c r="W30" s="645"/>
      <c r="X30" s="645"/>
      <c r="Y30" s="645"/>
      <c r="Z30" s="645"/>
      <c r="AA30" s="645"/>
      <c r="AB30" s="645"/>
      <c r="AC30" s="645"/>
      <c r="AD30" s="645"/>
      <c r="AE30" s="645"/>
      <c r="AF30" s="645"/>
      <c r="AG30" s="645"/>
      <c r="AH30" s="645"/>
      <c r="AI30" s="645"/>
      <c r="AJ30" s="645"/>
      <c r="AK30" s="645"/>
      <c r="AL30" s="645"/>
      <c r="AM30" s="645"/>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c r="CQ30" s="645"/>
      <c r="CR30" s="645"/>
      <c r="CS30" s="645"/>
      <c r="CT30" s="645"/>
      <c r="CU30" s="645"/>
      <c r="CV30" s="645"/>
      <c r="CW30" s="645"/>
      <c r="CX30" s="645"/>
      <c r="CY30" s="645"/>
      <c r="CZ30" s="645"/>
      <c r="DA30" s="645"/>
      <c r="DB30" s="645"/>
      <c r="DC30" s="645"/>
      <c r="DD30" s="645"/>
      <c r="DE30" s="645"/>
      <c r="DF30" s="645"/>
      <c r="DG30" s="645"/>
      <c r="DH30" s="645"/>
      <c r="DI30" s="645"/>
      <c r="DJ30" s="645"/>
      <c r="DK30" s="645"/>
      <c r="DL30" s="645"/>
      <c r="DM30" s="645"/>
      <c r="DN30" s="645"/>
      <c r="DO30" s="645"/>
      <c r="DP30" s="645"/>
      <c r="DQ30" s="645"/>
      <c r="DR30" s="645"/>
    </row>
    <row r="31" spans="1:131">
      <c r="B31" s="645" t="s">
        <v>557</v>
      </c>
      <c r="C31" s="645"/>
      <c r="D31" s="645"/>
      <c r="E31" s="645"/>
      <c r="F31" s="645"/>
      <c r="G31" s="645"/>
      <c r="H31" s="645"/>
      <c r="I31" s="645"/>
      <c r="J31" s="645"/>
      <c r="K31" s="645"/>
      <c r="L31" s="645"/>
      <c r="M31" s="645"/>
      <c r="N31" s="645">
        <f t="shared" ref="N31:Y31" si="65">SUM(C29:N29)</f>
        <v>14173.750989999999</v>
      </c>
      <c r="O31" s="645">
        <f t="shared" si="65"/>
        <v>13961.00288</v>
      </c>
      <c r="P31" s="645">
        <f t="shared" si="65"/>
        <v>13748.459799999999</v>
      </c>
      <c r="Q31" s="645">
        <f t="shared" si="65"/>
        <v>13535.916719999999</v>
      </c>
      <c r="R31" s="645">
        <f t="shared" si="65"/>
        <v>13323.37364</v>
      </c>
      <c r="S31" s="645">
        <f t="shared" si="65"/>
        <v>13110.83056</v>
      </c>
      <c r="T31" s="645">
        <f t="shared" si="65"/>
        <v>12804.580540000001</v>
      </c>
      <c r="U31" s="645">
        <f t="shared" si="65"/>
        <v>12554.882630000002</v>
      </c>
      <c r="V31" s="645">
        <f t="shared" si="65"/>
        <v>12457.453160000003</v>
      </c>
      <c r="W31" s="645">
        <f t="shared" si="65"/>
        <v>12513.391890000003</v>
      </c>
      <c r="X31" s="645">
        <f t="shared" si="65"/>
        <v>12508.042530000004</v>
      </c>
      <c r="Y31" s="645">
        <f t="shared" si="65"/>
        <v>12508.083740000004</v>
      </c>
      <c r="Z31" s="645">
        <f t="shared" ref="Z31:AE31" si="66">SUM(O29:Z29)</f>
        <v>12508.030700000001</v>
      </c>
      <c r="AA31" s="645">
        <f t="shared" si="66"/>
        <v>12508.240540000003</v>
      </c>
      <c r="AB31" s="645">
        <f t="shared" si="66"/>
        <v>12508.245350000001</v>
      </c>
      <c r="AC31" s="645">
        <f t="shared" si="66"/>
        <v>12508.250160000003</v>
      </c>
      <c r="AD31" s="645">
        <f t="shared" si="66"/>
        <v>12508.254970000002</v>
      </c>
      <c r="AE31" s="645">
        <f t="shared" si="66"/>
        <v>12526.399160000001</v>
      </c>
      <c r="AF31" s="645">
        <f t="shared" ref="AF31:AL31" si="67">SUM(U29:AF29)</f>
        <v>12563.10714</v>
      </c>
      <c r="AG31" s="645">
        <f t="shared" si="67"/>
        <v>12599.689679999999</v>
      </c>
      <c r="AH31" s="645">
        <f t="shared" si="67"/>
        <v>12636.241189999999</v>
      </c>
      <c r="AI31" s="645">
        <f t="shared" si="67"/>
        <v>12672.982229999998</v>
      </c>
      <c r="AJ31" s="645">
        <f t="shared" si="67"/>
        <v>12709.585389999998</v>
      </c>
      <c r="AK31" s="645">
        <f t="shared" si="67"/>
        <v>12746.186459999997</v>
      </c>
      <c r="AL31" s="645">
        <f t="shared" si="67"/>
        <v>12782.787529999998</v>
      </c>
      <c r="AM31" s="645">
        <f t="shared" ref="AM31:AR31" si="68">SUM(AB29:AM29)</f>
        <v>12819.388599999997</v>
      </c>
      <c r="AN31" s="645">
        <f t="shared" si="68"/>
        <v>12855.989679999997</v>
      </c>
      <c r="AO31" s="645">
        <f t="shared" si="68"/>
        <v>12892.590759999995</v>
      </c>
      <c r="AP31" s="645">
        <f t="shared" si="68"/>
        <v>12929.191839999996</v>
      </c>
      <c r="AQ31" s="645">
        <f t="shared" si="68"/>
        <v>12980.320209999996</v>
      </c>
      <c r="AR31" s="645">
        <f t="shared" si="68"/>
        <v>13049.938709999997</v>
      </c>
      <c r="AS31" s="645">
        <f t="shared" ref="AS31:AX31" si="69">SUM(AH29:AS29)</f>
        <v>13119.686329999999</v>
      </c>
      <c r="AT31" s="645">
        <f t="shared" si="69"/>
        <v>13189.439349999999</v>
      </c>
      <c r="AU31" s="645">
        <f t="shared" si="69"/>
        <v>13259.09928</v>
      </c>
      <c r="AV31" s="645">
        <f t="shared" si="69"/>
        <v>13328.847669999999</v>
      </c>
      <c r="AW31" s="645">
        <f t="shared" si="69"/>
        <v>13398.59744</v>
      </c>
      <c r="AX31" s="645">
        <f t="shared" si="69"/>
        <v>13468.366040000001</v>
      </c>
      <c r="AY31" s="645">
        <f>SUM(AN29:AY29)</f>
        <v>13538.11652</v>
      </c>
      <c r="AZ31" s="645">
        <f>SUM(AO29:AZ29)</f>
        <v>13607.866989999999</v>
      </c>
      <c r="BA31" s="645">
        <f>SUM(AP29:BA29)</f>
        <v>13677.617460000001</v>
      </c>
      <c r="BB31" s="645">
        <f t="shared" ref="BB31:BU31" si="70">SUM(AQ29:BB29)</f>
        <v>13747.36793</v>
      </c>
      <c r="BC31" s="645">
        <f t="shared" si="70"/>
        <v>13784.451730000001</v>
      </c>
      <c r="BD31" s="645">
        <f t="shared" si="70"/>
        <v>13784.481610000001</v>
      </c>
      <c r="BE31" s="645">
        <f t="shared" si="70"/>
        <v>13784.506090000001</v>
      </c>
      <c r="BF31" s="645">
        <f t="shared" si="70"/>
        <v>13774.283870000001</v>
      </c>
      <c r="BG31" s="645">
        <f t="shared" si="70"/>
        <v>13774.20053</v>
      </c>
      <c r="BH31" s="645">
        <f t="shared" si="70"/>
        <v>13774.20053</v>
      </c>
      <c r="BI31" s="645">
        <f t="shared" si="70"/>
        <v>13774.20124</v>
      </c>
      <c r="BJ31" s="645">
        <f t="shared" si="70"/>
        <v>13774.18312</v>
      </c>
      <c r="BK31" s="645">
        <f t="shared" si="70"/>
        <v>13774.18312</v>
      </c>
      <c r="BL31" s="645">
        <f t="shared" si="70"/>
        <v>13774.18312</v>
      </c>
      <c r="BM31" s="645">
        <f t="shared" si="70"/>
        <v>13774.18312</v>
      </c>
      <c r="BN31" s="645">
        <f t="shared" si="70"/>
        <v>13774.18312</v>
      </c>
      <c r="BO31" s="645">
        <f t="shared" si="70"/>
        <v>13774.18312</v>
      </c>
      <c r="BP31" s="645">
        <f t="shared" si="70"/>
        <v>13774.18312</v>
      </c>
      <c r="BQ31" s="645">
        <f t="shared" si="70"/>
        <v>13774.18312</v>
      </c>
      <c r="BR31" s="645">
        <f t="shared" si="70"/>
        <v>13784.43312</v>
      </c>
      <c r="BS31" s="645">
        <f t="shared" si="70"/>
        <v>13784.43312</v>
      </c>
      <c r="BT31" s="645">
        <f t="shared" si="70"/>
        <v>13784.43312</v>
      </c>
      <c r="BU31" s="645">
        <f t="shared" si="70"/>
        <v>13784.43312</v>
      </c>
      <c r="BV31" s="645">
        <f t="shared" ref="BV31:CG31" si="71">SUM(BK29:BV29)</f>
        <v>13784.43312</v>
      </c>
      <c r="BW31" s="645">
        <f>SUM(BL29:BW29)</f>
        <v>13784.43312</v>
      </c>
      <c r="BX31" s="645">
        <f t="shared" si="71"/>
        <v>13784.43312</v>
      </c>
      <c r="BY31" s="645">
        <f t="shared" si="71"/>
        <v>13784.43312</v>
      </c>
      <c r="BZ31" s="645">
        <f t="shared" si="71"/>
        <v>13784.43312</v>
      </c>
      <c r="CA31" s="645">
        <f t="shared" si="71"/>
        <v>13639.37335</v>
      </c>
      <c r="CB31" s="442">
        <f t="shared" si="71"/>
        <v>13558.520339999999</v>
      </c>
      <c r="CC31" s="442">
        <f t="shared" si="71"/>
        <v>13540.462879999999</v>
      </c>
      <c r="CD31" s="442">
        <f t="shared" si="71"/>
        <v>13522.40756</v>
      </c>
      <c r="CE31" s="442">
        <f t="shared" si="71"/>
        <v>13504.78759</v>
      </c>
      <c r="CF31" s="442">
        <f t="shared" si="71"/>
        <v>13568.177060000002</v>
      </c>
      <c r="CG31" s="442">
        <f t="shared" si="71"/>
        <v>13643.952780000001</v>
      </c>
      <c r="CH31" s="442">
        <f t="shared" ref="CH31:CM31" si="72">SUM(BW29:CH29)</f>
        <v>13719.749730000001</v>
      </c>
      <c r="CI31" s="442">
        <f t="shared" si="72"/>
        <v>13795.519240000001</v>
      </c>
      <c r="CJ31" s="442">
        <f t="shared" si="72"/>
        <v>13871.288750000002</v>
      </c>
      <c r="CK31" s="442">
        <f t="shared" si="72"/>
        <v>13947.287780000001</v>
      </c>
      <c r="CL31" s="442">
        <f t="shared" si="72"/>
        <v>14023.09533</v>
      </c>
      <c r="CM31" s="442">
        <f t="shared" si="72"/>
        <v>14243.962649999999</v>
      </c>
      <c r="CN31" s="442">
        <f t="shared" ref="CN31:CS31" si="73">SUM(CC29:CN29)</f>
        <v>14400.623209999998</v>
      </c>
      <c r="CO31" s="442">
        <f t="shared" si="73"/>
        <v>14514.627109999998</v>
      </c>
      <c r="CP31" s="442">
        <f t="shared" si="73"/>
        <v>14685.548509999999</v>
      </c>
      <c r="CQ31" s="442">
        <f t="shared" si="73"/>
        <v>14856.096259999998</v>
      </c>
      <c r="CR31" s="442">
        <f t="shared" si="73"/>
        <v>14945.604069999998</v>
      </c>
      <c r="CS31" s="442">
        <f t="shared" si="73"/>
        <v>15022.725629999995</v>
      </c>
      <c r="CT31" s="442">
        <f t="shared" ref="CT31:DL31" si="74">SUM(CI29:CT29)</f>
        <v>15100.024359999998</v>
      </c>
      <c r="CU31" s="442">
        <f t="shared" si="74"/>
        <v>15177.192229999997</v>
      </c>
      <c r="CV31" s="442">
        <f t="shared" si="74"/>
        <v>15254.360099999996</v>
      </c>
      <c r="CW31" s="442">
        <f t="shared" si="74"/>
        <v>15326.275099999997</v>
      </c>
      <c r="CX31" s="442">
        <f t="shared" si="74"/>
        <v>15403.406209999999</v>
      </c>
      <c r="CY31" s="442">
        <f t="shared" si="74"/>
        <v>15480.537319999999</v>
      </c>
      <c r="CZ31" s="442">
        <f t="shared" si="74"/>
        <v>15557.66843</v>
      </c>
      <c r="DA31" s="442">
        <f t="shared" si="74"/>
        <v>15614.66065</v>
      </c>
      <c r="DB31" s="442">
        <f t="shared" si="74"/>
        <v>15614.733229999998</v>
      </c>
      <c r="DC31" s="442">
        <f t="shared" si="74"/>
        <v>15614.74411</v>
      </c>
      <c r="DD31" s="442">
        <f t="shared" si="74"/>
        <v>15614.785489999998</v>
      </c>
      <c r="DE31" s="442">
        <f t="shared" si="74"/>
        <v>15614.826869999999</v>
      </c>
      <c r="DF31" s="442">
        <f t="shared" si="74"/>
        <v>15614.669849999998</v>
      </c>
      <c r="DG31" s="442">
        <f t="shared" si="74"/>
        <v>15614.671129999999</v>
      </c>
      <c r="DH31" s="442">
        <f t="shared" si="74"/>
        <v>15614.672409999999</v>
      </c>
      <c r="DI31" s="442">
        <f t="shared" si="74"/>
        <v>15950.87587</v>
      </c>
      <c r="DJ31" s="442">
        <f t="shared" si="74"/>
        <v>16526.375319999999</v>
      </c>
      <c r="DK31" s="442">
        <f t="shared" si="74"/>
        <v>16893.396969999998</v>
      </c>
      <c r="DL31" s="442">
        <f t="shared" si="74"/>
        <v>17367.696810000001</v>
      </c>
      <c r="DM31" s="442">
        <f t="shared" ref="DM31:DR31" si="75">SUM(DB29:DM29)</f>
        <v>17733.958179999998</v>
      </c>
      <c r="DN31" s="442">
        <f t="shared" si="75"/>
        <v>18100.219549999998</v>
      </c>
      <c r="DO31" s="442">
        <f t="shared" si="75"/>
        <v>18373.043419999998</v>
      </c>
      <c r="DP31" s="442">
        <f t="shared" si="75"/>
        <v>18739.304789999998</v>
      </c>
      <c r="DQ31" s="442">
        <f t="shared" si="75"/>
        <v>19107.032059999998</v>
      </c>
      <c r="DR31" s="442">
        <f t="shared" si="75"/>
        <v>19473.293430000002</v>
      </c>
    </row>
    <row r="32" spans="1:131">
      <c r="T32" s="645"/>
      <c r="U32" s="645"/>
      <c r="V32" s="645"/>
      <c r="W32" s="645"/>
      <c r="X32" s="645"/>
      <c r="Y32" s="645"/>
      <c r="Z32" s="645"/>
      <c r="AA32" s="645"/>
      <c r="AB32" s="645"/>
      <c r="AC32" s="645"/>
      <c r="AD32" s="645"/>
      <c r="AE32" s="645"/>
      <c r="AF32" s="645"/>
      <c r="AG32" s="645"/>
      <c r="AH32" s="645"/>
      <c r="AI32" s="645"/>
      <c r="AJ32" s="645"/>
      <c r="AK32" s="645"/>
      <c r="AL32" s="645"/>
      <c r="AM32" s="645"/>
      <c r="AN32" s="645"/>
      <c r="AO32" s="645"/>
      <c r="AP32" s="645"/>
      <c r="AQ32" s="645"/>
      <c r="AR32" s="645"/>
      <c r="AS32" s="645"/>
      <c r="AT32" s="645"/>
      <c r="AU32" s="645"/>
      <c r="AV32" s="645"/>
      <c r="AW32" s="645"/>
      <c r="AX32" s="645"/>
      <c r="AY32" s="645"/>
      <c r="AZ32" s="645"/>
      <c r="BA32" s="645"/>
      <c r="BB32" s="645"/>
      <c r="BC32" s="645"/>
      <c r="BD32" s="645"/>
      <c r="BE32" s="645"/>
      <c r="BF32" s="645"/>
      <c r="BG32" s="645"/>
      <c r="BH32" s="645"/>
      <c r="BI32" s="645"/>
      <c r="BJ32" s="645"/>
      <c r="BK32" s="645"/>
      <c r="BL32" s="645"/>
      <c r="BM32" s="645"/>
      <c r="BN32" s="645"/>
      <c r="BO32" s="645"/>
      <c r="BP32" s="645"/>
      <c r="BQ32" s="645"/>
      <c r="BR32" s="645"/>
      <c r="BS32" s="645"/>
      <c r="BT32" s="645"/>
      <c r="BU32" s="645"/>
      <c r="BV32" s="645"/>
      <c r="BW32" s="645"/>
      <c r="BX32" s="645"/>
      <c r="BY32" s="645"/>
      <c r="BZ32" s="645"/>
      <c r="CA32" s="645"/>
      <c r="CB32" s="645"/>
      <c r="CC32" s="645"/>
      <c r="CD32" s="645"/>
      <c r="CE32" s="645"/>
      <c r="CF32" s="645"/>
      <c r="CG32" s="645"/>
      <c r="CH32" s="645"/>
      <c r="CI32" s="645"/>
      <c r="CJ32" s="645"/>
      <c r="CK32" s="645"/>
      <c r="CL32" s="645"/>
      <c r="CM32" s="645"/>
      <c r="CN32" s="645"/>
      <c r="CO32" s="645"/>
      <c r="CP32" s="645"/>
      <c r="CQ32" s="645"/>
      <c r="CR32" s="645"/>
      <c r="CS32" s="645"/>
      <c r="CT32" s="645"/>
      <c r="CU32" s="645"/>
      <c r="CV32" s="645"/>
      <c r="CW32" s="645"/>
      <c r="CX32" s="645"/>
      <c r="CY32" s="645"/>
      <c r="CZ32" s="645"/>
      <c r="DA32" s="645"/>
      <c r="DB32" s="645"/>
      <c r="DC32" s="645"/>
      <c r="DD32" s="645"/>
      <c r="DE32" s="645"/>
      <c r="DF32" s="645"/>
      <c r="DG32" s="645"/>
      <c r="DH32" s="645"/>
      <c r="DI32" s="645"/>
      <c r="DJ32" s="645"/>
      <c r="DK32" s="645"/>
      <c r="DL32" s="645"/>
      <c r="DM32" s="645"/>
      <c r="DN32" s="645"/>
      <c r="DO32" s="645"/>
      <c r="DP32" s="645"/>
      <c r="DQ32" s="645"/>
      <c r="DR32" s="645"/>
    </row>
    <row r="33" spans="1:122" ht="15">
      <c r="B33" s="633" t="s">
        <v>565</v>
      </c>
      <c r="N33" s="660"/>
      <c r="O33" s="660">
        <f t="shared" ref="O33:Y33" si="76">ROUND(O31/O20,4)</f>
        <v>6.2E-2</v>
      </c>
      <c r="P33" s="660">
        <f t="shared" si="76"/>
        <v>6.0900000000000003E-2</v>
      </c>
      <c r="Q33" s="660">
        <f t="shared" si="76"/>
        <v>5.9799999999999999E-2</v>
      </c>
      <c r="R33" s="660">
        <f t="shared" si="76"/>
        <v>5.8700000000000002E-2</v>
      </c>
      <c r="S33" s="660">
        <f t="shared" si="76"/>
        <v>5.7599999999999998E-2</v>
      </c>
      <c r="T33" s="660">
        <f t="shared" si="76"/>
        <v>5.6099999999999997E-2</v>
      </c>
      <c r="U33" s="660">
        <f t="shared" si="76"/>
        <v>5.5399999999999998E-2</v>
      </c>
      <c r="V33" s="660">
        <f t="shared" si="76"/>
        <v>5.5399999999999998E-2</v>
      </c>
      <c r="W33" s="660">
        <f t="shared" si="76"/>
        <v>5.5199999999999999E-2</v>
      </c>
      <c r="X33" s="660">
        <f t="shared" si="76"/>
        <v>5.5100000000000003E-2</v>
      </c>
      <c r="Y33" s="660">
        <f t="shared" si="76"/>
        <v>5.5100000000000003E-2</v>
      </c>
      <c r="Z33" s="660">
        <f t="shared" ref="Z33:AF33" si="77">ROUND(Z31/Z20,4)</f>
        <v>5.5100000000000003E-2</v>
      </c>
      <c r="AA33" s="660">
        <f t="shared" si="77"/>
        <v>5.5100000000000003E-2</v>
      </c>
      <c r="AB33" s="660">
        <f t="shared" si="77"/>
        <v>5.5100000000000003E-2</v>
      </c>
      <c r="AC33" s="660">
        <f t="shared" si="77"/>
        <v>5.5100000000000003E-2</v>
      </c>
      <c r="AD33" s="660">
        <f t="shared" si="77"/>
        <v>5.5100000000000003E-2</v>
      </c>
      <c r="AE33" s="660">
        <f t="shared" si="77"/>
        <v>5.4899999999999997E-2</v>
      </c>
      <c r="AF33" s="660">
        <f t="shared" si="77"/>
        <v>5.4899999999999997E-2</v>
      </c>
      <c r="AG33" s="660">
        <f t="shared" ref="AG33:AL33" si="78">ROUND(AG31/AG20,4)</f>
        <v>5.4899999999999997E-2</v>
      </c>
      <c r="AH33" s="660">
        <f t="shared" si="78"/>
        <v>5.4800000000000001E-2</v>
      </c>
      <c r="AI33" s="660">
        <f t="shared" si="78"/>
        <v>5.4800000000000001E-2</v>
      </c>
      <c r="AJ33" s="660">
        <f t="shared" si="78"/>
        <v>5.4800000000000001E-2</v>
      </c>
      <c r="AK33" s="660">
        <f t="shared" si="78"/>
        <v>5.4699999999999999E-2</v>
      </c>
      <c r="AL33" s="660">
        <f t="shared" si="78"/>
        <v>5.4699999999999999E-2</v>
      </c>
      <c r="AM33" s="660">
        <f t="shared" ref="AM33:AR33" si="79">ROUND(AM31/AM20,4)</f>
        <v>5.4699999999999999E-2</v>
      </c>
      <c r="AN33" s="660">
        <f t="shared" si="79"/>
        <v>5.4699999999999999E-2</v>
      </c>
      <c r="AO33" s="660">
        <f t="shared" si="79"/>
        <v>5.4600000000000003E-2</v>
      </c>
      <c r="AP33" s="660">
        <f t="shared" si="79"/>
        <v>5.4600000000000003E-2</v>
      </c>
      <c r="AQ33" s="660">
        <f t="shared" si="79"/>
        <v>5.4300000000000001E-2</v>
      </c>
      <c r="AR33" s="660">
        <f t="shared" si="79"/>
        <v>5.4199999999999998E-2</v>
      </c>
      <c r="AS33" s="660">
        <f t="shared" ref="AS33:AX33" si="80">ROUND(AS31/AS20,4)</f>
        <v>5.4100000000000002E-2</v>
      </c>
      <c r="AT33" s="660">
        <f t="shared" si="80"/>
        <v>5.4100000000000002E-2</v>
      </c>
      <c r="AU33" s="660">
        <f t="shared" si="80"/>
        <v>5.3999999999999999E-2</v>
      </c>
      <c r="AV33" s="660">
        <f t="shared" si="80"/>
        <v>5.3900000000000003E-2</v>
      </c>
      <c r="AW33" s="660">
        <f t="shared" si="80"/>
        <v>5.3900000000000003E-2</v>
      </c>
      <c r="AX33" s="661">
        <f t="shared" si="80"/>
        <v>5.3800000000000001E-2</v>
      </c>
      <c r="AY33" s="661">
        <f t="shared" ref="AY33:BG33" si="81">ROUND(AY31/AY20,4)</f>
        <v>5.3699999999999998E-2</v>
      </c>
      <c r="AZ33" s="661">
        <f t="shared" si="81"/>
        <v>5.3699999999999998E-2</v>
      </c>
      <c r="BA33" s="661">
        <f t="shared" si="81"/>
        <v>5.3600000000000002E-2</v>
      </c>
      <c r="BB33" s="661">
        <f t="shared" si="81"/>
        <v>5.3600000000000002E-2</v>
      </c>
      <c r="BC33" s="661">
        <f t="shared" si="81"/>
        <v>5.3400000000000003E-2</v>
      </c>
      <c r="BD33" s="661">
        <f t="shared" si="81"/>
        <v>5.3400000000000003E-2</v>
      </c>
      <c r="BE33" s="661">
        <f t="shared" si="81"/>
        <v>5.3400000000000003E-2</v>
      </c>
      <c r="BF33" s="661">
        <f t="shared" si="81"/>
        <v>5.33E-2</v>
      </c>
      <c r="BG33" s="661">
        <f t="shared" si="81"/>
        <v>5.33E-2</v>
      </c>
      <c r="BH33" s="661">
        <f t="shared" ref="BH33:BM33" si="82">ROUND(BH31/BH20,4)</f>
        <v>5.33E-2</v>
      </c>
      <c r="BI33" s="661">
        <f t="shared" si="82"/>
        <v>5.33E-2</v>
      </c>
      <c r="BJ33" s="661">
        <f t="shared" si="82"/>
        <v>5.33E-2</v>
      </c>
      <c r="BK33" s="661">
        <f t="shared" si="82"/>
        <v>5.33E-2</v>
      </c>
      <c r="BL33" s="661">
        <f t="shared" si="82"/>
        <v>5.3199999999999997E-2</v>
      </c>
      <c r="BM33" s="661">
        <f t="shared" si="82"/>
        <v>5.3199999999999997E-2</v>
      </c>
      <c r="BN33" s="661">
        <f t="shared" ref="BN33:BS33" si="83">ROUND(BN31/BN20,4)</f>
        <v>5.3199999999999997E-2</v>
      </c>
      <c r="BO33" s="661">
        <f t="shared" si="83"/>
        <v>5.3199999999999997E-2</v>
      </c>
      <c r="BP33" s="661">
        <f t="shared" si="83"/>
        <v>5.3199999999999997E-2</v>
      </c>
      <c r="BQ33" s="661">
        <f t="shared" si="83"/>
        <v>5.3199999999999997E-2</v>
      </c>
      <c r="BR33" s="661">
        <f t="shared" si="83"/>
        <v>5.3199999999999997E-2</v>
      </c>
      <c r="BS33" s="661">
        <f t="shared" si="83"/>
        <v>5.3199999999999997E-2</v>
      </c>
      <c r="BT33" s="661">
        <f t="shared" ref="BT33:BY33" si="84">ROUND(BT31/BT20,4)</f>
        <v>5.3199999999999997E-2</v>
      </c>
      <c r="BU33" s="661">
        <f t="shared" si="84"/>
        <v>5.3199999999999997E-2</v>
      </c>
      <c r="BV33" s="661">
        <f t="shared" si="84"/>
        <v>5.3199999999999997E-2</v>
      </c>
      <c r="BW33" s="661">
        <f t="shared" si="84"/>
        <v>5.3199999999999997E-2</v>
      </c>
      <c r="BX33" s="661">
        <f t="shared" si="84"/>
        <v>5.3199999999999997E-2</v>
      </c>
      <c r="BY33" s="661">
        <f t="shared" si="84"/>
        <v>5.3199999999999997E-2</v>
      </c>
      <c r="BZ33" s="661">
        <f t="shared" ref="BZ33:CE33" si="85">ROUND(BZ31/BZ20,4)</f>
        <v>5.3199999999999997E-2</v>
      </c>
      <c r="CA33" s="661">
        <f t="shared" si="85"/>
        <v>5.3400000000000003E-2</v>
      </c>
      <c r="CB33" s="836">
        <f t="shared" si="85"/>
        <v>5.2699999999999997E-2</v>
      </c>
      <c r="CC33" s="836">
        <f t="shared" si="85"/>
        <v>5.2200000000000003E-2</v>
      </c>
      <c r="CD33" s="836">
        <f t="shared" si="85"/>
        <v>5.1799999999999999E-2</v>
      </c>
      <c r="CE33" s="836">
        <f t="shared" si="85"/>
        <v>5.1299999999999998E-2</v>
      </c>
      <c r="CF33" s="836">
        <f t="shared" ref="CF33:CK33" si="86">ROUND(CF31/CF20,4)</f>
        <v>5.0900000000000001E-2</v>
      </c>
      <c r="CG33" s="836">
        <f t="shared" si="86"/>
        <v>5.04E-2</v>
      </c>
      <c r="CH33" s="836">
        <f t="shared" si="86"/>
        <v>0.05</v>
      </c>
      <c r="CI33" s="836">
        <f t="shared" si="86"/>
        <v>4.9599999999999998E-2</v>
      </c>
      <c r="CJ33" s="836">
        <f t="shared" si="86"/>
        <v>4.9200000000000001E-2</v>
      </c>
      <c r="CK33" s="836">
        <f t="shared" si="86"/>
        <v>4.8899999999999999E-2</v>
      </c>
      <c r="CL33" s="836">
        <f t="shared" ref="CL33:CQ33" si="87">ROUND(CL31/CL20,4)</f>
        <v>4.8500000000000001E-2</v>
      </c>
      <c r="CM33" s="836">
        <f t="shared" si="87"/>
        <v>4.8599999999999997E-2</v>
      </c>
      <c r="CN33" s="836">
        <f t="shared" si="87"/>
        <v>4.7899999999999998E-2</v>
      </c>
      <c r="CO33" s="836">
        <f t="shared" si="87"/>
        <v>4.7699999999999999E-2</v>
      </c>
      <c r="CP33" s="836">
        <f t="shared" si="87"/>
        <v>4.7699999999999999E-2</v>
      </c>
      <c r="CQ33" s="836">
        <f t="shared" si="87"/>
        <v>4.7600000000000003E-2</v>
      </c>
      <c r="CR33" s="836">
        <f t="shared" ref="CR33:CW33" si="88">ROUND(CR31/CR20,4)</f>
        <v>4.7300000000000002E-2</v>
      </c>
      <c r="CS33" s="836">
        <f t="shared" si="88"/>
        <v>4.7300000000000002E-2</v>
      </c>
      <c r="CT33" s="836">
        <f t="shared" si="88"/>
        <v>4.7300000000000002E-2</v>
      </c>
      <c r="CU33" s="836">
        <f t="shared" si="88"/>
        <v>4.7199999999999999E-2</v>
      </c>
      <c r="CV33" s="836">
        <f t="shared" si="88"/>
        <v>4.7199999999999999E-2</v>
      </c>
      <c r="CW33" s="836">
        <f t="shared" si="88"/>
        <v>4.7100000000000003E-2</v>
      </c>
      <c r="CX33" s="836">
        <f t="shared" ref="CX33:DC33" si="89">ROUND(CX31/CX20,4)</f>
        <v>4.7100000000000003E-2</v>
      </c>
      <c r="CY33" s="836">
        <f t="shared" si="89"/>
        <v>4.7100000000000003E-2</v>
      </c>
      <c r="CZ33" s="836">
        <f t="shared" si="89"/>
        <v>4.7E-2</v>
      </c>
      <c r="DA33" s="836">
        <f t="shared" si="89"/>
        <v>4.6899999999999997E-2</v>
      </c>
      <c r="DB33" s="836">
        <f t="shared" si="89"/>
        <v>4.6899999999999997E-2</v>
      </c>
      <c r="DC33" s="836">
        <f t="shared" si="89"/>
        <v>4.6899999999999997E-2</v>
      </c>
      <c r="DD33" s="836">
        <f t="shared" ref="DD33:DI33" si="90">ROUND(DD31/DD20,4)</f>
        <v>4.6899999999999997E-2</v>
      </c>
      <c r="DE33" s="836">
        <f t="shared" si="90"/>
        <v>4.6899999999999997E-2</v>
      </c>
      <c r="DF33" s="836">
        <f t="shared" si="90"/>
        <v>4.6899999999999997E-2</v>
      </c>
      <c r="DG33" s="836">
        <f t="shared" si="90"/>
        <v>4.6899999999999997E-2</v>
      </c>
      <c r="DH33" s="836">
        <f t="shared" si="90"/>
        <v>4.6899999999999997E-2</v>
      </c>
      <c r="DI33" s="836">
        <f t="shared" si="90"/>
        <v>4.5499999999999999E-2</v>
      </c>
      <c r="DJ33" s="836">
        <f t="shared" ref="DJ33:DO33" si="91">ROUND(DJ31/DJ20,4)</f>
        <v>4.4900000000000002E-2</v>
      </c>
      <c r="DK33" s="836">
        <f t="shared" si="91"/>
        <v>4.4299999999999999E-2</v>
      </c>
      <c r="DL33" s="836">
        <f t="shared" si="91"/>
        <v>4.3900000000000002E-2</v>
      </c>
      <c r="DM33" s="836">
        <f t="shared" si="91"/>
        <v>4.3299999999999998E-2</v>
      </c>
      <c r="DN33" s="836">
        <f t="shared" si="91"/>
        <v>4.2799999999999998E-2</v>
      </c>
      <c r="DO33" s="836">
        <f t="shared" si="91"/>
        <v>4.2000000000000003E-2</v>
      </c>
      <c r="DP33" s="836">
        <f>ROUND(DP31/DP20,4)</f>
        <v>4.1500000000000002E-2</v>
      </c>
      <c r="DQ33" s="836">
        <f>ROUND(DQ31/DQ20,4)</f>
        <v>4.1099999999999998E-2</v>
      </c>
      <c r="DR33" s="836">
        <f>ROUND(DR31/DR20,4)</f>
        <v>4.07E-2</v>
      </c>
    </row>
    <row r="34" spans="1:122">
      <c r="N34" s="645"/>
      <c r="O34" s="645"/>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45"/>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645"/>
      <c r="CH34" s="645"/>
      <c r="CI34" s="645"/>
      <c r="CJ34" s="645"/>
      <c r="CK34" s="645"/>
      <c r="CL34" s="645"/>
      <c r="CM34" s="645"/>
      <c r="CN34" s="645"/>
      <c r="CO34" s="645"/>
      <c r="CP34" s="645"/>
      <c r="CQ34" s="645"/>
      <c r="CR34" s="645"/>
      <c r="CS34" s="645"/>
      <c r="CT34" s="645"/>
      <c r="CU34" s="645"/>
      <c r="CV34" s="645"/>
      <c r="CW34" s="645"/>
      <c r="CX34" s="645"/>
      <c r="CY34" s="645"/>
      <c r="CZ34" s="645"/>
      <c r="DA34" s="645"/>
      <c r="DB34" s="645"/>
      <c r="DC34" s="645"/>
      <c r="DD34" s="645"/>
      <c r="DE34" s="645"/>
      <c r="DF34" s="645"/>
      <c r="DG34" s="645"/>
      <c r="DH34" s="645"/>
      <c r="DI34" s="645"/>
      <c r="DJ34" s="645"/>
      <c r="DK34" s="645"/>
      <c r="DL34" s="645"/>
      <c r="DM34" s="645"/>
      <c r="DN34" s="645"/>
      <c r="DO34" s="645"/>
      <c r="DP34" s="645"/>
      <c r="DQ34" s="645"/>
      <c r="DR34" s="645"/>
    </row>
    <row r="35" spans="1:122" ht="15">
      <c r="B35" s="633" t="s">
        <v>564</v>
      </c>
      <c r="N35" s="660"/>
      <c r="O35" s="660">
        <f t="shared" ref="O35:Y35" si="92">ROUND(O31/O18,4)</f>
        <v>6.1600000000000002E-2</v>
      </c>
      <c r="P35" s="660">
        <f t="shared" si="92"/>
        <v>6.0600000000000001E-2</v>
      </c>
      <c r="Q35" s="660">
        <f t="shared" si="92"/>
        <v>5.9700000000000003E-2</v>
      </c>
      <c r="R35" s="660">
        <f t="shared" si="92"/>
        <v>5.8700000000000002E-2</v>
      </c>
      <c r="S35" s="660">
        <f t="shared" si="92"/>
        <v>5.7799999999999997E-2</v>
      </c>
      <c r="T35" s="660">
        <f t="shared" si="92"/>
        <v>5.6399999999999999E-2</v>
      </c>
      <c r="U35" s="660">
        <f t="shared" si="92"/>
        <v>5.5300000000000002E-2</v>
      </c>
      <c r="V35" s="660">
        <f t="shared" si="92"/>
        <v>5.4899999999999997E-2</v>
      </c>
      <c r="W35" s="660">
        <f t="shared" si="92"/>
        <v>5.5100000000000003E-2</v>
      </c>
      <c r="X35" s="660">
        <f t="shared" si="92"/>
        <v>5.5100000000000003E-2</v>
      </c>
      <c r="Y35" s="660">
        <f t="shared" si="92"/>
        <v>5.5E-2</v>
      </c>
      <c r="Z35" s="660">
        <f t="shared" ref="Z35:AF35" si="93">ROUND(Z31/Z18,4)</f>
        <v>5.5E-2</v>
      </c>
      <c r="AA35" s="660">
        <f t="shared" si="93"/>
        <v>5.5E-2</v>
      </c>
      <c r="AB35" s="660">
        <f t="shared" si="93"/>
        <v>5.5E-2</v>
      </c>
      <c r="AC35" s="660">
        <f t="shared" si="93"/>
        <v>5.5E-2</v>
      </c>
      <c r="AD35" s="660">
        <f t="shared" si="93"/>
        <v>5.5E-2</v>
      </c>
      <c r="AE35" s="660">
        <f t="shared" si="93"/>
        <v>5.28E-2</v>
      </c>
      <c r="AF35" s="660">
        <f t="shared" si="93"/>
        <v>5.2900000000000003E-2</v>
      </c>
      <c r="AG35" s="660">
        <f t="shared" ref="AG35:AL35" si="94">ROUND(AG31/AG18,4)</f>
        <v>5.3100000000000001E-2</v>
      </c>
      <c r="AH35" s="660">
        <f t="shared" si="94"/>
        <v>5.3199999999999997E-2</v>
      </c>
      <c r="AI35" s="660">
        <f t="shared" si="94"/>
        <v>5.33E-2</v>
      </c>
      <c r="AJ35" s="660">
        <f t="shared" si="94"/>
        <v>5.3499999999999999E-2</v>
      </c>
      <c r="AK35" s="660">
        <f t="shared" si="94"/>
        <v>5.3600000000000002E-2</v>
      </c>
      <c r="AL35" s="660">
        <f t="shared" si="94"/>
        <v>5.3800000000000001E-2</v>
      </c>
      <c r="AM35" s="660">
        <f t="shared" ref="AM35:AR35" si="95">ROUND(AM31/AM18,4)</f>
        <v>5.3900000000000003E-2</v>
      </c>
      <c r="AN35" s="660">
        <f t="shared" si="95"/>
        <v>5.4100000000000002E-2</v>
      </c>
      <c r="AO35" s="660">
        <f t="shared" si="95"/>
        <v>5.4199999999999998E-2</v>
      </c>
      <c r="AP35" s="660">
        <f t="shared" si="95"/>
        <v>5.4300000000000001E-2</v>
      </c>
      <c r="AQ35" s="660">
        <f t="shared" si="95"/>
        <v>5.0299999999999997E-2</v>
      </c>
      <c r="AR35" s="660">
        <f t="shared" si="95"/>
        <v>5.0599999999999999E-2</v>
      </c>
      <c r="AS35" s="660">
        <f t="shared" ref="AS35:AX35" si="96">ROUND(AS31/AS18,4)</f>
        <v>5.0799999999999998E-2</v>
      </c>
      <c r="AT35" s="660">
        <f t="shared" si="96"/>
        <v>5.11E-2</v>
      </c>
      <c r="AU35" s="660">
        <f t="shared" si="96"/>
        <v>5.1400000000000001E-2</v>
      </c>
      <c r="AV35" s="660">
        <f t="shared" si="96"/>
        <v>5.16E-2</v>
      </c>
      <c r="AW35" s="660">
        <f t="shared" si="96"/>
        <v>5.1900000000000002E-2</v>
      </c>
      <c r="AX35" s="661">
        <f t="shared" si="96"/>
        <v>5.21E-2</v>
      </c>
      <c r="AY35" s="661">
        <f t="shared" ref="AY35:BG35" si="97">ROUND(AY31/AY18,4)</f>
        <v>5.2400000000000002E-2</v>
      </c>
      <c r="AZ35" s="661">
        <f t="shared" si="97"/>
        <v>5.2699999999999997E-2</v>
      </c>
      <c r="BA35" s="661">
        <f t="shared" si="97"/>
        <v>5.2900000000000003E-2</v>
      </c>
      <c r="BB35" s="661">
        <f t="shared" si="97"/>
        <v>5.3199999999999997E-2</v>
      </c>
      <c r="BC35" s="661">
        <f t="shared" si="97"/>
        <v>5.33E-2</v>
      </c>
      <c r="BD35" s="661">
        <f t="shared" si="97"/>
        <v>5.33E-2</v>
      </c>
      <c r="BE35" s="661">
        <f t="shared" si="97"/>
        <v>5.33E-2</v>
      </c>
      <c r="BF35" s="661">
        <f t="shared" si="97"/>
        <v>5.3199999999999997E-2</v>
      </c>
      <c r="BG35" s="661">
        <f t="shared" si="97"/>
        <v>5.3199999999999997E-2</v>
      </c>
      <c r="BH35" s="661">
        <f t="shared" ref="BH35:BM35" si="98">ROUND(BH31/BH18,4)</f>
        <v>5.3199999999999997E-2</v>
      </c>
      <c r="BI35" s="661">
        <f t="shared" si="98"/>
        <v>5.3199999999999997E-2</v>
      </c>
      <c r="BJ35" s="661">
        <f t="shared" si="98"/>
        <v>5.3199999999999997E-2</v>
      </c>
      <c r="BK35" s="661">
        <f t="shared" si="98"/>
        <v>5.3199999999999997E-2</v>
      </c>
      <c r="BL35" s="661">
        <f t="shared" si="98"/>
        <v>5.3199999999999997E-2</v>
      </c>
      <c r="BM35" s="661">
        <f t="shared" si="98"/>
        <v>5.3199999999999997E-2</v>
      </c>
      <c r="BN35" s="661">
        <f t="shared" ref="BN35:BS35" si="99">ROUND(BN31/BN18,4)</f>
        <v>5.3199999999999997E-2</v>
      </c>
      <c r="BO35" s="661">
        <f t="shared" si="99"/>
        <v>5.3199999999999997E-2</v>
      </c>
      <c r="BP35" s="661">
        <f t="shared" si="99"/>
        <v>5.3199999999999997E-2</v>
      </c>
      <c r="BQ35" s="661">
        <f t="shared" si="99"/>
        <v>5.3100000000000001E-2</v>
      </c>
      <c r="BR35" s="661">
        <f t="shared" si="99"/>
        <v>5.3199999999999997E-2</v>
      </c>
      <c r="BS35" s="661">
        <f t="shared" si="99"/>
        <v>5.3199999999999997E-2</v>
      </c>
      <c r="BT35" s="661">
        <f t="shared" ref="BT35:BY35" si="100">ROUND(BT31/BT18,4)</f>
        <v>5.3199999999999997E-2</v>
      </c>
      <c r="BU35" s="661">
        <f t="shared" si="100"/>
        <v>5.3100000000000001E-2</v>
      </c>
      <c r="BV35" s="661">
        <f t="shared" si="100"/>
        <v>5.3100000000000001E-2</v>
      </c>
      <c r="BW35" s="661">
        <f t="shared" si="100"/>
        <v>5.3100000000000001E-2</v>
      </c>
      <c r="BX35" s="661">
        <f t="shared" si="100"/>
        <v>5.3100000000000001E-2</v>
      </c>
      <c r="BY35" s="661">
        <f t="shared" si="100"/>
        <v>5.3100000000000001E-2</v>
      </c>
      <c r="BZ35" s="661">
        <f t="shared" ref="BZ35:CE35" si="101">ROUND(BZ31/BZ18,4)</f>
        <v>5.3100000000000001E-2</v>
      </c>
      <c r="CA35" s="661">
        <f t="shared" si="101"/>
        <v>6.5100000000000005E-2</v>
      </c>
      <c r="CB35" s="836">
        <f t="shared" si="101"/>
        <v>4.7800000000000002E-2</v>
      </c>
      <c r="CC35" s="836">
        <f t="shared" si="101"/>
        <v>4.7800000000000002E-2</v>
      </c>
      <c r="CD35" s="836">
        <f t="shared" si="101"/>
        <v>4.7699999999999999E-2</v>
      </c>
      <c r="CE35" s="836">
        <f t="shared" si="101"/>
        <v>4.7600000000000003E-2</v>
      </c>
      <c r="CF35" s="836">
        <f t="shared" ref="CF35:CK35" si="102">ROUND(CF31/CF18,4)</f>
        <v>4.3999999999999997E-2</v>
      </c>
      <c r="CG35" s="836">
        <f t="shared" si="102"/>
        <v>4.4299999999999999E-2</v>
      </c>
      <c r="CH35" s="836">
        <f t="shared" si="102"/>
        <v>4.4499999999999998E-2</v>
      </c>
      <c r="CI35" s="836">
        <f t="shared" si="102"/>
        <v>4.48E-2</v>
      </c>
      <c r="CJ35" s="836">
        <f t="shared" si="102"/>
        <v>4.4999999999999998E-2</v>
      </c>
      <c r="CK35" s="836">
        <f t="shared" si="102"/>
        <v>4.53E-2</v>
      </c>
      <c r="CL35" s="836">
        <f t="shared" ref="CL35:CQ35" si="103">ROUND(CL31/CL18,4)</f>
        <v>4.5499999999999999E-2</v>
      </c>
      <c r="CM35" s="836">
        <f t="shared" si="103"/>
        <v>4.6199999999999998E-2</v>
      </c>
      <c r="CN35" s="836">
        <f t="shared" si="103"/>
        <v>4.6699999999999998E-2</v>
      </c>
      <c r="CO35" s="836">
        <f t="shared" si="103"/>
        <v>4.36E-2</v>
      </c>
      <c r="CP35" s="836">
        <f t="shared" si="103"/>
        <v>4.41E-2</v>
      </c>
      <c r="CQ35" s="836">
        <f t="shared" si="103"/>
        <v>4.4699999999999997E-2</v>
      </c>
      <c r="CR35" s="836">
        <f t="shared" ref="CR35:CW35" si="104">ROUND(CR31/CR18,4)</f>
        <v>4.4900000000000002E-2</v>
      </c>
      <c r="CS35" s="836">
        <f t="shared" si="104"/>
        <v>4.5199999999999997E-2</v>
      </c>
      <c r="CT35" s="836">
        <f t="shared" si="104"/>
        <v>4.5400000000000003E-2</v>
      </c>
      <c r="CU35" s="836">
        <f t="shared" si="104"/>
        <v>4.5600000000000002E-2</v>
      </c>
      <c r="CV35" s="836">
        <f t="shared" si="104"/>
        <v>4.5900000000000003E-2</v>
      </c>
      <c r="CW35" s="836">
        <f t="shared" si="104"/>
        <v>4.6100000000000002E-2</v>
      </c>
      <c r="CX35" s="836">
        <f t="shared" ref="CX35:DC35" si="105">ROUND(CX31/CX18,4)</f>
        <v>4.6300000000000001E-2</v>
      </c>
      <c r="CY35" s="836">
        <f t="shared" si="105"/>
        <v>4.65E-2</v>
      </c>
      <c r="CZ35" s="836">
        <f t="shared" si="105"/>
        <v>4.6800000000000001E-2</v>
      </c>
      <c r="DA35" s="836">
        <f t="shared" si="105"/>
        <v>4.6899999999999997E-2</v>
      </c>
      <c r="DB35" s="836">
        <f t="shared" si="105"/>
        <v>4.6899999999999997E-2</v>
      </c>
      <c r="DC35" s="836">
        <f t="shared" si="105"/>
        <v>4.6899999999999997E-2</v>
      </c>
      <c r="DD35" s="836">
        <f t="shared" ref="DD35:DI35" si="106">ROUND(DD31/DD18,4)</f>
        <v>4.6899999999999997E-2</v>
      </c>
      <c r="DE35" s="836">
        <f t="shared" si="106"/>
        <v>4.6899999999999997E-2</v>
      </c>
      <c r="DF35" s="836">
        <f t="shared" si="106"/>
        <v>4.6899999999999997E-2</v>
      </c>
      <c r="DG35" s="836">
        <f t="shared" si="106"/>
        <v>4.6899999999999997E-2</v>
      </c>
      <c r="DH35" s="836">
        <f t="shared" si="106"/>
        <v>4.6899999999999997E-2</v>
      </c>
      <c r="DI35" s="836">
        <f t="shared" si="106"/>
        <v>2.8500000000000001E-2</v>
      </c>
      <c r="DJ35" s="836">
        <f t="shared" ref="DJ35:DO35" si="107">ROUND(DJ31/DJ18,4)</f>
        <v>2.9499999999999998E-2</v>
      </c>
      <c r="DK35" s="836">
        <f t="shared" si="107"/>
        <v>3.2899999999999999E-2</v>
      </c>
      <c r="DL35" s="836">
        <f t="shared" si="107"/>
        <v>3.3799999999999997E-2</v>
      </c>
      <c r="DM35" s="836">
        <f t="shared" si="107"/>
        <v>3.4500000000000003E-2</v>
      </c>
      <c r="DN35" s="836">
        <f t="shared" si="107"/>
        <v>3.5299999999999998E-2</v>
      </c>
      <c r="DO35" s="836">
        <f t="shared" si="107"/>
        <v>3.5799999999999998E-2</v>
      </c>
      <c r="DP35" s="836">
        <f>ROUND(DP31/DP18,4)</f>
        <v>3.6499999999999998E-2</v>
      </c>
      <c r="DQ35" s="836">
        <f>ROUND(DQ31/DQ18,4)</f>
        <v>3.7199999999999997E-2</v>
      </c>
      <c r="DR35" s="836">
        <f>ROUND(DR31/DR18,4)</f>
        <v>3.7900000000000003E-2</v>
      </c>
    </row>
    <row r="36" spans="1:122">
      <c r="A36" s="644"/>
    </row>
    <row r="37" spans="1:122">
      <c r="A37" s="644"/>
      <c r="B37" s="645"/>
      <c r="C37" s="645"/>
      <c r="D37" s="645"/>
      <c r="E37" s="645"/>
      <c r="F37" s="645"/>
      <c r="G37" s="645"/>
      <c r="H37" s="645"/>
      <c r="I37" s="645"/>
      <c r="J37" s="645"/>
      <c r="K37" s="645"/>
      <c r="L37" s="645"/>
      <c r="M37" s="645"/>
      <c r="N37" s="645"/>
      <c r="O37" s="645"/>
      <c r="P37" s="645"/>
      <c r="Q37" s="645"/>
      <c r="R37" s="645"/>
      <c r="S37" s="645"/>
      <c r="U37" s="645"/>
      <c r="V37" s="645"/>
      <c r="W37" s="645"/>
      <c r="X37" s="645"/>
      <c r="Y37" s="645"/>
      <c r="Z37" s="645"/>
      <c r="AA37" s="645"/>
      <c r="AB37" s="645"/>
      <c r="AC37" s="645"/>
      <c r="AD37" s="645"/>
      <c r="AE37" s="645"/>
      <c r="AF37" s="645"/>
      <c r="AG37" s="645"/>
      <c r="AH37" s="645"/>
      <c r="AI37" s="645"/>
    </row>
    <row r="38" spans="1:122" ht="15.75">
      <c r="A38" s="637" t="s">
        <v>560</v>
      </c>
      <c r="B38" s="662"/>
      <c r="C38" s="662"/>
      <c r="D38" s="662"/>
      <c r="E38" s="662"/>
      <c r="F38" s="662"/>
      <c r="G38" s="662"/>
      <c r="H38" s="662"/>
      <c r="I38" s="662"/>
      <c r="J38" s="662"/>
      <c r="K38" s="662"/>
      <c r="L38" s="662"/>
      <c r="M38" s="662"/>
      <c r="N38" s="662"/>
    </row>
    <row r="39" spans="1:122" ht="15">
      <c r="O39" s="636"/>
      <c r="P39" s="636"/>
      <c r="Q39" s="636"/>
      <c r="R39" s="636"/>
      <c r="S39" s="636"/>
      <c r="U39" s="639"/>
      <c r="V39" s="640"/>
    </row>
    <row r="40" spans="1:122">
      <c r="B40" s="642" t="s">
        <v>562</v>
      </c>
      <c r="C40" s="643">
        <f t="shared" ref="C40:AH40" si="108">C12</f>
        <v>40911</v>
      </c>
      <c r="D40" s="643">
        <f t="shared" si="108"/>
        <v>40941</v>
      </c>
      <c r="E40" s="643">
        <f t="shared" si="108"/>
        <v>40971</v>
      </c>
      <c r="F40" s="643">
        <f t="shared" si="108"/>
        <v>41001</v>
      </c>
      <c r="G40" s="643">
        <f t="shared" si="108"/>
        <v>41031</v>
      </c>
      <c r="H40" s="643">
        <f t="shared" si="108"/>
        <v>41061</v>
      </c>
      <c r="I40" s="643">
        <f t="shared" si="108"/>
        <v>41091</v>
      </c>
      <c r="J40" s="643">
        <f t="shared" si="108"/>
        <v>41122</v>
      </c>
      <c r="K40" s="643">
        <f t="shared" si="108"/>
        <v>41153</v>
      </c>
      <c r="L40" s="643">
        <f t="shared" si="108"/>
        <v>41184</v>
      </c>
      <c r="M40" s="643">
        <f t="shared" si="108"/>
        <v>41215</v>
      </c>
      <c r="N40" s="643">
        <f t="shared" si="108"/>
        <v>41246</v>
      </c>
      <c r="O40" s="643">
        <f t="shared" si="108"/>
        <v>41277</v>
      </c>
      <c r="P40" s="643">
        <f t="shared" si="108"/>
        <v>41308</v>
      </c>
      <c r="Q40" s="643">
        <f t="shared" si="108"/>
        <v>41339</v>
      </c>
      <c r="R40" s="643">
        <f t="shared" si="108"/>
        <v>41370</v>
      </c>
      <c r="S40" s="643">
        <f t="shared" si="108"/>
        <v>41401</v>
      </c>
      <c r="T40" s="643">
        <f t="shared" si="108"/>
        <v>41432</v>
      </c>
      <c r="U40" s="643">
        <f t="shared" si="108"/>
        <v>41463</v>
      </c>
      <c r="V40" s="643">
        <f t="shared" si="108"/>
        <v>41494</v>
      </c>
      <c r="W40" s="643">
        <f t="shared" si="108"/>
        <v>41525</v>
      </c>
      <c r="X40" s="643">
        <f t="shared" si="108"/>
        <v>41556</v>
      </c>
      <c r="Y40" s="643">
        <f t="shared" si="108"/>
        <v>41587</v>
      </c>
      <c r="Z40" s="643">
        <f t="shared" si="108"/>
        <v>41618</v>
      </c>
      <c r="AA40" s="643">
        <f t="shared" si="108"/>
        <v>41649</v>
      </c>
      <c r="AB40" s="643">
        <f t="shared" si="108"/>
        <v>41680</v>
      </c>
      <c r="AC40" s="643">
        <f t="shared" si="108"/>
        <v>41711</v>
      </c>
      <c r="AD40" s="643">
        <f t="shared" si="108"/>
        <v>41742</v>
      </c>
      <c r="AE40" s="643">
        <f t="shared" si="108"/>
        <v>41773</v>
      </c>
      <c r="AF40" s="643">
        <f t="shared" si="108"/>
        <v>41804</v>
      </c>
      <c r="AG40" s="643">
        <f t="shared" si="108"/>
        <v>41835</v>
      </c>
      <c r="AH40" s="643">
        <f t="shared" si="108"/>
        <v>41866</v>
      </c>
      <c r="AI40" s="643">
        <f t="shared" ref="AI40:BN40" si="109">AI12</f>
        <v>41897</v>
      </c>
      <c r="AJ40" s="643">
        <f t="shared" si="109"/>
        <v>41928</v>
      </c>
      <c r="AK40" s="643">
        <f t="shared" si="109"/>
        <v>41959</v>
      </c>
      <c r="AL40" s="643">
        <f t="shared" si="109"/>
        <v>41990</v>
      </c>
      <c r="AM40" s="643">
        <f t="shared" si="109"/>
        <v>42021</v>
      </c>
      <c r="AN40" s="643">
        <f t="shared" si="109"/>
        <v>42052</v>
      </c>
      <c r="AO40" s="643">
        <f t="shared" si="109"/>
        <v>42083</v>
      </c>
      <c r="AP40" s="643">
        <f t="shared" si="109"/>
        <v>42114</v>
      </c>
      <c r="AQ40" s="643">
        <f t="shared" si="109"/>
        <v>42145</v>
      </c>
      <c r="AR40" s="643">
        <f t="shared" si="109"/>
        <v>42176</v>
      </c>
      <c r="AS40" s="643">
        <f t="shared" si="109"/>
        <v>42207</v>
      </c>
      <c r="AT40" s="643">
        <f t="shared" si="109"/>
        <v>42238</v>
      </c>
      <c r="AU40" s="643">
        <f t="shared" si="109"/>
        <v>42269</v>
      </c>
      <c r="AV40" s="643">
        <f t="shared" si="109"/>
        <v>42300</v>
      </c>
      <c r="AW40" s="643">
        <f t="shared" si="109"/>
        <v>42331</v>
      </c>
      <c r="AX40" s="643">
        <f t="shared" si="109"/>
        <v>42362</v>
      </c>
      <c r="AY40" s="643">
        <f t="shared" si="109"/>
        <v>42393</v>
      </c>
      <c r="AZ40" s="643">
        <f t="shared" si="109"/>
        <v>42424</v>
      </c>
      <c r="BA40" s="643">
        <f t="shared" si="109"/>
        <v>42455</v>
      </c>
      <c r="BB40" s="643">
        <f t="shared" si="109"/>
        <v>42486</v>
      </c>
      <c r="BC40" s="643">
        <f t="shared" si="109"/>
        <v>42517</v>
      </c>
      <c r="BD40" s="643">
        <f t="shared" si="109"/>
        <v>42548</v>
      </c>
      <c r="BE40" s="643">
        <f t="shared" si="109"/>
        <v>42579</v>
      </c>
      <c r="BF40" s="643">
        <f t="shared" si="109"/>
        <v>42610</v>
      </c>
      <c r="BG40" s="643">
        <f t="shared" si="109"/>
        <v>42641</v>
      </c>
      <c r="BH40" s="643">
        <f t="shared" si="109"/>
        <v>42672</v>
      </c>
      <c r="BI40" s="643">
        <f t="shared" si="109"/>
        <v>42703</v>
      </c>
      <c r="BJ40" s="643">
        <f t="shared" si="109"/>
        <v>42734</v>
      </c>
      <c r="BK40" s="643">
        <f t="shared" si="109"/>
        <v>42765</v>
      </c>
      <c r="BL40" s="643">
        <f t="shared" si="109"/>
        <v>42793</v>
      </c>
      <c r="BM40" s="643">
        <f t="shared" si="109"/>
        <v>42824</v>
      </c>
      <c r="BN40" s="643">
        <f t="shared" si="109"/>
        <v>42855</v>
      </c>
      <c r="BO40" s="643">
        <f t="shared" ref="BO40:CT40" si="110">BO12</f>
        <v>42886</v>
      </c>
      <c r="BP40" s="643">
        <f t="shared" si="110"/>
        <v>42916</v>
      </c>
      <c r="BQ40" s="643">
        <f t="shared" si="110"/>
        <v>42946</v>
      </c>
      <c r="BR40" s="643">
        <f t="shared" si="110"/>
        <v>42976</v>
      </c>
      <c r="BS40" s="643">
        <f t="shared" si="110"/>
        <v>43006</v>
      </c>
      <c r="BT40" s="643">
        <f t="shared" si="110"/>
        <v>43036</v>
      </c>
      <c r="BU40" s="643">
        <f t="shared" si="110"/>
        <v>43066</v>
      </c>
      <c r="BV40" s="643">
        <f t="shared" si="110"/>
        <v>43096</v>
      </c>
      <c r="BW40" s="643">
        <f t="shared" si="110"/>
        <v>43126</v>
      </c>
      <c r="BX40" s="643">
        <f t="shared" si="110"/>
        <v>43156</v>
      </c>
      <c r="BY40" s="643">
        <f t="shared" si="110"/>
        <v>43186</v>
      </c>
      <c r="BZ40" s="643">
        <f t="shared" si="110"/>
        <v>43216</v>
      </c>
      <c r="CA40" s="643">
        <f t="shared" si="110"/>
        <v>43246</v>
      </c>
      <c r="CB40" s="643">
        <f t="shared" si="110"/>
        <v>43276</v>
      </c>
      <c r="CC40" s="643">
        <f t="shared" si="110"/>
        <v>43306</v>
      </c>
      <c r="CD40" s="643">
        <f t="shared" si="110"/>
        <v>43336</v>
      </c>
      <c r="CE40" s="643">
        <f t="shared" si="110"/>
        <v>43366</v>
      </c>
      <c r="CF40" s="643">
        <f t="shared" si="110"/>
        <v>43396</v>
      </c>
      <c r="CG40" s="643">
        <f t="shared" si="110"/>
        <v>43426</v>
      </c>
      <c r="CH40" s="643">
        <f t="shared" si="110"/>
        <v>43456</v>
      </c>
      <c r="CI40" s="643">
        <f t="shared" si="110"/>
        <v>43486</v>
      </c>
      <c r="CJ40" s="643">
        <f t="shared" si="110"/>
        <v>43516</v>
      </c>
      <c r="CK40" s="643">
        <f t="shared" si="110"/>
        <v>43546</v>
      </c>
      <c r="CL40" s="643">
        <f t="shared" si="110"/>
        <v>43576</v>
      </c>
      <c r="CM40" s="643">
        <f t="shared" si="110"/>
        <v>43606</v>
      </c>
      <c r="CN40" s="643">
        <f t="shared" si="110"/>
        <v>43636</v>
      </c>
      <c r="CO40" s="643">
        <f t="shared" si="110"/>
        <v>43666</v>
      </c>
      <c r="CP40" s="643">
        <f t="shared" si="110"/>
        <v>43696</v>
      </c>
      <c r="CQ40" s="643">
        <f t="shared" si="110"/>
        <v>43726</v>
      </c>
      <c r="CR40" s="643">
        <f t="shared" si="110"/>
        <v>43756</v>
      </c>
      <c r="CS40" s="643">
        <f t="shared" si="110"/>
        <v>43786</v>
      </c>
      <c r="CT40" s="643">
        <f t="shared" si="110"/>
        <v>43816</v>
      </c>
      <c r="CU40" s="643">
        <f t="shared" ref="CU40:CZ40" si="111">CU12</f>
        <v>43846</v>
      </c>
      <c r="CV40" s="643">
        <f t="shared" si="111"/>
        <v>43876</v>
      </c>
      <c r="CW40" s="643">
        <f t="shared" si="111"/>
        <v>43906</v>
      </c>
      <c r="CX40" s="643">
        <f t="shared" si="111"/>
        <v>43936</v>
      </c>
      <c r="CY40" s="643">
        <f t="shared" si="111"/>
        <v>43966</v>
      </c>
      <c r="CZ40" s="643">
        <f t="shared" si="111"/>
        <v>43996</v>
      </c>
      <c r="DA40" s="643">
        <f t="shared" ref="DA40:DF40" si="112">DA12</f>
        <v>44026</v>
      </c>
      <c r="DB40" s="643">
        <f t="shared" si="112"/>
        <v>44056</v>
      </c>
      <c r="DC40" s="643">
        <f t="shared" si="112"/>
        <v>44086</v>
      </c>
      <c r="DD40" s="643">
        <f t="shared" si="112"/>
        <v>44116</v>
      </c>
      <c r="DE40" s="643">
        <f t="shared" si="112"/>
        <v>44146</v>
      </c>
      <c r="DF40" s="643">
        <f t="shared" si="112"/>
        <v>44176</v>
      </c>
      <c r="DG40" s="643">
        <f t="shared" ref="DG40:DL40" si="113">DG12</f>
        <v>44206</v>
      </c>
      <c r="DH40" s="643">
        <f t="shared" si="113"/>
        <v>44236</v>
      </c>
      <c r="DI40" s="643">
        <f t="shared" si="113"/>
        <v>44266</v>
      </c>
      <c r="DJ40" s="643">
        <f t="shared" si="113"/>
        <v>44296</v>
      </c>
      <c r="DK40" s="643">
        <f t="shared" si="113"/>
        <v>44326</v>
      </c>
      <c r="DL40" s="643">
        <f t="shared" si="113"/>
        <v>44356</v>
      </c>
      <c r="DM40" s="643">
        <f t="shared" ref="DM40:DR40" si="114">DM12</f>
        <v>44386</v>
      </c>
      <c r="DN40" s="643">
        <f t="shared" si="114"/>
        <v>44416</v>
      </c>
      <c r="DO40" s="643">
        <f t="shared" si="114"/>
        <v>44446</v>
      </c>
      <c r="DP40" s="643">
        <f t="shared" si="114"/>
        <v>44476</v>
      </c>
      <c r="DQ40" s="643">
        <f t="shared" si="114"/>
        <v>44506</v>
      </c>
      <c r="DR40" s="643">
        <f t="shared" si="114"/>
        <v>44536</v>
      </c>
    </row>
    <row r="41" spans="1:122">
      <c r="B41" s="642"/>
      <c r="C41" s="642"/>
      <c r="D41" s="642"/>
      <c r="E41" s="642"/>
      <c r="F41" s="642"/>
      <c r="G41" s="642"/>
      <c r="H41" s="642"/>
      <c r="I41" s="642"/>
      <c r="J41" s="642"/>
      <c r="K41" s="642"/>
      <c r="L41" s="642"/>
      <c r="M41" s="642"/>
      <c r="N41" s="642"/>
      <c r="O41" s="643"/>
      <c r="P41" s="643"/>
      <c r="Q41" s="643"/>
      <c r="R41" s="643"/>
      <c r="S41" s="643"/>
      <c r="T41" s="643"/>
      <c r="U41" s="643"/>
      <c r="V41" s="643"/>
      <c r="W41" s="643"/>
      <c r="X41" s="643"/>
      <c r="Y41" s="643"/>
      <c r="Z41" s="643"/>
      <c r="AA41" s="643"/>
      <c r="AB41" s="643"/>
      <c r="AC41" s="643"/>
      <c r="AD41" s="643"/>
      <c r="AE41" s="643"/>
      <c r="AF41" s="643"/>
      <c r="AG41" s="643"/>
      <c r="AH41" s="643"/>
      <c r="AI41" s="643"/>
    </row>
    <row r="42" spans="1:122" ht="15">
      <c r="A42" s="633" t="s">
        <v>563</v>
      </c>
      <c r="B42" s="17" t="s">
        <v>2426</v>
      </c>
      <c r="C42" s="660">
        <v>3.2000000000000002E-3</v>
      </c>
      <c r="D42" s="660">
        <v>3.0000000000000001E-3</v>
      </c>
      <c r="E42" s="660">
        <v>3.0000000000000001E-3</v>
      </c>
      <c r="F42" s="660">
        <v>2.5000000000000001E-3</v>
      </c>
      <c r="G42" s="660">
        <v>2.5000000000000001E-3</v>
      </c>
      <c r="H42" s="660">
        <v>2.5000000000000001E-3</v>
      </c>
      <c r="I42" s="660">
        <v>2.5000000000000001E-3</v>
      </c>
      <c r="J42" s="660">
        <v>3.7000000000000002E-3</v>
      </c>
      <c r="K42" s="660">
        <v>4.5999999999999999E-3</v>
      </c>
      <c r="L42" s="660">
        <v>4.5999999999999999E-3</v>
      </c>
      <c r="M42" s="660">
        <v>4.7999999999999996E-3</v>
      </c>
      <c r="N42" s="660">
        <v>5.8999999999999999E-3</v>
      </c>
      <c r="O42" s="660">
        <v>5.4000000000000003E-3</v>
      </c>
      <c r="P42" s="660">
        <v>5.4000000000000003E-3</v>
      </c>
      <c r="Q42" s="660">
        <v>5.4000000000000003E-3</v>
      </c>
      <c r="R42" s="660">
        <v>5.4000000000000003E-3</v>
      </c>
      <c r="S42" s="660">
        <v>5.4000000000000003E-3</v>
      </c>
      <c r="T42" s="660">
        <v>5.4000000000000003E-3</v>
      </c>
      <c r="U42" s="660">
        <v>5.4000000000000003E-3</v>
      </c>
      <c r="V42" s="660">
        <v>5.4000000000000003E-3</v>
      </c>
      <c r="W42" s="660">
        <v>5.0000000000000001E-3</v>
      </c>
      <c r="X42" s="660">
        <v>5.0000000000000001E-3</v>
      </c>
      <c r="Y42" s="660">
        <v>5.0000000000000001E-3</v>
      </c>
      <c r="Z42" s="660">
        <v>5.0000000000000001E-3</v>
      </c>
      <c r="AA42" s="660">
        <v>5.1999999999999998E-3</v>
      </c>
      <c r="AB42" s="660">
        <v>5.4999999999999997E-3</v>
      </c>
      <c r="AC42" s="663">
        <v>5.5999999999999999E-3</v>
      </c>
      <c r="AD42" s="663">
        <v>5.5999999999999999E-3</v>
      </c>
      <c r="AE42" s="663">
        <v>5.5999999999999999E-3</v>
      </c>
      <c r="AF42" s="663">
        <v>5.5999999999999999E-3</v>
      </c>
      <c r="AG42" s="663">
        <v>5.5999999999999999E-3</v>
      </c>
      <c r="AH42" s="663">
        <v>5.5999999999999999E-3</v>
      </c>
      <c r="AI42" s="663">
        <v>5.4000000000000003E-3</v>
      </c>
      <c r="AJ42" s="663">
        <v>5.3E-3</v>
      </c>
      <c r="AK42" s="663">
        <v>5.3E-3</v>
      </c>
      <c r="AL42" s="663">
        <v>5.3E-3</v>
      </c>
      <c r="AM42" s="663">
        <v>5.5999999999999999E-3</v>
      </c>
      <c r="AN42" s="663">
        <v>5.8999999999999999E-3</v>
      </c>
      <c r="AO42" s="663">
        <v>6.3E-3</v>
      </c>
      <c r="AP42" s="663">
        <v>6.3E-3</v>
      </c>
      <c r="AQ42" s="663">
        <v>6.3E-3</v>
      </c>
      <c r="AR42" s="663">
        <v>6.3E-3</v>
      </c>
      <c r="AS42" s="663">
        <v>6.3E-3</v>
      </c>
      <c r="AT42" s="663">
        <v>6.3E-3</v>
      </c>
      <c r="AU42" s="663">
        <v>6.3E-3</v>
      </c>
      <c r="AV42" s="663">
        <v>6.6E-3</v>
      </c>
      <c r="AW42" s="663">
        <v>6.8999999999999999E-3</v>
      </c>
      <c r="AX42" s="664">
        <v>6.8999999999999999E-3</v>
      </c>
      <c r="AY42" s="665">
        <v>7.4000000000000003E-3</v>
      </c>
      <c r="AZ42" s="665">
        <v>8.3999999999999995E-3</v>
      </c>
      <c r="BA42" s="665">
        <v>1.01E-2</v>
      </c>
      <c r="BB42" s="665">
        <v>1.01E-2</v>
      </c>
      <c r="BC42" s="665">
        <v>1.01E-2</v>
      </c>
      <c r="BD42" s="665">
        <v>1.0699999999999999E-2</v>
      </c>
      <c r="BE42" s="665">
        <v>1.0999999999999999E-2</v>
      </c>
      <c r="BF42" s="665">
        <v>1.11E-2</v>
      </c>
      <c r="BG42" s="665">
        <v>1.15E-2</v>
      </c>
      <c r="BH42" s="665">
        <v>1.1299999999999999E-2</v>
      </c>
      <c r="BI42" s="665">
        <v>1.23E-2</v>
      </c>
      <c r="BJ42" s="665">
        <v>1.41E-2</v>
      </c>
      <c r="BK42" s="665">
        <v>1.49E-2</v>
      </c>
      <c r="BL42" s="665">
        <v>1.54E-2</v>
      </c>
      <c r="BM42" s="665">
        <v>1.5900000000000001E-2</v>
      </c>
      <c r="BN42" s="665">
        <v>1.6299999999999999E-2</v>
      </c>
      <c r="BO42" s="665">
        <v>1.66E-2</v>
      </c>
      <c r="BP42" s="665">
        <v>1.6899999999999998E-2</v>
      </c>
      <c r="BQ42" s="665">
        <v>1.7399999999999999E-2</v>
      </c>
      <c r="BR42" s="665">
        <v>1.77E-2</v>
      </c>
      <c r="BS42" s="665">
        <v>1.6899999999999998E-2</v>
      </c>
      <c r="BT42" s="665">
        <v>1.8700000000000001E-2</v>
      </c>
      <c r="BU42" s="665">
        <v>1.7100000000000001E-2</v>
      </c>
      <c r="BV42" s="665">
        <v>1.6199999999999999E-2</v>
      </c>
      <c r="BW42" s="665">
        <v>1.7000000000000001E-2</v>
      </c>
      <c r="BX42" s="665">
        <v>1.7500000000000002E-2</v>
      </c>
      <c r="BY42" s="665">
        <v>1.7999999999999999E-2</v>
      </c>
      <c r="BZ42" s="665">
        <v>1.8599999999999998E-2</v>
      </c>
      <c r="CA42" s="665">
        <v>2.0500000000000001E-2</v>
      </c>
      <c r="CB42" s="665">
        <v>2.0899999999999998E-2</v>
      </c>
      <c r="CC42" s="665">
        <v>2.1299999999999999E-2</v>
      </c>
      <c r="CD42" s="665">
        <v>2.1700000000000001E-2</v>
      </c>
      <c r="CE42" s="665">
        <v>2.3E-2</v>
      </c>
      <c r="CF42" s="665">
        <v>2.1899999999999999E-2</v>
      </c>
      <c r="CG42" s="665">
        <v>2.3E-2</v>
      </c>
      <c r="CH42" s="665">
        <v>2.63E-2</v>
      </c>
      <c r="CI42" s="665">
        <v>2.76E-2</v>
      </c>
      <c r="CJ42" s="665">
        <v>2.87E-2</v>
      </c>
      <c r="CK42" s="665">
        <v>2.9700000000000001E-2</v>
      </c>
      <c r="CL42" s="665">
        <v>3.0499999999999999E-2</v>
      </c>
      <c r="CM42" s="665">
        <v>3.0499999999999999E-2</v>
      </c>
      <c r="CN42" s="665">
        <v>3.0700000000000002E-2</v>
      </c>
      <c r="CO42" s="665">
        <v>3.1099999999999999E-2</v>
      </c>
      <c r="CP42" s="665">
        <v>3.1300000000000001E-2</v>
      </c>
      <c r="CQ42" s="665">
        <v>3.1300000000000001E-2</v>
      </c>
      <c r="CR42" s="665">
        <v>3.1899999999999998E-2</v>
      </c>
      <c r="CS42" s="665">
        <v>3.1800000000000002E-2</v>
      </c>
      <c r="CT42" s="665">
        <v>3.04E-2</v>
      </c>
      <c r="CU42" s="665">
        <v>2.9399999999999999E-2</v>
      </c>
      <c r="CV42" s="665">
        <v>2.8299999999999999E-2</v>
      </c>
      <c r="CW42" s="665">
        <v>2.6499999999999999E-2</v>
      </c>
      <c r="CX42" s="665">
        <v>2.4299999999999999E-2</v>
      </c>
      <c r="CY42" s="665">
        <v>2.18E-2</v>
      </c>
      <c r="CZ42" s="665">
        <v>1.9800000000000002E-2</v>
      </c>
      <c r="DA42" s="665">
        <v>1.7797170261551302E-2</v>
      </c>
      <c r="DB42" s="665">
        <v>1.6305850524950479E-2</v>
      </c>
      <c r="DC42" s="665">
        <v>1.49902469275049E-2</v>
      </c>
      <c r="DD42" s="665">
        <v>1.3728460394300779E-2</v>
      </c>
      <c r="DE42" s="665">
        <v>1.2717346298480033E-2</v>
      </c>
      <c r="DF42" s="665">
        <v>1.1577027686093169E-2</v>
      </c>
      <c r="DG42" s="665">
        <v>1.0554784432428448E-2</v>
      </c>
      <c r="DH42" s="665">
        <v>9.9157897339549154E-3</v>
      </c>
      <c r="DI42" s="665">
        <v>9.7939145561504858E-3</v>
      </c>
      <c r="DJ42" s="665">
        <v>9.6802069474278395E-3</v>
      </c>
      <c r="DK42" s="665">
        <v>9.8033385632165099E-3</v>
      </c>
      <c r="DL42" s="665">
        <v>9.6186796377598829E-3</v>
      </c>
      <c r="DM42" s="665">
        <v>9.1908857724602912E-3</v>
      </c>
      <c r="DN42" s="665">
        <v>8.7567603153855811E-3</v>
      </c>
      <c r="DO42" s="665">
        <v>8.3342146039560427E-3</v>
      </c>
      <c r="DP42" s="665">
        <v>7.7677274407844752E-3</v>
      </c>
      <c r="DQ42" s="665">
        <v>7.1105663455805455E-3</v>
      </c>
      <c r="DR42" s="665">
        <v>6.205005066866524E-3</v>
      </c>
    </row>
    <row r="43" spans="1:122" ht="15">
      <c r="C43" s="660"/>
      <c r="D43" s="660"/>
      <c r="E43" s="660"/>
      <c r="F43" s="660"/>
      <c r="G43" s="660"/>
      <c r="H43" s="660"/>
      <c r="I43" s="660"/>
      <c r="J43" s="660"/>
      <c r="K43" s="660"/>
      <c r="L43" s="660"/>
      <c r="M43" s="660"/>
      <c r="N43" s="660"/>
      <c r="O43" s="666"/>
      <c r="P43" s="666"/>
      <c r="Q43" s="666"/>
      <c r="R43" s="666"/>
      <c r="S43" s="666"/>
      <c r="T43" s="666"/>
      <c r="U43" s="666"/>
      <c r="V43" s="666"/>
      <c r="W43" s="666"/>
      <c r="X43" s="666"/>
      <c r="Y43" s="666"/>
      <c r="Z43" s="666"/>
      <c r="AA43" s="666"/>
      <c r="AB43" s="666"/>
      <c r="AC43" s="667"/>
      <c r="AD43" s="667"/>
      <c r="AE43" s="667"/>
      <c r="AF43" s="667"/>
      <c r="AG43" s="668"/>
      <c r="AH43" s="668"/>
      <c r="AI43" s="668"/>
      <c r="AJ43" s="668"/>
      <c r="AK43" s="668"/>
      <c r="AL43" s="668"/>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c r="CU43" s="669"/>
      <c r="CV43" s="669"/>
      <c r="CW43" s="669"/>
      <c r="CX43" s="669"/>
      <c r="CY43" s="669"/>
      <c r="CZ43" s="669"/>
      <c r="DA43" s="669"/>
      <c r="DB43" s="669"/>
      <c r="DC43" s="669"/>
      <c r="DD43" s="669"/>
      <c r="DE43" s="669"/>
      <c r="DF43" s="669"/>
      <c r="DG43" s="669"/>
      <c r="DH43" s="669"/>
      <c r="DI43" s="669"/>
      <c r="DJ43" s="669"/>
      <c r="DK43" s="669"/>
      <c r="DL43" s="669"/>
      <c r="DM43" s="669"/>
      <c r="DN43" s="669"/>
      <c r="DO43" s="669"/>
      <c r="DP43" s="669"/>
      <c r="DQ43" s="669"/>
      <c r="DR43" s="669"/>
    </row>
    <row r="44" spans="1:122" ht="15">
      <c r="A44" s="633" t="s">
        <v>563</v>
      </c>
      <c r="B44" s="17" t="s">
        <v>2427</v>
      </c>
      <c r="C44" s="660">
        <v>0</v>
      </c>
      <c r="D44" s="660">
        <v>0</v>
      </c>
      <c r="E44" s="660">
        <v>0</v>
      </c>
      <c r="F44" s="660">
        <v>0</v>
      </c>
      <c r="G44" s="660">
        <v>0</v>
      </c>
      <c r="H44" s="660">
        <v>0</v>
      </c>
      <c r="I44" s="660">
        <v>0</v>
      </c>
      <c r="J44" s="660">
        <v>0</v>
      </c>
      <c r="K44" s="660">
        <v>0</v>
      </c>
      <c r="L44" s="660">
        <v>0</v>
      </c>
      <c r="M44" s="660">
        <v>0</v>
      </c>
      <c r="N44" s="660">
        <v>0</v>
      </c>
      <c r="O44" s="660">
        <v>0</v>
      </c>
      <c r="P44" s="660">
        <v>0</v>
      </c>
      <c r="Q44" s="660">
        <v>0</v>
      </c>
      <c r="R44" s="660">
        <v>0</v>
      </c>
      <c r="S44" s="660">
        <v>0</v>
      </c>
      <c r="T44" s="660">
        <v>0</v>
      </c>
      <c r="U44" s="660">
        <v>0</v>
      </c>
      <c r="V44" s="660">
        <v>0</v>
      </c>
      <c r="W44" s="660">
        <v>0</v>
      </c>
      <c r="X44" s="660">
        <v>0</v>
      </c>
      <c r="Y44" s="660">
        <v>0</v>
      </c>
      <c r="Z44" s="660">
        <v>0</v>
      </c>
      <c r="AA44" s="660">
        <v>0</v>
      </c>
      <c r="AB44" s="660">
        <v>0</v>
      </c>
      <c r="AC44" s="663">
        <v>0</v>
      </c>
      <c r="AD44" s="663">
        <v>0</v>
      </c>
      <c r="AE44" s="663">
        <v>0</v>
      </c>
      <c r="AF44" s="663">
        <v>0</v>
      </c>
      <c r="AG44" s="663">
        <v>0</v>
      </c>
      <c r="AH44" s="663">
        <v>0</v>
      </c>
      <c r="AI44" s="663">
        <v>0</v>
      </c>
      <c r="AJ44" s="663">
        <v>0</v>
      </c>
      <c r="AK44" s="663">
        <v>0</v>
      </c>
      <c r="AL44" s="663">
        <v>7.0000000000000001E-3</v>
      </c>
      <c r="AM44" s="663">
        <v>6.7000000000000002E-3</v>
      </c>
      <c r="AN44" s="663">
        <v>6.7999999999999996E-3</v>
      </c>
      <c r="AO44" s="663">
        <v>8.6999999999999994E-3</v>
      </c>
      <c r="AP44" s="663">
        <v>6.7999999999999996E-3</v>
      </c>
      <c r="AQ44" s="663">
        <v>7.1999999999999998E-3</v>
      </c>
      <c r="AR44" s="663">
        <v>6.0000000000000001E-3</v>
      </c>
      <c r="AS44" s="663">
        <v>0</v>
      </c>
      <c r="AT44" s="663">
        <v>0</v>
      </c>
      <c r="AU44" s="663">
        <v>0</v>
      </c>
      <c r="AV44" s="663">
        <v>0</v>
      </c>
      <c r="AW44" s="663">
        <v>0</v>
      </c>
      <c r="AX44" s="664">
        <v>8.8999999999999999E-3</v>
      </c>
      <c r="AY44" s="665">
        <v>9.1999999999999998E-3</v>
      </c>
      <c r="AZ44" s="665">
        <v>9.7999999999999997E-3</v>
      </c>
      <c r="BA44" s="665">
        <v>0.01</v>
      </c>
      <c r="BB44" s="665">
        <v>1.03E-2</v>
      </c>
      <c r="BC44" s="665">
        <v>1.0500000000000001E-2</v>
      </c>
      <c r="BD44" s="665">
        <v>1.0699999999999999E-2</v>
      </c>
      <c r="BE44" s="665">
        <v>1.0699999999999999E-2</v>
      </c>
      <c r="BF44" s="665">
        <v>1.14E-2</v>
      </c>
      <c r="BG44" s="665">
        <v>1.32E-2</v>
      </c>
      <c r="BH44" s="665">
        <v>1.29E-2</v>
      </c>
      <c r="BI44" s="665">
        <v>1.32E-2</v>
      </c>
      <c r="BJ44" s="665">
        <v>1.49E-2</v>
      </c>
      <c r="BK44" s="665">
        <v>1.5599999999999999E-2</v>
      </c>
      <c r="BL44" s="665">
        <v>1.6400000000000001E-2</v>
      </c>
      <c r="BM44" s="665">
        <v>1.72E-2</v>
      </c>
      <c r="BN44" s="665">
        <v>1.7999999999999999E-2</v>
      </c>
      <c r="BO44" s="665">
        <v>1.7999999999999999E-2</v>
      </c>
      <c r="BP44" s="665">
        <v>1.89E-2</v>
      </c>
      <c r="BQ44" s="665">
        <v>2.0299999999999999E-2</v>
      </c>
      <c r="BR44" s="665">
        <v>2.01E-2</v>
      </c>
      <c r="BS44" s="665">
        <v>2.07E-2</v>
      </c>
      <c r="BT44" s="665">
        <v>2.0500000000000001E-2</v>
      </c>
      <c r="BU44" s="665">
        <v>1.95E-2</v>
      </c>
      <c r="BV44" s="665">
        <v>2.07E-2</v>
      </c>
      <c r="BW44" s="665">
        <v>2.1999999999999999E-2</v>
      </c>
      <c r="BX44" s="665">
        <v>2.1999999999999999E-2</v>
      </c>
      <c r="BY44" s="665">
        <v>2.29E-2</v>
      </c>
      <c r="BZ44" s="665">
        <v>2.4500000000000001E-2</v>
      </c>
      <c r="CA44" s="665">
        <v>2.6100000000000002E-2</v>
      </c>
      <c r="CB44" s="665">
        <v>2.6599999999999999E-2</v>
      </c>
      <c r="CC44" s="665">
        <v>2.7E-2</v>
      </c>
      <c r="CD44" s="665">
        <v>2.7E-2</v>
      </c>
      <c r="CE44" s="665">
        <v>2.7300000000000001E-2</v>
      </c>
      <c r="CF44" s="665">
        <v>2.7300000000000001E-2</v>
      </c>
      <c r="CG44" s="665">
        <v>2.9000000000000001E-2</v>
      </c>
      <c r="CH44" s="665">
        <v>3.1399999999999997E-2</v>
      </c>
      <c r="CI44" s="665">
        <v>3.3099999999999997E-2</v>
      </c>
      <c r="CJ44" s="665">
        <v>3.3399999999999999E-2</v>
      </c>
      <c r="CK44" s="665">
        <v>3.3099999999999997E-2</v>
      </c>
      <c r="CL44" s="665">
        <v>3.3000000000000002E-2</v>
      </c>
      <c r="CM44" s="665">
        <v>3.3599999999999998E-2</v>
      </c>
      <c r="CN44" s="665">
        <v>3.2800000000000003E-2</v>
      </c>
      <c r="CO44" s="665">
        <v>3.2500000000000001E-2</v>
      </c>
      <c r="CP44" s="665">
        <v>2.9600000000000001E-2</v>
      </c>
      <c r="CQ44" s="665">
        <v>2.8500000000000001E-2</v>
      </c>
      <c r="CR44" s="665">
        <v>3.1600000000000003E-2</v>
      </c>
      <c r="CS44" s="665">
        <v>2.52E-2</v>
      </c>
      <c r="CT44" s="665">
        <v>2.5600000000000001E-2</v>
      </c>
      <c r="CU44" s="665">
        <v>2.5600000000000001E-2</v>
      </c>
      <c r="CV44" s="665">
        <v>2.3099999999999999E-2</v>
      </c>
      <c r="CW44" s="665">
        <v>1.72E-2</v>
      </c>
      <c r="CX44" s="665">
        <v>1.04E-2</v>
      </c>
      <c r="CY44" s="665">
        <v>8.5000000000000006E-3</v>
      </c>
      <c r="CZ44" s="665">
        <v>8.2640000000000005E-3</v>
      </c>
      <c r="DA44" s="665">
        <v>8.5774809879379452E-3</v>
      </c>
      <c r="DB44" s="665">
        <v>8.5000937834807302E-3</v>
      </c>
      <c r="DC44" s="665">
        <v>8.2053916322922596E-3</v>
      </c>
      <c r="DD44" s="665">
        <v>8.2925565139378189E-3</v>
      </c>
      <c r="DE44" s="665">
        <v>8.5510234050052789E-3</v>
      </c>
      <c r="DF44" s="665">
        <v>8.9412080871782897E-3</v>
      </c>
      <c r="DG44" s="665">
        <v>9.410204196263601E-3</v>
      </c>
      <c r="DH44" s="665">
        <v>9.7650376763331881E-3</v>
      </c>
      <c r="DI44" s="665">
        <v>9.8700246446584011E-3</v>
      </c>
      <c r="DJ44" s="665">
        <v>1.2499999999998729E-2</v>
      </c>
      <c r="DK44" s="665">
        <v>1.2216206561637105E-2</v>
      </c>
      <c r="DL44" s="665">
        <v>5.2463132654680458E-3</v>
      </c>
      <c r="DM44" s="665">
        <v>2.4729283990345872E-3</v>
      </c>
      <c r="DN44" s="665">
        <v>2.4597222222222151E-3</v>
      </c>
      <c r="DO44" s="665">
        <v>2.4236301369862938E-3</v>
      </c>
      <c r="DP44" s="665">
        <v>2.3260497956150068E-3</v>
      </c>
      <c r="DQ44" s="665">
        <v>2.4791596638655414E-3</v>
      </c>
      <c r="DR44" s="665">
        <v>4.2013965045351338E-3</v>
      </c>
    </row>
    <row r="45" spans="1:122">
      <c r="Z45" s="645"/>
    </row>
    <row r="46" spans="1:122" hidden="1">
      <c r="Z46" s="645"/>
    </row>
    <row r="47" spans="1:122" hidden="1">
      <c r="B47" s="642" t="s">
        <v>2374</v>
      </c>
      <c r="Z47" s="645"/>
      <c r="BW47" s="643">
        <f t="shared" ref="BW47:CT47" si="115">+BW12</f>
        <v>43126</v>
      </c>
      <c r="BX47" s="643">
        <f t="shared" si="115"/>
        <v>43156</v>
      </c>
      <c r="BY47" s="643">
        <f t="shared" si="115"/>
        <v>43186</v>
      </c>
      <c r="BZ47" s="643">
        <f t="shared" si="115"/>
        <v>43216</v>
      </c>
      <c r="CA47" s="643">
        <f t="shared" si="115"/>
        <v>43246</v>
      </c>
      <c r="CB47" s="643">
        <f t="shared" si="115"/>
        <v>43276</v>
      </c>
      <c r="CC47" s="643">
        <f t="shared" si="115"/>
        <v>43306</v>
      </c>
      <c r="CD47" s="643">
        <f t="shared" si="115"/>
        <v>43336</v>
      </c>
      <c r="CE47" s="643">
        <f t="shared" si="115"/>
        <v>43366</v>
      </c>
      <c r="CF47" s="643">
        <f t="shared" si="115"/>
        <v>43396</v>
      </c>
      <c r="CG47" s="643">
        <f t="shared" si="115"/>
        <v>43426</v>
      </c>
      <c r="CH47" s="643">
        <f t="shared" si="115"/>
        <v>43456</v>
      </c>
      <c r="CI47" s="643">
        <f t="shared" si="115"/>
        <v>43486</v>
      </c>
      <c r="CJ47" s="643">
        <f t="shared" si="115"/>
        <v>43516</v>
      </c>
      <c r="CK47" s="643">
        <f t="shared" si="115"/>
        <v>43546</v>
      </c>
      <c r="CL47" s="643">
        <f t="shared" si="115"/>
        <v>43576</v>
      </c>
      <c r="CM47" s="643">
        <f t="shared" si="115"/>
        <v>43606</v>
      </c>
      <c r="CN47" s="643">
        <f t="shared" si="115"/>
        <v>43636</v>
      </c>
      <c r="CO47" s="643">
        <f t="shared" si="115"/>
        <v>43666</v>
      </c>
      <c r="CP47" s="643">
        <f t="shared" si="115"/>
        <v>43696</v>
      </c>
      <c r="CQ47" s="643">
        <f t="shared" si="115"/>
        <v>43726</v>
      </c>
      <c r="CR47" s="643">
        <f t="shared" si="115"/>
        <v>43756</v>
      </c>
      <c r="CS47" s="643">
        <f t="shared" si="115"/>
        <v>43786</v>
      </c>
      <c r="CT47" s="643">
        <f t="shared" si="115"/>
        <v>43816</v>
      </c>
      <c r="CU47" s="643">
        <f t="shared" ref="CU47:CZ47" si="116">+CU12</f>
        <v>43846</v>
      </c>
      <c r="CV47" s="643">
        <f t="shared" si="116"/>
        <v>43876</v>
      </c>
      <c r="CW47" s="643">
        <f t="shared" si="116"/>
        <v>43906</v>
      </c>
      <c r="CX47" s="643">
        <f t="shared" si="116"/>
        <v>43936</v>
      </c>
      <c r="CY47" s="643">
        <f t="shared" si="116"/>
        <v>43966</v>
      </c>
      <c r="CZ47" s="643">
        <f t="shared" si="116"/>
        <v>43996</v>
      </c>
      <c r="DA47" s="643">
        <f t="shared" ref="DA47:DF47" si="117">+DA12</f>
        <v>44026</v>
      </c>
      <c r="DB47" s="643">
        <f t="shared" si="117"/>
        <v>44056</v>
      </c>
      <c r="DC47" s="643">
        <f t="shared" si="117"/>
        <v>44086</v>
      </c>
      <c r="DD47" s="643">
        <f t="shared" si="117"/>
        <v>44116</v>
      </c>
      <c r="DE47" s="643">
        <f t="shared" si="117"/>
        <v>44146</v>
      </c>
      <c r="DF47" s="643">
        <f t="shared" si="117"/>
        <v>44176</v>
      </c>
      <c r="DG47" s="643">
        <f t="shared" ref="DG47:DL47" si="118">+DG12</f>
        <v>44206</v>
      </c>
      <c r="DH47" s="643">
        <f t="shared" si="118"/>
        <v>44236</v>
      </c>
      <c r="DI47" s="643">
        <f t="shared" si="118"/>
        <v>44266</v>
      </c>
      <c r="DJ47" s="643">
        <f t="shared" si="118"/>
        <v>44296</v>
      </c>
      <c r="DK47" s="643">
        <f t="shared" si="118"/>
        <v>44326</v>
      </c>
      <c r="DL47" s="643">
        <f t="shared" si="118"/>
        <v>44356</v>
      </c>
      <c r="DM47" s="643">
        <f t="shared" ref="DM47:DR47" si="119">+DM12</f>
        <v>44386</v>
      </c>
      <c r="DN47" s="643">
        <f t="shared" si="119"/>
        <v>44416</v>
      </c>
      <c r="DO47" s="643">
        <f t="shared" si="119"/>
        <v>44446</v>
      </c>
      <c r="DP47" s="643">
        <f t="shared" si="119"/>
        <v>44476</v>
      </c>
      <c r="DQ47" s="643">
        <f t="shared" si="119"/>
        <v>44506</v>
      </c>
      <c r="DR47" s="643">
        <f t="shared" si="119"/>
        <v>44536</v>
      </c>
    </row>
    <row r="48" spans="1:122" hidden="1">
      <c r="Z48" s="645"/>
    </row>
    <row r="49" spans="1:123" hidden="1">
      <c r="A49" s="846" t="s">
        <v>2372</v>
      </c>
      <c r="B49" s="633" t="s">
        <v>738</v>
      </c>
      <c r="Z49" s="645"/>
      <c r="BW49" s="862">
        <f>-VLOOKUP("2310000",'Input BS ACCTS'!$A$5:$DD$391,53,FALSE)/1000</f>
        <v>5000</v>
      </c>
      <c r="BX49" s="862">
        <f>-VLOOKUP("2310000",'Input BS ACCTS'!$A$5:$DD$391,54,FALSE)/1000</f>
        <v>58203.643530000001</v>
      </c>
      <c r="BY49" s="862">
        <f>-VLOOKUP("2310000",'Input BS ACCTS'!$A$5:$DD$391,55,FALSE)/1000</f>
        <v>53438.296759999997</v>
      </c>
      <c r="BZ49" s="862">
        <f>-VLOOKUP("2310000",'Input BS ACCTS'!$A$5:$DD$391,56,FALSE)/1000</f>
        <v>53973.759039999997</v>
      </c>
      <c r="CA49" s="862">
        <f>-VLOOKUP("2310000",'Input BS ACCTS'!$A$5:$DD$391,57,FALSE)/1000</f>
        <v>86871.59375</v>
      </c>
      <c r="CB49" s="862">
        <f>-VLOOKUP("2310000",'Input BS ACCTS'!$A$5:$DD$391,58,FALSE)/1000</f>
        <v>32647.32645</v>
      </c>
      <c r="CC49" s="862">
        <f>-VLOOKUP("2310000",'Input BS ACCTS'!$A$5:$DD$391,59,FALSE)/1000</f>
        <v>32403.666739999997</v>
      </c>
      <c r="CD49" s="862">
        <f>-VLOOKUP("2310000",'Input BS ACCTS'!$A$5:$DD$391,60,FALSE)/1000</f>
        <v>36635.669780000004</v>
      </c>
      <c r="CE49" s="862">
        <f>-VLOOKUP("2310000",'Input BS ACCTS'!$A$5:$DD$391,61,FALSE)/1000</f>
        <v>44924.345580000001</v>
      </c>
      <c r="CF49" s="862">
        <f>-VLOOKUP("2310000",'Input BS ACCTS'!$A$5:$DD$391,62,FALSE)/1000</f>
        <v>0</v>
      </c>
      <c r="CG49" s="862">
        <f>-VLOOKUP("2310000",'Input BS ACCTS'!$A$5:$DD$391,63,FALSE)/1000</f>
        <v>35033.765530000004</v>
      </c>
      <c r="CH49" s="862">
        <f>-VLOOKUP("2310000",'Input BS ACCTS'!$A$5:$DD$391,64,FALSE)/1000</f>
        <v>53651.64284</v>
      </c>
      <c r="CI49" s="862">
        <f>-VLOOKUP("2310000",'Input BS ACCTS'!$A$5:$DD$391,65,FALSE)/1000</f>
        <v>70274.1008</v>
      </c>
      <c r="CJ49" s="862">
        <f>-VLOOKUP("2310000",'Input BS ACCTS'!$A$5:$DD$391,66,FALSE)/1000</f>
        <v>51017.831979999995</v>
      </c>
      <c r="CK49" s="862">
        <f>-VLOOKUP("2310000",'Input BS ACCTS'!$A$5:$DD$391,67,FALSE)/1000</f>
        <v>43526.147640000003</v>
      </c>
      <c r="CL49" s="862">
        <f>-VLOOKUP("2310000",'Input BS ACCTS'!$A$5:$DD$391,68,FALSE)/1000</f>
        <v>47854.03026</v>
      </c>
      <c r="CM49" s="862">
        <f>-VLOOKUP("2310000",'Input BS ACCTS'!$A$5:$DD$391,69,FALSE)/1000</f>
        <v>32302.624949999998</v>
      </c>
      <c r="CN49" s="862">
        <f>-VLOOKUP("2310000",'Input BS ACCTS'!$A$5:$DD$391,70,FALSE)/1000</f>
        <v>43946.02736</v>
      </c>
      <c r="CO49" s="862">
        <f>-VLOOKUP("2310000",'Input BS ACCTS'!$A$5:$DD$391,71,FALSE)/1000</f>
        <v>30168.533420000003</v>
      </c>
      <c r="CP49" s="862">
        <f>-VLOOKUP("2310000",'Input BS ACCTS'!$A$5:$DD$391,72,FALSE)/1000</f>
        <v>48717.414859999997</v>
      </c>
      <c r="CQ49" s="862">
        <f>-VLOOKUP("2310000",'Input BS ACCTS'!$A$5:$DD$391,73,FALSE)/1000</f>
        <v>44435.200189999996</v>
      </c>
      <c r="CR49" s="862">
        <f>-VLOOKUP("2310000",'Input BS ACCTS'!$A$5:$DD$391,74,FALSE)/1000</f>
        <v>47028.28342</v>
      </c>
      <c r="CS49" s="862">
        <f>-VLOOKUP("2310000",'Input BS ACCTS'!$A$5:$DD$391,75,FALSE)/1000</f>
        <v>77517.735260000001</v>
      </c>
      <c r="CT49" s="862">
        <f>-VLOOKUP("2310000",'Input BS ACCTS'!$A$5:$DD$391,76,FALSE)/1000</f>
        <v>91138.979059999998</v>
      </c>
      <c r="CU49" s="862">
        <f>-VLOOKUP("2310000",'Input BS ACCTS'!$A$5:$DD$391,77,FALSE)/1000</f>
        <v>104160.10278</v>
      </c>
      <c r="CV49" s="862">
        <f>-VLOOKUP("2310000",'Input BS ACCTS'!$A$5:$DD$391,78,FALSE)/1000</f>
        <v>90190.82</v>
      </c>
      <c r="CW49" s="862">
        <f>-VLOOKUP("2310000",'Input BS ACCTS'!$A$5:$DD$391,79,FALSE)/1000</f>
        <v>91778.96686</v>
      </c>
      <c r="CX49" s="862">
        <f>-VLOOKUP("2310000",'Input BS ACCTS'!$A$5:$DD$391,80,FALSE)/1000</f>
        <v>99145.211670000004</v>
      </c>
      <c r="CY49" s="862">
        <f>-VLOOKUP("2310000",'Input BS ACCTS'!$A$5:$DD$391,81,FALSE)/1000</f>
        <v>104893.603</v>
      </c>
      <c r="CZ49" s="862">
        <f>-VLOOKUP("2310000",'Input BS ACCTS'!$A$5:$DD$391,81,FALSE)/1000</f>
        <v>104893.603</v>
      </c>
      <c r="DA49" s="862">
        <f>-VLOOKUP("2310000",'Input BS ACCTS'!$A$5:$DD$391,82,FALSE)/1000</f>
        <v>127591.36500000001</v>
      </c>
      <c r="DB49" s="862">
        <f>-VLOOKUP("2310000",'Input BS ACCTS'!$A$5:$DD$391,83,FALSE)/1000</f>
        <v>145194.42319</v>
      </c>
      <c r="DC49" s="862">
        <f>-VLOOKUP("2310000",'Input BS ACCTS'!$A$5:$DD$391,84,FALSE)/1000</f>
        <v>133998.43737999999</v>
      </c>
      <c r="DD49" s="862">
        <f>-VLOOKUP("2310000",'Input BS ACCTS'!$A$5:$DD$391,85,FALSE)/1000</f>
        <v>144415.73919999998</v>
      </c>
      <c r="DE49" s="862">
        <f>-VLOOKUP("2310000",'Input BS ACCTS'!$A$5:$DD$391,86,FALSE)/1000</f>
        <v>162258.20669999998</v>
      </c>
      <c r="DF49" s="862">
        <f>-VLOOKUP("2310000",'Input BS ACCTS'!$A$5:$DD$391,87,FALSE)/1000</f>
        <v>179528.11132</v>
      </c>
      <c r="DG49" s="862">
        <f>-VLOOKUP("2310000",'Input BS ACCTS'!$A$5:$DD$391,88,FALSE)/1000</f>
        <v>214352.13493999999</v>
      </c>
      <c r="DH49" s="862">
        <f>-VLOOKUP("2310000",'Input BS ACCTS'!$A$5:$DD$391,89,FALSE)/1000</f>
        <v>236511.39825999999</v>
      </c>
      <c r="DI49" s="862">
        <f>-VLOOKUP("2310000",'Input BS ACCTS'!$A$5:$DD$391,90,FALSE)/1000</f>
        <v>221147.72566</v>
      </c>
      <c r="DJ49" s="862">
        <f>-VLOOKUP("2310000",'Input BS ACCTS'!$A$5:$DD$391,91,FALSE)/1000</f>
        <v>10000</v>
      </c>
      <c r="DK49" s="862">
        <f>-VLOOKUP("2310000",'Input BS ACCTS'!$A$5:$DD$391,92,FALSE)/1000</f>
        <v>17122.357</v>
      </c>
      <c r="DL49" s="862">
        <f>-VLOOKUP("2310000",'Input BS ACCTS'!$A$5:$DD$391,93,FALSE)/1000</f>
        <v>87741.525890000004</v>
      </c>
      <c r="DM49" s="862">
        <f>-VLOOKUP("2310000",'Input BS ACCTS'!$A$5:$DD$391,93,FALSE)/1000</f>
        <v>87741.525890000004</v>
      </c>
      <c r="DN49" s="862">
        <f>-VLOOKUP("2310000",'Input BS ACCTS'!$A$5:$DD$391,93,FALSE)/1000</f>
        <v>87741.525890000004</v>
      </c>
      <c r="DO49" s="862">
        <f>-VLOOKUP("2310000",'Input BS ACCTS'!$A$5:$DD$391,93,FALSE)/1000</f>
        <v>87741.525890000004</v>
      </c>
      <c r="DP49" s="862">
        <f>-VLOOKUP("2310000",'Input BS ACCTS'!$A$5:$DD$391,93,FALSE)/1000</f>
        <v>87741.525890000004</v>
      </c>
      <c r="DQ49" s="862">
        <f>-VLOOKUP("2310000",'Input BS ACCTS'!$A$5:$DD$391,93,FALSE)/1000</f>
        <v>87741.525890000004</v>
      </c>
      <c r="DR49" s="862">
        <f>-VLOOKUP("2310000",'Input BS ACCTS'!$A$5:$DD$391,93,FALSE)/1000</f>
        <v>87741.525890000004</v>
      </c>
      <c r="DS49" s="640"/>
    </row>
    <row r="50" spans="1:123" hidden="1">
      <c r="A50" s="846" t="s">
        <v>2373</v>
      </c>
      <c r="B50" s="633" t="s">
        <v>774</v>
      </c>
      <c r="Z50" s="645"/>
      <c r="BW50" s="651">
        <f>-VLOOKUP("2330711",'Input BS ACCTS'!$A$5:$DD$391,53,FALSE)/1000</f>
        <v>50045.713000000003</v>
      </c>
      <c r="BX50" s="651">
        <f>-VLOOKUP("2330711",'Input BS ACCTS'!$A$5:$DD$391,54,FALSE)/1000</f>
        <v>0</v>
      </c>
      <c r="BY50" s="651">
        <f>-VLOOKUP("2330711",'Input BS ACCTS'!$A$5:$DD$391,55,FALSE)/1000</f>
        <v>0</v>
      </c>
      <c r="BZ50" s="651">
        <f>-VLOOKUP("2330711",'Input BS ACCTS'!$A$5:$DD$391,56,FALSE)/1000</f>
        <v>0</v>
      </c>
      <c r="CA50" s="651">
        <f>-VLOOKUP("2330711",'Input BS ACCTS'!$A$5:$DD$391,57,FALSE)/1000</f>
        <v>0</v>
      </c>
      <c r="CB50" s="651">
        <f>-VLOOKUP("2330711",'Input BS ACCTS'!$A$5:$DD$391,58,FALSE)/1000</f>
        <v>0</v>
      </c>
      <c r="CC50" s="651">
        <f>-VLOOKUP("2330711",'Input BS ACCTS'!$A$5:$DD$391,59,FALSE)/1000</f>
        <v>0</v>
      </c>
      <c r="CD50" s="651">
        <f>-VLOOKUP("2330711",'Input BS ACCTS'!$A$5:$DD$391,60,FALSE)/1000</f>
        <v>0</v>
      </c>
      <c r="CE50" s="651">
        <f>-VLOOKUP("2330711",'Input BS ACCTS'!$A$5:$DD$391,61,FALSE)/1000</f>
        <v>0</v>
      </c>
      <c r="CF50" s="651">
        <f>-VLOOKUP("2330711",'Input BS ACCTS'!$A$5:$DD$391,62,FALSE)/1000</f>
        <v>26601.973979999999</v>
      </c>
      <c r="CG50" s="651">
        <f>-VLOOKUP("2330711",'Input BS ACCTS'!$A$5:$DD$391,63,FALSE)/1000</f>
        <v>0</v>
      </c>
      <c r="CH50" s="651">
        <f>-VLOOKUP("2330711",'Input BS ACCTS'!$A$5:$DD$391,64,FALSE)/1000</f>
        <v>0</v>
      </c>
      <c r="CI50" s="651">
        <f>-VLOOKUP("2330711",'Input BS ACCTS'!$A$5:$DD$391,65,FALSE)/1000</f>
        <v>0</v>
      </c>
      <c r="CJ50" s="651">
        <f>-VLOOKUP("2330711",'Input BS ACCTS'!$A$5:$DD$391,66,FALSE)/1000</f>
        <v>0</v>
      </c>
      <c r="CK50" s="651">
        <f>-VLOOKUP("2330711",'Input BS ACCTS'!$A$5:$DD$391,67,FALSE)/1000</f>
        <v>0</v>
      </c>
      <c r="CL50" s="651">
        <f>-VLOOKUP("2330711",'Input BS ACCTS'!$A$5:$DD$391,68,FALSE)/1000</f>
        <v>0</v>
      </c>
      <c r="CM50" s="651">
        <f>-VLOOKUP("2330711",'Input BS ACCTS'!$A$5:$DD$391,69,FALSE)/1000</f>
        <v>0</v>
      </c>
      <c r="CN50" s="651">
        <f>-VLOOKUP("2330711",'Input BS ACCTS'!$A$5:$DD$391,70,FALSE)/1000</f>
        <v>0</v>
      </c>
      <c r="CO50" s="651">
        <f>-VLOOKUP("2330711",'Input BS ACCTS'!$A$5:$DD$391,71,FALSE)/1000</f>
        <v>0</v>
      </c>
      <c r="CP50" s="651">
        <f>-VLOOKUP("2330711",'Input BS ACCTS'!$A$5:$DD$391,72,FALSE)/1000</f>
        <v>0</v>
      </c>
      <c r="CQ50" s="651">
        <f>-VLOOKUP("2330711",'Input BS ACCTS'!$A$5:$DD$391,73,FALSE)/1000</f>
        <v>0</v>
      </c>
      <c r="CR50" s="651">
        <f>-VLOOKUP("2330711",'Input BS ACCTS'!$A$5:$DD$391,74,FALSE)/1000</f>
        <v>0</v>
      </c>
      <c r="CS50" s="651">
        <f>-VLOOKUP("2330711",'Input BS ACCTS'!$A$5:$DD$391,75,FALSE)/1000</f>
        <v>0</v>
      </c>
      <c r="CT50" s="651">
        <f>-VLOOKUP("2330711",'Input BS ACCTS'!$A$5:$DD$391,76,FALSE)/1000</f>
        <v>0</v>
      </c>
      <c r="CU50" s="651">
        <f>-VLOOKUP("2330711",'Input BS ACCTS'!$A$5:$DD$391,77,FALSE)/1000</f>
        <v>0</v>
      </c>
      <c r="CV50" s="651">
        <f>-VLOOKUP("2330711",'Input BS ACCTS'!$A$5:$DD$391,78,FALSE)/1000</f>
        <v>0</v>
      </c>
      <c r="CW50" s="651">
        <f>-VLOOKUP("2330711",'Input BS ACCTS'!$A$5:$DD$391,79,FALSE)/1000</f>
        <v>0</v>
      </c>
      <c r="CX50" s="651">
        <f>-VLOOKUP("2330711",'Input BS ACCTS'!$A$5:$DD$391,80,FALSE)/1000</f>
        <v>0</v>
      </c>
      <c r="CY50" s="651">
        <f>-VLOOKUP("2330711",'Input BS ACCTS'!$A$5:$DD$391,81,FALSE)/1000</f>
        <v>0</v>
      </c>
      <c r="CZ50" s="651">
        <f>-VLOOKUP("2330711",'Input BS ACCTS'!$A$5:$DD$391,81,FALSE)/1000</f>
        <v>0</v>
      </c>
      <c r="DA50" s="651">
        <f>-VLOOKUP("2330711",'Input BS ACCTS'!$A$5:$DD$391,82,FALSE)/1000</f>
        <v>0</v>
      </c>
      <c r="DB50" s="651">
        <f>-VLOOKUP("2330711",'Input BS ACCTS'!$A$5:$DD$391,83,FALSE)/1000</f>
        <v>0</v>
      </c>
      <c r="DC50" s="651">
        <f>-VLOOKUP("2330711",'Input BS ACCTS'!$A$5:$DD$391,84,FALSE)/1000</f>
        <v>0</v>
      </c>
      <c r="DD50" s="651">
        <f>-VLOOKUP("2330711",'Input BS ACCTS'!$A$5:$DD$391,85,FALSE)/1000</f>
        <v>0</v>
      </c>
      <c r="DE50" s="651">
        <f>-VLOOKUP("2330711",'Input BS ACCTS'!$A$5:$DD$391,86,FALSE)/1000</f>
        <v>0</v>
      </c>
      <c r="DF50" s="651">
        <f>-VLOOKUP("2330711",'Input BS ACCTS'!$A$5:$DD$391,87,FALSE)/1000</f>
        <v>0</v>
      </c>
      <c r="DG50" s="651">
        <f>-VLOOKUP("2330711",'Input BS ACCTS'!$A$5:$DD$391,88,FALSE)/1000</f>
        <v>0</v>
      </c>
      <c r="DH50" s="651">
        <f>-VLOOKUP("2330711",'Input BS ACCTS'!$A$5:$DD$391,89,FALSE)/1000</f>
        <v>0</v>
      </c>
      <c r="DI50" s="651">
        <f>-VLOOKUP("2330711",'Input BS ACCTS'!$A$5:$DD$391,90,FALSE)/1000</f>
        <v>0</v>
      </c>
      <c r="DJ50" s="651">
        <f>-VLOOKUP("2330711",'Input BS ACCTS'!$A$5:$DD$391,91,FALSE)/1000</f>
        <v>4181.1040000000003</v>
      </c>
      <c r="DK50" s="651">
        <f>-VLOOKUP("2330711",'Input BS ACCTS'!$A$5:$DD$391,92,FALSE)/1000</f>
        <v>0</v>
      </c>
      <c r="DL50" s="651">
        <f>-VLOOKUP("2330711",'Input BS ACCTS'!$A$5:$DD$391,93,FALSE)/1000</f>
        <v>0</v>
      </c>
      <c r="DM50" s="651">
        <f>-VLOOKUP("2330711",'Input BS ACCTS'!$A$5:$DD$391,93,FALSE)/1000</f>
        <v>0</v>
      </c>
      <c r="DN50" s="651">
        <f>-VLOOKUP("2330711",'Input BS ACCTS'!$A$5:$DD$391,93,FALSE)/1000</f>
        <v>0</v>
      </c>
      <c r="DO50" s="651">
        <f>-VLOOKUP("2330711",'Input BS ACCTS'!$A$5:$DD$391,93,FALSE)/1000</f>
        <v>0</v>
      </c>
      <c r="DP50" s="651">
        <f>-VLOOKUP("2330711",'Input BS ACCTS'!$A$5:$DD$391,93,FALSE)/1000</f>
        <v>0</v>
      </c>
      <c r="DQ50" s="651">
        <f>-VLOOKUP("2330711",'Input BS ACCTS'!$A$5:$DD$391,93,FALSE)/1000</f>
        <v>0</v>
      </c>
      <c r="DR50" s="651">
        <f>-VLOOKUP("2330711",'Input BS ACCTS'!$A$5:$DD$391,93,FALSE)/1000</f>
        <v>0</v>
      </c>
    </row>
    <row r="51" spans="1:123" hidden="1">
      <c r="B51" s="652" t="s">
        <v>2374</v>
      </c>
      <c r="Z51" s="645"/>
      <c r="BW51" s="670">
        <f>SUM(BW49:BW50)</f>
        <v>55045.713000000003</v>
      </c>
      <c r="BX51" s="670">
        <f t="shared" ref="BX51:CT51" si="120">SUM(BX49:BX50)</f>
        <v>58203.643530000001</v>
      </c>
      <c r="BY51" s="670">
        <f t="shared" si="120"/>
        <v>53438.296759999997</v>
      </c>
      <c r="BZ51" s="670">
        <f t="shared" si="120"/>
        <v>53973.759039999997</v>
      </c>
      <c r="CA51" s="670">
        <f t="shared" si="120"/>
        <v>86871.59375</v>
      </c>
      <c r="CB51" s="670">
        <f t="shared" si="120"/>
        <v>32647.32645</v>
      </c>
      <c r="CC51" s="670">
        <f t="shared" si="120"/>
        <v>32403.666739999997</v>
      </c>
      <c r="CD51" s="670">
        <f t="shared" si="120"/>
        <v>36635.669780000004</v>
      </c>
      <c r="CE51" s="670">
        <f t="shared" si="120"/>
        <v>44924.345580000001</v>
      </c>
      <c r="CF51" s="670">
        <f t="shared" si="120"/>
        <v>26601.973979999999</v>
      </c>
      <c r="CG51" s="670">
        <f t="shared" si="120"/>
        <v>35033.765530000004</v>
      </c>
      <c r="CH51" s="670">
        <f t="shared" si="120"/>
        <v>53651.64284</v>
      </c>
      <c r="CI51" s="670">
        <f t="shared" si="120"/>
        <v>70274.1008</v>
      </c>
      <c r="CJ51" s="670">
        <f t="shared" si="120"/>
        <v>51017.831979999995</v>
      </c>
      <c r="CK51" s="670">
        <f t="shared" si="120"/>
        <v>43526.147640000003</v>
      </c>
      <c r="CL51" s="670">
        <f t="shared" si="120"/>
        <v>47854.03026</v>
      </c>
      <c r="CM51" s="670">
        <f t="shared" si="120"/>
        <v>32302.624949999998</v>
      </c>
      <c r="CN51" s="670">
        <f t="shared" si="120"/>
        <v>43946.02736</v>
      </c>
      <c r="CO51" s="670">
        <f t="shared" si="120"/>
        <v>30168.533420000003</v>
      </c>
      <c r="CP51" s="670">
        <f>SUM(CP49:CP50)</f>
        <v>48717.414859999997</v>
      </c>
      <c r="CQ51" s="670">
        <f t="shared" si="120"/>
        <v>44435.200189999996</v>
      </c>
      <c r="CR51" s="670">
        <f t="shared" si="120"/>
        <v>47028.28342</v>
      </c>
      <c r="CS51" s="670">
        <f t="shared" si="120"/>
        <v>77517.735260000001</v>
      </c>
      <c r="CT51" s="670">
        <f t="shared" si="120"/>
        <v>91138.979059999998</v>
      </c>
      <c r="CU51" s="670">
        <f t="shared" ref="CU51:CZ51" si="121">SUM(CU49:CU50)</f>
        <v>104160.10278</v>
      </c>
      <c r="CV51" s="670">
        <f t="shared" si="121"/>
        <v>90190.82</v>
      </c>
      <c r="CW51" s="670">
        <f t="shared" si="121"/>
        <v>91778.96686</v>
      </c>
      <c r="CX51" s="670">
        <f t="shared" si="121"/>
        <v>99145.211670000004</v>
      </c>
      <c r="CY51" s="670">
        <f t="shared" si="121"/>
        <v>104893.603</v>
      </c>
      <c r="CZ51" s="670">
        <f t="shared" si="121"/>
        <v>104893.603</v>
      </c>
      <c r="DA51" s="670">
        <f t="shared" ref="DA51:DF51" si="122">SUM(DA49:DA50)</f>
        <v>127591.36500000001</v>
      </c>
      <c r="DB51" s="670">
        <f t="shared" si="122"/>
        <v>145194.42319</v>
      </c>
      <c r="DC51" s="670">
        <f t="shared" si="122"/>
        <v>133998.43737999999</v>
      </c>
      <c r="DD51" s="670">
        <f t="shared" si="122"/>
        <v>144415.73919999998</v>
      </c>
      <c r="DE51" s="670">
        <f t="shared" si="122"/>
        <v>162258.20669999998</v>
      </c>
      <c r="DF51" s="670">
        <f t="shared" si="122"/>
        <v>179528.11132</v>
      </c>
      <c r="DG51" s="670">
        <f t="shared" ref="DG51:DL51" si="123">SUM(DG49:DG50)</f>
        <v>214352.13493999999</v>
      </c>
      <c r="DH51" s="670">
        <f t="shared" si="123"/>
        <v>236511.39825999999</v>
      </c>
      <c r="DI51" s="670">
        <f t="shared" si="123"/>
        <v>221147.72566</v>
      </c>
      <c r="DJ51" s="670">
        <f t="shared" si="123"/>
        <v>14181.103999999999</v>
      </c>
      <c r="DK51" s="670">
        <f t="shared" si="123"/>
        <v>17122.357</v>
      </c>
      <c r="DL51" s="670">
        <f t="shared" si="123"/>
        <v>87741.525890000004</v>
      </c>
      <c r="DM51" s="670">
        <f t="shared" ref="DM51:DR51" si="124">SUM(DM49:DM50)</f>
        <v>87741.525890000004</v>
      </c>
      <c r="DN51" s="670">
        <f t="shared" si="124"/>
        <v>87741.525890000004</v>
      </c>
      <c r="DO51" s="670">
        <f t="shared" si="124"/>
        <v>87741.525890000004</v>
      </c>
      <c r="DP51" s="670">
        <f t="shared" si="124"/>
        <v>87741.525890000004</v>
      </c>
      <c r="DQ51" s="670">
        <f t="shared" si="124"/>
        <v>87741.525890000004</v>
      </c>
      <c r="DR51" s="670">
        <f t="shared" si="124"/>
        <v>87741.525890000004</v>
      </c>
    </row>
    <row r="52" spans="1:123" hidden="1">
      <c r="Z52" s="645"/>
    </row>
    <row r="53" spans="1:123" hidden="1">
      <c r="B53" s="178" t="s">
        <v>2375</v>
      </c>
      <c r="Z53" s="645"/>
      <c r="CI53" s="442">
        <f>SUM(BW51:CI51)/13</f>
        <v>49208.115213846155</v>
      </c>
      <c r="CJ53" s="442">
        <f t="shared" ref="CJ53:CO53" si="125">SUM(BX51:CJ51)/13</f>
        <v>48898.278212307705</v>
      </c>
      <c r="CK53" s="442">
        <f t="shared" si="125"/>
        <v>47769.240066923077</v>
      </c>
      <c r="CL53" s="442">
        <f t="shared" si="125"/>
        <v>47339.681105384618</v>
      </c>
      <c r="CM53" s="442">
        <f t="shared" si="125"/>
        <v>45672.670790769233</v>
      </c>
      <c r="CN53" s="442">
        <f t="shared" si="125"/>
        <v>42370.70414538461</v>
      </c>
      <c r="CO53" s="442">
        <f t="shared" si="125"/>
        <v>42180.02775846154</v>
      </c>
      <c r="CP53" s="442">
        <f t="shared" ref="CP53:DL53" si="126">SUM(CD51:CP51)/13</f>
        <v>43434.931459999993</v>
      </c>
      <c r="CQ53" s="442">
        <f t="shared" si="126"/>
        <v>44034.895337692302</v>
      </c>
      <c r="CR53" s="442">
        <f t="shared" si="126"/>
        <v>44196.736709999997</v>
      </c>
      <c r="CS53" s="442">
        <f t="shared" si="126"/>
        <v>48113.333731538463</v>
      </c>
      <c r="CT53" s="442">
        <f t="shared" si="126"/>
        <v>52429.119387692313</v>
      </c>
      <c r="CU53" s="442">
        <f t="shared" si="126"/>
        <v>56314.385536923081</v>
      </c>
      <c r="CV53" s="442">
        <f t="shared" si="126"/>
        <v>57846.440859999988</v>
      </c>
      <c r="CW53" s="442">
        <f t="shared" si="126"/>
        <v>60981.912773846147</v>
      </c>
      <c r="CX53" s="442">
        <f t="shared" si="126"/>
        <v>65260.302314615386</v>
      </c>
      <c r="CY53" s="442">
        <f t="shared" si="126"/>
        <v>69647.961756153862</v>
      </c>
      <c r="CZ53" s="442">
        <f t="shared" si="126"/>
        <v>75231.883144615393</v>
      </c>
      <c r="DA53" s="442">
        <f t="shared" si="126"/>
        <v>81666.139886153862</v>
      </c>
      <c r="DB53" s="442">
        <f t="shared" si="126"/>
        <v>90514.285253076916</v>
      </c>
      <c r="DC53" s="442">
        <f t="shared" si="126"/>
        <v>97074.363908461542</v>
      </c>
      <c r="DD53" s="442">
        <f t="shared" si="126"/>
        <v>104765.17460153847</v>
      </c>
      <c r="DE53" s="442">
        <f t="shared" si="126"/>
        <v>113629.01485384614</v>
      </c>
      <c r="DF53" s="442">
        <f t="shared" si="126"/>
        <v>121475.96685846151</v>
      </c>
      <c r="DG53" s="442">
        <f t="shared" si="126"/>
        <v>130953.90192615383</v>
      </c>
      <c r="DH53" s="442">
        <f t="shared" si="126"/>
        <v>141134.77080923074</v>
      </c>
      <c r="DI53" s="442">
        <f t="shared" si="126"/>
        <v>151208.37893692305</v>
      </c>
      <c r="DJ53" s="442">
        <f t="shared" si="126"/>
        <v>145239.31256307691</v>
      </c>
      <c r="DK53" s="442">
        <f t="shared" si="126"/>
        <v>138929.86220384616</v>
      </c>
      <c r="DL53" s="442">
        <f t="shared" si="126"/>
        <v>137610.47165692307</v>
      </c>
      <c r="DM53" s="442">
        <f t="shared" ref="DM53:DR53" si="127">SUM(DA51:DM51)/13</f>
        <v>136291.08110999997</v>
      </c>
      <c r="DN53" s="442">
        <f t="shared" si="127"/>
        <v>133225.70887076922</v>
      </c>
      <c r="DO53" s="442">
        <f t="shared" si="127"/>
        <v>128806.25523230768</v>
      </c>
      <c r="DP53" s="442">
        <f t="shared" si="127"/>
        <v>125248.03127153845</v>
      </c>
      <c r="DQ53" s="442">
        <f t="shared" si="127"/>
        <v>120888.47640153844</v>
      </c>
      <c r="DR53" s="442">
        <f t="shared" si="127"/>
        <v>115156.42403153844</v>
      </c>
    </row>
    <row r="54" spans="1:123" hidden="1">
      <c r="Z54" s="645"/>
    </row>
    <row r="55" spans="1:123" hidden="1">
      <c r="B55" s="642" t="s">
        <v>2371</v>
      </c>
      <c r="Z55" s="645"/>
      <c r="BW55" s="643">
        <f t="shared" ref="BW55:CT55" si="128">+BW12</f>
        <v>43126</v>
      </c>
      <c r="BX55" s="643">
        <f t="shared" si="128"/>
        <v>43156</v>
      </c>
      <c r="BY55" s="643">
        <f t="shared" si="128"/>
        <v>43186</v>
      </c>
      <c r="BZ55" s="643">
        <f t="shared" si="128"/>
        <v>43216</v>
      </c>
      <c r="CA55" s="643">
        <f t="shared" si="128"/>
        <v>43246</v>
      </c>
      <c r="CB55" s="643">
        <f t="shared" si="128"/>
        <v>43276</v>
      </c>
      <c r="CC55" s="643">
        <f t="shared" si="128"/>
        <v>43306</v>
      </c>
      <c r="CD55" s="643">
        <f t="shared" si="128"/>
        <v>43336</v>
      </c>
      <c r="CE55" s="643">
        <f t="shared" si="128"/>
        <v>43366</v>
      </c>
      <c r="CF55" s="643">
        <f t="shared" si="128"/>
        <v>43396</v>
      </c>
      <c r="CG55" s="643">
        <f t="shared" si="128"/>
        <v>43426</v>
      </c>
      <c r="CH55" s="643">
        <f t="shared" si="128"/>
        <v>43456</v>
      </c>
      <c r="CI55" s="643">
        <f t="shared" si="128"/>
        <v>43486</v>
      </c>
      <c r="CJ55" s="643">
        <f t="shared" si="128"/>
        <v>43516</v>
      </c>
      <c r="CK55" s="643">
        <f t="shared" si="128"/>
        <v>43546</v>
      </c>
      <c r="CL55" s="643">
        <f t="shared" si="128"/>
        <v>43576</v>
      </c>
      <c r="CM55" s="643">
        <f t="shared" si="128"/>
        <v>43606</v>
      </c>
      <c r="CN55" s="643">
        <f t="shared" si="128"/>
        <v>43636</v>
      </c>
      <c r="CO55" s="643">
        <f t="shared" si="128"/>
        <v>43666</v>
      </c>
      <c r="CP55" s="643">
        <f t="shared" si="128"/>
        <v>43696</v>
      </c>
      <c r="CQ55" s="643">
        <f t="shared" si="128"/>
        <v>43726</v>
      </c>
      <c r="CR55" s="643">
        <f t="shared" si="128"/>
        <v>43756</v>
      </c>
      <c r="CS55" s="643">
        <f t="shared" si="128"/>
        <v>43786</v>
      </c>
      <c r="CT55" s="643">
        <f t="shared" si="128"/>
        <v>43816</v>
      </c>
      <c r="CU55" s="643">
        <f t="shared" ref="CU55:CZ55" si="129">+CU12</f>
        <v>43846</v>
      </c>
      <c r="CV55" s="643">
        <f t="shared" si="129"/>
        <v>43876</v>
      </c>
      <c r="CW55" s="643">
        <f t="shared" si="129"/>
        <v>43906</v>
      </c>
      <c r="CX55" s="643">
        <f t="shared" si="129"/>
        <v>43936</v>
      </c>
      <c r="CY55" s="643">
        <f t="shared" si="129"/>
        <v>43966</v>
      </c>
      <c r="CZ55" s="643">
        <f t="shared" si="129"/>
        <v>43996</v>
      </c>
      <c r="DA55" s="643">
        <f t="shared" ref="DA55:DF55" si="130">+DA12</f>
        <v>44026</v>
      </c>
      <c r="DB55" s="643">
        <f t="shared" si="130"/>
        <v>44056</v>
      </c>
      <c r="DC55" s="643">
        <f t="shared" si="130"/>
        <v>44086</v>
      </c>
      <c r="DD55" s="643">
        <f t="shared" si="130"/>
        <v>44116</v>
      </c>
      <c r="DE55" s="643">
        <f t="shared" si="130"/>
        <v>44146</v>
      </c>
      <c r="DF55" s="643">
        <f t="shared" si="130"/>
        <v>44176</v>
      </c>
      <c r="DG55" s="643">
        <f t="shared" ref="DG55:DL55" si="131">+DG12</f>
        <v>44206</v>
      </c>
      <c r="DH55" s="643">
        <f t="shared" si="131"/>
        <v>44236</v>
      </c>
      <c r="DI55" s="643">
        <f t="shared" si="131"/>
        <v>44266</v>
      </c>
      <c r="DJ55" s="643">
        <f t="shared" si="131"/>
        <v>44296</v>
      </c>
      <c r="DK55" s="643">
        <f t="shared" si="131"/>
        <v>44326</v>
      </c>
      <c r="DL55" s="643">
        <f t="shared" si="131"/>
        <v>44356</v>
      </c>
      <c r="DM55" s="643">
        <f t="shared" ref="DM55:DR55" si="132">+DM12</f>
        <v>44386</v>
      </c>
      <c r="DN55" s="643">
        <f t="shared" si="132"/>
        <v>44416</v>
      </c>
      <c r="DO55" s="643">
        <f t="shared" si="132"/>
        <v>44446</v>
      </c>
      <c r="DP55" s="643">
        <f t="shared" si="132"/>
        <v>44476</v>
      </c>
      <c r="DQ55" s="643">
        <f t="shared" si="132"/>
        <v>44506</v>
      </c>
      <c r="DR55" s="643">
        <f t="shared" si="132"/>
        <v>44536</v>
      </c>
    </row>
    <row r="56" spans="1:123" hidden="1">
      <c r="Z56" s="645"/>
    </row>
    <row r="57" spans="1:123" hidden="1">
      <c r="A57" s="846" t="s">
        <v>2365</v>
      </c>
      <c r="B57" s="645" t="s">
        <v>1241</v>
      </c>
      <c r="Z57" s="645"/>
      <c r="BW57" s="657">
        <f>VLOOKUP("7500020",'Input IS ACCTS'!$A$6:$CV$507,52,FALSE)/1000</f>
        <v>1.3020799999999999</v>
      </c>
      <c r="BX57" s="657">
        <f>VLOOKUP("7500020",'Input IS ACCTS'!$A$6:$CV$507,53,FALSE)/1000</f>
        <v>2.3383099999999999</v>
      </c>
      <c r="BY57" s="657">
        <f>VLOOKUP("7500020",'Input IS ACCTS'!$A$6:$CV$507,54,FALSE)/1000</f>
        <v>1.5179200000000002</v>
      </c>
      <c r="BZ57" s="657">
        <f>VLOOKUP("7500020",'Input IS ACCTS'!$A$6:$CV$507,55,FALSE)/1000</f>
        <v>1.3236400000000001</v>
      </c>
      <c r="CA57" s="657">
        <f>VLOOKUP("7500020",'Input IS ACCTS'!$A$6:$CV$507,56,FALSE)/1000</f>
        <v>13.990110000000001</v>
      </c>
      <c r="CB57" s="657">
        <f>VLOOKUP("7500020",'Input IS ACCTS'!$A$6:$CV$507,57,FALSE)/1000</f>
        <v>14.26085</v>
      </c>
      <c r="CC57" s="657">
        <f>VLOOKUP("7500020",'Input IS ACCTS'!$A$6:$CV$507,58,FALSE)/1000</f>
        <v>12.071999999999999</v>
      </c>
      <c r="CD57" s="657">
        <f>VLOOKUP("7500020",'Input IS ACCTS'!$A$6:$CV$507,59,FALSE)/1000</f>
        <v>6.0135299999999994</v>
      </c>
      <c r="CE57" s="657">
        <f>VLOOKUP("7500020",'Input IS ACCTS'!$A$6:$CV$507,60,FALSE)/1000</f>
        <v>8.2726399999999991</v>
      </c>
      <c r="CF57" s="657">
        <f>VLOOKUP("7500020",'Input IS ACCTS'!$A$6:$CV$507,61,FALSE)/1000</f>
        <v>2.6476700000000002</v>
      </c>
      <c r="CG57" s="657">
        <f>VLOOKUP("7500020",'Input IS ACCTS'!$A$6:$CV$507,62,FALSE)/1000</f>
        <v>40.228199999999994</v>
      </c>
      <c r="CH57" s="657">
        <f>VLOOKUP("7500020",'Input IS ACCTS'!$A$6:$CV$507,63,FALSE)/1000</f>
        <v>83.725909999999999</v>
      </c>
      <c r="CI57" s="657">
        <f>VLOOKUP("7500020",'Input IS ACCTS'!$A$6:$CV$507,64,FALSE)/1000</f>
        <v>72.850350000000006</v>
      </c>
      <c r="CJ57" s="657">
        <f>VLOOKUP("7500020",'Input IS ACCTS'!$A$6:$CV$507,65,FALSE)/1000</f>
        <v>55.83426</v>
      </c>
      <c r="CK57" s="657">
        <f>VLOOKUP("7500020",'Input IS ACCTS'!$A$6:$CV$507,66,FALSE)/1000</f>
        <v>46.345579999999998</v>
      </c>
      <c r="CL57" s="657">
        <f>VLOOKUP("7500020",'Input IS ACCTS'!$A$6:$CV$507,67,FALSE)/1000</f>
        <v>40.380199999999995</v>
      </c>
      <c r="CM57" s="657">
        <f>VLOOKUP("7500020",'Input IS ACCTS'!$A$6:$CV$507,68,FALSE)/1000</f>
        <v>33.115960000000001</v>
      </c>
      <c r="CN57" s="657">
        <f>VLOOKUP("7500020",'Input IS ACCTS'!$A$6:$CV$507,69,FALSE)/1000</f>
        <v>28.771459999999998</v>
      </c>
      <c r="CO57" s="657">
        <f>VLOOKUP("7500020",'Input IS ACCTS'!$A$6:$CV$507,70,FALSE)/1000</f>
        <v>32.779379999999996</v>
      </c>
      <c r="CP57" s="657">
        <f>VLOOKUP("7500020",'Input IS ACCTS'!$A$6:$CV$507,71,FALSE)/1000</f>
        <v>89.666149999999988</v>
      </c>
      <c r="CQ57" s="657">
        <f>VLOOKUP("7500020",'Input IS ACCTS'!$A$6:$CV$507,72,FALSE)/1000</f>
        <v>56.198260000000005</v>
      </c>
      <c r="CR57" s="657">
        <f>VLOOKUP("7500020",'Input IS ACCTS'!$A$6:$CV$507,73,FALSE)/1000</f>
        <v>18.126990000000003</v>
      </c>
      <c r="CS57" s="657">
        <f>VLOOKUP("7500020",'Input IS ACCTS'!$A$6:$CV$507,74,FALSE)/1000</f>
        <v>83.670259999999999</v>
      </c>
      <c r="CT57" s="657">
        <f>VLOOKUP("7500020",'Input IS ACCTS'!$A$6:$CV$507,75,FALSE)/1000</f>
        <v>35.241610000000001</v>
      </c>
      <c r="CU57" s="657">
        <f>VLOOKUP("7500020",'Input IS ACCTS'!$A$6:$CV$507,76,FALSE)/1000</f>
        <v>36.112730000000006</v>
      </c>
      <c r="CV57" s="657">
        <f>VLOOKUP("7500020",'Input IS ACCTS'!$A$6:$CV$507,77,FALSE)/1000</f>
        <v>8.0818599999999989</v>
      </c>
      <c r="CW57" s="657">
        <f>VLOOKUP("7500020",'Input IS ACCTS'!$A$6:$CV$507,78,FALSE)/1000</f>
        <v>62.323749999999997</v>
      </c>
      <c r="CX57" s="657">
        <f>VLOOKUP("7500020",'Input IS ACCTS'!$A$6:$CV$507,79,FALSE)/1000</f>
        <v>30.054939999999998</v>
      </c>
      <c r="CY57" s="657">
        <f>VLOOKUP("7500020",'Input IS ACCTS'!$A$6:$CV$507,80,FALSE)/1000</f>
        <v>10.575659999999999</v>
      </c>
      <c r="CZ57" s="657">
        <f>VLOOKUP("7500020",'Input IS ACCTS'!$A$6:$CV$507,80,FALSE)/1000</f>
        <v>10.575659999999999</v>
      </c>
      <c r="DA57" s="657">
        <f>VLOOKUP("7500020",'Input IS ACCTS'!$A$6:$CV$507,80,FALSE)/1000</f>
        <v>10.575659999999999</v>
      </c>
      <c r="DB57" s="657">
        <f>VLOOKUP("7500020",'Input IS ACCTS'!$A$6:$CV$507,80,FALSE)/1000</f>
        <v>10.575659999999999</v>
      </c>
      <c r="DC57" s="657">
        <f>VLOOKUP("7500020",'Input IS ACCTS'!$A$6:$CV$507,80,FALSE)/1000</f>
        <v>10.575659999999999</v>
      </c>
      <c r="DD57" s="657">
        <f>VLOOKUP("7500020",'Input IS ACCTS'!$A$6:$CV$507,80,FALSE)/1000</f>
        <v>10.575659999999999</v>
      </c>
      <c r="DE57" s="657">
        <f>VLOOKUP("7500020",'Input IS ACCTS'!$A$6:$CV$507,80,FALSE)/1000</f>
        <v>10.575659999999999</v>
      </c>
      <c r="DF57" s="657">
        <f>VLOOKUP("7500020",'Input IS ACCTS'!$A$6:$CV$507,80,FALSE)/1000</f>
        <v>10.575659999999999</v>
      </c>
      <c r="DG57" s="657">
        <f>VLOOKUP("7500020",'Input IS ACCTS'!$A$6:$CV$507,80,FALSE)/1000</f>
        <v>10.575659999999999</v>
      </c>
      <c r="DH57" s="657">
        <f>VLOOKUP("7500020",'Input IS ACCTS'!$A$6:$CV$507,80,FALSE)/1000</f>
        <v>10.575659999999999</v>
      </c>
      <c r="DI57" s="657">
        <f>VLOOKUP("7500020",'Input IS ACCTS'!$A$6:$CV$507,80,FALSE)/1000</f>
        <v>10.575659999999999</v>
      </c>
      <c r="DJ57" s="657">
        <f>VLOOKUP("7500020",'Input IS ACCTS'!$A$6:$CV$507,80,FALSE)/1000</f>
        <v>10.575659999999999</v>
      </c>
      <c r="DK57" s="657">
        <f>VLOOKUP("7500020",'Input IS ACCTS'!$A$6:$CV$507,80,FALSE)/1000</f>
        <v>10.575659999999999</v>
      </c>
      <c r="DL57" s="657">
        <f>VLOOKUP("7500020",'Input IS ACCTS'!$A$6:$CV$507,80,FALSE)/1000</f>
        <v>10.575659999999999</v>
      </c>
      <c r="DM57" s="657">
        <f>VLOOKUP("7500020",'Input IS ACCTS'!$A$6:$CV$507,80,FALSE)/1000</f>
        <v>10.575659999999999</v>
      </c>
      <c r="DN57" s="657">
        <f>VLOOKUP("7500020",'Input IS ACCTS'!$A$6:$CV$507,80,FALSE)/1000</f>
        <v>10.575659999999999</v>
      </c>
      <c r="DO57" s="657">
        <f>VLOOKUP("7500020",'Input IS ACCTS'!$A$6:$CV$507,80,FALSE)/1000</f>
        <v>10.575659999999999</v>
      </c>
      <c r="DP57" s="657">
        <f>VLOOKUP("7500020",'Input IS ACCTS'!$A$6:$CV$507,80,FALSE)/1000</f>
        <v>10.575659999999999</v>
      </c>
      <c r="DQ57" s="657">
        <f>VLOOKUP("7500020",'Input IS ACCTS'!$A$6:$CV$507,80,FALSE)/1000</f>
        <v>10.575659999999999</v>
      </c>
      <c r="DR57" s="657">
        <f>VLOOKUP("7500020",'Input IS ACCTS'!$A$6:$CV$507,80,FALSE)/1000</f>
        <v>10.575659999999999</v>
      </c>
    </row>
    <row r="58" spans="1:123" hidden="1">
      <c r="A58" s="846" t="s">
        <v>2366</v>
      </c>
      <c r="B58" s="633" t="s">
        <v>1243</v>
      </c>
      <c r="Z58" s="645"/>
      <c r="BW58" s="657">
        <f>VLOOKUP("7500080",'Input IS ACCTS'!$A$6:$CV$507,52,FALSE)/1000</f>
        <v>5.8760699999999995</v>
      </c>
      <c r="BX58" s="657">
        <f>VLOOKUP("7500080",'Input IS ACCTS'!$A$6:$CV$507,53,FALSE)/1000</f>
        <v>194.60948999999999</v>
      </c>
      <c r="BY58" s="657">
        <f>VLOOKUP("7500080",'Input IS ACCTS'!$A$6:$CV$507,54,FALSE)/1000</f>
        <v>-182.38129999999998</v>
      </c>
      <c r="BZ58" s="657">
        <f>VLOOKUP("7500080",'Input IS ACCTS'!$A$6:$CV$507,55,FALSE)/1000</f>
        <v>6.40212</v>
      </c>
      <c r="CA58" s="657">
        <f>VLOOKUP("7500080",'Input IS ACCTS'!$A$6:$CV$507,56,FALSE)/1000</f>
        <v>53.475589999999997</v>
      </c>
      <c r="CB58" s="657">
        <f>VLOOKUP("7500080",'Input IS ACCTS'!$A$6:$CV$507,57,FALSE)/1000</f>
        <v>70.464280000000002</v>
      </c>
      <c r="CC58" s="657">
        <f>VLOOKUP("7500080",'Input IS ACCTS'!$A$6:$CV$507,58,FALSE)/1000</f>
        <v>5.8760699999999995</v>
      </c>
      <c r="CD58" s="657">
        <f>VLOOKUP("7500080",'Input IS ACCTS'!$A$6:$CV$507,59,FALSE)/1000</f>
        <v>5.8760699999999995</v>
      </c>
      <c r="CE58" s="657">
        <f>VLOOKUP("7500080",'Input IS ACCTS'!$A$6:$CV$507,60,FALSE)/1000</f>
        <v>8.8372799999999998</v>
      </c>
      <c r="CF58" s="657">
        <f>VLOOKUP("7500080",'Input IS ACCTS'!$A$6:$CV$507,61,FALSE)/1000</f>
        <v>10.405479999999999</v>
      </c>
      <c r="CG58" s="657">
        <f>VLOOKUP("7500080",'Input IS ACCTS'!$A$6:$CV$507,62,FALSE)/1000</f>
        <v>6.5460000000000003</v>
      </c>
      <c r="CH58" s="657">
        <f>VLOOKUP("7500080",'Input IS ACCTS'!$A$6:$CV$507,63,FALSE)/1000</f>
        <v>70.15822</v>
      </c>
      <c r="CI58" s="657">
        <f>VLOOKUP("7500080",'Input IS ACCTS'!$A$6:$CV$507,64,FALSE)/1000</f>
        <v>149.34923999999998</v>
      </c>
      <c r="CJ58" s="657">
        <f>VLOOKUP("7500080",'Input IS ACCTS'!$A$6:$CV$507,65,FALSE)/1000</f>
        <v>149.27270999999999</v>
      </c>
      <c r="CK58" s="657">
        <f>VLOOKUP("7500080",'Input IS ACCTS'!$A$6:$CV$507,66,FALSE)/1000</f>
        <v>136.38771</v>
      </c>
      <c r="CL58" s="657">
        <f>VLOOKUP("7500080",'Input IS ACCTS'!$A$6:$CV$507,67,FALSE)/1000</f>
        <v>128.59539999999998</v>
      </c>
      <c r="CM58" s="657">
        <f>VLOOKUP("7500080",'Input IS ACCTS'!$A$6:$CV$507,68,FALSE)/1000</f>
        <v>75.832619999999991</v>
      </c>
      <c r="CN58" s="657">
        <f>VLOOKUP("7500080",'Input IS ACCTS'!$A$6:$CV$507,69,FALSE)/1000</f>
        <v>-142.66913</v>
      </c>
      <c r="CO58" s="657">
        <f>VLOOKUP("7500080",'Input IS ACCTS'!$A$6:$CV$507,70,FALSE)/1000</f>
        <v>82.85812</v>
      </c>
      <c r="CP58" s="657">
        <f>VLOOKUP("7500080",'Input IS ACCTS'!$A$6:$CV$507,71,FALSE)/1000</f>
        <v>12.758089999999999</v>
      </c>
      <c r="CQ58" s="657">
        <f>VLOOKUP("7500080",'Input IS ACCTS'!$A$6:$CV$507,72,FALSE)/1000</f>
        <v>55.656330000000004</v>
      </c>
      <c r="CR58" s="657">
        <f>VLOOKUP("7500080",'Input IS ACCTS'!$A$6:$CV$507,73,FALSE)/1000</f>
        <v>104.93792999999999</v>
      </c>
      <c r="CS58" s="657">
        <f>VLOOKUP("7500080",'Input IS ACCTS'!$A$6:$CV$507,74,FALSE)/1000</f>
        <v>46.607099999999996</v>
      </c>
      <c r="CT58" s="657">
        <f>VLOOKUP("7500080",'Input IS ACCTS'!$A$6:$CV$507,75,FALSE)/1000</f>
        <v>151.91215</v>
      </c>
      <c r="CU58" s="657">
        <f>VLOOKUP("7500080",'Input IS ACCTS'!$A$6:$CV$507,76,FALSE)/1000</f>
        <v>174.10282000000001</v>
      </c>
      <c r="CV58" s="657">
        <f>VLOOKUP("7500080",'Input IS ACCTS'!$A$6:$CV$507,77,FALSE)/1000</f>
        <v>81.033109999999994</v>
      </c>
      <c r="CW58" s="657">
        <f>VLOOKUP("7500080",'Input IS ACCTS'!$A$6:$CV$507,78,FALSE)/1000</f>
        <v>173.38065</v>
      </c>
      <c r="CX58" s="657">
        <f>VLOOKUP("7500080",'Input IS ACCTS'!$A$6:$CV$507,79,FALSE)/1000</f>
        <v>63.600089999999994</v>
      </c>
      <c r="CY58" s="657">
        <f>VLOOKUP("7500080",'Input IS ACCTS'!$A$6:$CV$507,80,FALSE)/1000</f>
        <v>82.03813000000001</v>
      </c>
      <c r="CZ58" s="657">
        <f>VLOOKUP("7500080",'Input IS ACCTS'!$A$6:$CV$507,80,FALSE)/1000</f>
        <v>82.03813000000001</v>
      </c>
      <c r="DA58" s="657">
        <f>VLOOKUP("7500080",'Input IS ACCTS'!$A$6:$CV$507,80,FALSE)/1000</f>
        <v>82.03813000000001</v>
      </c>
      <c r="DB58" s="657">
        <f>VLOOKUP("7500080",'Input IS ACCTS'!$A$6:$CV$507,80,FALSE)/1000</f>
        <v>82.03813000000001</v>
      </c>
      <c r="DC58" s="657">
        <f>VLOOKUP("7500080",'Input IS ACCTS'!$A$6:$CV$507,80,FALSE)/1000</f>
        <v>82.03813000000001</v>
      </c>
      <c r="DD58" s="657">
        <f>VLOOKUP("7500080",'Input IS ACCTS'!$A$6:$CV$507,80,FALSE)/1000</f>
        <v>82.03813000000001</v>
      </c>
      <c r="DE58" s="657">
        <f>VLOOKUP("7500080",'Input IS ACCTS'!$A$6:$CV$507,80,FALSE)/1000</f>
        <v>82.03813000000001</v>
      </c>
      <c r="DF58" s="657">
        <f>VLOOKUP("7500080",'Input IS ACCTS'!$A$6:$CV$507,80,FALSE)/1000</f>
        <v>82.03813000000001</v>
      </c>
      <c r="DG58" s="657">
        <f>VLOOKUP("7500080",'Input IS ACCTS'!$A$6:$CV$507,80,FALSE)/1000</f>
        <v>82.03813000000001</v>
      </c>
      <c r="DH58" s="657">
        <f>VLOOKUP("7500080",'Input IS ACCTS'!$A$6:$CV$507,80,FALSE)/1000</f>
        <v>82.03813000000001</v>
      </c>
      <c r="DI58" s="657">
        <f>VLOOKUP("7500080",'Input IS ACCTS'!$A$6:$CV$507,80,FALSE)/1000</f>
        <v>82.03813000000001</v>
      </c>
      <c r="DJ58" s="657">
        <f>VLOOKUP("7500080",'Input IS ACCTS'!$A$6:$CV$507,80,FALSE)/1000</f>
        <v>82.03813000000001</v>
      </c>
      <c r="DK58" s="657">
        <f>VLOOKUP("7500080",'Input IS ACCTS'!$A$6:$CV$507,80,FALSE)/1000</f>
        <v>82.03813000000001</v>
      </c>
      <c r="DL58" s="657">
        <f>VLOOKUP("7500080",'Input IS ACCTS'!$A$6:$CV$507,80,FALSE)/1000</f>
        <v>82.03813000000001</v>
      </c>
      <c r="DM58" s="657">
        <f>VLOOKUP("7500080",'Input IS ACCTS'!$A$6:$CV$507,80,FALSE)/1000</f>
        <v>82.03813000000001</v>
      </c>
      <c r="DN58" s="657">
        <f>VLOOKUP("7500080",'Input IS ACCTS'!$A$6:$CV$507,80,FALSE)/1000</f>
        <v>82.03813000000001</v>
      </c>
      <c r="DO58" s="657">
        <f>VLOOKUP("7500080",'Input IS ACCTS'!$A$6:$CV$507,80,FALSE)/1000</f>
        <v>82.03813000000001</v>
      </c>
      <c r="DP58" s="657">
        <f>VLOOKUP("7500080",'Input IS ACCTS'!$A$6:$CV$507,80,FALSE)/1000</f>
        <v>82.03813000000001</v>
      </c>
      <c r="DQ58" s="657">
        <f>VLOOKUP("7500080",'Input IS ACCTS'!$A$6:$CV$507,80,FALSE)/1000</f>
        <v>82.03813000000001</v>
      </c>
      <c r="DR58" s="657">
        <f>VLOOKUP("7500080",'Input IS ACCTS'!$A$6:$CV$507,80,FALSE)/1000</f>
        <v>82.03813000000001</v>
      </c>
    </row>
    <row r="59" spans="1:123" hidden="1">
      <c r="A59" s="846" t="s">
        <v>2367</v>
      </c>
      <c r="B59" s="633" t="s">
        <v>2218</v>
      </c>
      <c r="Z59" s="645"/>
      <c r="BW59" s="657">
        <f>VLOOKUP("7500090",'Input IS ACCTS'!$A$6:$CV$507,52,FALSE)/1000</f>
        <v>0</v>
      </c>
      <c r="BX59" s="657">
        <f>VLOOKUP("7500090",'Input IS ACCTS'!$A$6:$CV$507,53,FALSE)/1000</f>
        <v>0</v>
      </c>
      <c r="BY59" s="657">
        <f>VLOOKUP("7500090",'Input IS ACCTS'!$A$6:$CV$507,54,FALSE)/1000</f>
        <v>307.48136</v>
      </c>
      <c r="BZ59" s="657">
        <f>VLOOKUP("7500090",'Input IS ACCTS'!$A$6:$CV$507,55,FALSE)/1000</f>
        <v>102.7972</v>
      </c>
      <c r="CA59" s="657">
        <f>VLOOKUP("7500090",'Input IS ACCTS'!$A$6:$CV$507,56,FALSE)/1000</f>
        <v>74.870729999999995</v>
      </c>
      <c r="CB59" s="657">
        <f>VLOOKUP("7500090",'Input IS ACCTS'!$A$6:$CV$507,57,FALSE)/1000</f>
        <v>72.428309999999996</v>
      </c>
      <c r="CC59" s="657">
        <f>VLOOKUP("7500090",'Input IS ACCTS'!$A$6:$CV$507,58,FALSE)/1000</f>
        <v>64.912760000000006</v>
      </c>
      <c r="CD59" s="657">
        <f>VLOOKUP("7500090",'Input IS ACCTS'!$A$6:$CV$507,59,FALSE)/1000</f>
        <v>76.242159999999998</v>
      </c>
      <c r="CE59" s="657">
        <f>VLOOKUP("7500090",'Input IS ACCTS'!$A$6:$CV$507,60,FALSE)/1000</f>
        <v>84.145929999999993</v>
      </c>
      <c r="CF59" s="657">
        <f>VLOOKUP("7500090",'Input IS ACCTS'!$A$6:$CV$507,61,FALSE)/1000</f>
        <v>22.61787</v>
      </c>
      <c r="CG59" s="657">
        <f>VLOOKUP("7500090",'Input IS ACCTS'!$A$6:$CV$507,62,FALSE)/1000</f>
        <v>0</v>
      </c>
      <c r="CH59" s="657">
        <f>VLOOKUP("7500090",'Input IS ACCTS'!$A$6:$CV$507,63,FALSE)/1000</f>
        <v>0</v>
      </c>
      <c r="CI59" s="657">
        <f>VLOOKUP("7500090",'Input IS ACCTS'!$A$6:$CV$507,64,FALSE)/1000</f>
        <v>0</v>
      </c>
      <c r="CJ59" s="657">
        <f>VLOOKUP("7500090",'Input IS ACCTS'!$A$6:$CV$507,65,FALSE)/1000</f>
        <v>0</v>
      </c>
      <c r="CK59" s="657">
        <f>VLOOKUP("7500090",'Input IS ACCTS'!$A$6:$CV$507,66,FALSE)/1000</f>
        <v>0</v>
      </c>
      <c r="CL59" s="657">
        <f>VLOOKUP("7500090",'Input IS ACCTS'!$A$6:$CV$507,67,FALSE)/1000</f>
        <v>0</v>
      </c>
      <c r="CM59" s="657">
        <f>VLOOKUP("7500090",'Input IS ACCTS'!$A$6:$CV$507,68,FALSE)/1000</f>
        <v>0</v>
      </c>
      <c r="CN59" s="657">
        <f>VLOOKUP("7500090",'Input IS ACCTS'!$A$6:$CV$507,69,FALSE)/1000</f>
        <v>0</v>
      </c>
      <c r="CO59" s="657">
        <f>VLOOKUP("7500090",'Input IS ACCTS'!$A$6:$CV$507,70,FALSE)/1000</f>
        <v>0</v>
      </c>
      <c r="CP59" s="657">
        <f>VLOOKUP("7500090",'Input IS ACCTS'!$A$6:$CV$507,71,FALSE)/1000</f>
        <v>0</v>
      </c>
      <c r="CQ59" s="657">
        <f>VLOOKUP("7500090",'Input IS ACCTS'!$A$6:$CV$507,72,FALSE)/1000</f>
        <v>0</v>
      </c>
      <c r="CR59" s="657">
        <f>VLOOKUP("7500090",'Input IS ACCTS'!$A$6:$CV$507,73,FALSE)/1000</f>
        <v>0</v>
      </c>
      <c r="CS59" s="657">
        <f>VLOOKUP("7500090",'Input IS ACCTS'!$A$6:$CV$507,74,FALSE)/1000</f>
        <v>0</v>
      </c>
      <c r="CT59" s="657">
        <f>VLOOKUP("7500090",'Input IS ACCTS'!$A$6:$CV$507,75,FALSE)/1000</f>
        <v>0</v>
      </c>
      <c r="CU59" s="657">
        <f>VLOOKUP("7500090",'Input IS ACCTS'!$A$6:$CV$507,76,FALSE)/1000</f>
        <v>0</v>
      </c>
      <c r="CV59" s="657">
        <f>VLOOKUP("7500090",'Input IS ACCTS'!$A$6:$CV$507,77,FALSE)/1000</f>
        <v>1.0289999999999999</v>
      </c>
      <c r="CW59" s="657">
        <f>VLOOKUP("7500090",'Input IS ACCTS'!$A$6:$CV$507,78,FALSE)/1000</f>
        <v>1.90517</v>
      </c>
      <c r="CX59" s="657">
        <f>VLOOKUP("7500090",'Input IS ACCTS'!$A$6:$CV$507,79,FALSE)/1000</f>
        <v>1.46706</v>
      </c>
      <c r="CY59" s="657">
        <f>VLOOKUP("7500090",'Input IS ACCTS'!$A$6:$CV$507,80,FALSE)/1000</f>
        <v>1.46706</v>
      </c>
      <c r="CZ59" s="657">
        <f>VLOOKUP("7500090",'Input IS ACCTS'!$A$6:$CV$507,80,FALSE)/1000</f>
        <v>1.46706</v>
      </c>
      <c r="DA59" s="657">
        <f>VLOOKUP("7500090",'Input IS ACCTS'!$A$6:$CV$507,80,FALSE)/1000</f>
        <v>1.46706</v>
      </c>
      <c r="DB59" s="657">
        <f>VLOOKUP("7500090",'Input IS ACCTS'!$A$6:$CV$507,80,FALSE)/1000</f>
        <v>1.46706</v>
      </c>
      <c r="DC59" s="657">
        <f>VLOOKUP("7500090",'Input IS ACCTS'!$A$6:$CV$507,80,FALSE)/1000</f>
        <v>1.46706</v>
      </c>
      <c r="DD59" s="657">
        <f>VLOOKUP("7500090",'Input IS ACCTS'!$A$6:$CV$507,80,FALSE)/1000</f>
        <v>1.46706</v>
      </c>
      <c r="DE59" s="657">
        <f>VLOOKUP("7500090",'Input IS ACCTS'!$A$6:$CV$507,80,FALSE)/1000</f>
        <v>1.46706</v>
      </c>
      <c r="DF59" s="657">
        <f>VLOOKUP("7500090",'Input IS ACCTS'!$A$6:$CV$507,80,FALSE)/1000</f>
        <v>1.46706</v>
      </c>
      <c r="DG59" s="657">
        <f>VLOOKUP("7500090",'Input IS ACCTS'!$A$6:$CV$507,80,FALSE)/1000</f>
        <v>1.46706</v>
      </c>
      <c r="DH59" s="657">
        <f>VLOOKUP("7500090",'Input IS ACCTS'!$A$6:$CV$507,80,FALSE)/1000</f>
        <v>1.46706</v>
      </c>
      <c r="DI59" s="657">
        <f>VLOOKUP("7500090",'Input IS ACCTS'!$A$6:$CV$507,80,FALSE)/1000</f>
        <v>1.46706</v>
      </c>
      <c r="DJ59" s="657">
        <f>VLOOKUP("7500090",'Input IS ACCTS'!$A$6:$CV$507,80,FALSE)/1000</f>
        <v>1.46706</v>
      </c>
      <c r="DK59" s="657">
        <f>VLOOKUP("7500090",'Input IS ACCTS'!$A$6:$CV$507,80,FALSE)/1000</f>
        <v>1.46706</v>
      </c>
      <c r="DL59" s="657">
        <f>VLOOKUP("7500090",'Input IS ACCTS'!$A$6:$CV$507,80,FALSE)/1000</f>
        <v>1.46706</v>
      </c>
      <c r="DM59" s="657">
        <f>VLOOKUP("7500090",'Input IS ACCTS'!$A$6:$CV$507,80,FALSE)/1000</f>
        <v>1.46706</v>
      </c>
      <c r="DN59" s="657">
        <f>VLOOKUP("7500090",'Input IS ACCTS'!$A$6:$CV$507,80,FALSE)/1000</f>
        <v>1.46706</v>
      </c>
      <c r="DO59" s="657">
        <f>VLOOKUP("7500090",'Input IS ACCTS'!$A$6:$CV$507,80,FALSE)/1000</f>
        <v>1.46706</v>
      </c>
      <c r="DP59" s="657">
        <f>VLOOKUP("7500090",'Input IS ACCTS'!$A$6:$CV$507,80,FALSE)/1000</f>
        <v>1.46706</v>
      </c>
      <c r="DQ59" s="657">
        <f>VLOOKUP("7500090",'Input IS ACCTS'!$A$6:$CV$507,80,FALSE)/1000</f>
        <v>1.46706</v>
      </c>
      <c r="DR59" s="657">
        <f>VLOOKUP("7500090",'Input IS ACCTS'!$A$6:$CV$507,80,FALSE)/1000</f>
        <v>1.46706</v>
      </c>
    </row>
    <row r="60" spans="1:123" hidden="1">
      <c r="A60" s="846" t="s">
        <v>2368</v>
      </c>
      <c r="B60" s="633" t="s">
        <v>1250</v>
      </c>
      <c r="Z60" s="645"/>
      <c r="BW60" s="657">
        <f>VLOOKUP("7500700",'Input IS ACCTS'!$A$6:$CV$507,52,FALSE)/1000</f>
        <v>0</v>
      </c>
      <c r="BX60" s="657">
        <f>VLOOKUP("7500700",'Input IS ACCTS'!$A$6:$CV$507,53,FALSE)/1000</f>
        <v>0</v>
      </c>
      <c r="BY60" s="657">
        <f>VLOOKUP("7500700",'Input IS ACCTS'!$A$6:$CV$507,54,FALSE)/1000</f>
        <v>0</v>
      </c>
      <c r="BZ60" s="657">
        <f>VLOOKUP("7500700",'Input IS ACCTS'!$A$6:$CV$507,55,FALSE)/1000</f>
        <v>0</v>
      </c>
      <c r="CA60" s="657">
        <f>VLOOKUP("7500700",'Input IS ACCTS'!$A$6:$CV$507,56,FALSE)/1000</f>
        <v>0</v>
      </c>
      <c r="CB60" s="657">
        <f>VLOOKUP("7500700",'Input IS ACCTS'!$A$6:$CV$507,57,FALSE)/1000</f>
        <v>0</v>
      </c>
      <c r="CC60" s="657">
        <f>VLOOKUP("7500700",'Input IS ACCTS'!$A$6:$CV$507,58,FALSE)/1000</f>
        <v>0</v>
      </c>
      <c r="CD60" s="657">
        <f>VLOOKUP("7500700",'Input IS ACCTS'!$A$6:$CV$507,59,FALSE)/1000</f>
        <v>0</v>
      </c>
      <c r="CE60" s="657">
        <f>VLOOKUP("7500700",'Input IS ACCTS'!$A$6:$CV$507,60,FALSE)/1000</f>
        <v>0</v>
      </c>
      <c r="CF60" s="657">
        <f>VLOOKUP("7500700",'Input IS ACCTS'!$A$6:$CV$507,61,FALSE)/1000</f>
        <v>10.930389999999999</v>
      </c>
      <c r="CG60" s="657">
        <f>VLOOKUP("7500700",'Input IS ACCTS'!$A$6:$CV$507,62,FALSE)/1000</f>
        <v>9.7133400000000005</v>
      </c>
      <c r="CH60" s="657">
        <f>VLOOKUP("7500700",'Input IS ACCTS'!$A$6:$CV$507,63,FALSE)/1000</f>
        <v>0</v>
      </c>
      <c r="CI60" s="657">
        <f>VLOOKUP("7500700",'Input IS ACCTS'!$A$6:$CV$507,64,FALSE)/1000</f>
        <v>0</v>
      </c>
      <c r="CJ60" s="657">
        <f>VLOOKUP("7500700",'Input IS ACCTS'!$A$6:$CV$507,65,FALSE)/1000</f>
        <v>0</v>
      </c>
      <c r="CK60" s="657">
        <f>VLOOKUP("7500700",'Input IS ACCTS'!$A$6:$CV$507,66,FALSE)/1000</f>
        <v>0</v>
      </c>
      <c r="CL60" s="657">
        <f>VLOOKUP("7500700",'Input IS ACCTS'!$A$6:$CV$507,67,FALSE)/1000</f>
        <v>0</v>
      </c>
      <c r="CM60" s="657">
        <f>VLOOKUP("7500700",'Input IS ACCTS'!$A$6:$CV$507,68,FALSE)/1000</f>
        <v>0</v>
      </c>
      <c r="CN60" s="657">
        <f>VLOOKUP("7500700",'Input IS ACCTS'!$A$6:$CV$507,69,FALSE)/1000</f>
        <v>0</v>
      </c>
      <c r="CO60" s="657">
        <f>VLOOKUP("7500700",'Input IS ACCTS'!$A$6:$CV$507,70,FALSE)/1000</f>
        <v>0</v>
      </c>
      <c r="CP60" s="657">
        <f>VLOOKUP("7500700",'Input IS ACCTS'!$A$6:$CV$507,71,FALSE)/1000</f>
        <v>0</v>
      </c>
      <c r="CQ60" s="657">
        <f>VLOOKUP("7500700",'Input IS ACCTS'!$A$6:$CV$507,72,FALSE)/1000</f>
        <v>0</v>
      </c>
      <c r="CR60" s="657">
        <f>VLOOKUP("7500700",'Input IS ACCTS'!$A$6:$CV$507,73,FALSE)/1000</f>
        <v>0</v>
      </c>
      <c r="CS60" s="657">
        <f>VLOOKUP("7500700",'Input IS ACCTS'!$A$6:$CV$507,74,FALSE)/1000</f>
        <v>0</v>
      </c>
      <c r="CT60" s="657">
        <f>VLOOKUP("7500700",'Input IS ACCTS'!$A$6:$CV$507,75,FALSE)/1000</f>
        <v>0</v>
      </c>
      <c r="CU60" s="657">
        <f>VLOOKUP("7500700",'Input IS ACCTS'!$A$6:$CV$507,76,FALSE)/1000</f>
        <v>0</v>
      </c>
      <c r="CV60" s="657">
        <f>VLOOKUP("7500700",'Input IS ACCTS'!$A$6:$CV$507,77,FALSE)/1000</f>
        <v>0</v>
      </c>
      <c r="CW60" s="657">
        <f>VLOOKUP("7500700",'Input IS ACCTS'!$A$6:$CV$507,78,FALSE)/1000</f>
        <v>0.21940000000000001</v>
      </c>
      <c r="CX60" s="657">
        <f>VLOOKUP("7500700",'Input IS ACCTS'!$A$6:$CV$507,79,FALSE)/1000</f>
        <v>0</v>
      </c>
      <c r="CY60" s="657">
        <f>VLOOKUP("7500700",'Input IS ACCTS'!$A$6:$CV$507,80,FALSE)/1000</f>
        <v>0</v>
      </c>
      <c r="CZ60" s="657">
        <f>VLOOKUP("7500700",'Input IS ACCTS'!$A$6:$CV$507,80,FALSE)/1000</f>
        <v>0</v>
      </c>
      <c r="DA60" s="657">
        <f>VLOOKUP("7500700",'Input IS ACCTS'!$A$6:$CV$507,80,FALSE)/1000</f>
        <v>0</v>
      </c>
      <c r="DB60" s="657">
        <f>VLOOKUP("7500700",'Input IS ACCTS'!$A$6:$CV$507,80,FALSE)/1000</f>
        <v>0</v>
      </c>
      <c r="DC60" s="657">
        <f>VLOOKUP("7500700",'Input IS ACCTS'!$A$6:$CV$507,80,FALSE)/1000</f>
        <v>0</v>
      </c>
      <c r="DD60" s="657">
        <f>VLOOKUP("7500700",'Input IS ACCTS'!$A$6:$CV$507,80,FALSE)/1000</f>
        <v>0</v>
      </c>
      <c r="DE60" s="657">
        <f>VLOOKUP("7500700",'Input IS ACCTS'!$A$6:$CV$507,80,FALSE)/1000</f>
        <v>0</v>
      </c>
      <c r="DF60" s="657">
        <f>VLOOKUP("7500700",'Input IS ACCTS'!$A$6:$CV$507,80,FALSE)/1000</f>
        <v>0</v>
      </c>
      <c r="DG60" s="657">
        <f>VLOOKUP("7500700",'Input IS ACCTS'!$A$6:$CV$507,80,FALSE)/1000</f>
        <v>0</v>
      </c>
      <c r="DH60" s="657">
        <f>VLOOKUP("7500700",'Input IS ACCTS'!$A$6:$CV$507,80,FALSE)/1000</f>
        <v>0</v>
      </c>
      <c r="DI60" s="657">
        <f>VLOOKUP("7500700",'Input IS ACCTS'!$A$6:$CV$507,80,FALSE)/1000</f>
        <v>0</v>
      </c>
      <c r="DJ60" s="657">
        <f>VLOOKUP("7500700",'Input IS ACCTS'!$A$6:$CV$507,80,FALSE)/1000</f>
        <v>0</v>
      </c>
      <c r="DK60" s="657">
        <f>VLOOKUP("7500700",'Input IS ACCTS'!$A$6:$CV$507,80,FALSE)/1000</f>
        <v>0</v>
      </c>
      <c r="DL60" s="657">
        <f>VLOOKUP("7500700",'Input IS ACCTS'!$A$6:$CV$507,80,FALSE)/1000</f>
        <v>0</v>
      </c>
      <c r="DM60" s="657">
        <f>VLOOKUP("7500700",'Input IS ACCTS'!$A$6:$CV$507,80,FALSE)/1000</f>
        <v>0</v>
      </c>
      <c r="DN60" s="657">
        <f>VLOOKUP("7500700",'Input IS ACCTS'!$A$6:$CV$507,80,FALSE)/1000</f>
        <v>0</v>
      </c>
      <c r="DO60" s="657">
        <f>VLOOKUP("7500700",'Input IS ACCTS'!$A$6:$CV$507,80,FALSE)/1000</f>
        <v>0</v>
      </c>
      <c r="DP60" s="657">
        <f>VLOOKUP("7500700",'Input IS ACCTS'!$A$6:$CV$507,80,FALSE)/1000</f>
        <v>0</v>
      </c>
      <c r="DQ60" s="657">
        <f>VLOOKUP("7500700",'Input IS ACCTS'!$A$6:$CV$507,80,FALSE)/1000</f>
        <v>0</v>
      </c>
      <c r="DR60" s="657">
        <f>VLOOKUP("7500700",'Input IS ACCTS'!$A$6:$CV$507,80,FALSE)/1000</f>
        <v>0</v>
      </c>
    </row>
    <row r="61" spans="1:123" hidden="1">
      <c r="A61" s="846"/>
      <c r="B61" s="17" t="s">
        <v>2376</v>
      </c>
      <c r="Z61" s="645"/>
      <c r="BW61" s="863">
        <f>+-7216.75/1000</f>
        <v>-7.2167500000000002</v>
      </c>
      <c r="BX61" s="863">
        <f t="shared" ref="BX61:CH61" si="133">+-7216.75/1000</f>
        <v>-7.2167500000000002</v>
      </c>
      <c r="BY61" s="863">
        <f t="shared" si="133"/>
        <v>-7.2167500000000002</v>
      </c>
      <c r="BZ61" s="863">
        <f t="shared" si="133"/>
        <v>-7.2167500000000002</v>
      </c>
      <c r="CA61" s="863">
        <f t="shared" si="133"/>
        <v>-7.2167500000000002</v>
      </c>
      <c r="CB61" s="863">
        <f t="shared" si="133"/>
        <v>-7.2167500000000002</v>
      </c>
      <c r="CC61" s="863">
        <f t="shared" si="133"/>
        <v>-7.2167500000000002</v>
      </c>
      <c r="CD61" s="863">
        <f t="shared" si="133"/>
        <v>-7.2167500000000002</v>
      </c>
      <c r="CE61" s="863">
        <f t="shared" si="133"/>
        <v>-7.2167500000000002</v>
      </c>
      <c r="CF61" s="863">
        <f t="shared" si="133"/>
        <v>-7.2167500000000002</v>
      </c>
      <c r="CG61" s="863">
        <f t="shared" si="133"/>
        <v>-7.2167500000000002</v>
      </c>
      <c r="CH61" s="863">
        <f t="shared" si="133"/>
        <v>-7.2167500000000002</v>
      </c>
      <c r="CI61" s="863">
        <f>+-7229.6/1000</f>
        <v>-7.2296000000000005</v>
      </c>
      <c r="CJ61" s="863">
        <f t="shared" ref="CJ61:DR61" si="134">+-7229.6/1000</f>
        <v>-7.2296000000000005</v>
      </c>
      <c r="CK61" s="863">
        <f t="shared" si="134"/>
        <v>-7.2296000000000005</v>
      </c>
      <c r="CL61" s="863">
        <f t="shared" si="134"/>
        <v>-7.2296000000000005</v>
      </c>
      <c r="CM61" s="863">
        <f t="shared" si="134"/>
        <v>-7.2296000000000005</v>
      </c>
      <c r="CN61" s="863">
        <f t="shared" si="134"/>
        <v>-7.2296000000000005</v>
      </c>
      <c r="CO61" s="863">
        <f t="shared" si="134"/>
        <v>-7.2296000000000005</v>
      </c>
      <c r="CP61" s="863">
        <f t="shared" si="134"/>
        <v>-7.2296000000000005</v>
      </c>
      <c r="CQ61" s="863">
        <f t="shared" si="134"/>
        <v>-7.2296000000000005</v>
      </c>
      <c r="CR61" s="863">
        <f t="shared" si="134"/>
        <v>-7.2296000000000005</v>
      </c>
      <c r="CS61" s="863">
        <f t="shared" si="134"/>
        <v>-7.2296000000000005</v>
      </c>
      <c r="CT61" s="863">
        <f t="shared" si="134"/>
        <v>-7.2296000000000005</v>
      </c>
      <c r="CU61" s="918">
        <f t="shared" si="134"/>
        <v>-7.2296000000000005</v>
      </c>
      <c r="CV61" s="918">
        <f t="shared" si="134"/>
        <v>-7.2296000000000005</v>
      </c>
      <c r="CW61" s="918">
        <f t="shared" si="134"/>
        <v>-7.2296000000000005</v>
      </c>
      <c r="CX61" s="918">
        <f t="shared" si="134"/>
        <v>-7.2296000000000005</v>
      </c>
      <c r="CY61" s="918">
        <f t="shared" si="134"/>
        <v>-7.2296000000000005</v>
      </c>
      <c r="CZ61" s="918">
        <f t="shared" si="134"/>
        <v>-7.2296000000000005</v>
      </c>
      <c r="DA61" s="918">
        <f t="shared" si="134"/>
        <v>-7.2296000000000005</v>
      </c>
      <c r="DB61" s="918">
        <f t="shared" si="134"/>
        <v>-7.2296000000000005</v>
      </c>
      <c r="DC61" s="918">
        <f t="shared" si="134"/>
        <v>-7.2296000000000005</v>
      </c>
      <c r="DD61" s="918">
        <f t="shared" si="134"/>
        <v>-7.2296000000000005</v>
      </c>
      <c r="DE61" s="918">
        <f t="shared" si="134"/>
        <v>-7.2296000000000005</v>
      </c>
      <c r="DF61" s="918">
        <f t="shared" si="134"/>
        <v>-7.2296000000000005</v>
      </c>
      <c r="DG61" s="918">
        <f t="shared" si="134"/>
        <v>-7.2296000000000005</v>
      </c>
      <c r="DH61" s="918">
        <f t="shared" si="134"/>
        <v>-7.2296000000000005</v>
      </c>
      <c r="DI61" s="918">
        <f t="shared" si="134"/>
        <v>-7.2296000000000005</v>
      </c>
      <c r="DJ61" s="918">
        <f t="shared" si="134"/>
        <v>-7.2296000000000005</v>
      </c>
      <c r="DK61" s="918">
        <f t="shared" si="134"/>
        <v>-7.2296000000000005</v>
      </c>
      <c r="DL61" s="918">
        <f t="shared" si="134"/>
        <v>-7.2296000000000005</v>
      </c>
      <c r="DM61" s="918">
        <f t="shared" si="134"/>
        <v>-7.2296000000000005</v>
      </c>
      <c r="DN61" s="918">
        <f t="shared" si="134"/>
        <v>-7.2296000000000005</v>
      </c>
      <c r="DO61" s="918">
        <f t="shared" si="134"/>
        <v>-7.2296000000000005</v>
      </c>
      <c r="DP61" s="918">
        <f t="shared" si="134"/>
        <v>-7.2296000000000005</v>
      </c>
      <c r="DQ61" s="918">
        <f t="shared" si="134"/>
        <v>-7.2296000000000005</v>
      </c>
      <c r="DR61" s="918">
        <f t="shared" si="134"/>
        <v>-7.2296000000000005</v>
      </c>
    </row>
    <row r="62" spans="1:123" hidden="1">
      <c r="B62" s="652" t="s">
        <v>2369</v>
      </c>
      <c r="Z62" s="645"/>
      <c r="BW62" s="861">
        <f t="shared" ref="BW62:CH62" si="135">SUM(BW57:BW61)</f>
        <v>-3.8600000000000634E-2</v>
      </c>
      <c r="BX62" s="861">
        <f t="shared" si="135"/>
        <v>189.73105000000001</v>
      </c>
      <c r="BY62" s="861">
        <f t="shared" si="135"/>
        <v>119.40123000000001</v>
      </c>
      <c r="BZ62" s="861">
        <f t="shared" si="135"/>
        <v>103.30620999999999</v>
      </c>
      <c r="CA62" s="861">
        <f t="shared" si="135"/>
        <v>135.11968000000002</v>
      </c>
      <c r="CB62" s="861">
        <f t="shared" si="135"/>
        <v>149.93669</v>
      </c>
      <c r="CC62" s="861">
        <f t="shared" si="135"/>
        <v>75.644080000000002</v>
      </c>
      <c r="CD62" s="861">
        <f t="shared" si="135"/>
        <v>80.915009999999995</v>
      </c>
      <c r="CE62" s="861">
        <f t="shared" si="135"/>
        <v>94.039099999999991</v>
      </c>
      <c r="CF62" s="861">
        <f t="shared" si="135"/>
        <v>39.384660000000004</v>
      </c>
      <c r="CG62" s="861">
        <f t="shared" si="135"/>
        <v>49.270789999999998</v>
      </c>
      <c r="CH62" s="861">
        <f t="shared" si="135"/>
        <v>146.66738000000001</v>
      </c>
      <c r="CI62" s="861">
        <f>SUM(CI57:CI61)</f>
        <v>214.96999</v>
      </c>
      <c r="CJ62" s="861">
        <f t="shared" ref="CJ62:CS62" si="136">SUM(CJ57:CJ61)</f>
        <v>197.87736999999998</v>
      </c>
      <c r="CK62" s="861">
        <f t="shared" si="136"/>
        <v>175.50369000000001</v>
      </c>
      <c r="CL62" s="861">
        <f t="shared" si="136"/>
        <v>161.74599999999998</v>
      </c>
      <c r="CM62" s="861">
        <f t="shared" si="136"/>
        <v>101.71897999999999</v>
      </c>
      <c r="CN62" s="861">
        <f t="shared" si="136"/>
        <v>-121.12727000000001</v>
      </c>
      <c r="CO62" s="861">
        <f t="shared" si="136"/>
        <v>108.40789999999998</v>
      </c>
      <c r="CP62" s="861">
        <f t="shared" si="136"/>
        <v>95.194639999999978</v>
      </c>
      <c r="CQ62" s="861">
        <f>SUM(CQ57:CQ61)</f>
        <v>104.62499</v>
      </c>
      <c r="CR62" s="861">
        <f t="shared" si="136"/>
        <v>115.83532</v>
      </c>
      <c r="CS62" s="861">
        <f t="shared" si="136"/>
        <v>123.04775999999998</v>
      </c>
      <c r="CT62" s="861">
        <f t="shared" ref="CT62:CY62" si="137">SUM(CT57:CT61)</f>
        <v>179.92416</v>
      </c>
      <c r="CU62" s="861">
        <f t="shared" si="137"/>
        <v>202.98595</v>
      </c>
      <c r="CV62" s="861">
        <f t="shared" si="137"/>
        <v>82.914369999999991</v>
      </c>
      <c r="CW62" s="861">
        <f t="shared" si="137"/>
        <v>230.59936999999999</v>
      </c>
      <c r="CX62" s="861">
        <f t="shared" si="137"/>
        <v>87.892489999999995</v>
      </c>
      <c r="CY62" s="861">
        <f t="shared" si="137"/>
        <v>86.851250000000007</v>
      </c>
      <c r="CZ62" s="861">
        <f t="shared" ref="CZ62:DF62" si="138">SUM(CZ57:CZ61)</f>
        <v>86.851250000000007</v>
      </c>
      <c r="DA62" s="861">
        <f t="shared" si="138"/>
        <v>86.851250000000007</v>
      </c>
      <c r="DB62" s="861">
        <f t="shared" si="138"/>
        <v>86.851250000000007</v>
      </c>
      <c r="DC62" s="861">
        <f t="shared" si="138"/>
        <v>86.851250000000007</v>
      </c>
      <c r="DD62" s="861">
        <f t="shared" si="138"/>
        <v>86.851250000000007</v>
      </c>
      <c r="DE62" s="861">
        <f t="shared" si="138"/>
        <v>86.851250000000007</v>
      </c>
      <c r="DF62" s="861">
        <f t="shared" si="138"/>
        <v>86.851250000000007</v>
      </c>
      <c r="DG62" s="861">
        <f t="shared" ref="DG62:DL62" si="139">SUM(DG57:DG61)</f>
        <v>86.851250000000007</v>
      </c>
      <c r="DH62" s="861">
        <f t="shared" si="139"/>
        <v>86.851250000000007</v>
      </c>
      <c r="DI62" s="861">
        <f t="shared" si="139"/>
        <v>86.851250000000007</v>
      </c>
      <c r="DJ62" s="861">
        <f t="shared" si="139"/>
        <v>86.851250000000007</v>
      </c>
      <c r="DK62" s="861">
        <f t="shared" si="139"/>
        <v>86.851250000000007</v>
      </c>
      <c r="DL62" s="861">
        <f t="shared" si="139"/>
        <v>86.851250000000007</v>
      </c>
      <c r="DM62" s="861">
        <f t="shared" ref="DM62:DR62" si="140">SUM(DM57:DM61)</f>
        <v>86.851250000000007</v>
      </c>
      <c r="DN62" s="861">
        <f t="shared" si="140"/>
        <v>86.851250000000007</v>
      </c>
      <c r="DO62" s="861">
        <f t="shared" si="140"/>
        <v>86.851250000000007</v>
      </c>
      <c r="DP62" s="861">
        <f t="shared" si="140"/>
        <v>86.851250000000007</v>
      </c>
      <c r="DQ62" s="861">
        <f t="shared" si="140"/>
        <v>86.851250000000007</v>
      </c>
      <c r="DR62" s="861">
        <f t="shared" si="140"/>
        <v>86.851250000000007</v>
      </c>
    </row>
    <row r="63" spans="1:123" hidden="1">
      <c r="B63" s="652"/>
      <c r="Z63" s="645"/>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row>
    <row r="64" spans="1:123" hidden="1">
      <c r="B64" s="178" t="s">
        <v>2370</v>
      </c>
      <c r="Z64" s="645"/>
      <c r="BW64" s="861"/>
      <c r="BX64" s="861"/>
      <c r="BY64" s="861"/>
      <c r="BZ64" s="861"/>
      <c r="CA64" s="861"/>
      <c r="CB64" s="861"/>
      <c r="CC64" s="861"/>
      <c r="CD64" s="861"/>
      <c r="CE64" s="861"/>
      <c r="CF64" s="861"/>
      <c r="CG64" s="861"/>
      <c r="CH64" s="861"/>
      <c r="CI64" s="442">
        <f>SUM(BX62:CI62)</f>
        <v>1398.3858700000001</v>
      </c>
      <c r="CJ64" s="442">
        <f>SUM(BY62:CJ62)</f>
        <v>1406.5321900000001</v>
      </c>
      <c r="CK64" s="442">
        <f>SUM(BZ62:CK62)</f>
        <v>1462.63465</v>
      </c>
      <c r="CL64" s="442">
        <f>SUM(CA62:CL62)</f>
        <v>1521.0744399999999</v>
      </c>
      <c r="CM64" s="442">
        <f>SUM(CB62:CM62)</f>
        <v>1487.6737399999997</v>
      </c>
      <c r="CN64" s="442">
        <f t="shared" ref="CN64:CS64" si="141">SUM(CC62:CN62)</f>
        <v>1216.6097800000002</v>
      </c>
      <c r="CO64" s="442">
        <f t="shared" si="141"/>
        <v>1249.3736000000001</v>
      </c>
      <c r="CP64" s="442">
        <f t="shared" si="141"/>
        <v>1263.6532299999999</v>
      </c>
      <c r="CQ64" s="442">
        <f>SUM(CF62:CQ62)</f>
        <v>1274.23912</v>
      </c>
      <c r="CR64" s="442">
        <f>SUM(CG62:CR62)</f>
        <v>1350.6897799999997</v>
      </c>
      <c r="CS64" s="442">
        <f t="shared" si="141"/>
        <v>1424.4667499999998</v>
      </c>
      <c r="CT64" s="442">
        <f t="shared" ref="CT64:DL64" si="142">SUM(CI62:CT62)</f>
        <v>1457.7235299999998</v>
      </c>
      <c r="CU64" s="442">
        <f t="shared" si="142"/>
        <v>1445.7394899999999</v>
      </c>
      <c r="CV64" s="442">
        <f t="shared" si="142"/>
        <v>1330.77649</v>
      </c>
      <c r="CW64" s="442">
        <f t="shared" si="142"/>
        <v>1385.8721699999999</v>
      </c>
      <c r="CX64" s="442">
        <f t="shared" si="142"/>
        <v>1312.0186599999997</v>
      </c>
      <c r="CY64" s="442">
        <f t="shared" si="142"/>
        <v>1297.1509299999998</v>
      </c>
      <c r="CZ64" s="442">
        <f t="shared" si="142"/>
        <v>1505.1294499999997</v>
      </c>
      <c r="DA64" s="442">
        <f t="shared" si="142"/>
        <v>1483.5727999999997</v>
      </c>
      <c r="DB64" s="442">
        <f t="shared" si="142"/>
        <v>1475.2294099999997</v>
      </c>
      <c r="DC64" s="442">
        <f t="shared" si="142"/>
        <v>1457.4556699999996</v>
      </c>
      <c r="DD64" s="442">
        <f t="shared" si="142"/>
        <v>1428.4715999999996</v>
      </c>
      <c r="DE64" s="442">
        <f t="shared" si="142"/>
        <v>1392.2750899999999</v>
      </c>
      <c r="DF64" s="442">
        <f t="shared" si="142"/>
        <v>1299.20218</v>
      </c>
      <c r="DG64" s="442">
        <f t="shared" si="142"/>
        <v>1183.0674800000002</v>
      </c>
      <c r="DH64" s="442">
        <f t="shared" si="142"/>
        <v>1187.0043600000001</v>
      </c>
      <c r="DI64" s="442">
        <f t="shared" si="142"/>
        <v>1043.2562400000002</v>
      </c>
      <c r="DJ64" s="442">
        <f t="shared" si="142"/>
        <v>1042.2150000000004</v>
      </c>
      <c r="DK64" s="442">
        <f t="shared" si="142"/>
        <v>1042.2150000000004</v>
      </c>
      <c r="DL64" s="442">
        <f t="shared" si="142"/>
        <v>1042.2150000000004</v>
      </c>
      <c r="DM64" s="442">
        <f t="shared" ref="DM64:DR64" si="143">SUM(DB62:DM62)</f>
        <v>1042.2150000000004</v>
      </c>
      <c r="DN64" s="442">
        <f t="shared" si="143"/>
        <v>1042.2150000000004</v>
      </c>
      <c r="DO64" s="442">
        <f t="shared" si="143"/>
        <v>1042.2150000000004</v>
      </c>
      <c r="DP64" s="442">
        <f t="shared" si="143"/>
        <v>1042.2150000000004</v>
      </c>
      <c r="DQ64" s="442">
        <f t="shared" si="143"/>
        <v>1042.2150000000004</v>
      </c>
      <c r="DR64" s="442">
        <f t="shared" si="143"/>
        <v>1042.2150000000004</v>
      </c>
    </row>
    <row r="65" spans="1:122" hidden="1">
      <c r="B65" s="652"/>
      <c r="Z65" s="645"/>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row>
    <row r="66" spans="1:122" ht="15" hidden="1">
      <c r="B66" s="17" t="s">
        <v>2424</v>
      </c>
      <c r="Z66" s="645"/>
      <c r="BW66" s="861"/>
      <c r="BX66" s="861"/>
      <c r="BY66" s="861"/>
      <c r="BZ66" s="861"/>
      <c r="CA66" s="861"/>
      <c r="CB66" s="861"/>
      <c r="CC66" s="861"/>
      <c r="CD66" s="861"/>
      <c r="CE66" s="861"/>
      <c r="CF66" s="861"/>
      <c r="CG66" s="861"/>
      <c r="CH66" s="861"/>
      <c r="CI66" s="836">
        <f>ROUND(CI64/CI53,4)</f>
        <v>2.8400000000000002E-2</v>
      </c>
      <c r="CJ66" s="836">
        <f t="shared" ref="CJ66:CP66" si="144">ROUND(CJ64/CJ53,4)</f>
        <v>2.8799999999999999E-2</v>
      </c>
      <c r="CK66" s="836">
        <f t="shared" si="144"/>
        <v>3.0599999999999999E-2</v>
      </c>
      <c r="CL66" s="836">
        <f t="shared" si="144"/>
        <v>3.2099999999999997E-2</v>
      </c>
      <c r="CM66" s="836">
        <f t="shared" si="144"/>
        <v>3.2599999999999997E-2</v>
      </c>
      <c r="CN66" s="836">
        <f t="shared" si="144"/>
        <v>2.87E-2</v>
      </c>
      <c r="CO66" s="836">
        <f t="shared" si="144"/>
        <v>2.9600000000000001E-2</v>
      </c>
      <c r="CP66" s="836">
        <f t="shared" si="144"/>
        <v>2.9100000000000001E-2</v>
      </c>
      <c r="CQ66" s="836">
        <f t="shared" ref="CQ66:CW66" si="145">ROUND(CQ64/CQ53,4)</f>
        <v>2.8899999999999999E-2</v>
      </c>
      <c r="CR66" s="836">
        <f t="shared" si="145"/>
        <v>3.0599999999999999E-2</v>
      </c>
      <c r="CS66" s="836">
        <f t="shared" si="145"/>
        <v>2.9600000000000001E-2</v>
      </c>
      <c r="CT66" s="836">
        <f t="shared" si="145"/>
        <v>2.7799999999999998E-2</v>
      </c>
      <c r="CU66" s="836">
        <f t="shared" si="145"/>
        <v>2.5700000000000001E-2</v>
      </c>
      <c r="CV66" s="836">
        <f t="shared" si="145"/>
        <v>2.3E-2</v>
      </c>
      <c r="CW66" s="836">
        <f t="shared" si="145"/>
        <v>2.2700000000000001E-2</v>
      </c>
      <c r="CX66" s="836">
        <f t="shared" ref="CX66:DC66" si="146">ROUND(CX64/CX53,4)</f>
        <v>2.01E-2</v>
      </c>
      <c r="CY66" s="836">
        <f t="shared" si="146"/>
        <v>1.8599999999999998E-2</v>
      </c>
      <c r="CZ66" s="836">
        <f t="shared" si="146"/>
        <v>0.02</v>
      </c>
      <c r="DA66" s="836">
        <f t="shared" si="146"/>
        <v>1.8200000000000001E-2</v>
      </c>
      <c r="DB66" s="836">
        <f t="shared" si="146"/>
        <v>1.6299999999999999E-2</v>
      </c>
      <c r="DC66" s="836">
        <f t="shared" si="146"/>
        <v>1.4999999999999999E-2</v>
      </c>
      <c r="DD66" s="836">
        <f t="shared" ref="DD66:DI66" si="147">ROUND(DD64/DD53,4)</f>
        <v>1.3599999999999999E-2</v>
      </c>
      <c r="DE66" s="836">
        <f t="shared" si="147"/>
        <v>1.23E-2</v>
      </c>
      <c r="DF66" s="836">
        <f t="shared" si="147"/>
        <v>1.0699999999999999E-2</v>
      </c>
      <c r="DG66" s="836">
        <f t="shared" si="147"/>
        <v>8.9999999999999993E-3</v>
      </c>
      <c r="DH66" s="836">
        <f t="shared" si="147"/>
        <v>8.3999999999999995E-3</v>
      </c>
      <c r="DI66" s="836">
        <f t="shared" si="147"/>
        <v>6.8999999999999999E-3</v>
      </c>
      <c r="DJ66" s="836">
        <f t="shared" ref="DJ66:DO66" si="148">ROUND(DJ64/DJ53,4)</f>
        <v>7.1999999999999998E-3</v>
      </c>
      <c r="DK66" s="836">
        <f t="shared" si="148"/>
        <v>7.4999999999999997E-3</v>
      </c>
      <c r="DL66" s="836">
        <f t="shared" si="148"/>
        <v>7.6E-3</v>
      </c>
      <c r="DM66" s="836">
        <f t="shared" si="148"/>
        <v>7.6E-3</v>
      </c>
      <c r="DN66" s="836">
        <f t="shared" si="148"/>
        <v>7.7999999999999996E-3</v>
      </c>
      <c r="DO66" s="836">
        <f t="shared" si="148"/>
        <v>8.0999999999999996E-3</v>
      </c>
      <c r="DP66" s="836">
        <f>ROUND(DP64/DP53,4)</f>
        <v>8.3000000000000001E-3</v>
      </c>
      <c r="DQ66" s="836">
        <f>ROUND(DQ64/DQ53,4)</f>
        <v>8.6E-3</v>
      </c>
      <c r="DR66" s="836">
        <f>ROUND(DR64/DR53,4)</f>
        <v>9.1000000000000004E-3</v>
      </c>
    </row>
    <row r="67" spans="1:122" hidden="1">
      <c r="Z67" s="645"/>
      <c r="CI67" s="645"/>
      <c r="CJ67" s="645"/>
      <c r="CK67" s="645"/>
      <c r="CL67" s="645"/>
      <c r="CM67" s="645"/>
      <c r="CN67" s="645"/>
      <c r="CO67" s="645"/>
      <c r="CP67" s="645"/>
      <c r="CQ67" s="645"/>
      <c r="CR67" s="645"/>
      <c r="CS67" s="645"/>
      <c r="CT67" s="645"/>
      <c r="CU67" s="645"/>
      <c r="CV67" s="645"/>
      <c r="CW67" s="645"/>
      <c r="CX67" s="645"/>
      <c r="CY67" s="645"/>
      <c r="CZ67" s="645"/>
      <c r="DA67" s="645"/>
      <c r="DB67" s="645"/>
      <c r="DC67" s="645"/>
      <c r="DD67" s="645"/>
      <c r="DE67" s="645"/>
      <c r="DF67" s="645"/>
      <c r="DG67" s="645"/>
      <c r="DH67" s="645"/>
      <c r="DI67" s="645"/>
      <c r="DJ67" s="645"/>
      <c r="DK67" s="645"/>
      <c r="DL67" s="645"/>
      <c r="DM67" s="645"/>
      <c r="DN67" s="645"/>
      <c r="DO67" s="645"/>
      <c r="DP67" s="645"/>
      <c r="DQ67" s="645"/>
      <c r="DR67" s="645"/>
    </row>
    <row r="68" spans="1:122" ht="15" hidden="1">
      <c r="B68" s="17" t="s">
        <v>2425</v>
      </c>
      <c r="Z68" s="645"/>
      <c r="CI68" s="836">
        <f>ROUND(CI64/CI51,4)</f>
        <v>1.9900000000000001E-2</v>
      </c>
      <c r="CJ68" s="836">
        <f t="shared" ref="CJ68:CS68" si="149">ROUND(CJ64/CJ51,4)</f>
        <v>2.76E-2</v>
      </c>
      <c r="CK68" s="836">
        <f t="shared" si="149"/>
        <v>3.3599999999999998E-2</v>
      </c>
      <c r="CL68" s="836">
        <f t="shared" si="149"/>
        <v>3.1800000000000002E-2</v>
      </c>
      <c r="CM68" s="836">
        <f t="shared" si="149"/>
        <v>4.6100000000000002E-2</v>
      </c>
      <c r="CN68" s="836">
        <f t="shared" si="149"/>
        <v>2.7699999999999999E-2</v>
      </c>
      <c r="CO68" s="836">
        <f t="shared" si="149"/>
        <v>4.1399999999999999E-2</v>
      </c>
      <c r="CP68" s="836">
        <f t="shared" si="149"/>
        <v>2.5899999999999999E-2</v>
      </c>
      <c r="CQ68" s="836">
        <f t="shared" si="149"/>
        <v>2.87E-2</v>
      </c>
      <c r="CR68" s="836">
        <f t="shared" si="149"/>
        <v>2.87E-2</v>
      </c>
      <c r="CS68" s="836">
        <f t="shared" si="149"/>
        <v>1.84E-2</v>
      </c>
      <c r="CT68" s="836">
        <f t="shared" ref="CT68:CY68" si="150">ROUND(CT64/CT51,4)</f>
        <v>1.6E-2</v>
      </c>
      <c r="CU68" s="836">
        <f t="shared" si="150"/>
        <v>1.3899999999999999E-2</v>
      </c>
      <c r="CV68" s="836">
        <f t="shared" si="150"/>
        <v>1.4800000000000001E-2</v>
      </c>
      <c r="CW68" s="836">
        <f t="shared" si="150"/>
        <v>1.5100000000000001E-2</v>
      </c>
      <c r="CX68" s="836">
        <f t="shared" si="150"/>
        <v>1.32E-2</v>
      </c>
      <c r="CY68" s="836">
        <f t="shared" si="150"/>
        <v>1.24E-2</v>
      </c>
      <c r="CZ68" s="836">
        <f t="shared" ref="CZ68:DF68" si="151">ROUND(CZ64/CZ51,4)</f>
        <v>1.43E-2</v>
      </c>
      <c r="DA68" s="836">
        <f t="shared" si="151"/>
        <v>1.1599999999999999E-2</v>
      </c>
      <c r="DB68" s="836">
        <f t="shared" si="151"/>
        <v>1.0200000000000001E-2</v>
      </c>
      <c r="DC68" s="836">
        <f t="shared" si="151"/>
        <v>1.09E-2</v>
      </c>
      <c r="DD68" s="836">
        <f t="shared" si="151"/>
        <v>9.9000000000000008E-3</v>
      </c>
      <c r="DE68" s="836">
        <f t="shared" si="151"/>
        <v>8.6E-3</v>
      </c>
      <c r="DF68" s="836">
        <f t="shared" si="151"/>
        <v>7.1999999999999998E-3</v>
      </c>
      <c r="DG68" s="836">
        <f t="shared" ref="DG68:DL68" si="152">ROUND(DG64/DG51,4)</f>
        <v>5.4999999999999997E-3</v>
      </c>
      <c r="DH68" s="836">
        <f t="shared" si="152"/>
        <v>5.0000000000000001E-3</v>
      </c>
      <c r="DI68" s="836">
        <f t="shared" si="152"/>
        <v>4.7000000000000002E-3</v>
      </c>
      <c r="DJ68" s="836">
        <f t="shared" si="152"/>
        <v>7.3499999999999996E-2</v>
      </c>
      <c r="DK68" s="836">
        <f t="shared" si="152"/>
        <v>6.0900000000000003E-2</v>
      </c>
      <c r="DL68" s="836">
        <f t="shared" si="152"/>
        <v>1.1900000000000001E-2</v>
      </c>
      <c r="DM68" s="836">
        <f t="shared" ref="DM68:DR68" si="153">ROUND(DM64/DM51,4)</f>
        <v>1.1900000000000001E-2</v>
      </c>
      <c r="DN68" s="836">
        <f t="shared" si="153"/>
        <v>1.1900000000000001E-2</v>
      </c>
      <c r="DO68" s="836">
        <f t="shared" si="153"/>
        <v>1.1900000000000001E-2</v>
      </c>
      <c r="DP68" s="836">
        <f t="shared" si="153"/>
        <v>1.1900000000000001E-2</v>
      </c>
      <c r="DQ68" s="836">
        <f t="shared" si="153"/>
        <v>1.1900000000000001E-2</v>
      </c>
      <c r="DR68" s="836">
        <f t="shared" si="153"/>
        <v>1.1900000000000001E-2</v>
      </c>
    </row>
    <row r="69" spans="1:122">
      <c r="Z69" s="670"/>
    </row>
    <row r="70" spans="1:122" customFormat="1" ht="15.75">
      <c r="A70" s="852" t="s">
        <v>2348</v>
      </c>
      <c r="B70" s="853"/>
      <c r="C70" s="853"/>
    </row>
    <row r="71" spans="1:122" customFormat="1" ht="15">
      <c r="A71" s="854"/>
      <c r="B71" s="854"/>
      <c r="C71" s="854"/>
      <c r="BW71" s="855"/>
      <c r="BX71" s="855"/>
      <c r="BY71" s="855"/>
      <c r="BZ71" s="855"/>
      <c r="CA71" s="855"/>
      <c r="CB71" s="855"/>
      <c r="CC71" s="855"/>
      <c r="CD71" s="855"/>
      <c r="CE71" s="855"/>
      <c r="CF71" s="855"/>
      <c r="CG71" s="855"/>
      <c r="CH71" s="855"/>
      <c r="CI71" s="855"/>
      <c r="CJ71" s="855"/>
      <c r="CK71" s="855"/>
      <c r="CL71" s="855"/>
      <c r="CM71" s="855"/>
      <c r="CN71" s="855"/>
      <c r="CO71" s="855"/>
      <c r="CP71" s="855"/>
      <c r="CQ71" s="855"/>
      <c r="CR71" s="855"/>
      <c r="CS71" s="855"/>
      <c r="CT71" s="855"/>
      <c r="CU71" s="855"/>
      <c r="CV71" s="855"/>
      <c r="CW71" s="855"/>
      <c r="CX71" s="855"/>
      <c r="CY71" s="855"/>
      <c r="CZ71" s="855"/>
      <c r="DA71" s="855"/>
      <c r="DB71" s="855"/>
      <c r="DC71" s="855"/>
      <c r="DD71" s="855"/>
      <c r="DE71" s="855"/>
      <c r="DF71" s="855"/>
      <c r="DG71" s="855"/>
      <c r="DH71" s="855"/>
      <c r="DI71" s="855"/>
      <c r="DJ71" s="855"/>
      <c r="DK71" s="855"/>
      <c r="DL71" s="855"/>
      <c r="DM71" s="855"/>
      <c r="DN71" s="855"/>
      <c r="DO71" s="855"/>
      <c r="DP71" s="855"/>
      <c r="DQ71" s="855"/>
      <c r="DR71" s="855"/>
    </row>
    <row r="72" spans="1:122" customFormat="1" ht="15">
      <c r="A72" s="641"/>
      <c r="B72" s="642" t="s">
        <v>2349</v>
      </c>
      <c r="C72" s="854"/>
      <c r="BW72" s="856">
        <f t="shared" ref="BW72:CT72" si="154">+BW12</f>
        <v>43126</v>
      </c>
      <c r="BX72" s="856">
        <f t="shared" si="154"/>
        <v>43156</v>
      </c>
      <c r="BY72" s="856">
        <f t="shared" si="154"/>
        <v>43186</v>
      </c>
      <c r="BZ72" s="856">
        <f t="shared" si="154"/>
        <v>43216</v>
      </c>
      <c r="CA72" s="856">
        <f t="shared" si="154"/>
        <v>43246</v>
      </c>
      <c r="CB72" s="856">
        <f t="shared" si="154"/>
        <v>43276</v>
      </c>
      <c r="CC72" s="856">
        <f t="shared" si="154"/>
        <v>43306</v>
      </c>
      <c r="CD72" s="856">
        <f t="shared" si="154"/>
        <v>43336</v>
      </c>
      <c r="CE72" s="856">
        <f t="shared" si="154"/>
        <v>43366</v>
      </c>
      <c r="CF72" s="856">
        <f t="shared" si="154"/>
        <v>43396</v>
      </c>
      <c r="CG72" s="856">
        <f t="shared" si="154"/>
        <v>43426</v>
      </c>
      <c r="CH72" s="856">
        <f t="shared" si="154"/>
        <v>43456</v>
      </c>
      <c r="CI72" s="856">
        <f t="shared" si="154"/>
        <v>43486</v>
      </c>
      <c r="CJ72" s="856">
        <f t="shared" si="154"/>
        <v>43516</v>
      </c>
      <c r="CK72" s="856">
        <f t="shared" si="154"/>
        <v>43546</v>
      </c>
      <c r="CL72" s="856">
        <f t="shared" si="154"/>
        <v>43576</v>
      </c>
      <c r="CM72" s="856">
        <f t="shared" si="154"/>
        <v>43606</v>
      </c>
      <c r="CN72" s="856">
        <f t="shared" si="154"/>
        <v>43636</v>
      </c>
      <c r="CO72" s="856">
        <f t="shared" si="154"/>
        <v>43666</v>
      </c>
      <c r="CP72" s="856">
        <f t="shared" si="154"/>
        <v>43696</v>
      </c>
      <c r="CQ72" s="856">
        <f t="shared" si="154"/>
        <v>43726</v>
      </c>
      <c r="CR72" s="856">
        <f t="shared" si="154"/>
        <v>43756</v>
      </c>
      <c r="CS72" s="856">
        <f t="shared" si="154"/>
        <v>43786</v>
      </c>
      <c r="CT72" s="856">
        <f t="shared" si="154"/>
        <v>43816</v>
      </c>
      <c r="CU72" s="856">
        <f t="shared" ref="CU72:CZ72" si="155">+CU12</f>
        <v>43846</v>
      </c>
      <c r="CV72" s="856">
        <f t="shared" si="155"/>
        <v>43876</v>
      </c>
      <c r="CW72" s="856">
        <f t="shared" si="155"/>
        <v>43906</v>
      </c>
      <c r="CX72" s="856">
        <f t="shared" si="155"/>
        <v>43936</v>
      </c>
      <c r="CY72" s="856">
        <f t="shared" si="155"/>
        <v>43966</v>
      </c>
      <c r="CZ72" s="856">
        <f t="shared" si="155"/>
        <v>43996</v>
      </c>
      <c r="DA72" s="856">
        <f t="shared" ref="DA72:DF72" si="156">+DA12</f>
        <v>44026</v>
      </c>
      <c r="DB72" s="856">
        <f t="shared" si="156"/>
        <v>44056</v>
      </c>
      <c r="DC72" s="856">
        <f t="shared" si="156"/>
        <v>44086</v>
      </c>
      <c r="DD72" s="856">
        <f t="shared" si="156"/>
        <v>44116</v>
      </c>
      <c r="DE72" s="856">
        <f t="shared" si="156"/>
        <v>44146</v>
      </c>
      <c r="DF72" s="856">
        <f t="shared" si="156"/>
        <v>44176</v>
      </c>
      <c r="DG72" s="856">
        <f t="shared" ref="DG72:DL72" si="157">+DG12</f>
        <v>44206</v>
      </c>
      <c r="DH72" s="856">
        <f t="shared" si="157"/>
        <v>44236</v>
      </c>
      <c r="DI72" s="856">
        <f t="shared" si="157"/>
        <v>44266</v>
      </c>
      <c r="DJ72" s="856">
        <f t="shared" si="157"/>
        <v>44296</v>
      </c>
      <c r="DK72" s="856">
        <f t="shared" si="157"/>
        <v>44326</v>
      </c>
      <c r="DL72" s="856">
        <f t="shared" si="157"/>
        <v>44356</v>
      </c>
      <c r="DM72" s="856">
        <f t="shared" ref="DM72:DR72" si="158">+DM12</f>
        <v>44386</v>
      </c>
      <c r="DN72" s="856">
        <f t="shared" si="158"/>
        <v>44416</v>
      </c>
      <c r="DO72" s="856">
        <f t="shared" si="158"/>
        <v>44446</v>
      </c>
      <c r="DP72" s="856">
        <f t="shared" si="158"/>
        <v>44476</v>
      </c>
      <c r="DQ72" s="856">
        <f t="shared" si="158"/>
        <v>44506</v>
      </c>
      <c r="DR72" s="856">
        <f t="shared" si="158"/>
        <v>44536</v>
      </c>
    </row>
    <row r="73" spans="1:122" customFormat="1" ht="15">
      <c r="C73" s="854"/>
    </row>
    <row r="74" spans="1:122" customFormat="1" ht="15">
      <c r="A74" s="846" t="s">
        <v>2350</v>
      </c>
      <c r="B74" t="s">
        <v>2351</v>
      </c>
      <c r="C74" s="854"/>
      <c r="BW74" s="857">
        <v>25537.703129999998</v>
      </c>
      <c r="BX74" s="857">
        <v>25569.38091</v>
      </c>
      <c r="BY74" s="857">
        <v>25629.339929999998</v>
      </c>
      <c r="BZ74" s="857">
        <v>25705.333899999998</v>
      </c>
      <c r="CA74" s="857">
        <v>25790.760979999999</v>
      </c>
      <c r="CB74" s="857">
        <v>25830.275280000002</v>
      </c>
      <c r="CC74" s="857">
        <v>25852.232690000001</v>
      </c>
      <c r="CD74" s="857">
        <v>25925.983190000003</v>
      </c>
      <c r="CE74" s="857">
        <v>25893.012340000001</v>
      </c>
      <c r="CF74" s="857">
        <v>25992.2575</v>
      </c>
      <c r="CG74" s="857">
        <v>25966.855820000001</v>
      </c>
      <c r="CH74" s="857">
        <v>25903.685430000001</v>
      </c>
      <c r="CI74" s="857">
        <v>25867.705320000001</v>
      </c>
      <c r="CJ74" s="857">
        <v>25898.455109999999</v>
      </c>
      <c r="CK74" s="646">
        <v>25925.131819999999</v>
      </c>
      <c r="CL74" s="646">
        <v>25847.349969999999</v>
      </c>
      <c r="CM74" s="646">
        <v>25870.81739</v>
      </c>
      <c r="CN74" s="646">
        <v>25868.020230000002</v>
      </c>
      <c r="CO74" s="646">
        <v>25768.615089999999</v>
      </c>
      <c r="CP74" s="646">
        <v>25686.969590000001</v>
      </c>
      <c r="CQ74" s="646">
        <v>25634.262850000003</v>
      </c>
      <c r="CR74" s="646">
        <v>25695.380539999998</v>
      </c>
      <c r="CS74" s="646">
        <v>25691.903879999998</v>
      </c>
      <c r="CT74" s="646">
        <v>25704.516</v>
      </c>
      <c r="CU74" s="646">
        <v>25665.571920000002</v>
      </c>
      <c r="CV74" s="646">
        <v>25728.44166</v>
      </c>
      <c r="CW74" s="646">
        <v>25721.300809999997</v>
      </c>
      <c r="CX74" s="646">
        <v>25668.756000000001</v>
      </c>
      <c r="CY74" s="646">
        <v>25569.201969999998</v>
      </c>
      <c r="CZ74" s="646">
        <v>25464.047059999997</v>
      </c>
      <c r="DA74" s="646">
        <v>25456.79927</v>
      </c>
      <c r="DB74" s="646">
        <v>25416.773229999999</v>
      </c>
      <c r="DC74" s="646">
        <v>25432.97277</v>
      </c>
      <c r="DD74" s="646">
        <v>25393.55068</v>
      </c>
      <c r="DE74" s="646">
        <v>25333.30543</v>
      </c>
      <c r="DF74" s="646">
        <v>25075.278079999996</v>
      </c>
      <c r="DG74" s="646">
        <v>25241.811829999999</v>
      </c>
      <c r="DH74" s="646">
        <v>25273.973249999999</v>
      </c>
      <c r="DI74" s="646">
        <v>25387.42038</v>
      </c>
      <c r="DJ74" s="646">
        <v>25318.474699999999</v>
      </c>
      <c r="DK74" s="646">
        <v>25407.263769999998</v>
      </c>
      <c r="DL74" s="646">
        <v>25529.439879999998</v>
      </c>
      <c r="DM74" s="646">
        <f>+'Bal Sheet'!EN93</f>
        <v>25706.203600000001</v>
      </c>
      <c r="DN74" s="646">
        <f>+'Bal Sheet'!EO93</f>
        <v>25782.52836</v>
      </c>
      <c r="DO74" s="646">
        <f>+'Bal Sheet'!EP93</f>
        <v>25962.796670000003</v>
      </c>
      <c r="DP74" s="646">
        <f>+'Bal Sheet'!EQ93</f>
        <v>26074.226340000001</v>
      </c>
      <c r="DQ74" s="646">
        <f>+'Bal Sheet'!ER93</f>
        <v>26300.461460000002</v>
      </c>
      <c r="DR74" s="646">
        <f>+'Bal Sheet'!ES93</f>
        <v>26450.409190000002</v>
      </c>
    </row>
    <row r="75" spans="1:122" customFormat="1" ht="15">
      <c r="A75" s="846" t="s">
        <v>2352</v>
      </c>
      <c r="B75" t="s">
        <v>2353</v>
      </c>
      <c r="C75" s="854"/>
      <c r="BW75" s="857">
        <v>826</v>
      </c>
      <c r="BX75" s="857">
        <v>826</v>
      </c>
      <c r="BY75" s="857">
        <v>826</v>
      </c>
      <c r="BZ75" s="857">
        <v>826</v>
      </c>
      <c r="CA75" s="857">
        <v>826</v>
      </c>
      <c r="CB75" s="857">
        <v>836</v>
      </c>
      <c r="CC75" s="857">
        <v>836</v>
      </c>
      <c r="CD75" s="857">
        <v>661</v>
      </c>
      <c r="CE75" s="857">
        <v>661</v>
      </c>
      <c r="CF75" s="857">
        <v>511</v>
      </c>
      <c r="CG75" s="857">
        <v>511</v>
      </c>
      <c r="CH75" s="857">
        <v>511</v>
      </c>
      <c r="CI75" s="857">
        <v>511</v>
      </c>
      <c r="CJ75" s="857">
        <v>511</v>
      </c>
      <c r="CK75" s="649">
        <v>511</v>
      </c>
      <c r="CL75" s="649">
        <v>521</v>
      </c>
      <c r="CM75" s="649">
        <v>521</v>
      </c>
      <c r="CN75" s="649">
        <v>521</v>
      </c>
      <c r="CO75" s="649">
        <v>605</v>
      </c>
      <c r="CP75" s="649">
        <v>595</v>
      </c>
      <c r="CQ75" s="649">
        <v>569</v>
      </c>
      <c r="CR75" s="649">
        <v>569</v>
      </c>
      <c r="CS75" s="649">
        <v>569</v>
      </c>
      <c r="CT75" s="649">
        <v>569</v>
      </c>
      <c r="CU75" s="649">
        <v>569</v>
      </c>
      <c r="CV75" s="649">
        <v>594</v>
      </c>
      <c r="CW75" s="649">
        <v>594</v>
      </c>
      <c r="CX75" s="649">
        <v>594</v>
      </c>
      <c r="CY75" s="649">
        <v>594</v>
      </c>
      <c r="CZ75" s="649">
        <v>594</v>
      </c>
      <c r="DA75" s="649">
        <v>594</v>
      </c>
      <c r="DB75" s="649">
        <v>594</v>
      </c>
      <c r="DC75" s="649">
        <v>594</v>
      </c>
      <c r="DD75" s="649">
        <v>594</v>
      </c>
      <c r="DE75" s="649">
        <v>594</v>
      </c>
      <c r="DF75" s="649">
        <v>594</v>
      </c>
      <c r="DG75" s="649">
        <v>594</v>
      </c>
      <c r="DH75" s="649">
        <v>589</v>
      </c>
      <c r="DI75" s="649">
        <v>589</v>
      </c>
      <c r="DJ75" s="649">
        <v>589</v>
      </c>
      <c r="DK75" s="649">
        <v>589</v>
      </c>
      <c r="DL75" s="649">
        <v>589</v>
      </c>
      <c r="DM75" s="649">
        <f>+'Bal Sheet'!EN78</f>
        <v>579</v>
      </c>
      <c r="DN75" s="649">
        <f>+'Bal Sheet'!EO78</f>
        <v>579</v>
      </c>
      <c r="DO75" s="649">
        <f>+'Bal Sheet'!EP78</f>
        <v>579</v>
      </c>
      <c r="DP75" s="649">
        <f>+'Bal Sheet'!EQ78</f>
        <v>604</v>
      </c>
      <c r="DQ75" s="649">
        <f>+'Bal Sheet'!ER78</f>
        <v>604</v>
      </c>
      <c r="DR75" s="649">
        <f>+'Bal Sheet'!ES78</f>
        <v>604</v>
      </c>
    </row>
    <row r="76" spans="1:122" customFormat="1" ht="15">
      <c r="A76" s="846" t="s">
        <v>2354</v>
      </c>
      <c r="B76" t="s">
        <v>2355</v>
      </c>
      <c r="C76" s="854"/>
      <c r="BW76" s="858">
        <v>418.29614000000004</v>
      </c>
      <c r="BX76" s="858">
        <v>420.2747</v>
      </c>
      <c r="BY76" s="858">
        <v>398.13698999999997</v>
      </c>
      <c r="BZ76" s="858">
        <v>18.499890000000001</v>
      </c>
      <c r="CA76" s="858">
        <v>17.96782</v>
      </c>
      <c r="CB76" s="858">
        <v>11.903780000000001</v>
      </c>
      <c r="CC76" s="858">
        <v>11.903780000000001</v>
      </c>
      <c r="CD76" s="858">
        <v>11.931760000000001</v>
      </c>
      <c r="CE76" s="858">
        <v>10.16513</v>
      </c>
      <c r="CF76" s="858">
        <v>0.55321000000000009</v>
      </c>
      <c r="CG76" s="858">
        <v>0.55321000000000009</v>
      </c>
      <c r="CH76" s="858">
        <v>0.55321000000000009</v>
      </c>
      <c r="CI76" s="858">
        <v>0.55321000000000009</v>
      </c>
      <c r="CJ76" s="858">
        <v>0.52522999999999997</v>
      </c>
      <c r="CK76" s="921">
        <v>0.52522999999999997</v>
      </c>
      <c r="CL76" s="921">
        <v>-2.26512</v>
      </c>
      <c r="CM76" s="921">
        <v>1.2217199999999999</v>
      </c>
      <c r="CN76" s="921">
        <v>1.4446300000000001</v>
      </c>
      <c r="CO76" s="921">
        <v>1.4446300000000001</v>
      </c>
      <c r="CP76" s="921">
        <v>4.1596299999999999</v>
      </c>
      <c r="CQ76" s="921">
        <v>-2.3749600000000002</v>
      </c>
      <c r="CR76" s="921">
        <v>2.0500400000000001</v>
      </c>
      <c r="CS76" s="921">
        <v>5.9486000000000008</v>
      </c>
      <c r="CT76" s="921">
        <v>5.9486000000000008</v>
      </c>
      <c r="CU76" s="921">
        <v>5.9486000000000008</v>
      </c>
      <c r="CV76" s="921">
        <v>7.5486000000000004</v>
      </c>
      <c r="CW76" s="921">
        <v>37.371169999999999</v>
      </c>
      <c r="CX76" s="921">
        <v>37.371169999999999</v>
      </c>
      <c r="CY76" s="921">
        <v>32.093110000000003</v>
      </c>
      <c r="CZ76" s="921">
        <v>31.462919999999997</v>
      </c>
      <c r="DA76" s="921">
        <v>31.20412</v>
      </c>
      <c r="DB76" s="921">
        <v>34.579120000000003</v>
      </c>
      <c r="DC76" s="921">
        <v>28.95168</v>
      </c>
      <c r="DD76" s="921">
        <v>26.57002</v>
      </c>
      <c r="DE76" s="921">
        <v>26.57002</v>
      </c>
      <c r="DF76" s="921">
        <v>26.425129999999999</v>
      </c>
      <c r="DG76" s="921">
        <v>35.625129999999999</v>
      </c>
      <c r="DH76" s="921">
        <v>49.118730000000006</v>
      </c>
      <c r="DI76" s="921">
        <v>48.930610000000001</v>
      </c>
      <c r="DJ76" s="921">
        <v>48.868660000000006</v>
      </c>
      <c r="DK76" s="921">
        <v>46.580419999999997</v>
      </c>
      <c r="DL76" s="921">
        <v>47.880420000000001</v>
      </c>
      <c r="DM76" s="921">
        <f>+'Bal Sheet'!EN84</f>
        <v>48.230419999999995</v>
      </c>
      <c r="DN76" s="921">
        <f>+'Bal Sheet'!EO84</f>
        <v>48.230419999999995</v>
      </c>
      <c r="DO76" s="921">
        <f>+'Bal Sheet'!EP84</f>
        <v>48.230419999999995</v>
      </c>
      <c r="DP76" s="921">
        <f>+'Bal Sheet'!EQ84</f>
        <v>51.395890000000001</v>
      </c>
      <c r="DQ76" s="921">
        <f>+'Bal Sheet'!ER84</f>
        <v>51.289389999999997</v>
      </c>
      <c r="DR76" s="921">
        <f>+'Bal Sheet'!ES84</f>
        <v>51.289389999999997</v>
      </c>
    </row>
    <row r="77" spans="1:122" customFormat="1" ht="15">
      <c r="B77" s="652" t="s">
        <v>2349</v>
      </c>
      <c r="C77" s="854"/>
      <c r="BW77" s="857">
        <f t="shared" ref="BW77:CS77" si="159">SUM(BW74:BW76)</f>
        <v>26781.999269999997</v>
      </c>
      <c r="BX77" s="857">
        <f t="shared" si="159"/>
        <v>26815.655610000002</v>
      </c>
      <c r="BY77" s="857">
        <f t="shared" si="159"/>
        <v>26853.476919999997</v>
      </c>
      <c r="BZ77" s="857">
        <f t="shared" si="159"/>
        <v>26549.833789999997</v>
      </c>
      <c r="CA77" s="857">
        <f t="shared" si="159"/>
        <v>26634.728800000001</v>
      </c>
      <c r="CB77" s="857">
        <f t="shared" si="159"/>
        <v>26678.179060000002</v>
      </c>
      <c r="CC77" s="857">
        <f t="shared" si="159"/>
        <v>26700.136470000001</v>
      </c>
      <c r="CD77" s="857">
        <f t="shared" si="159"/>
        <v>26598.914950000002</v>
      </c>
      <c r="CE77" s="857">
        <f t="shared" si="159"/>
        <v>26564.177470000002</v>
      </c>
      <c r="CF77" s="857">
        <f t="shared" si="159"/>
        <v>26503.810709999998</v>
      </c>
      <c r="CG77" s="857">
        <f t="shared" si="159"/>
        <v>26478.409029999999</v>
      </c>
      <c r="CH77" s="857">
        <f t="shared" si="159"/>
        <v>26415.23864</v>
      </c>
      <c r="CI77" s="857">
        <f t="shared" si="159"/>
        <v>26379.258529999999</v>
      </c>
      <c r="CJ77" s="857">
        <f t="shared" si="159"/>
        <v>26409.980339999998</v>
      </c>
      <c r="CK77" s="857">
        <f t="shared" si="159"/>
        <v>26436.657049999998</v>
      </c>
      <c r="CL77" s="857">
        <f t="shared" si="159"/>
        <v>26366.084849999999</v>
      </c>
      <c r="CM77" s="857">
        <f t="shared" si="159"/>
        <v>26393.039110000002</v>
      </c>
      <c r="CN77" s="857">
        <f t="shared" si="159"/>
        <v>26390.464860000004</v>
      </c>
      <c r="CO77" s="857">
        <f t="shared" si="159"/>
        <v>26375.059720000001</v>
      </c>
      <c r="CP77" s="857">
        <f t="shared" si="159"/>
        <v>26286.129219999999</v>
      </c>
      <c r="CQ77" s="857">
        <f t="shared" si="159"/>
        <v>26200.887890000002</v>
      </c>
      <c r="CR77" s="857">
        <f t="shared" si="159"/>
        <v>26266.430579999997</v>
      </c>
      <c r="CS77" s="857">
        <f t="shared" si="159"/>
        <v>26266.852479999998</v>
      </c>
      <c r="CT77" s="857">
        <f t="shared" ref="CT77:CY77" si="160">SUM(CT74:CT76)</f>
        <v>26279.464599999999</v>
      </c>
      <c r="CU77" s="857">
        <f t="shared" si="160"/>
        <v>26240.520520000002</v>
      </c>
      <c r="CV77" s="857">
        <f t="shared" si="160"/>
        <v>26329.990259999999</v>
      </c>
      <c r="CW77" s="857">
        <f t="shared" si="160"/>
        <v>26352.671979999996</v>
      </c>
      <c r="CX77" s="857">
        <f t="shared" si="160"/>
        <v>26300.12717</v>
      </c>
      <c r="CY77" s="857">
        <f t="shared" si="160"/>
        <v>26195.29508</v>
      </c>
      <c r="CZ77" s="857">
        <f t="shared" ref="CZ77:DF77" si="161">SUM(CZ74:CZ76)</f>
        <v>26089.509979999999</v>
      </c>
      <c r="DA77" s="857">
        <f t="shared" si="161"/>
        <v>26082.003389999998</v>
      </c>
      <c r="DB77" s="857">
        <f t="shared" si="161"/>
        <v>26045.352349999997</v>
      </c>
      <c r="DC77" s="857">
        <f t="shared" si="161"/>
        <v>26055.924449999999</v>
      </c>
      <c r="DD77" s="857">
        <f t="shared" si="161"/>
        <v>26014.120699999999</v>
      </c>
      <c r="DE77" s="857">
        <f t="shared" si="161"/>
        <v>25953.87545</v>
      </c>
      <c r="DF77" s="857">
        <f t="shared" si="161"/>
        <v>25695.703209999996</v>
      </c>
      <c r="DG77" s="857">
        <f t="shared" ref="DG77:DL77" si="162">SUM(DG74:DG76)</f>
        <v>25871.436959999999</v>
      </c>
      <c r="DH77" s="857">
        <f t="shared" si="162"/>
        <v>25912.091979999997</v>
      </c>
      <c r="DI77" s="857">
        <f t="shared" si="162"/>
        <v>26025.350989999999</v>
      </c>
      <c r="DJ77" s="857">
        <f t="shared" si="162"/>
        <v>25956.343359999999</v>
      </c>
      <c r="DK77" s="857">
        <f t="shared" si="162"/>
        <v>26042.844189999996</v>
      </c>
      <c r="DL77" s="857">
        <f t="shared" si="162"/>
        <v>26166.320299999999</v>
      </c>
      <c r="DM77" s="857">
        <f t="shared" ref="DM77:DR77" si="163">SUM(DM74:DM76)</f>
        <v>26333.434020000001</v>
      </c>
      <c r="DN77" s="857">
        <f t="shared" si="163"/>
        <v>26409.75878</v>
      </c>
      <c r="DO77" s="857">
        <f t="shared" si="163"/>
        <v>26590.027090000003</v>
      </c>
      <c r="DP77" s="857">
        <f t="shared" si="163"/>
        <v>26729.622230000001</v>
      </c>
      <c r="DQ77" s="857">
        <f t="shared" si="163"/>
        <v>26955.750850000004</v>
      </c>
      <c r="DR77" s="857">
        <f t="shared" si="163"/>
        <v>27105.698580000004</v>
      </c>
    </row>
    <row r="78" spans="1:122" customFormat="1" ht="15">
      <c r="C78" s="854"/>
      <c r="BW78" s="857"/>
      <c r="BX78" s="857"/>
      <c r="BY78" s="857"/>
      <c r="BZ78" s="857"/>
      <c r="CA78" s="857"/>
      <c r="CB78" s="857"/>
      <c r="CC78" s="857"/>
      <c r="CD78" s="857"/>
      <c r="CE78" s="857"/>
      <c r="CF78" s="857"/>
      <c r="CG78" s="857"/>
      <c r="CH78" s="857"/>
      <c r="CI78" s="857"/>
      <c r="CJ78" s="857"/>
      <c r="CK78" s="857"/>
      <c r="CL78" s="857"/>
      <c r="CM78" s="857"/>
      <c r="CN78" s="857"/>
      <c r="CO78" s="857"/>
      <c r="CP78" s="857"/>
      <c r="CQ78" s="857"/>
      <c r="CR78" s="857"/>
      <c r="CS78" s="857"/>
      <c r="CT78" s="857"/>
      <c r="CU78" s="857"/>
      <c r="CV78" s="857"/>
      <c r="CW78" s="857"/>
      <c r="CX78" s="857"/>
      <c r="CY78" s="857"/>
      <c r="CZ78" s="857"/>
      <c r="DA78" s="857"/>
      <c r="DB78" s="857"/>
      <c r="DC78" s="857"/>
      <c r="DD78" s="857"/>
      <c r="DE78" s="857"/>
      <c r="DF78" s="857"/>
      <c r="DG78" s="857"/>
      <c r="DH78" s="857"/>
      <c r="DI78" s="857"/>
      <c r="DJ78" s="857"/>
      <c r="DK78" s="857"/>
      <c r="DL78" s="857"/>
      <c r="DM78" s="857"/>
      <c r="DN78" s="857"/>
      <c r="DO78" s="857"/>
      <c r="DP78" s="857"/>
      <c r="DQ78" s="857"/>
      <c r="DR78" s="857"/>
    </row>
    <row r="79" spans="1:122" customFormat="1" ht="15">
      <c r="B79" s="859" t="s">
        <v>2356</v>
      </c>
      <c r="C79" s="854"/>
      <c r="BW79" s="857"/>
      <c r="BX79" s="857"/>
      <c r="BY79" s="857"/>
      <c r="BZ79" s="857"/>
      <c r="CA79" s="857"/>
      <c r="CB79" s="857"/>
      <c r="CC79" s="857"/>
      <c r="CD79" s="857"/>
      <c r="CE79" s="857"/>
      <c r="CF79" s="857"/>
      <c r="CG79" s="857"/>
      <c r="CH79" s="857"/>
      <c r="CI79" s="857">
        <f t="shared" ref="CI79:CS79" si="164">SUM(BW77:CI77)/13</f>
        <v>26611.832249999999</v>
      </c>
      <c r="CJ79" s="857">
        <f t="shared" si="164"/>
        <v>26583.215409230768</v>
      </c>
      <c r="CK79" s="442">
        <f t="shared" si="164"/>
        <v>26554.061673846154</v>
      </c>
      <c r="CL79" s="442">
        <f t="shared" si="164"/>
        <v>26516.569976153845</v>
      </c>
      <c r="CM79" s="442">
        <f t="shared" si="164"/>
        <v>26504.508846923072</v>
      </c>
      <c r="CN79" s="442">
        <f t="shared" si="164"/>
        <v>26485.719313076926</v>
      </c>
      <c r="CO79" s="442">
        <f t="shared" si="164"/>
        <v>26462.402440769234</v>
      </c>
      <c r="CP79" s="442">
        <f t="shared" si="164"/>
        <v>26430.555729230771</v>
      </c>
      <c r="CQ79" s="442">
        <f t="shared" si="164"/>
        <v>26399.938263076925</v>
      </c>
      <c r="CR79" s="442">
        <f t="shared" si="164"/>
        <v>26377.03465615385</v>
      </c>
      <c r="CS79" s="442">
        <f t="shared" si="164"/>
        <v>26358.807099999998</v>
      </c>
      <c r="CT79" s="442">
        <f t="shared" ref="CT79:DL79" si="165">SUM(CH77:CT77)/13</f>
        <v>26343.503682307692</v>
      </c>
      <c r="CU79" s="442">
        <f t="shared" si="165"/>
        <v>26330.06382692308</v>
      </c>
      <c r="CV79" s="442">
        <f t="shared" si="165"/>
        <v>26326.273959999999</v>
      </c>
      <c r="CW79" s="442">
        <f t="shared" si="165"/>
        <v>26321.865624615384</v>
      </c>
      <c r="CX79" s="442">
        <f t="shared" si="165"/>
        <v>26311.363326153842</v>
      </c>
      <c r="CY79" s="442">
        <f t="shared" si="165"/>
        <v>26298.225651538462</v>
      </c>
      <c r="CZ79" s="442">
        <f t="shared" si="165"/>
        <v>26274.877256923071</v>
      </c>
      <c r="DA79" s="442">
        <f t="shared" si="165"/>
        <v>26251.149451538455</v>
      </c>
      <c r="DB79" s="442">
        <f t="shared" si="165"/>
        <v>26225.787346153837</v>
      </c>
      <c r="DC79" s="442">
        <f t="shared" si="165"/>
        <v>26208.079286923075</v>
      </c>
      <c r="DD79" s="442">
        <f t="shared" si="165"/>
        <v>26193.712579999996</v>
      </c>
      <c r="DE79" s="442">
        <f t="shared" si="165"/>
        <v>26169.6698776923</v>
      </c>
      <c r="DF79" s="442">
        <f t="shared" si="165"/>
        <v>26125.735318461542</v>
      </c>
      <c r="DG79" s="442">
        <f t="shared" si="165"/>
        <v>26094.348576923079</v>
      </c>
      <c r="DH79" s="442">
        <f t="shared" si="165"/>
        <v>26069.084843076918</v>
      </c>
      <c r="DI79" s="442">
        <f t="shared" si="165"/>
        <v>26045.651053076919</v>
      </c>
      <c r="DJ79" s="442">
        <f t="shared" si="165"/>
        <v>26015.164236153843</v>
      </c>
      <c r="DK79" s="442">
        <f t="shared" si="165"/>
        <v>25995.373237692304</v>
      </c>
      <c r="DL79" s="442">
        <f t="shared" si="165"/>
        <v>25993.14440846154</v>
      </c>
      <c r="DM79" s="442">
        <f t="shared" ref="DM79:DR79" si="166">SUM(DA77:DM77)/13</f>
        <v>26011.907796153842</v>
      </c>
      <c r="DN79" s="442">
        <f t="shared" si="166"/>
        <v>26037.119749230766</v>
      </c>
      <c r="DO79" s="442">
        <f t="shared" si="166"/>
        <v>26079.017806153843</v>
      </c>
      <c r="DP79" s="442">
        <f t="shared" si="166"/>
        <v>26130.840712307687</v>
      </c>
      <c r="DQ79" s="442">
        <f t="shared" si="166"/>
        <v>26203.273800769231</v>
      </c>
      <c r="DR79" s="442">
        <f t="shared" si="166"/>
        <v>26291.87558</v>
      </c>
    </row>
    <row r="80" spans="1:122" customFormat="1" ht="15">
      <c r="C80" s="854"/>
      <c r="BW80" s="857"/>
      <c r="BX80" s="857"/>
      <c r="BY80" s="857"/>
      <c r="BZ80" s="857"/>
      <c r="CA80" s="857"/>
      <c r="CB80" s="857"/>
      <c r="CC80" s="857"/>
      <c r="CD80" s="857"/>
      <c r="CE80" s="857"/>
      <c r="CF80" s="857"/>
      <c r="CG80" s="857"/>
      <c r="CH80" s="857"/>
      <c r="CI80" s="857"/>
      <c r="CJ80" s="857"/>
      <c r="CK80" s="857"/>
      <c r="CL80" s="857"/>
      <c r="CM80" s="857"/>
      <c r="CN80" s="857"/>
      <c r="CO80" s="857"/>
      <c r="CP80" s="857"/>
      <c r="CQ80" s="857"/>
      <c r="CR80" s="857"/>
      <c r="CS80" s="857"/>
      <c r="CT80" s="857"/>
      <c r="CU80" s="857"/>
      <c r="CV80" s="857"/>
      <c r="CW80" s="857"/>
      <c r="CX80" s="857"/>
      <c r="CY80" s="857"/>
      <c r="CZ80" s="857"/>
      <c r="DA80" s="857"/>
      <c r="DB80" s="857"/>
      <c r="DC80" s="857"/>
      <c r="DD80" s="857"/>
      <c r="DE80" s="857"/>
      <c r="DF80" s="857"/>
      <c r="DG80" s="857"/>
      <c r="DH80" s="857"/>
      <c r="DI80" s="857"/>
      <c r="DJ80" s="857"/>
      <c r="DK80" s="857"/>
      <c r="DL80" s="857"/>
      <c r="DM80" s="857"/>
      <c r="DN80" s="857"/>
      <c r="DO80" s="857"/>
      <c r="DP80" s="857"/>
      <c r="DQ80" s="857"/>
      <c r="DR80" s="857"/>
    </row>
    <row r="81" spans="1:132" customFormat="1" ht="15">
      <c r="C81" s="854"/>
      <c r="BW81" s="857"/>
      <c r="BX81" s="857"/>
      <c r="BY81" s="857"/>
      <c r="BZ81" s="857"/>
      <c r="CA81" s="857"/>
      <c r="CB81" s="857"/>
      <c r="CC81" s="857"/>
      <c r="CD81" s="857"/>
      <c r="CE81" s="857"/>
      <c r="CF81" s="857"/>
      <c r="CG81" s="857"/>
      <c r="CH81" s="857"/>
      <c r="CI81" s="857"/>
      <c r="CJ81" s="857"/>
      <c r="CK81" s="857"/>
      <c r="CL81" s="857"/>
      <c r="CM81" s="857"/>
      <c r="CN81" s="857"/>
      <c r="CO81" s="857"/>
      <c r="CP81" s="857"/>
      <c r="CQ81" s="857"/>
      <c r="CR81" s="857"/>
      <c r="CS81" s="857"/>
      <c r="CT81" s="857"/>
      <c r="CU81" s="857"/>
      <c r="CV81" s="857"/>
      <c r="CW81" s="857"/>
      <c r="CX81" s="857"/>
      <c r="CY81" s="857"/>
      <c r="CZ81" s="857"/>
      <c r="DA81" s="857"/>
      <c r="DB81" s="857"/>
      <c r="DC81" s="857"/>
      <c r="DD81" s="857"/>
      <c r="DE81" s="857"/>
      <c r="DF81" s="857"/>
      <c r="DG81" s="857"/>
      <c r="DH81" s="857"/>
      <c r="DI81" s="857"/>
      <c r="DJ81" s="857"/>
      <c r="DK81" s="857"/>
      <c r="DL81" s="857"/>
      <c r="DM81" s="857"/>
      <c r="DN81" s="857"/>
      <c r="DO81" s="857"/>
      <c r="DP81" s="857"/>
      <c r="DQ81" s="857"/>
      <c r="DR81" s="857"/>
    </row>
    <row r="82" spans="1:132" customFormat="1" ht="15">
      <c r="C82" s="854"/>
      <c r="BW82" s="857"/>
      <c r="BX82" s="857"/>
      <c r="BY82" s="857"/>
      <c r="BZ82" s="857"/>
      <c r="CA82" s="857"/>
      <c r="CB82" s="857"/>
      <c r="CC82" s="857"/>
      <c r="CD82" s="857"/>
      <c r="CE82" s="857"/>
      <c r="CF82" s="857"/>
      <c r="CG82" s="857"/>
      <c r="CH82" s="857"/>
      <c r="CI82" s="857"/>
      <c r="CJ82" s="857"/>
      <c r="CK82" s="857"/>
      <c r="CL82" s="857"/>
      <c r="CM82" s="857"/>
      <c r="CN82" s="857"/>
      <c r="CO82" s="857"/>
      <c r="CP82" s="857"/>
      <c r="CQ82" s="857"/>
      <c r="CR82" s="857"/>
      <c r="CS82" s="857"/>
      <c r="CT82" s="857"/>
      <c r="CU82" s="857"/>
      <c r="CV82" s="857"/>
      <c r="CW82" s="857"/>
      <c r="CX82" s="857"/>
      <c r="CY82" s="857"/>
      <c r="CZ82" s="857"/>
      <c r="DA82" s="857"/>
      <c r="DB82" s="857"/>
      <c r="DC82" s="857"/>
      <c r="DD82" s="857"/>
      <c r="DE82" s="857"/>
      <c r="DF82" s="857"/>
      <c r="DG82" s="857"/>
      <c r="DH82" s="857"/>
      <c r="DI82" s="857"/>
      <c r="DJ82" s="857"/>
      <c r="DK82" s="857"/>
      <c r="DL82" s="857"/>
      <c r="DM82" s="857"/>
      <c r="DN82" s="857"/>
      <c r="DO82" s="857"/>
      <c r="DP82" s="857"/>
      <c r="DQ82" s="857"/>
      <c r="DR82" s="857"/>
    </row>
    <row r="83" spans="1:132" customFormat="1" ht="15">
      <c r="B83" s="642" t="s">
        <v>2357</v>
      </c>
      <c r="C83" s="854"/>
      <c r="BW83" s="856">
        <f t="shared" ref="BW83:CT83" si="167">BW72</f>
        <v>43126</v>
      </c>
      <c r="BX83" s="856">
        <f t="shared" si="167"/>
        <v>43156</v>
      </c>
      <c r="BY83" s="856">
        <f t="shared" si="167"/>
        <v>43186</v>
      </c>
      <c r="BZ83" s="856">
        <f t="shared" si="167"/>
        <v>43216</v>
      </c>
      <c r="CA83" s="856">
        <f t="shared" si="167"/>
        <v>43246</v>
      </c>
      <c r="CB83" s="856">
        <f t="shared" si="167"/>
        <v>43276</v>
      </c>
      <c r="CC83" s="856">
        <f t="shared" si="167"/>
        <v>43306</v>
      </c>
      <c r="CD83" s="856">
        <f t="shared" si="167"/>
        <v>43336</v>
      </c>
      <c r="CE83" s="856">
        <f t="shared" si="167"/>
        <v>43366</v>
      </c>
      <c r="CF83" s="856">
        <f t="shared" si="167"/>
        <v>43396</v>
      </c>
      <c r="CG83" s="856">
        <f t="shared" si="167"/>
        <v>43426</v>
      </c>
      <c r="CH83" s="856">
        <f t="shared" si="167"/>
        <v>43456</v>
      </c>
      <c r="CI83" s="856">
        <f t="shared" si="167"/>
        <v>43486</v>
      </c>
      <c r="CJ83" s="856">
        <f t="shared" si="167"/>
        <v>43516</v>
      </c>
      <c r="CK83" s="856">
        <f t="shared" si="167"/>
        <v>43546</v>
      </c>
      <c r="CL83" s="856">
        <f t="shared" si="167"/>
        <v>43576</v>
      </c>
      <c r="CM83" s="856">
        <f t="shared" si="167"/>
        <v>43606</v>
      </c>
      <c r="CN83" s="856">
        <f t="shared" si="167"/>
        <v>43636</v>
      </c>
      <c r="CO83" s="856">
        <f t="shared" si="167"/>
        <v>43666</v>
      </c>
      <c r="CP83" s="856">
        <f t="shared" si="167"/>
        <v>43696</v>
      </c>
      <c r="CQ83" s="856">
        <f t="shared" si="167"/>
        <v>43726</v>
      </c>
      <c r="CR83" s="856">
        <f t="shared" si="167"/>
        <v>43756</v>
      </c>
      <c r="CS83" s="856">
        <f t="shared" si="167"/>
        <v>43786</v>
      </c>
      <c r="CT83" s="856">
        <f t="shared" si="167"/>
        <v>43816</v>
      </c>
      <c r="CU83" s="856">
        <f t="shared" ref="CU83:CZ83" si="168">CU72</f>
        <v>43846</v>
      </c>
      <c r="CV83" s="856">
        <f t="shared" si="168"/>
        <v>43876</v>
      </c>
      <c r="CW83" s="856">
        <f t="shared" si="168"/>
        <v>43906</v>
      </c>
      <c r="CX83" s="856">
        <f t="shared" si="168"/>
        <v>43936</v>
      </c>
      <c r="CY83" s="856">
        <f t="shared" si="168"/>
        <v>43966</v>
      </c>
      <c r="CZ83" s="856">
        <f t="shared" si="168"/>
        <v>43996</v>
      </c>
      <c r="DA83" s="856">
        <f t="shared" ref="DA83:DF83" si="169">DA72</f>
        <v>44026</v>
      </c>
      <c r="DB83" s="856">
        <f t="shared" si="169"/>
        <v>44056</v>
      </c>
      <c r="DC83" s="856">
        <f t="shared" si="169"/>
        <v>44086</v>
      </c>
      <c r="DD83" s="856">
        <f t="shared" si="169"/>
        <v>44116</v>
      </c>
      <c r="DE83" s="856">
        <f t="shared" si="169"/>
        <v>44146</v>
      </c>
      <c r="DF83" s="856">
        <f t="shared" si="169"/>
        <v>44176</v>
      </c>
      <c r="DG83" s="856">
        <f t="shared" ref="DG83:DL83" si="170">DG72</f>
        <v>44206</v>
      </c>
      <c r="DH83" s="856">
        <f t="shared" si="170"/>
        <v>44236</v>
      </c>
      <c r="DI83" s="856">
        <f t="shared" si="170"/>
        <v>44266</v>
      </c>
      <c r="DJ83" s="856">
        <f t="shared" si="170"/>
        <v>44296</v>
      </c>
      <c r="DK83" s="856">
        <f t="shared" si="170"/>
        <v>44326</v>
      </c>
      <c r="DL83" s="856">
        <f t="shared" si="170"/>
        <v>44356</v>
      </c>
      <c r="DM83" s="856">
        <f t="shared" ref="DM83:DR83" si="171">DM72</f>
        <v>44386</v>
      </c>
      <c r="DN83" s="856">
        <f t="shared" si="171"/>
        <v>44416</v>
      </c>
      <c r="DO83" s="856">
        <f t="shared" si="171"/>
        <v>44446</v>
      </c>
      <c r="DP83" s="856">
        <f t="shared" si="171"/>
        <v>44476</v>
      </c>
      <c r="DQ83" s="856">
        <f t="shared" si="171"/>
        <v>44506</v>
      </c>
      <c r="DR83" s="856">
        <f t="shared" si="171"/>
        <v>44536</v>
      </c>
    </row>
    <row r="84" spans="1:132" customFormat="1" ht="15">
      <c r="B84" s="642"/>
      <c r="C84" s="854"/>
      <c r="BW84" s="856"/>
      <c r="BX84" s="856"/>
      <c r="BY84" s="856"/>
      <c r="BZ84" s="856"/>
      <c r="CA84" s="856"/>
      <c r="CB84" s="856"/>
      <c r="CC84" s="856"/>
      <c r="CD84" s="856"/>
      <c r="CE84" s="856"/>
      <c r="CF84" s="856"/>
      <c r="CG84" s="856"/>
      <c r="CH84" s="856"/>
      <c r="CI84" s="856"/>
      <c r="CJ84" s="856"/>
      <c r="CK84" s="856"/>
      <c r="CL84" s="856"/>
      <c r="CM84" s="856"/>
      <c r="CN84" s="856"/>
      <c r="CO84" s="856"/>
      <c r="CP84" s="856"/>
      <c r="CQ84" s="856"/>
      <c r="CR84" s="856"/>
      <c r="CS84" s="856"/>
      <c r="CT84" s="856"/>
      <c r="CU84" s="856"/>
      <c r="CV84" s="856"/>
      <c r="CW84" s="856"/>
      <c r="CX84" s="856"/>
      <c r="CY84" s="856"/>
      <c r="CZ84" s="856"/>
      <c r="DA84" s="856"/>
      <c r="DB84" s="856"/>
      <c r="DC84" s="856"/>
      <c r="DD84" s="856"/>
      <c r="DE84" s="856"/>
      <c r="DF84" s="856"/>
      <c r="DG84" s="856"/>
      <c r="DH84" s="856"/>
      <c r="DI84" s="856"/>
      <c r="DJ84" s="856"/>
      <c r="DK84" s="856"/>
      <c r="DL84" s="856"/>
      <c r="DM84" s="856"/>
      <c r="DN84" s="856"/>
      <c r="DO84" s="856"/>
      <c r="DP84" s="856"/>
      <c r="DQ84" s="856"/>
      <c r="DR84" s="856"/>
    </row>
    <row r="85" spans="1:132" customFormat="1" ht="15">
      <c r="A85" s="846" t="s">
        <v>2358</v>
      </c>
      <c r="B85" s="859" t="s">
        <v>2359</v>
      </c>
      <c r="C85" s="854"/>
      <c r="BW85" s="657">
        <v>54.753900000000002</v>
      </c>
      <c r="BX85" s="657">
        <v>54.723210000000002</v>
      </c>
      <c r="BY85" s="657">
        <v>54.72401</v>
      </c>
      <c r="BZ85" s="657">
        <v>54.676439999999999</v>
      </c>
      <c r="CA85" s="657">
        <v>54.806870000000004</v>
      </c>
      <c r="CB85" s="657">
        <v>54.842580000000005</v>
      </c>
      <c r="CC85" s="657">
        <v>54.86506</v>
      </c>
      <c r="CD85" s="659">
        <v>55.003699999999995</v>
      </c>
      <c r="CE85" s="659">
        <v>54.93974</v>
      </c>
      <c r="CF85" s="659">
        <v>55.067250000000001</v>
      </c>
      <c r="CG85" s="659">
        <v>55.437959999999997</v>
      </c>
      <c r="CH85" s="659">
        <v>48.365769999999998</v>
      </c>
      <c r="CI85" s="659">
        <v>55.169550000000001</v>
      </c>
      <c r="CJ85" s="659">
        <v>55.205349999999996</v>
      </c>
      <c r="CK85" s="659">
        <v>55.33399</v>
      </c>
      <c r="CL85" s="659">
        <v>55.16516</v>
      </c>
      <c r="CM85" s="659">
        <v>55.280230000000003</v>
      </c>
      <c r="CN85" s="659">
        <v>55.284570000000002</v>
      </c>
      <c r="CO85" s="659">
        <v>55.091999999999999</v>
      </c>
      <c r="CP85" s="659">
        <v>54.934139999999999</v>
      </c>
      <c r="CQ85" s="659">
        <v>54.913050000000005</v>
      </c>
      <c r="CR85" s="659">
        <v>55.028129999999997</v>
      </c>
      <c r="CS85" s="659">
        <v>55.015550000000005</v>
      </c>
      <c r="CT85" s="659">
        <v>42.623800000000003</v>
      </c>
      <c r="CU85" s="659">
        <v>55.003349999999998</v>
      </c>
      <c r="CV85" s="659">
        <v>55.161089999999994</v>
      </c>
      <c r="CW85" s="659">
        <v>55.20035</v>
      </c>
      <c r="CX85" s="659">
        <v>55.19061</v>
      </c>
      <c r="CY85" s="659">
        <v>55.06964</v>
      </c>
      <c r="CZ85" s="659">
        <v>54.910879999999999</v>
      </c>
      <c r="DA85" s="659">
        <v>54.900400000000005</v>
      </c>
      <c r="DB85" s="659">
        <v>54.798300000000005</v>
      </c>
      <c r="DC85" s="659">
        <v>54.84346</v>
      </c>
      <c r="DD85" s="659">
        <v>54.75067</v>
      </c>
      <c r="DE85" s="659">
        <v>54.601169999999996</v>
      </c>
      <c r="DF85" s="659">
        <v>43.181760000000004</v>
      </c>
      <c r="DG85" s="659">
        <v>54.454269999999994</v>
      </c>
      <c r="DH85" s="659">
        <v>54.502220000000001</v>
      </c>
      <c r="DI85" s="659">
        <v>54.70138</v>
      </c>
      <c r="DJ85" s="659">
        <v>54.612589999999997</v>
      </c>
      <c r="DK85" s="659">
        <v>54.794779999999996</v>
      </c>
      <c r="DL85" s="659">
        <v>55.070860000000003</v>
      </c>
      <c r="DM85" s="659">
        <f>VLOOKUP("7500030",'Input IS ACCTS'!$A$6:$CV$507,94,FALSE)/1000</f>
        <v>55.44567</v>
      </c>
      <c r="DN85" s="659">
        <f>VLOOKUP("7500030",'Input IS ACCTS'!$A$6:$CV$507,95,FALSE)/1000</f>
        <v>55.611719999999998</v>
      </c>
      <c r="DO85" s="659">
        <f>VLOOKUP("7500030",'Input IS ACCTS'!$A$6:$CV$507,96,FALSE)/1000</f>
        <v>55.997819999999997</v>
      </c>
      <c r="DP85" s="659">
        <f>VLOOKUP("7500030",'Input IS ACCTS'!$A$6:$CV$507,97,FALSE)/1000</f>
        <v>56.225650000000002</v>
      </c>
      <c r="DQ85" s="659">
        <f>VLOOKUP("7500030",'Input IS ACCTS'!$A$6:$CV$507,98,FALSE)/1000</f>
        <v>56.674930000000003</v>
      </c>
      <c r="DR85" s="659">
        <f>VLOOKUP("7500030",'Input IS ACCTS'!$A$6:$CV$507,99,FALSE)/1000</f>
        <v>46.80744</v>
      </c>
    </row>
    <row r="86" spans="1:132" customFormat="1" ht="15">
      <c r="B86" s="652" t="s">
        <v>2360</v>
      </c>
      <c r="C86" s="854"/>
      <c r="BW86" s="857">
        <f t="shared" ref="BW86:CT86" si="172">SUM(BW85:BW85)</f>
        <v>54.753900000000002</v>
      </c>
      <c r="BX86" s="857">
        <f t="shared" si="172"/>
        <v>54.723210000000002</v>
      </c>
      <c r="BY86" s="857">
        <f t="shared" si="172"/>
        <v>54.72401</v>
      </c>
      <c r="BZ86" s="857">
        <f t="shared" si="172"/>
        <v>54.676439999999999</v>
      </c>
      <c r="CA86" s="857">
        <f t="shared" si="172"/>
        <v>54.806870000000004</v>
      </c>
      <c r="CB86" s="857">
        <f t="shared" si="172"/>
        <v>54.842580000000005</v>
      </c>
      <c r="CC86" s="857">
        <f t="shared" si="172"/>
        <v>54.86506</v>
      </c>
      <c r="CD86" s="857">
        <f t="shared" si="172"/>
        <v>55.003699999999995</v>
      </c>
      <c r="CE86" s="857">
        <f t="shared" si="172"/>
        <v>54.93974</v>
      </c>
      <c r="CF86" s="857">
        <f t="shared" si="172"/>
        <v>55.067250000000001</v>
      </c>
      <c r="CG86" s="857">
        <f t="shared" si="172"/>
        <v>55.437959999999997</v>
      </c>
      <c r="CH86" s="857">
        <f t="shared" si="172"/>
        <v>48.365769999999998</v>
      </c>
      <c r="CI86" s="857">
        <f t="shared" si="172"/>
        <v>55.169550000000001</v>
      </c>
      <c r="CJ86" s="857">
        <f t="shared" si="172"/>
        <v>55.205349999999996</v>
      </c>
      <c r="CK86" s="857">
        <f t="shared" si="172"/>
        <v>55.33399</v>
      </c>
      <c r="CL86" s="857">
        <f t="shared" si="172"/>
        <v>55.16516</v>
      </c>
      <c r="CM86" s="857">
        <f t="shared" si="172"/>
        <v>55.280230000000003</v>
      </c>
      <c r="CN86" s="857">
        <f t="shared" si="172"/>
        <v>55.284570000000002</v>
      </c>
      <c r="CO86" s="857">
        <f t="shared" si="172"/>
        <v>55.091999999999999</v>
      </c>
      <c r="CP86" s="857">
        <f t="shared" si="172"/>
        <v>54.934139999999999</v>
      </c>
      <c r="CQ86" s="857">
        <f t="shared" si="172"/>
        <v>54.913050000000005</v>
      </c>
      <c r="CR86" s="857">
        <f t="shared" si="172"/>
        <v>55.028129999999997</v>
      </c>
      <c r="CS86" s="857">
        <f t="shared" si="172"/>
        <v>55.015550000000005</v>
      </c>
      <c r="CT86" s="857">
        <f t="shared" si="172"/>
        <v>42.623800000000003</v>
      </c>
      <c r="CU86" s="857">
        <f t="shared" ref="CU86:CZ86" si="173">SUM(CU85:CU85)</f>
        <v>55.003349999999998</v>
      </c>
      <c r="CV86" s="857">
        <f t="shared" si="173"/>
        <v>55.161089999999994</v>
      </c>
      <c r="CW86" s="857">
        <f t="shared" si="173"/>
        <v>55.20035</v>
      </c>
      <c r="CX86" s="857">
        <f t="shared" si="173"/>
        <v>55.19061</v>
      </c>
      <c r="CY86" s="857">
        <f t="shared" si="173"/>
        <v>55.06964</v>
      </c>
      <c r="CZ86" s="857">
        <f t="shared" si="173"/>
        <v>54.910879999999999</v>
      </c>
      <c r="DA86" s="857">
        <f t="shared" ref="DA86:DF86" si="174">SUM(DA85:DA85)</f>
        <v>54.900400000000005</v>
      </c>
      <c r="DB86" s="857">
        <f t="shared" si="174"/>
        <v>54.798300000000005</v>
      </c>
      <c r="DC86" s="857">
        <f t="shared" si="174"/>
        <v>54.84346</v>
      </c>
      <c r="DD86" s="857">
        <f t="shared" si="174"/>
        <v>54.75067</v>
      </c>
      <c r="DE86" s="857">
        <f t="shared" si="174"/>
        <v>54.601169999999996</v>
      </c>
      <c r="DF86" s="857">
        <f t="shared" si="174"/>
        <v>43.181760000000004</v>
      </c>
      <c r="DG86" s="857">
        <f t="shared" ref="DG86:DL86" si="175">SUM(DG85:DG85)</f>
        <v>54.454269999999994</v>
      </c>
      <c r="DH86" s="857">
        <f t="shared" si="175"/>
        <v>54.502220000000001</v>
      </c>
      <c r="DI86" s="857">
        <f t="shared" si="175"/>
        <v>54.70138</v>
      </c>
      <c r="DJ86" s="857">
        <f t="shared" si="175"/>
        <v>54.612589999999997</v>
      </c>
      <c r="DK86" s="857">
        <f t="shared" si="175"/>
        <v>54.794779999999996</v>
      </c>
      <c r="DL86" s="857">
        <f t="shared" si="175"/>
        <v>55.070860000000003</v>
      </c>
      <c r="DM86" s="857">
        <f t="shared" ref="DM86:DR86" si="176">SUM(DM85:DM85)</f>
        <v>55.44567</v>
      </c>
      <c r="DN86" s="857">
        <f t="shared" si="176"/>
        <v>55.611719999999998</v>
      </c>
      <c r="DO86" s="857">
        <f t="shared" si="176"/>
        <v>55.997819999999997</v>
      </c>
      <c r="DP86" s="857">
        <f t="shared" si="176"/>
        <v>56.225650000000002</v>
      </c>
      <c r="DQ86" s="857">
        <f t="shared" si="176"/>
        <v>56.674930000000003</v>
      </c>
      <c r="DR86" s="857">
        <f t="shared" si="176"/>
        <v>46.80744</v>
      </c>
    </row>
    <row r="87" spans="1:132" customFormat="1" ht="15">
      <c r="C87" s="854"/>
      <c r="BW87" s="857"/>
      <c r="BX87" s="857"/>
      <c r="BY87" s="857"/>
      <c r="BZ87" s="857"/>
      <c r="CA87" s="857"/>
      <c r="CB87" s="857"/>
      <c r="CC87" s="857"/>
      <c r="CD87" s="857"/>
      <c r="CE87" s="857"/>
      <c r="CF87" s="857"/>
      <c r="CG87" s="857"/>
      <c r="CH87" s="857"/>
      <c r="CI87" s="857"/>
      <c r="CJ87" s="857"/>
      <c r="CK87" s="857"/>
      <c r="CL87" s="857"/>
      <c r="CM87" s="857"/>
      <c r="CN87" s="857"/>
      <c r="CO87" s="857"/>
      <c r="CP87" s="857"/>
      <c r="CQ87" s="857"/>
      <c r="CR87" s="857"/>
      <c r="CS87" s="857"/>
      <c r="CT87" s="857"/>
      <c r="CU87" s="857"/>
      <c r="CV87" s="857"/>
      <c r="CW87" s="857"/>
      <c r="CX87" s="857"/>
      <c r="CY87" s="857"/>
      <c r="CZ87" s="857"/>
      <c r="DA87" s="857"/>
      <c r="DB87" s="857"/>
      <c r="DC87" s="857"/>
      <c r="DD87" s="857"/>
      <c r="DE87" s="857"/>
      <c r="DF87" s="857"/>
      <c r="DG87" s="857"/>
      <c r="DH87" s="857"/>
      <c r="DI87" s="857"/>
      <c r="DJ87" s="857"/>
      <c r="DK87" s="857"/>
      <c r="DL87" s="857"/>
      <c r="DM87" s="857"/>
      <c r="DN87" s="857"/>
      <c r="DO87" s="857"/>
      <c r="DP87" s="857"/>
      <c r="DQ87" s="857"/>
      <c r="DR87" s="857"/>
    </row>
    <row r="88" spans="1:132" customFormat="1" ht="15">
      <c r="B88" s="859" t="s">
        <v>2361</v>
      </c>
      <c r="C88" s="854"/>
      <c r="BW88" s="857"/>
      <c r="BX88" s="857"/>
      <c r="BY88" s="857"/>
      <c r="BZ88" s="857"/>
      <c r="CA88" s="857"/>
      <c r="CB88" s="857"/>
      <c r="CC88" s="857"/>
      <c r="CD88" s="857"/>
      <c r="CE88" s="857"/>
      <c r="CF88" s="857"/>
      <c r="CG88" s="857"/>
      <c r="CH88" s="857"/>
      <c r="CI88" s="857">
        <f t="shared" ref="CI88:CS88" si="177">SUM(BX86:CI86)</f>
        <v>652.62214000000006</v>
      </c>
      <c r="CJ88" s="857">
        <f t="shared" si="177"/>
        <v>653.1042799999999</v>
      </c>
      <c r="CK88" s="442">
        <f t="shared" si="177"/>
        <v>653.71425999999997</v>
      </c>
      <c r="CL88" s="442">
        <f t="shared" si="177"/>
        <v>654.20297999999991</v>
      </c>
      <c r="CM88" s="442">
        <f t="shared" si="177"/>
        <v>654.67633999999998</v>
      </c>
      <c r="CN88" s="442">
        <f t="shared" si="177"/>
        <v>655.11833000000001</v>
      </c>
      <c r="CO88" s="442">
        <f t="shared" si="177"/>
        <v>655.34527000000003</v>
      </c>
      <c r="CP88" s="442">
        <f t="shared" si="177"/>
        <v>655.27571</v>
      </c>
      <c r="CQ88" s="442">
        <f t="shared" si="177"/>
        <v>655.24901999999997</v>
      </c>
      <c r="CR88" s="442">
        <f t="shared" si="177"/>
        <v>655.20989999999995</v>
      </c>
      <c r="CS88" s="442">
        <f t="shared" si="177"/>
        <v>654.78749000000005</v>
      </c>
      <c r="CT88" s="442">
        <f t="shared" ref="CT88:DL88" si="178">SUM(CI86:CT86)</f>
        <v>649.0455199999999</v>
      </c>
      <c r="CU88" s="442">
        <f t="shared" si="178"/>
        <v>648.87931999999989</v>
      </c>
      <c r="CV88" s="442">
        <f t="shared" si="178"/>
        <v>648.83505999999988</v>
      </c>
      <c r="CW88" s="442">
        <f t="shared" si="178"/>
        <v>648.70141999999987</v>
      </c>
      <c r="CX88" s="442">
        <f t="shared" si="178"/>
        <v>648.72686999999996</v>
      </c>
      <c r="CY88" s="442">
        <f t="shared" si="178"/>
        <v>648.51628000000005</v>
      </c>
      <c r="CZ88" s="442">
        <f t="shared" si="178"/>
        <v>648.14259000000015</v>
      </c>
      <c r="DA88" s="442">
        <f t="shared" si="178"/>
        <v>647.95099000000005</v>
      </c>
      <c r="DB88" s="442">
        <f t="shared" si="178"/>
        <v>647.81515000000002</v>
      </c>
      <c r="DC88" s="442">
        <f t="shared" si="178"/>
        <v>647.74556000000018</v>
      </c>
      <c r="DD88" s="442">
        <f t="shared" si="178"/>
        <v>647.46810000000005</v>
      </c>
      <c r="DE88" s="442">
        <f t="shared" si="178"/>
        <v>647.05372</v>
      </c>
      <c r="DF88" s="442">
        <f t="shared" si="178"/>
        <v>647.61167999999998</v>
      </c>
      <c r="DG88" s="442">
        <f t="shared" si="178"/>
        <v>647.06259999999997</v>
      </c>
      <c r="DH88" s="442">
        <f t="shared" si="178"/>
        <v>646.40373</v>
      </c>
      <c r="DI88" s="442">
        <f t="shared" si="178"/>
        <v>645.9047599999999</v>
      </c>
      <c r="DJ88" s="442">
        <f t="shared" si="178"/>
        <v>645.32673999999997</v>
      </c>
      <c r="DK88" s="442">
        <f t="shared" si="178"/>
        <v>645.05187999999998</v>
      </c>
      <c r="DL88" s="442">
        <f t="shared" si="178"/>
        <v>645.21186</v>
      </c>
      <c r="DM88" s="442">
        <f t="shared" ref="DM88:DR88" si="179">SUM(DB86:DM86)</f>
        <v>645.75713000000007</v>
      </c>
      <c r="DN88" s="442">
        <f t="shared" si="179"/>
        <v>646.57055000000003</v>
      </c>
      <c r="DO88" s="442">
        <f t="shared" si="179"/>
        <v>647.72491000000002</v>
      </c>
      <c r="DP88" s="442">
        <f t="shared" si="179"/>
        <v>649.19988999999998</v>
      </c>
      <c r="DQ88" s="442">
        <f t="shared" si="179"/>
        <v>651.27364999999998</v>
      </c>
      <c r="DR88" s="442">
        <f t="shared" si="179"/>
        <v>654.89933000000008</v>
      </c>
    </row>
    <row r="89" spans="1:132" customFormat="1" ht="15">
      <c r="C89" s="854"/>
      <c r="BW89" s="857"/>
      <c r="BX89" s="857"/>
      <c r="BY89" s="857"/>
      <c r="BZ89" s="857"/>
      <c r="CA89" s="857"/>
      <c r="CB89" s="857"/>
      <c r="CC89" s="857"/>
      <c r="CD89" s="857"/>
      <c r="CE89" s="857"/>
      <c r="CF89" s="857"/>
      <c r="CG89" s="857"/>
      <c r="CH89" s="857"/>
      <c r="CI89" s="857"/>
      <c r="CJ89" s="857"/>
      <c r="CK89" s="857"/>
      <c r="CL89" s="857"/>
      <c r="CM89" s="857"/>
      <c r="CN89" s="857"/>
      <c r="CO89" s="857"/>
      <c r="CP89" s="857"/>
      <c r="CQ89" s="857"/>
      <c r="CR89" s="857"/>
      <c r="CS89" s="857"/>
      <c r="CT89" s="857"/>
      <c r="CU89" s="857"/>
      <c r="CV89" s="857"/>
      <c r="CW89" s="857"/>
      <c r="CX89" s="857"/>
      <c r="CY89" s="857"/>
      <c r="CZ89" s="857"/>
      <c r="DA89" s="857"/>
      <c r="DB89" s="857"/>
      <c r="DC89" s="857"/>
      <c r="DD89" s="857"/>
      <c r="DE89" s="857"/>
      <c r="DF89" s="857"/>
      <c r="DG89" s="857"/>
      <c r="DH89" s="857"/>
      <c r="DI89" s="857"/>
      <c r="DJ89" s="857"/>
      <c r="DK89" s="857"/>
      <c r="DL89" s="857"/>
      <c r="DM89" s="857"/>
      <c r="DN89" s="857"/>
      <c r="DO89" s="857"/>
      <c r="DP89" s="857"/>
      <c r="DQ89" s="857"/>
      <c r="DR89" s="857"/>
    </row>
    <row r="90" spans="1:132" customFormat="1" ht="15.75">
      <c r="B90" s="17" t="s">
        <v>2362</v>
      </c>
      <c r="C90" s="854"/>
      <c r="BW90" s="860"/>
      <c r="BX90" s="860"/>
      <c r="BY90" s="860"/>
      <c r="BZ90" s="860"/>
      <c r="CA90" s="860"/>
      <c r="CB90" s="860"/>
      <c r="CC90" s="860"/>
      <c r="CD90" s="860"/>
      <c r="CE90" s="860"/>
      <c r="CF90" s="860"/>
      <c r="CG90" s="860"/>
      <c r="CH90" s="860"/>
      <c r="CI90" s="860">
        <f t="shared" ref="CI90:CS90" si="180">ROUND(CI88/CI79,4)</f>
        <v>2.4500000000000001E-2</v>
      </c>
      <c r="CJ90" s="860">
        <f t="shared" si="180"/>
        <v>2.46E-2</v>
      </c>
      <c r="CK90" s="836">
        <f t="shared" si="180"/>
        <v>2.46E-2</v>
      </c>
      <c r="CL90" s="836">
        <f t="shared" si="180"/>
        <v>2.47E-2</v>
      </c>
      <c r="CM90" s="836">
        <f t="shared" si="180"/>
        <v>2.47E-2</v>
      </c>
      <c r="CN90" s="836">
        <f t="shared" si="180"/>
        <v>2.47E-2</v>
      </c>
      <c r="CO90" s="836">
        <f t="shared" si="180"/>
        <v>2.4799999999999999E-2</v>
      </c>
      <c r="CP90" s="836">
        <f t="shared" si="180"/>
        <v>2.4799999999999999E-2</v>
      </c>
      <c r="CQ90" s="836">
        <f t="shared" si="180"/>
        <v>2.4799999999999999E-2</v>
      </c>
      <c r="CR90" s="836">
        <f t="shared" si="180"/>
        <v>2.4799999999999999E-2</v>
      </c>
      <c r="CS90" s="836">
        <f t="shared" si="180"/>
        <v>2.4799999999999999E-2</v>
      </c>
      <c r="CT90" s="836">
        <f t="shared" ref="CT90:CY90" si="181">ROUND(CT88/CT79,4)</f>
        <v>2.46E-2</v>
      </c>
      <c r="CU90" s="836">
        <f t="shared" si="181"/>
        <v>2.46E-2</v>
      </c>
      <c r="CV90" s="836">
        <f t="shared" si="181"/>
        <v>2.46E-2</v>
      </c>
      <c r="CW90" s="836">
        <f t="shared" si="181"/>
        <v>2.46E-2</v>
      </c>
      <c r="CX90" s="836">
        <f t="shared" si="181"/>
        <v>2.47E-2</v>
      </c>
      <c r="CY90" s="836">
        <f t="shared" si="181"/>
        <v>2.47E-2</v>
      </c>
      <c r="CZ90" s="836">
        <f t="shared" ref="CZ90:DF90" si="182">ROUND(CZ88/CZ79,4)</f>
        <v>2.47E-2</v>
      </c>
      <c r="DA90" s="836">
        <f t="shared" si="182"/>
        <v>2.47E-2</v>
      </c>
      <c r="DB90" s="836">
        <f t="shared" si="182"/>
        <v>2.47E-2</v>
      </c>
      <c r="DC90" s="836">
        <f t="shared" si="182"/>
        <v>2.47E-2</v>
      </c>
      <c r="DD90" s="836">
        <f t="shared" si="182"/>
        <v>2.47E-2</v>
      </c>
      <c r="DE90" s="836">
        <f t="shared" si="182"/>
        <v>2.47E-2</v>
      </c>
      <c r="DF90" s="836">
        <f t="shared" si="182"/>
        <v>2.4799999999999999E-2</v>
      </c>
      <c r="DG90" s="836">
        <f t="shared" ref="DG90:DL90" si="183">ROUND(DG88/DG79,4)</f>
        <v>2.4799999999999999E-2</v>
      </c>
      <c r="DH90" s="836">
        <f t="shared" si="183"/>
        <v>2.4799999999999999E-2</v>
      </c>
      <c r="DI90" s="836">
        <f t="shared" si="183"/>
        <v>2.4799999999999999E-2</v>
      </c>
      <c r="DJ90" s="836">
        <f t="shared" si="183"/>
        <v>2.4799999999999999E-2</v>
      </c>
      <c r="DK90" s="836">
        <f t="shared" si="183"/>
        <v>2.4799999999999999E-2</v>
      </c>
      <c r="DL90" s="836">
        <f t="shared" si="183"/>
        <v>2.4799999999999999E-2</v>
      </c>
      <c r="DM90" s="836">
        <f t="shared" ref="DM90:DR90" si="184">ROUND(DM88/DM79,4)</f>
        <v>2.4799999999999999E-2</v>
      </c>
      <c r="DN90" s="836">
        <f t="shared" si="184"/>
        <v>2.4799999999999999E-2</v>
      </c>
      <c r="DO90" s="836">
        <f t="shared" si="184"/>
        <v>2.4799999999999999E-2</v>
      </c>
      <c r="DP90" s="836">
        <f t="shared" si="184"/>
        <v>2.4799999999999999E-2</v>
      </c>
      <c r="DQ90" s="836">
        <f t="shared" si="184"/>
        <v>2.4899999999999999E-2</v>
      </c>
      <c r="DR90" s="836">
        <f t="shared" si="184"/>
        <v>2.4899999999999999E-2</v>
      </c>
    </row>
    <row r="91" spans="1:132" customFormat="1" ht="15">
      <c r="C91" s="854"/>
      <c r="BW91" s="857"/>
      <c r="BX91" s="857"/>
      <c r="BY91" s="857"/>
      <c r="BZ91" s="857"/>
      <c r="CA91" s="857"/>
      <c r="CB91" s="857"/>
      <c r="CC91" s="857"/>
      <c r="CD91" s="857"/>
      <c r="CE91" s="857"/>
      <c r="CF91" s="857"/>
      <c r="CG91" s="857"/>
      <c r="CH91" s="857"/>
      <c r="CI91" s="857"/>
      <c r="CJ91" s="857"/>
      <c r="CK91" s="645"/>
      <c r="CL91" s="645"/>
      <c r="CM91" s="645"/>
      <c r="CN91" s="645"/>
      <c r="CO91" s="645"/>
      <c r="CP91" s="645"/>
      <c r="CQ91" s="645"/>
      <c r="CR91" s="645"/>
      <c r="CS91" s="645"/>
      <c r="CT91" s="645"/>
      <c r="CU91" s="645"/>
      <c r="CV91" s="645"/>
      <c r="CW91" s="645"/>
      <c r="CX91" s="645"/>
      <c r="CY91" s="645"/>
      <c r="CZ91" s="645"/>
      <c r="DA91" s="645"/>
      <c r="DB91" s="645"/>
      <c r="DC91" s="645"/>
      <c r="DD91" s="645"/>
      <c r="DE91" s="645"/>
      <c r="DF91" s="645"/>
      <c r="DG91" s="645"/>
      <c r="DH91" s="645"/>
      <c r="DI91" s="645"/>
      <c r="DJ91" s="645"/>
      <c r="DK91" s="645"/>
      <c r="DL91" s="645"/>
      <c r="DM91" s="645"/>
      <c r="DN91" s="645"/>
      <c r="DO91" s="645"/>
      <c r="DP91" s="645"/>
      <c r="DQ91" s="645"/>
      <c r="DR91" s="645"/>
    </row>
    <row r="92" spans="1:132" customFormat="1" ht="15.75">
      <c r="B92" s="17" t="s">
        <v>2363</v>
      </c>
      <c r="C92" s="854"/>
      <c r="BW92" s="860"/>
      <c r="BX92" s="860"/>
      <c r="BY92" s="860"/>
      <c r="BZ92" s="860"/>
      <c r="CA92" s="860"/>
      <c r="CB92" s="860"/>
      <c r="CC92" s="860"/>
      <c r="CD92" s="860"/>
      <c r="CE92" s="860"/>
      <c r="CF92" s="860"/>
      <c r="CG92" s="860"/>
      <c r="CH92" s="860"/>
      <c r="CI92" s="860">
        <f t="shared" ref="CI92:CT92" si="185">ROUND(CI88/CI77,4)</f>
        <v>2.47E-2</v>
      </c>
      <c r="CJ92" s="860">
        <f t="shared" si="185"/>
        <v>2.47E-2</v>
      </c>
      <c r="CK92" s="836">
        <f t="shared" si="185"/>
        <v>2.47E-2</v>
      </c>
      <c r="CL92" s="836">
        <f t="shared" si="185"/>
        <v>2.4799999999999999E-2</v>
      </c>
      <c r="CM92" s="836">
        <f t="shared" si="185"/>
        <v>2.4799999999999999E-2</v>
      </c>
      <c r="CN92" s="836">
        <f t="shared" si="185"/>
        <v>2.4799999999999999E-2</v>
      </c>
      <c r="CO92" s="836">
        <f t="shared" si="185"/>
        <v>2.4799999999999999E-2</v>
      </c>
      <c r="CP92" s="836">
        <f t="shared" si="185"/>
        <v>2.4899999999999999E-2</v>
      </c>
      <c r="CQ92" s="836">
        <f t="shared" si="185"/>
        <v>2.5000000000000001E-2</v>
      </c>
      <c r="CR92" s="836">
        <f t="shared" si="185"/>
        <v>2.4899999999999999E-2</v>
      </c>
      <c r="CS92" s="836">
        <f t="shared" si="185"/>
        <v>2.4899999999999999E-2</v>
      </c>
      <c r="CT92" s="836">
        <f t="shared" si="185"/>
        <v>2.47E-2</v>
      </c>
      <c r="CU92" s="836">
        <f t="shared" ref="CU92:CZ92" si="186">ROUND(CU88/CU77,4)</f>
        <v>2.47E-2</v>
      </c>
      <c r="CV92" s="836">
        <f t="shared" si="186"/>
        <v>2.46E-2</v>
      </c>
      <c r="CW92" s="836">
        <f t="shared" si="186"/>
        <v>2.46E-2</v>
      </c>
      <c r="CX92" s="836">
        <f t="shared" si="186"/>
        <v>2.47E-2</v>
      </c>
      <c r="CY92" s="836">
        <f t="shared" si="186"/>
        <v>2.4799999999999999E-2</v>
      </c>
      <c r="CZ92" s="836">
        <f t="shared" si="186"/>
        <v>2.4799999999999999E-2</v>
      </c>
      <c r="DA92" s="836">
        <f t="shared" ref="DA92:DF92" si="187">ROUND(DA88/DA77,4)</f>
        <v>2.4799999999999999E-2</v>
      </c>
      <c r="DB92" s="836">
        <f t="shared" si="187"/>
        <v>2.4899999999999999E-2</v>
      </c>
      <c r="DC92" s="836">
        <f t="shared" si="187"/>
        <v>2.4899999999999999E-2</v>
      </c>
      <c r="DD92" s="836">
        <f t="shared" si="187"/>
        <v>2.4899999999999999E-2</v>
      </c>
      <c r="DE92" s="836">
        <f t="shared" si="187"/>
        <v>2.4899999999999999E-2</v>
      </c>
      <c r="DF92" s="836">
        <f t="shared" si="187"/>
        <v>2.52E-2</v>
      </c>
      <c r="DG92" s="836">
        <f t="shared" ref="DG92:DL92" si="188">ROUND(DG88/DG77,4)</f>
        <v>2.5000000000000001E-2</v>
      </c>
      <c r="DH92" s="836">
        <f t="shared" si="188"/>
        <v>2.4899999999999999E-2</v>
      </c>
      <c r="DI92" s="836">
        <f t="shared" si="188"/>
        <v>2.4799999999999999E-2</v>
      </c>
      <c r="DJ92" s="836">
        <f t="shared" si="188"/>
        <v>2.4899999999999999E-2</v>
      </c>
      <c r="DK92" s="836">
        <f t="shared" si="188"/>
        <v>2.4799999999999999E-2</v>
      </c>
      <c r="DL92" s="836">
        <f t="shared" si="188"/>
        <v>2.47E-2</v>
      </c>
      <c r="DM92" s="836">
        <f t="shared" ref="DM92:DR92" si="189">ROUND(DM88/DM77,4)</f>
        <v>2.4500000000000001E-2</v>
      </c>
      <c r="DN92" s="836">
        <f t="shared" si="189"/>
        <v>2.4500000000000001E-2</v>
      </c>
      <c r="DO92" s="836">
        <f t="shared" si="189"/>
        <v>2.4400000000000002E-2</v>
      </c>
      <c r="DP92" s="836">
        <f t="shared" si="189"/>
        <v>2.4299999999999999E-2</v>
      </c>
      <c r="DQ92" s="836">
        <f t="shared" si="189"/>
        <v>2.4199999999999999E-2</v>
      </c>
      <c r="DR92" s="836">
        <f t="shared" si="189"/>
        <v>2.4199999999999999E-2</v>
      </c>
    </row>
    <row r="93" spans="1:132" ht="15">
      <c r="C93" s="854"/>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EB93"/>
    </row>
    <row r="94" spans="1:132">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EB94"/>
    </row>
    <row r="95" spans="1:132">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EB95"/>
    </row>
    <row r="96" spans="1:132">
      <c r="EB96"/>
    </row>
    <row r="97" spans="132:132">
      <c r="EB97"/>
    </row>
  </sheetData>
  <mergeCells count="1">
    <mergeCell ref="DT21:EA22"/>
  </mergeCells>
  <phoneticPr fontId="166" type="noConversion"/>
  <pageMargins left="0.25" right="0.25" top="0.75" bottom="0.75" header="0.3" footer="0.3"/>
  <pageSetup scale="42" fitToHeight="0" orientation="landscape"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CM45"/>
  <sheetViews>
    <sheetView topLeftCell="CD1" workbookViewId="0"/>
  </sheetViews>
  <sheetFormatPr defaultColWidth="8.85546875" defaultRowHeight="12.75"/>
  <cols>
    <col min="1" max="1" width="38" style="529" customWidth="1"/>
    <col min="2" max="2" width="19.85546875" style="529" customWidth="1"/>
    <col min="3" max="3" width="14.7109375" style="529" hidden="1" customWidth="1"/>
    <col min="4" max="13" width="14.5703125" style="529" hidden="1" customWidth="1"/>
    <col min="14" max="14" width="18.7109375" style="529" hidden="1" customWidth="1"/>
    <col min="15" max="15" width="18.42578125" style="529" hidden="1" customWidth="1"/>
    <col min="16" max="17" width="19.28515625" style="529" hidden="1" customWidth="1"/>
    <col min="18" max="18" width="18.7109375" style="529" hidden="1" customWidth="1"/>
    <col min="19" max="19" width="18.5703125" style="529" hidden="1" customWidth="1"/>
    <col min="20" max="20" width="18.85546875" style="529" hidden="1" customWidth="1"/>
    <col min="21" max="22" width="19.28515625" style="529" hidden="1" customWidth="1"/>
    <col min="23" max="23" width="18.7109375" style="529" hidden="1" customWidth="1"/>
    <col min="24" max="24" width="18.140625" style="529" hidden="1" customWidth="1"/>
    <col min="25" max="34" width="18.7109375" style="529" hidden="1" customWidth="1"/>
    <col min="35" max="35" width="20.140625" style="529" hidden="1" customWidth="1"/>
    <col min="36" max="36" width="21.85546875" style="529" hidden="1" customWidth="1"/>
    <col min="37" max="37" width="19.85546875" style="529" hidden="1" customWidth="1"/>
    <col min="38" max="38" width="20.140625" style="529" hidden="1" customWidth="1"/>
    <col min="39" max="40" width="20.85546875" style="529" hidden="1" customWidth="1"/>
    <col min="41" max="41" width="20.42578125" style="529" hidden="1" customWidth="1"/>
    <col min="42" max="42" width="21.85546875" style="529" hidden="1" customWidth="1"/>
    <col min="43" max="43" width="20.42578125" style="529" hidden="1" customWidth="1"/>
    <col min="44" max="70" width="21.28515625" style="529" hidden="1" customWidth="1"/>
    <col min="71" max="83" width="21.28515625" style="529" bestFit="1" customWidth="1"/>
    <col min="84" max="86" width="21.28515625" style="529" customWidth="1"/>
    <col min="87" max="87" width="20.5703125" style="529" bestFit="1" customWidth="1"/>
    <col min="88" max="88" width="13.7109375" style="529" bestFit="1" customWidth="1"/>
    <col min="89" max="90" width="15.140625" style="529" bestFit="1" customWidth="1"/>
    <col min="91" max="16384" width="8.85546875" style="529"/>
  </cols>
  <sheetData>
    <row r="1" spans="1:90">
      <c r="A1" s="1131" t="s">
        <v>2668</v>
      </c>
    </row>
    <row r="2" spans="1:90">
      <c r="C2" s="539" t="s">
        <v>1733</v>
      </c>
      <c r="D2" s="539" t="s">
        <v>1733</v>
      </c>
      <c r="E2" s="539" t="s">
        <v>1733</v>
      </c>
      <c r="F2" s="539" t="s">
        <v>1733</v>
      </c>
      <c r="G2" s="539" t="s">
        <v>1733</v>
      </c>
      <c r="H2" s="539" t="s">
        <v>1733</v>
      </c>
      <c r="I2" s="539" t="s">
        <v>1733</v>
      </c>
      <c r="J2" s="539" t="s">
        <v>1733</v>
      </c>
      <c r="K2" s="539" t="s">
        <v>1733</v>
      </c>
      <c r="L2" s="539" t="s">
        <v>1733</v>
      </c>
      <c r="M2" s="539" t="s">
        <v>1733</v>
      </c>
      <c r="N2" s="539" t="s">
        <v>1733</v>
      </c>
      <c r="O2" s="539" t="s">
        <v>1733</v>
      </c>
      <c r="P2" s="539" t="s">
        <v>1733</v>
      </c>
      <c r="Q2" s="539" t="s">
        <v>1733</v>
      </c>
      <c r="R2" s="539" t="s">
        <v>1733</v>
      </c>
      <c r="S2" s="539" t="s">
        <v>1733</v>
      </c>
      <c r="T2" s="539" t="s">
        <v>1733</v>
      </c>
      <c r="U2" s="539" t="s">
        <v>1733</v>
      </c>
      <c r="V2" s="539" t="s">
        <v>1733</v>
      </c>
      <c r="W2" s="539" t="s">
        <v>1733</v>
      </c>
      <c r="X2" s="539" t="s">
        <v>1733</v>
      </c>
      <c r="Y2" s="539" t="s">
        <v>1733</v>
      </c>
      <c r="Z2" s="539" t="s">
        <v>1733</v>
      </c>
      <c r="AA2" s="539" t="s">
        <v>1733</v>
      </c>
      <c r="AB2" s="539" t="s">
        <v>1733</v>
      </c>
      <c r="AC2" s="539" t="s">
        <v>1733</v>
      </c>
      <c r="AD2" s="539" t="s">
        <v>1733</v>
      </c>
      <c r="AE2" s="539" t="s">
        <v>1733</v>
      </c>
      <c r="AF2" s="539" t="s">
        <v>1733</v>
      </c>
      <c r="AG2" s="539" t="s">
        <v>1733</v>
      </c>
      <c r="AH2" s="539" t="s">
        <v>1733</v>
      </c>
      <c r="AI2" s="539" t="s">
        <v>1733</v>
      </c>
      <c r="AJ2" s="539" t="s">
        <v>1733</v>
      </c>
      <c r="AK2" s="539" t="s">
        <v>1733</v>
      </c>
      <c r="AL2" s="539" t="s">
        <v>1733</v>
      </c>
      <c r="AM2" s="539" t="s">
        <v>1733</v>
      </c>
      <c r="AN2" s="539" t="s">
        <v>1733</v>
      </c>
      <c r="AO2" s="539" t="s">
        <v>1733</v>
      </c>
      <c r="AP2" s="539" t="s">
        <v>1733</v>
      </c>
      <c r="AQ2" s="539" t="s">
        <v>1733</v>
      </c>
      <c r="AR2" s="539" t="s">
        <v>1733</v>
      </c>
      <c r="AS2" s="539" t="s">
        <v>1733</v>
      </c>
      <c r="AT2" s="539" t="s">
        <v>1733</v>
      </c>
      <c r="AU2" s="539" t="s">
        <v>1733</v>
      </c>
      <c r="AV2" s="539" t="s">
        <v>1733</v>
      </c>
      <c r="AW2" s="539" t="s">
        <v>1733</v>
      </c>
      <c r="AX2" s="539" t="s">
        <v>1733</v>
      </c>
      <c r="AY2" s="539" t="s">
        <v>1733</v>
      </c>
      <c r="AZ2" s="539" t="s">
        <v>1733</v>
      </c>
      <c r="BA2" s="539" t="s">
        <v>1733</v>
      </c>
      <c r="BB2" s="539" t="s">
        <v>1733</v>
      </c>
      <c r="BC2" s="539" t="s">
        <v>1733</v>
      </c>
      <c r="BD2" s="539" t="s">
        <v>1733</v>
      </c>
      <c r="BE2" s="539" t="s">
        <v>1733</v>
      </c>
      <c r="BF2" s="539" t="s">
        <v>1733</v>
      </c>
      <c r="BG2" s="539" t="s">
        <v>1733</v>
      </c>
      <c r="BH2" s="539" t="s">
        <v>1733</v>
      </c>
      <c r="BI2" s="539" t="s">
        <v>1733</v>
      </c>
      <c r="BJ2" s="539" t="s">
        <v>1733</v>
      </c>
      <c r="BK2" s="539" t="s">
        <v>1733</v>
      </c>
      <c r="BL2" s="539" t="s">
        <v>1733</v>
      </c>
      <c r="BM2" s="1136" t="s">
        <v>1733</v>
      </c>
      <c r="BN2" s="1136" t="s">
        <v>1733</v>
      </c>
      <c r="BO2" s="1136" t="s">
        <v>1733</v>
      </c>
      <c r="BP2" s="1136" t="s">
        <v>1733</v>
      </c>
      <c r="BQ2" s="1136" t="s">
        <v>1733</v>
      </c>
      <c r="BR2" s="1136" t="s">
        <v>1733</v>
      </c>
      <c r="BS2" s="1136" t="s">
        <v>1733</v>
      </c>
      <c r="BT2" s="1136" t="s">
        <v>1733</v>
      </c>
      <c r="BU2" s="1136" t="s">
        <v>1733</v>
      </c>
      <c r="BV2" s="1136" t="s">
        <v>1733</v>
      </c>
      <c r="BW2" s="1136" t="s">
        <v>1733</v>
      </c>
      <c r="BX2" s="1136" t="s">
        <v>1733</v>
      </c>
      <c r="BY2" s="1136" t="s">
        <v>1733</v>
      </c>
      <c r="BZ2" s="1136" t="s">
        <v>1733</v>
      </c>
      <c r="CA2" s="1136" t="s">
        <v>1733</v>
      </c>
      <c r="CB2" s="1136" t="s">
        <v>1733</v>
      </c>
      <c r="CC2" s="1136" t="s">
        <v>1733</v>
      </c>
      <c r="CD2" s="1136" t="s">
        <v>1733</v>
      </c>
      <c r="CE2" s="1136" t="s">
        <v>1733</v>
      </c>
      <c r="CF2" s="1136" t="s">
        <v>1733</v>
      </c>
      <c r="CG2" s="1136" t="s">
        <v>1733</v>
      </c>
      <c r="CH2" s="1136" t="s">
        <v>1733</v>
      </c>
    </row>
    <row r="3" spans="1:90" s="531" customFormat="1">
      <c r="A3" s="1132"/>
      <c r="B3" s="1133"/>
      <c r="C3" s="530">
        <v>2015</v>
      </c>
      <c r="D3" s="530">
        <v>2015</v>
      </c>
      <c r="E3" s="530">
        <v>2015</v>
      </c>
      <c r="F3" s="530">
        <v>2015</v>
      </c>
      <c r="G3" s="530">
        <v>2015</v>
      </c>
      <c r="H3" s="530">
        <v>2015</v>
      </c>
      <c r="I3" s="530">
        <v>2015</v>
      </c>
      <c r="J3" s="530">
        <v>2015</v>
      </c>
      <c r="K3" s="530">
        <v>2015</v>
      </c>
      <c r="L3" s="530">
        <v>2015</v>
      </c>
      <c r="M3" s="530">
        <v>2015</v>
      </c>
      <c r="N3" s="530">
        <v>2015</v>
      </c>
      <c r="O3" s="530">
        <v>2016</v>
      </c>
      <c r="P3" s="530">
        <v>2016</v>
      </c>
      <c r="Q3" s="530">
        <v>2016</v>
      </c>
      <c r="R3" s="530">
        <v>2016</v>
      </c>
      <c r="S3" s="530">
        <v>2016</v>
      </c>
      <c r="T3" s="530">
        <v>2016</v>
      </c>
      <c r="U3" s="530">
        <v>2016</v>
      </c>
      <c r="V3" s="530">
        <v>2016</v>
      </c>
      <c r="W3" s="530">
        <v>2016</v>
      </c>
      <c r="X3" s="530">
        <v>2016</v>
      </c>
      <c r="Y3" s="530">
        <v>2016</v>
      </c>
      <c r="Z3" s="530">
        <v>2016</v>
      </c>
      <c r="AA3" s="530">
        <v>2017</v>
      </c>
      <c r="AB3" s="530">
        <f t="shared" ref="AB3:BA3" si="0">+AA3</f>
        <v>2017</v>
      </c>
      <c r="AC3" s="530">
        <f t="shared" si="0"/>
        <v>2017</v>
      </c>
      <c r="AD3" s="530">
        <f t="shared" si="0"/>
        <v>2017</v>
      </c>
      <c r="AE3" s="530">
        <f t="shared" si="0"/>
        <v>2017</v>
      </c>
      <c r="AF3" s="530">
        <f t="shared" si="0"/>
        <v>2017</v>
      </c>
      <c r="AG3" s="530">
        <f t="shared" si="0"/>
        <v>2017</v>
      </c>
      <c r="AH3" s="530">
        <f t="shared" si="0"/>
        <v>2017</v>
      </c>
      <c r="AI3" s="530">
        <f t="shared" si="0"/>
        <v>2017</v>
      </c>
      <c r="AJ3" s="530">
        <f t="shared" si="0"/>
        <v>2017</v>
      </c>
      <c r="AK3" s="530">
        <f t="shared" si="0"/>
        <v>2017</v>
      </c>
      <c r="AL3" s="530">
        <f t="shared" si="0"/>
        <v>2017</v>
      </c>
      <c r="AM3" s="530">
        <v>2018</v>
      </c>
      <c r="AN3" s="530">
        <f t="shared" si="0"/>
        <v>2018</v>
      </c>
      <c r="AO3" s="530">
        <f t="shared" si="0"/>
        <v>2018</v>
      </c>
      <c r="AP3" s="530">
        <f t="shared" si="0"/>
        <v>2018</v>
      </c>
      <c r="AQ3" s="530">
        <f t="shared" si="0"/>
        <v>2018</v>
      </c>
      <c r="AR3" s="530">
        <f t="shared" si="0"/>
        <v>2018</v>
      </c>
      <c r="AS3" s="530">
        <f t="shared" si="0"/>
        <v>2018</v>
      </c>
      <c r="AT3" s="530">
        <f t="shared" si="0"/>
        <v>2018</v>
      </c>
      <c r="AU3" s="530">
        <f t="shared" si="0"/>
        <v>2018</v>
      </c>
      <c r="AV3" s="530">
        <f t="shared" si="0"/>
        <v>2018</v>
      </c>
      <c r="AW3" s="530">
        <f t="shared" si="0"/>
        <v>2018</v>
      </c>
      <c r="AX3" s="530">
        <f t="shared" si="0"/>
        <v>2018</v>
      </c>
      <c r="AY3" s="530">
        <v>2019</v>
      </c>
      <c r="AZ3" s="530">
        <f t="shared" si="0"/>
        <v>2019</v>
      </c>
      <c r="BA3" s="530">
        <f t="shared" si="0"/>
        <v>2019</v>
      </c>
      <c r="BB3" s="530">
        <f t="shared" ref="BB3:BG3" si="1">+AY3</f>
        <v>2019</v>
      </c>
      <c r="BC3" s="530">
        <f t="shared" si="1"/>
        <v>2019</v>
      </c>
      <c r="BD3" s="530">
        <f t="shared" si="1"/>
        <v>2019</v>
      </c>
      <c r="BE3" s="530">
        <f t="shared" si="1"/>
        <v>2019</v>
      </c>
      <c r="BF3" s="530">
        <f t="shared" si="1"/>
        <v>2019</v>
      </c>
      <c r="BG3" s="530">
        <f t="shared" si="1"/>
        <v>2019</v>
      </c>
      <c r="BH3" s="530">
        <f>+BE3</f>
        <v>2019</v>
      </c>
      <c r="BI3" s="530">
        <f>+BF3</f>
        <v>2019</v>
      </c>
      <c r="BJ3" s="530">
        <f>+BG3</f>
        <v>2019</v>
      </c>
      <c r="BK3" s="917" t="s">
        <v>2446</v>
      </c>
      <c r="BL3" s="530" t="str">
        <f t="shared" ref="BL3:CB3" si="2">+BK3</f>
        <v>2020</v>
      </c>
      <c r="BM3" s="530" t="str">
        <f t="shared" si="2"/>
        <v>2020</v>
      </c>
      <c r="BN3" s="530" t="str">
        <f t="shared" si="2"/>
        <v>2020</v>
      </c>
      <c r="BO3" s="530" t="str">
        <f t="shared" si="2"/>
        <v>2020</v>
      </c>
      <c r="BP3" s="530" t="str">
        <f t="shared" si="2"/>
        <v>2020</v>
      </c>
      <c r="BQ3" s="530" t="str">
        <f t="shared" si="2"/>
        <v>2020</v>
      </c>
      <c r="BR3" s="530" t="str">
        <f t="shared" si="2"/>
        <v>2020</v>
      </c>
      <c r="BS3" s="530" t="str">
        <f t="shared" si="2"/>
        <v>2020</v>
      </c>
      <c r="BT3" s="530" t="str">
        <f t="shared" si="2"/>
        <v>2020</v>
      </c>
      <c r="BU3" s="530" t="str">
        <f t="shared" si="2"/>
        <v>2020</v>
      </c>
      <c r="BV3" s="530" t="str">
        <f t="shared" si="2"/>
        <v>2020</v>
      </c>
      <c r="BW3" s="530">
        <v>2021</v>
      </c>
      <c r="BX3" s="530">
        <f t="shared" si="2"/>
        <v>2021</v>
      </c>
      <c r="BY3" s="530">
        <f t="shared" si="2"/>
        <v>2021</v>
      </c>
      <c r="BZ3" s="530">
        <f t="shared" si="2"/>
        <v>2021</v>
      </c>
      <c r="CA3" s="530">
        <f t="shared" si="2"/>
        <v>2021</v>
      </c>
      <c r="CB3" s="530">
        <f t="shared" si="2"/>
        <v>2021</v>
      </c>
      <c r="CC3" s="530">
        <f t="shared" ref="CC3:CH3" si="3">+CB3</f>
        <v>2021</v>
      </c>
      <c r="CD3" s="530">
        <f t="shared" si="3"/>
        <v>2021</v>
      </c>
      <c r="CE3" s="530">
        <f t="shared" si="3"/>
        <v>2021</v>
      </c>
      <c r="CF3" s="530">
        <f t="shared" si="3"/>
        <v>2021</v>
      </c>
      <c r="CG3" s="530">
        <f t="shared" si="3"/>
        <v>2021</v>
      </c>
      <c r="CH3" s="530">
        <f t="shared" si="3"/>
        <v>2021</v>
      </c>
      <c r="CI3" s="1133" t="s">
        <v>1714</v>
      </c>
      <c r="CJ3" s="1133" t="s">
        <v>1715</v>
      </c>
      <c r="CK3" s="1133" t="s">
        <v>1716</v>
      </c>
      <c r="CL3" s="1133" t="s">
        <v>1756</v>
      </c>
    </row>
    <row r="4" spans="1:90" s="531" customFormat="1">
      <c r="A4" s="1134" t="s">
        <v>1717</v>
      </c>
      <c r="B4" s="1135"/>
      <c r="C4" s="532" t="s">
        <v>1719</v>
      </c>
      <c r="D4" s="532" t="s">
        <v>1720</v>
      </c>
      <c r="E4" s="532" t="s">
        <v>1721</v>
      </c>
      <c r="F4" s="532" t="s">
        <v>1722</v>
      </c>
      <c r="G4" s="532" t="s">
        <v>476</v>
      </c>
      <c r="H4" s="532" t="s">
        <v>1723</v>
      </c>
      <c r="I4" s="532" t="s">
        <v>1724</v>
      </c>
      <c r="J4" s="532" t="s">
        <v>1725</v>
      </c>
      <c r="K4" s="532" t="s">
        <v>1726</v>
      </c>
      <c r="L4" s="532" t="s">
        <v>1727</v>
      </c>
      <c r="M4" s="532" t="s">
        <v>1728</v>
      </c>
      <c r="N4" s="532" t="s">
        <v>1718</v>
      </c>
      <c r="O4" s="532" t="s">
        <v>1719</v>
      </c>
      <c r="P4" s="532" t="s">
        <v>1720</v>
      </c>
      <c r="Q4" s="532" t="s">
        <v>1721</v>
      </c>
      <c r="R4" s="532" t="s">
        <v>1722</v>
      </c>
      <c r="S4" s="532" t="s">
        <v>476</v>
      </c>
      <c r="T4" s="532" t="s">
        <v>1723</v>
      </c>
      <c r="U4" s="532" t="s">
        <v>1724</v>
      </c>
      <c r="V4" s="532" t="s">
        <v>1725</v>
      </c>
      <c r="W4" s="532" t="s">
        <v>1729</v>
      </c>
      <c r="X4" s="532" t="s">
        <v>1727</v>
      </c>
      <c r="Y4" s="532" t="s">
        <v>1728</v>
      </c>
      <c r="Z4" s="532" t="s">
        <v>1718</v>
      </c>
      <c r="AA4" s="532" t="s">
        <v>1719</v>
      </c>
      <c r="AB4" s="532" t="s">
        <v>1720</v>
      </c>
      <c r="AC4" s="532" t="s">
        <v>1721</v>
      </c>
      <c r="AD4" s="532" t="s">
        <v>1722</v>
      </c>
      <c r="AE4" s="532" t="s">
        <v>476</v>
      </c>
      <c r="AF4" s="532" t="s">
        <v>1723</v>
      </c>
      <c r="AG4" s="532" t="s">
        <v>1724</v>
      </c>
      <c r="AH4" s="532" t="s">
        <v>1725</v>
      </c>
      <c r="AI4" s="532" t="s">
        <v>1726</v>
      </c>
      <c r="AJ4" s="532" t="s">
        <v>1727</v>
      </c>
      <c r="AK4" s="532" t="s">
        <v>1728</v>
      </c>
      <c r="AL4" s="532" t="s">
        <v>1718</v>
      </c>
      <c r="AM4" s="532" t="s">
        <v>1719</v>
      </c>
      <c r="AN4" s="532" t="s">
        <v>1720</v>
      </c>
      <c r="AO4" s="532" t="s">
        <v>2226</v>
      </c>
      <c r="AP4" s="532" t="s">
        <v>1722</v>
      </c>
      <c r="AQ4" s="532" t="s">
        <v>476</v>
      </c>
      <c r="AR4" s="532" t="s">
        <v>1723</v>
      </c>
      <c r="AS4" s="532" t="s">
        <v>1724</v>
      </c>
      <c r="AT4" s="532" t="s">
        <v>1725</v>
      </c>
      <c r="AU4" s="532" t="s">
        <v>1726</v>
      </c>
      <c r="AV4" s="532" t="s">
        <v>1727</v>
      </c>
      <c r="AW4" s="532" t="s">
        <v>1728</v>
      </c>
      <c r="AX4" s="532" t="s">
        <v>1718</v>
      </c>
      <c r="AY4" s="532" t="s">
        <v>1719</v>
      </c>
      <c r="AZ4" s="532" t="s">
        <v>1720</v>
      </c>
      <c r="BA4" s="532" t="s">
        <v>1721</v>
      </c>
      <c r="BB4" s="532" t="s">
        <v>1722</v>
      </c>
      <c r="BC4" s="532" t="s">
        <v>476</v>
      </c>
      <c r="BD4" s="532" t="s">
        <v>1723</v>
      </c>
      <c r="BE4" s="532" t="s">
        <v>1724</v>
      </c>
      <c r="BF4" s="532" t="s">
        <v>1725</v>
      </c>
      <c r="BG4" s="532" t="s">
        <v>1726</v>
      </c>
      <c r="BH4" s="532" t="s">
        <v>1727</v>
      </c>
      <c r="BI4" s="532" t="s">
        <v>1728</v>
      </c>
      <c r="BJ4" s="532" t="s">
        <v>1718</v>
      </c>
      <c r="BK4" s="532" t="s">
        <v>1719</v>
      </c>
      <c r="BL4" s="532" t="s">
        <v>1720</v>
      </c>
      <c r="BM4" s="532" t="s">
        <v>1721</v>
      </c>
      <c r="BN4" s="532" t="s">
        <v>1722</v>
      </c>
      <c r="BO4" s="532" t="s">
        <v>476</v>
      </c>
      <c r="BP4" s="532" t="s">
        <v>1723</v>
      </c>
      <c r="BQ4" s="532" t="s">
        <v>1724</v>
      </c>
      <c r="BR4" s="532" t="s">
        <v>1725</v>
      </c>
      <c r="BS4" s="532" t="s">
        <v>1726</v>
      </c>
      <c r="BT4" s="532" t="s">
        <v>1727</v>
      </c>
      <c r="BU4" s="532" t="s">
        <v>1728</v>
      </c>
      <c r="BV4" s="532" t="s">
        <v>1718</v>
      </c>
      <c r="BW4" s="532" t="s">
        <v>1719</v>
      </c>
      <c r="BX4" s="532" t="s">
        <v>1720</v>
      </c>
      <c r="BY4" s="532" t="s">
        <v>1721</v>
      </c>
      <c r="BZ4" s="532" t="s">
        <v>1722</v>
      </c>
      <c r="CA4" s="532" t="s">
        <v>476</v>
      </c>
      <c r="CB4" s="532" t="s">
        <v>1723</v>
      </c>
      <c r="CC4" s="532" t="s">
        <v>1724</v>
      </c>
      <c r="CD4" s="532" t="s">
        <v>1725</v>
      </c>
      <c r="CE4" s="532" t="s">
        <v>2707</v>
      </c>
      <c r="CF4" s="532" t="s">
        <v>1727</v>
      </c>
      <c r="CG4" s="532" t="s">
        <v>1728</v>
      </c>
      <c r="CH4" s="532" t="s">
        <v>1718</v>
      </c>
      <c r="CI4" s="1135" t="s">
        <v>215</v>
      </c>
      <c r="CJ4" s="1135" t="s">
        <v>108</v>
      </c>
      <c r="CK4" s="1135" t="s">
        <v>1715</v>
      </c>
      <c r="CL4" s="1135" t="s">
        <v>1715</v>
      </c>
    </row>
    <row r="5" spans="1:90" s="531" customFormat="1">
      <c r="B5" s="551" t="s">
        <v>2769</v>
      </c>
      <c r="C5" s="533"/>
      <c r="D5" s="533"/>
      <c r="E5" s="533"/>
      <c r="F5" s="533"/>
      <c r="G5" s="533"/>
      <c r="H5" s="533"/>
      <c r="I5" s="533"/>
      <c r="J5" s="533"/>
      <c r="K5" s="533"/>
      <c r="L5" s="533"/>
      <c r="M5" s="533"/>
      <c r="N5" s="534"/>
      <c r="O5" s="534"/>
      <c r="P5" s="534"/>
      <c r="Q5" s="534"/>
      <c r="R5" s="534"/>
      <c r="S5" s="534"/>
      <c r="T5" s="534"/>
      <c r="U5" s="534"/>
      <c r="V5" s="534"/>
      <c r="W5" s="534"/>
      <c r="X5" s="534"/>
      <c r="Y5" s="534"/>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row>
    <row r="6" spans="1:90" s="531" customFormat="1">
      <c r="A6" s="531" t="s">
        <v>2501</v>
      </c>
      <c r="C6" s="538">
        <v>27122220.820000008</v>
      </c>
      <c r="D6" s="538">
        <v>23274785.040000007</v>
      </c>
      <c r="E6" s="538">
        <v>23412774.070000008</v>
      </c>
      <c r="F6" s="538">
        <v>25301512.820000008</v>
      </c>
      <c r="G6" s="538">
        <v>25316022.720000006</v>
      </c>
      <c r="H6" s="538">
        <v>25327671.550000008</v>
      </c>
      <c r="I6" s="538">
        <v>25524138.810000006</v>
      </c>
      <c r="J6" s="538">
        <v>25546342.670000006</v>
      </c>
      <c r="K6" s="538">
        <v>25683034.190000005</v>
      </c>
      <c r="L6" s="538">
        <v>25683034.190000005</v>
      </c>
      <c r="M6" s="538">
        <v>25694057.070000008</v>
      </c>
      <c r="N6" s="536">
        <v>26532905.040000007</v>
      </c>
      <c r="O6" s="536">
        <v>26532905.040000007</v>
      </c>
      <c r="P6" s="536">
        <v>26532905.040000007</v>
      </c>
      <c r="Q6" s="536">
        <v>25703600.430000007</v>
      </c>
      <c r="R6" s="536">
        <v>26518925.500000007</v>
      </c>
      <c r="S6" s="536">
        <v>26518925.500000007</v>
      </c>
      <c r="T6" s="536">
        <v>26869931.700000007</v>
      </c>
      <c r="U6" s="536">
        <v>28231711.190000005</v>
      </c>
      <c r="V6" s="536">
        <v>28232905.440000005</v>
      </c>
      <c r="W6" s="536">
        <v>28261932.970000006</v>
      </c>
      <c r="X6" s="536">
        <v>28360389.520000007</v>
      </c>
      <c r="Y6" s="536">
        <v>28361048.010000005</v>
      </c>
      <c r="Z6" s="536">
        <v>27473621.810000006</v>
      </c>
      <c r="AA6" s="536">
        <v>27473621.810000006</v>
      </c>
      <c r="AB6" s="536">
        <v>27473621.810000006</v>
      </c>
      <c r="AC6" s="536">
        <v>27353219.320000004</v>
      </c>
      <c r="AD6" s="536">
        <v>27353219.320000004</v>
      </c>
      <c r="AE6" s="536">
        <v>27353219.320000004</v>
      </c>
      <c r="AF6" s="536">
        <v>27408443.580000006</v>
      </c>
      <c r="AG6" s="536">
        <v>27410970.310000006</v>
      </c>
      <c r="AH6" s="536">
        <v>27472871.440000005</v>
      </c>
      <c r="AI6" s="536">
        <v>27473768.350000005</v>
      </c>
      <c r="AJ6" s="536">
        <v>27473768.350000005</v>
      </c>
      <c r="AK6" s="536">
        <v>27473768.350000005</v>
      </c>
      <c r="AL6" s="536">
        <v>27758393.900000006</v>
      </c>
      <c r="AM6" s="536">
        <v>27758656.830000006</v>
      </c>
      <c r="AN6" s="536">
        <v>27761368.230000004</v>
      </c>
      <c r="AO6" s="536">
        <v>27764121.780000005</v>
      </c>
      <c r="AP6" s="536">
        <v>27768049.710000008</v>
      </c>
      <c r="AQ6" s="536">
        <v>27769652.690000009</v>
      </c>
      <c r="AR6" s="536">
        <v>27809445.990000006</v>
      </c>
      <c r="AS6" s="536">
        <v>28098367.100000005</v>
      </c>
      <c r="AT6" s="536">
        <v>28127234.310000006</v>
      </c>
      <c r="AU6" s="536">
        <v>28160734.870000005</v>
      </c>
      <c r="AV6" s="536">
        <v>28956443.330000006</v>
      </c>
      <c r="AW6" s="536">
        <v>28992080.640000008</v>
      </c>
      <c r="AX6" s="536">
        <v>29531617.920000009</v>
      </c>
      <c r="AY6" s="536">
        <v>29649013.780000009</v>
      </c>
      <c r="AZ6" s="536">
        <v>29682459.090000007</v>
      </c>
      <c r="BA6" s="536">
        <v>29670926.760000009</v>
      </c>
      <c r="BB6" s="536">
        <v>29680125.300000008</v>
      </c>
      <c r="BC6" s="536">
        <v>29701149.360000007</v>
      </c>
      <c r="BD6" s="536">
        <v>29702336.660000008</v>
      </c>
      <c r="BE6" s="536">
        <v>29688764.900000006</v>
      </c>
      <c r="BF6" s="536">
        <v>29700701.380000006</v>
      </c>
      <c r="BG6" s="536">
        <v>30822508.170000006</v>
      </c>
      <c r="BH6" s="536">
        <v>30937112.410000004</v>
      </c>
      <c r="BI6" s="536">
        <v>31122493.990000002</v>
      </c>
      <c r="BJ6" s="536">
        <v>32175006.760000002</v>
      </c>
      <c r="BK6" s="536">
        <v>31792251.930000011</v>
      </c>
      <c r="BL6" s="536">
        <v>31993128.680000011</v>
      </c>
      <c r="BM6" s="1140">
        <v>31998986.610000011</v>
      </c>
      <c r="BN6" s="1140">
        <v>32001473.000000011</v>
      </c>
      <c r="BO6" s="1140">
        <v>32022308.260000013</v>
      </c>
      <c r="BP6" s="1140">
        <v>32157124.800000012</v>
      </c>
      <c r="BQ6" s="1140">
        <v>32177873.220000014</v>
      </c>
      <c r="BR6" s="1140">
        <v>32172179.540000014</v>
      </c>
      <c r="BS6" s="1140">
        <v>32203902.220000014</v>
      </c>
      <c r="BT6" s="1140">
        <v>48408162.870000012</v>
      </c>
      <c r="BU6" s="1140">
        <v>48483373.840000011</v>
      </c>
      <c r="BV6" s="1140">
        <v>48478260.140000008</v>
      </c>
      <c r="BW6" s="1140">
        <v>48520969.56000001</v>
      </c>
      <c r="BX6" s="1140">
        <v>48581349.230000012</v>
      </c>
      <c r="BY6" s="1140">
        <v>51161065.390000015</v>
      </c>
      <c r="BZ6" s="1140">
        <v>54007188.340000018</v>
      </c>
      <c r="CA6" s="1140">
        <v>54260805.94000002</v>
      </c>
      <c r="CB6" s="1140">
        <v>54522728.830000021</v>
      </c>
      <c r="CC6" s="1140">
        <v>54781504.630000018</v>
      </c>
      <c r="CD6" s="1140">
        <v>54881827.300000019</v>
      </c>
      <c r="CE6" s="1140">
        <v>54910165.470000021</v>
      </c>
      <c r="CF6" s="1140">
        <v>54936571.37000002</v>
      </c>
      <c r="CG6" s="1140">
        <v>54972457.290000021</v>
      </c>
      <c r="CH6" s="1140">
        <v>54992605.890000023</v>
      </c>
      <c r="CI6" s="1057">
        <f>AVERAGE(BV6:CH6)</f>
        <v>53000576.875384636</v>
      </c>
      <c r="CJ6" s="1141">
        <v>4.6151920293143725E-4</v>
      </c>
      <c r="CK6" s="1054">
        <f>CI6*$CJ$6</f>
        <v>24460.783994433881</v>
      </c>
      <c r="CL6" s="1054">
        <f>CE6*$CJ$6</f>
        <v>25342.095800547737</v>
      </c>
    </row>
    <row r="7" spans="1:90" s="531" customFormat="1">
      <c r="A7" s="531" t="s">
        <v>2502</v>
      </c>
      <c r="C7" s="538">
        <v>8853561.9000000004</v>
      </c>
      <c r="D7" s="538">
        <v>8873021.2699999996</v>
      </c>
      <c r="E7" s="538">
        <v>8873021.2699999996</v>
      </c>
      <c r="F7" s="538">
        <v>15928730.639999999</v>
      </c>
      <c r="G7" s="538">
        <v>15929286.52</v>
      </c>
      <c r="H7" s="538">
        <v>16951646.539999999</v>
      </c>
      <c r="I7" s="538">
        <v>16965671.34</v>
      </c>
      <c r="J7" s="538">
        <v>16966359.859999999</v>
      </c>
      <c r="K7" s="538">
        <v>16966359.859999999</v>
      </c>
      <c r="L7" s="538">
        <v>16966445.489999998</v>
      </c>
      <c r="M7" s="538">
        <v>16975311.07</v>
      </c>
      <c r="N7" s="536">
        <v>16975311.07</v>
      </c>
      <c r="O7" s="536">
        <v>16975657.689999998</v>
      </c>
      <c r="P7" s="536">
        <v>16978007.449999999</v>
      </c>
      <c r="Q7" s="536">
        <v>16988525.949999999</v>
      </c>
      <c r="R7" s="536">
        <v>16988048.139999997</v>
      </c>
      <c r="S7" s="536">
        <v>16988591.34</v>
      </c>
      <c r="T7" s="536">
        <v>16944144.989999998</v>
      </c>
      <c r="U7" s="536">
        <v>16944144.989999998</v>
      </c>
      <c r="V7" s="536">
        <v>16944144.989999998</v>
      </c>
      <c r="W7" s="536">
        <v>16944144.989999998</v>
      </c>
      <c r="X7" s="536">
        <v>17883811.459999997</v>
      </c>
      <c r="Y7" s="536">
        <v>17914966.43</v>
      </c>
      <c r="Z7" s="536">
        <v>17921337.209999997</v>
      </c>
      <c r="AA7" s="536">
        <v>17919318.899999999</v>
      </c>
      <c r="AB7" s="536">
        <v>17920457.84</v>
      </c>
      <c r="AC7" s="536">
        <v>20764197.559999999</v>
      </c>
      <c r="AD7" s="536">
        <v>20223591.32</v>
      </c>
      <c r="AE7" s="536">
        <v>20248097.899999999</v>
      </c>
      <c r="AF7" s="536">
        <v>20248097.899999999</v>
      </c>
      <c r="AG7" s="536">
        <v>20220477.77</v>
      </c>
      <c r="AH7" s="536">
        <v>21624717.300000001</v>
      </c>
      <c r="AI7" s="536">
        <v>21651474.700000003</v>
      </c>
      <c r="AJ7" s="536">
        <v>21755609.359999999</v>
      </c>
      <c r="AK7" s="536">
        <v>21770389.719999999</v>
      </c>
      <c r="AL7" s="536">
        <v>21775427.5</v>
      </c>
      <c r="AM7" s="536">
        <v>21776805.189999998</v>
      </c>
      <c r="AN7" s="536">
        <v>21783981.060000002</v>
      </c>
      <c r="AO7" s="536">
        <v>22819110.91</v>
      </c>
      <c r="AP7" s="536">
        <v>23130760.769999996</v>
      </c>
      <c r="AQ7" s="536">
        <v>23138431.339999996</v>
      </c>
      <c r="AR7" s="536">
        <v>22868671.949999999</v>
      </c>
      <c r="AS7" s="536">
        <v>23206807.100000001</v>
      </c>
      <c r="AT7" s="536">
        <v>23208550.049999997</v>
      </c>
      <c r="AU7" s="536">
        <v>23208755.739999998</v>
      </c>
      <c r="AV7" s="536">
        <v>23209261.599999998</v>
      </c>
      <c r="AW7" s="536">
        <v>23181574.93</v>
      </c>
      <c r="AX7" s="536">
        <v>15545203.509999998</v>
      </c>
      <c r="AY7" s="536">
        <v>15545203.509999998</v>
      </c>
      <c r="AZ7" s="536">
        <v>15545203.509999998</v>
      </c>
      <c r="BA7" s="536">
        <v>15545203.509999998</v>
      </c>
      <c r="BB7" s="536">
        <v>15545203.509999998</v>
      </c>
      <c r="BC7" s="536">
        <v>15545203.509999998</v>
      </c>
      <c r="BD7" s="536">
        <v>15545203.509999998</v>
      </c>
      <c r="BE7" s="536">
        <v>15545203.509999998</v>
      </c>
      <c r="BF7" s="536">
        <v>15545203.509999998</v>
      </c>
      <c r="BG7" s="536">
        <v>15545203.509999998</v>
      </c>
      <c r="BH7" s="536">
        <v>15545203.509999998</v>
      </c>
      <c r="BI7" s="536">
        <v>15545203.509999998</v>
      </c>
      <c r="BJ7" s="536">
        <v>15545203.509999998</v>
      </c>
      <c r="BK7" s="536">
        <v>15545203.509999998</v>
      </c>
      <c r="BL7" s="536">
        <v>9370593.9599999972</v>
      </c>
      <c r="BM7" s="1140">
        <v>9370593.9599999972</v>
      </c>
      <c r="BN7" s="1140">
        <v>9370593.9599999972</v>
      </c>
      <c r="BO7" s="1140">
        <v>9370593.9599999972</v>
      </c>
      <c r="BP7" s="1140">
        <v>9370593.9599999972</v>
      </c>
      <c r="BQ7" s="1140">
        <v>9370593.9599999972</v>
      </c>
      <c r="BR7" s="1140">
        <v>9370593.9599999972</v>
      </c>
      <c r="BS7" s="1140">
        <v>9370593.9599999972</v>
      </c>
      <c r="BT7" s="1140">
        <v>9370593.9599999972</v>
      </c>
      <c r="BU7" s="1140">
        <v>9370593.9599999972</v>
      </c>
      <c r="BV7" s="1140">
        <v>9370593.9599999972</v>
      </c>
      <c r="BW7" s="1140">
        <v>9370593.9599999972</v>
      </c>
      <c r="BX7" s="1140">
        <v>9370593.9599999972</v>
      </c>
      <c r="BY7" s="1140">
        <v>9370593.9599999972</v>
      </c>
      <c r="BZ7" s="1140">
        <v>14778384.609999998</v>
      </c>
      <c r="CA7" s="1140">
        <v>14848921.069999997</v>
      </c>
      <c r="CB7" s="1140">
        <v>14871070.779999997</v>
      </c>
      <c r="CC7" s="1140">
        <v>14898793.979999997</v>
      </c>
      <c r="CD7" s="1140">
        <v>14917227.629999999</v>
      </c>
      <c r="CE7" s="1140">
        <v>14932436.819999998</v>
      </c>
      <c r="CF7" s="1140">
        <v>14962749.169999998</v>
      </c>
      <c r="CG7" s="1140">
        <v>14964756.229999997</v>
      </c>
      <c r="CH7" s="1140">
        <v>14985872.639999997</v>
      </c>
      <c r="CI7" s="1057">
        <f>AVERAGE(BV7:CH7)</f>
        <v>13203276.059230763</v>
      </c>
      <c r="CJ7" s="1141">
        <v>8.1813451987416304E-3</v>
      </c>
      <c r="CK7" s="1055">
        <f>CI7*$CJ$7</f>
        <v>108020.55919484793</v>
      </c>
      <c r="CL7" s="1055">
        <f>CE7*$CJ$7</f>
        <v>122167.42028281973</v>
      </c>
    </row>
    <row r="8" spans="1:90" s="531" customFormat="1">
      <c r="A8" s="531" t="s">
        <v>2503</v>
      </c>
      <c r="C8" s="538">
        <v>18841525.760000002</v>
      </c>
      <c r="D8" s="538">
        <v>18841525.760000002</v>
      </c>
      <c r="E8" s="538">
        <v>18841525.760000002</v>
      </c>
      <c r="F8" s="538">
        <v>18841525.760000002</v>
      </c>
      <c r="G8" s="538">
        <v>18841525.760000002</v>
      </c>
      <c r="H8" s="538">
        <v>19078258.93</v>
      </c>
      <c r="I8" s="538">
        <v>19088267.359999999</v>
      </c>
      <c r="J8" s="538">
        <v>19088267.359999999</v>
      </c>
      <c r="K8" s="538">
        <v>19382968.570000004</v>
      </c>
      <c r="L8" s="538">
        <v>19402077.350000005</v>
      </c>
      <c r="M8" s="538">
        <v>19402077.350000005</v>
      </c>
      <c r="N8" s="536">
        <v>19415983.030000005</v>
      </c>
      <c r="O8" s="536">
        <v>19425215.570000004</v>
      </c>
      <c r="P8" s="536">
        <v>19464633.710000005</v>
      </c>
      <c r="Q8" s="536">
        <v>19464633.710000005</v>
      </c>
      <c r="R8" s="536">
        <v>19464633.710000005</v>
      </c>
      <c r="S8" s="536">
        <v>19471898.270000003</v>
      </c>
      <c r="T8" s="536">
        <v>16249481.790000001</v>
      </c>
      <c r="U8" s="536">
        <v>16276704.979999999</v>
      </c>
      <c r="V8" s="536">
        <v>16276704.979999999</v>
      </c>
      <c r="W8" s="536">
        <v>16347488.020000001</v>
      </c>
      <c r="X8" s="536">
        <v>16347488.020000001</v>
      </c>
      <c r="Y8" s="536">
        <v>16353154.85</v>
      </c>
      <c r="Z8" s="536">
        <v>22099195.510000002</v>
      </c>
      <c r="AA8" s="536">
        <v>22305302.120000001</v>
      </c>
      <c r="AB8" s="536">
        <v>22317638.260000002</v>
      </c>
      <c r="AC8" s="536">
        <v>22436863.310000002</v>
      </c>
      <c r="AD8" s="536">
        <v>22486202.010000002</v>
      </c>
      <c r="AE8" s="536">
        <v>22521450.52</v>
      </c>
      <c r="AF8" s="536">
        <v>22547694.52</v>
      </c>
      <c r="AG8" s="536">
        <v>22548751.98</v>
      </c>
      <c r="AH8" s="536">
        <v>22767306.220000003</v>
      </c>
      <c r="AI8" s="536">
        <v>22785351.769999992</v>
      </c>
      <c r="AJ8" s="536">
        <v>22815861.260000002</v>
      </c>
      <c r="AK8" s="536">
        <v>22869684.079999998</v>
      </c>
      <c r="AL8" s="536">
        <v>22924033.75</v>
      </c>
      <c r="AM8" s="536">
        <v>22923872.179999996</v>
      </c>
      <c r="AN8" s="536">
        <v>22923643.699999996</v>
      </c>
      <c r="AO8" s="536">
        <v>22939299.629999995</v>
      </c>
      <c r="AP8" s="536">
        <v>22944926.150000002</v>
      </c>
      <c r="AQ8" s="536">
        <v>22975068.630000003</v>
      </c>
      <c r="AR8" s="536">
        <v>23013625.819999997</v>
      </c>
      <c r="AS8" s="536">
        <v>23246076.870000001</v>
      </c>
      <c r="AT8" s="536">
        <v>23279832.93</v>
      </c>
      <c r="AU8" s="536">
        <v>23283192.900000002</v>
      </c>
      <c r="AV8" s="536">
        <v>23299049.099999998</v>
      </c>
      <c r="AW8" s="536">
        <v>23330695.27</v>
      </c>
      <c r="AX8" s="536">
        <v>23403571.59</v>
      </c>
      <c r="AY8" s="536">
        <v>23409526.109999999</v>
      </c>
      <c r="AZ8" s="536">
        <v>23400003.099999998</v>
      </c>
      <c r="BA8" s="536">
        <v>23434221.979999997</v>
      </c>
      <c r="BB8" s="536">
        <v>23723493.639999997</v>
      </c>
      <c r="BC8" s="536">
        <v>24156462.139999997</v>
      </c>
      <c r="BD8" s="536">
        <v>24592215.719999995</v>
      </c>
      <c r="BE8" s="536">
        <v>24608741.159999996</v>
      </c>
      <c r="BF8" s="536">
        <v>24673802.829999998</v>
      </c>
      <c r="BG8" s="536">
        <v>24831120.379999995</v>
      </c>
      <c r="BH8" s="536">
        <v>24889535.539999995</v>
      </c>
      <c r="BI8" s="536">
        <v>24969555.619999994</v>
      </c>
      <c r="BJ8" s="536">
        <v>25121264.709999993</v>
      </c>
      <c r="BK8" s="536">
        <v>24928274.75</v>
      </c>
      <c r="BL8" s="536">
        <v>24938133.240000002</v>
      </c>
      <c r="BM8" s="1140">
        <v>25044611.290000003</v>
      </c>
      <c r="BN8" s="1140">
        <v>25179193.080000002</v>
      </c>
      <c r="BO8" s="1140">
        <v>25180135.760000002</v>
      </c>
      <c r="BP8" s="1140">
        <v>25178945.489999998</v>
      </c>
      <c r="BQ8" s="1140">
        <v>25226895.669999994</v>
      </c>
      <c r="BR8" s="1140">
        <v>25256618.929999996</v>
      </c>
      <c r="BS8" s="1140">
        <v>25247102.950000003</v>
      </c>
      <c r="BT8" s="1140">
        <v>25253798.300000001</v>
      </c>
      <c r="BU8" s="1140">
        <v>25287559.989999998</v>
      </c>
      <c r="BV8" s="1140">
        <v>25343700.120000001</v>
      </c>
      <c r="BW8" s="1140">
        <v>25354697.579999998</v>
      </c>
      <c r="BX8" s="1140">
        <v>25354825.559999999</v>
      </c>
      <c r="BY8" s="1140">
        <v>25385327.510000002</v>
      </c>
      <c r="BZ8" s="1140">
        <v>25387160.740000002</v>
      </c>
      <c r="CA8" s="1140">
        <v>25385915.290000003</v>
      </c>
      <c r="CB8" s="1140">
        <v>25412779.590000004</v>
      </c>
      <c r="CC8" s="1140">
        <v>25494715.100000005</v>
      </c>
      <c r="CD8" s="1140">
        <v>25615885.910000008</v>
      </c>
      <c r="CE8" s="1140">
        <v>25628210.520000007</v>
      </c>
      <c r="CF8" s="1140">
        <v>25734094.840000004</v>
      </c>
      <c r="CG8" s="1140">
        <v>25742152.080000002</v>
      </c>
      <c r="CH8" s="1140">
        <v>25824228.16</v>
      </c>
      <c r="CI8" s="1057">
        <f>AVERAGE(BV8:CH8)</f>
        <v>25512591.769230768</v>
      </c>
      <c r="CJ8" s="1141">
        <v>3.9296283353789374E-2</v>
      </c>
      <c r="CK8" s="1055">
        <f>CI8*$CJ$8</f>
        <v>1002550.0352532468</v>
      </c>
      <c r="CL8" s="1055">
        <f>CE8*$CJ$8</f>
        <v>1007093.4224444859</v>
      </c>
    </row>
    <row r="9" spans="1:90" s="531" customFormat="1">
      <c r="A9" s="531" t="s">
        <v>2504</v>
      </c>
      <c r="C9" s="538">
        <v>131346.76999999999</v>
      </c>
      <c r="D9" s="538">
        <v>131346.76999999999</v>
      </c>
      <c r="E9" s="538">
        <v>131346.76999999999</v>
      </c>
      <c r="F9" s="538">
        <v>131346.76999999999</v>
      </c>
      <c r="G9" s="538">
        <v>131346.76999999999</v>
      </c>
      <c r="H9" s="538">
        <v>134180.01999999999</v>
      </c>
      <c r="I9" s="538">
        <v>134180.01999999999</v>
      </c>
      <c r="J9" s="538">
        <v>134180.01999999999</v>
      </c>
      <c r="K9" s="538">
        <v>137555.26999999999</v>
      </c>
      <c r="L9" s="538">
        <v>137555.26999999999</v>
      </c>
      <c r="M9" s="538">
        <v>149950.79</v>
      </c>
      <c r="N9" s="536">
        <v>15790.82</v>
      </c>
      <c r="O9" s="536">
        <v>15790.82</v>
      </c>
      <c r="P9" s="536">
        <v>15790.82</v>
      </c>
      <c r="Q9" s="536">
        <v>15790.82</v>
      </c>
      <c r="R9" s="536">
        <v>15790.82</v>
      </c>
      <c r="S9" s="536">
        <v>15790.82</v>
      </c>
      <c r="T9" s="536">
        <v>15790.82</v>
      </c>
      <c r="U9" s="536">
        <v>28184.34</v>
      </c>
      <c r="V9" s="536">
        <v>28184.34</v>
      </c>
      <c r="W9" s="536">
        <v>28184.34</v>
      </c>
      <c r="X9" s="536">
        <v>28184.34</v>
      </c>
      <c r="Y9" s="536">
        <v>28184.34</v>
      </c>
      <c r="Z9" s="536">
        <v>28184.34</v>
      </c>
      <c r="AA9" s="536">
        <v>28184.34</v>
      </c>
      <c r="AB9" s="536">
        <v>28184.34</v>
      </c>
      <c r="AC9" s="536">
        <v>28184.34</v>
      </c>
      <c r="AD9" s="536">
        <v>28184.34</v>
      </c>
      <c r="AE9" s="536">
        <v>28184.34</v>
      </c>
      <c r="AF9" s="536">
        <v>28184.34</v>
      </c>
      <c r="AG9" s="536">
        <v>28184.34</v>
      </c>
      <c r="AH9" s="536">
        <v>28184.34</v>
      </c>
      <c r="AI9" s="536">
        <v>28184.34</v>
      </c>
      <c r="AJ9" s="536">
        <v>28184.34</v>
      </c>
      <c r="AK9" s="536">
        <v>28184.34</v>
      </c>
      <c r="AL9" s="536">
        <v>28184.34</v>
      </c>
      <c r="AM9" s="536">
        <v>28184.34</v>
      </c>
      <c r="AN9" s="536">
        <v>28184.34</v>
      </c>
      <c r="AO9" s="536">
        <v>28184.34</v>
      </c>
      <c r="AP9" s="536">
        <v>28184.34</v>
      </c>
      <c r="AQ9" s="536">
        <v>28184.34</v>
      </c>
      <c r="AR9" s="536">
        <v>28184.34</v>
      </c>
      <c r="AS9" s="536">
        <v>28184.34</v>
      </c>
      <c r="AT9" s="536">
        <v>28184.34</v>
      </c>
      <c r="AU9" s="536">
        <v>28184.34</v>
      </c>
      <c r="AV9" s="536">
        <v>28184.34</v>
      </c>
      <c r="AW9" s="536">
        <v>28184.34</v>
      </c>
      <c r="AX9" s="536">
        <v>162344.31</v>
      </c>
      <c r="AY9" s="536">
        <v>162344.31</v>
      </c>
      <c r="AZ9" s="536">
        <v>162344.31</v>
      </c>
      <c r="BA9" s="536">
        <v>162344.31</v>
      </c>
      <c r="BB9" s="536">
        <v>162344.31</v>
      </c>
      <c r="BC9" s="536">
        <v>162344.31</v>
      </c>
      <c r="BD9" s="536">
        <v>162344.31</v>
      </c>
      <c r="BE9" s="536">
        <v>162344.31</v>
      </c>
      <c r="BF9" s="536">
        <v>162344.31</v>
      </c>
      <c r="BG9" s="536">
        <v>162344.31</v>
      </c>
      <c r="BH9" s="536">
        <v>162344.31</v>
      </c>
      <c r="BI9" s="536">
        <v>162344.31</v>
      </c>
      <c r="BJ9" s="536">
        <v>162344.31</v>
      </c>
      <c r="BK9" s="536">
        <v>162344.31</v>
      </c>
      <c r="BL9" s="536">
        <v>162344.31</v>
      </c>
      <c r="BM9" s="1140">
        <v>162344.31</v>
      </c>
      <c r="BN9" s="1140">
        <v>162344.31</v>
      </c>
      <c r="BO9" s="1140">
        <v>162344.31</v>
      </c>
      <c r="BP9" s="1140">
        <v>162344.31</v>
      </c>
      <c r="BQ9" s="1140">
        <v>162344.31</v>
      </c>
      <c r="BR9" s="1140">
        <v>162344.31</v>
      </c>
      <c r="BS9" s="1140">
        <v>162344.31</v>
      </c>
      <c r="BT9" s="1140">
        <v>162344.31</v>
      </c>
      <c r="BU9" s="1140">
        <v>162344.31</v>
      </c>
      <c r="BV9" s="1140">
        <v>162344.31</v>
      </c>
      <c r="BW9" s="1140">
        <v>162344.31</v>
      </c>
      <c r="BX9" s="1140">
        <v>162344.31</v>
      </c>
      <c r="BY9" s="1140">
        <v>162344.31</v>
      </c>
      <c r="BZ9" s="1140">
        <v>162344.31</v>
      </c>
      <c r="CA9" s="1140">
        <v>162344.31</v>
      </c>
      <c r="CB9" s="1140">
        <v>162344.31</v>
      </c>
      <c r="CC9" s="1140">
        <v>162344.31</v>
      </c>
      <c r="CD9" s="1140">
        <v>162344.31</v>
      </c>
      <c r="CE9" s="1140">
        <v>162344.31</v>
      </c>
      <c r="CF9" s="1140">
        <v>162344.31</v>
      </c>
      <c r="CG9" s="1140">
        <v>162344.31</v>
      </c>
      <c r="CH9" s="1140">
        <v>162344.31</v>
      </c>
      <c r="CI9" s="1057">
        <f>AVERAGE(BV9:CH9)</f>
        <v>162344.31000000003</v>
      </c>
      <c r="CJ9" s="1141">
        <v>2.5599830385185658E-2</v>
      </c>
      <c r="CK9" s="1055">
        <f>CI9*$CJ$9</f>
        <v>4155.9868000000006</v>
      </c>
      <c r="CL9" s="1055">
        <f>CE9*$CJ$9</f>
        <v>4155.9867999999997</v>
      </c>
    </row>
    <row r="10" spans="1:90" s="531" customFormat="1">
      <c r="A10" s="531" t="s">
        <v>2505</v>
      </c>
      <c r="C10" s="538">
        <v>6074194.9300000006</v>
      </c>
      <c r="D10" s="538">
        <v>5140241.870000001</v>
      </c>
      <c r="E10" s="538">
        <v>5140241.870000001</v>
      </c>
      <c r="F10" s="538">
        <v>5152959.1000000006</v>
      </c>
      <c r="G10" s="538">
        <v>5152959.1000000006</v>
      </c>
      <c r="H10" s="538">
        <v>5211356.6400000006</v>
      </c>
      <c r="I10" s="538">
        <v>5229723.290000001</v>
      </c>
      <c r="J10" s="538">
        <v>5229192.8800000008</v>
      </c>
      <c r="K10" s="538">
        <v>5231353.4000000004</v>
      </c>
      <c r="L10" s="538">
        <v>5244213.1500000004</v>
      </c>
      <c r="M10" s="538">
        <v>5282644.0000000009</v>
      </c>
      <c r="N10" s="536">
        <v>6763928.4800000004</v>
      </c>
      <c r="O10" s="536">
        <v>7282485.7800000003</v>
      </c>
      <c r="P10" s="536">
        <v>7282485.7800000003</v>
      </c>
      <c r="Q10" s="536">
        <v>7296465.3200000003</v>
      </c>
      <c r="R10" s="536">
        <v>7296465.3200000003</v>
      </c>
      <c r="S10" s="536">
        <v>7296465.3200000003</v>
      </c>
      <c r="T10" s="536">
        <v>7741893.5700000003</v>
      </c>
      <c r="U10" s="536">
        <v>7726125.5300000012</v>
      </c>
      <c r="V10" s="536">
        <v>7726125.5300000012</v>
      </c>
      <c r="W10" s="536">
        <v>7726251.1400000006</v>
      </c>
      <c r="X10" s="536">
        <v>7727508.8000000007</v>
      </c>
      <c r="Y10" s="536">
        <v>7727642.0700000012</v>
      </c>
      <c r="Z10" s="536">
        <v>5967697.9100000011</v>
      </c>
      <c r="AA10" s="536">
        <v>5955147.1000000006</v>
      </c>
      <c r="AB10" s="536">
        <v>5955147.1000000006</v>
      </c>
      <c r="AC10" s="536">
        <v>4757689.3600000013</v>
      </c>
      <c r="AD10" s="536">
        <v>4794132.4300000016</v>
      </c>
      <c r="AE10" s="536">
        <v>4825637.7400000012</v>
      </c>
      <c r="AF10" s="536">
        <v>4825637.7400000012</v>
      </c>
      <c r="AG10" s="536">
        <v>4842925.0900000017</v>
      </c>
      <c r="AH10" s="536">
        <v>4845993.3300000019</v>
      </c>
      <c r="AI10" s="536">
        <v>4845993.3300000019</v>
      </c>
      <c r="AJ10" s="536">
        <v>4853710.8500000015</v>
      </c>
      <c r="AK10" s="536">
        <v>4854269.5200000014</v>
      </c>
      <c r="AL10" s="536">
        <v>4869187.0200000014</v>
      </c>
      <c r="AM10" s="536">
        <v>4884341.0900000017</v>
      </c>
      <c r="AN10" s="536">
        <v>5098578.4400000013</v>
      </c>
      <c r="AO10" s="536">
        <v>5130554.7100000009</v>
      </c>
      <c r="AP10" s="536">
        <v>5139860.3200000022</v>
      </c>
      <c r="AQ10" s="536">
        <v>5139860.3200000022</v>
      </c>
      <c r="AR10" s="536">
        <v>5142948.3300000019</v>
      </c>
      <c r="AS10" s="536">
        <v>5142948.3300000019</v>
      </c>
      <c r="AT10" s="536">
        <v>5144626.9200000018</v>
      </c>
      <c r="AU10" s="536">
        <v>5144626.9200000018</v>
      </c>
      <c r="AV10" s="536">
        <v>5150677.8600000013</v>
      </c>
      <c r="AW10" s="536">
        <v>5227619.8800000008</v>
      </c>
      <c r="AX10" s="536">
        <v>6814990.9900000012</v>
      </c>
      <c r="AY10" s="536">
        <v>6780881.0000000009</v>
      </c>
      <c r="AZ10" s="536">
        <v>7198374.7800000003</v>
      </c>
      <c r="BA10" s="536">
        <v>7209859.9699999997</v>
      </c>
      <c r="BB10" s="536">
        <v>7245072.5300000003</v>
      </c>
      <c r="BC10" s="536">
        <v>7285139.1000000006</v>
      </c>
      <c r="BD10" s="536">
        <v>7285139.1000000006</v>
      </c>
      <c r="BE10" s="536">
        <v>7283050.6800000006</v>
      </c>
      <c r="BF10" s="536">
        <v>7303792.4199999999</v>
      </c>
      <c r="BG10" s="536">
        <v>7310747.7200000007</v>
      </c>
      <c r="BH10" s="536">
        <v>7600936.620000001</v>
      </c>
      <c r="BI10" s="536">
        <v>7606392.8400000008</v>
      </c>
      <c r="BJ10" s="536">
        <v>8456252.5900000017</v>
      </c>
      <c r="BK10" s="536">
        <v>8386023.7600000007</v>
      </c>
      <c r="BL10" s="536">
        <v>8655946.5200000014</v>
      </c>
      <c r="BM10" s="1140">
        <v>8723248.6100000013</v>
      </c>
      <c r="BN10" s="1140">
        <v>8745541.4800000023</v>
      </c>
      <c r="BO10" s="1140">
        <v>8771560.8400000017</v>
      </c>
      <c r="BP10" s="1140">
        <v>8876434.3100000024</v>
      </c>
      <c r="BQ10" s="1140">
        <v>8891991.7100000028</v>
      </c>
      <c r="BR10" s="1140">
        <v>8888253.2400000039</v>
      </c>
      <c r="BS10" s="1140">
        <v>8916651.0200000033</v>
      </c>
      <c r="BT10" s="1140">
        <v>8991938.2600000035</v>
      </c>
      <c r="BU10" s="1140">
        <v>8995845.0500000026</v>
      </c>
      <c r="BV10" s="1140">
        <v>8918826.2500000019</v>
      </c>
      <c r="BW10" s="1140">
        <v>8920181.7600000016</v>
      </c>
      <c r="BX10" s="1140">
        <v>6568167.540000001</v>
      </c>
      <c r="BY10" s="1140">
        <v>6568167.540000001</v>
      </c>
      <c r="BZ10" s="1140">
        <v>6568592.3200000012</v>
      </c>
      <c r="CA10" s="1140">
        <v>6568592.3200000012</v>
      </c>
      <c r="CB10" s="1140">
        <v>6568592.3200000012</v>
      </c>
      <c r="CC10" s="1140">
        <v>6607888.9600000009</v>
      </c>
      <c r="CD10" s="1140">
        <v>6545262.3900000015</v>
      </c>
      <c r="CE10" s="1140">
        <v>6545262.3900000015</v>
      </c>
      <c r="CF10" s="1140">
        <v>6553035.2200000007</v>
      </c>
      <c r="CG10" s="1140">
        <v>6553202.8900000015</v>
      </c>
      <c r="CH10" s="1140">
        <v>6553368.7800000012</v>
      </c>
      <c r="CI10" s="1057">
        <f>AVERAGE(BV10:CH10)</f>
        <v>6926087.7446153853</v>
      </c>
      <c r="CJ10" s="1142">
        <v>1.8887808695736402E-2</v>
      </c>
      <c r="CK10" s="1139">
        <f>CI10*$CJ$10</f>
        <v>130818.62033017979</v>
      </c>
      <c r="CL10" s="1139">
        <f>CE10*$CJ$10</f>
        <v>123625.66388571844</v>
      </c>
    </row>
    <row r="11" spans="1:90" s="531" customFormat="1" ht="13.5" thickBot="1">
      <c r="C11" s="537">
        <f t="shared" ref="C11:M11" si="4">SUM(C6:C10)</f>
        <v>61022850.180000007</v>
      </c>
      <c r="D11" s="537">
        <f t="shared" si="4"/>
        <v>56260920.710000008</v>
      </c>
      <c r="E11" s="537">
        <f t="shared" si="4"/>
        <v>56398909.74000001</v>
      </c>
      <c r="F11" s="537">
        <f t="shared" si="4"/>
        <v>65356075.090000018</v>
      </c>
      <c r="G11" s="537">
        <f t="shared" si="4"/>
        <v>65371140.87000002</v>
      </c>
      <c r="H11" s="537">
        <f t="shared" si="4"/>
        <v>66703113.680000007</v>
      </c>
      <c r="I11" s="537">
        <f t="shared" si="4"/>
        <v>66941980.820000008</v>
      </c>
      <c r="J11" s="537">
        <f t="shared" si="4"/>
        <v>66964342.790000007</v>
      </c>
      <c r="K11" s="537">
        <f t="shared" si="4"/>
        <v>67401271.290000007</v>
      </c>
      <c r="L11" s="537">
        <f t="shared" si="4"/>
        <v>67433325.450000018</v>
      </c>
      <c r="M11" s="537">
        <f t="shared" si="4"/>
        <v>67504040.280000016</v>
      </c>
      <c r="N11" s="537">
        <f>SUM(N6:N10)</f>
        <v>69703918.440000013</v>
      </c>
      <c r="O11" s="537">
        <f t="shared" ref="O11:Z11" si="5">SUM(O6:O10)</f>
        <v>70232054.900000006</v>
      </c>
      <c r="P11" s="537">
        <f t="shared" si="5"/>
        <v>70273822.800000012</v>
      </c>
      <c r="Q11" s="537">
        <f t="shared" si="5"/>
        <v>69469016.230000019</v>
      </c>
      <c r="R11" s="537">
        <f t="shared" si="5"/>
        <v>70283863.49000001</v>
      </c>
      <c r="S11" s="537">
        <f t="shared" si="5"/>
        <v>70291671.25</v>
      </c>
      <c r="T11" s="537">
        <f t="shared" si="5"/>
        <v>67821242.870000005</v>
      </c>
      <c r="U11" s="537">
        <f t="shared" si="5"/>
        <v>69206871.030000001</v>
      </c>
      <c r="V11" s="537">
        <f t="shared" si="5"/>
        <v>69208065.280000001</v>
      </c>
      <c r="W11" s="537">
        <f t="shared" si="5"/>
        <v>69308001.460000008</v>
      </c>
      <c r="X11" s="537">
        <f t="shared" si="5"/>
        <v>70347382.140000015</v>
      </c>
      <c r="Y11" s="537">
        <f t="shared" si="5"/>
        <v>70384995.700000018</v>
      </c>
      <c r="Z11" s="537">
        <f t="shared" si="5"/>
        <v>73490036.780000001</v>
      </c>
      <c r="AA11" s="537">
        <f t="shared" ref="AA11:AF11" si="6">SUM(AA6:AA10)</f>
        <v>73681574.270000011</v>
      </c>
      <c r="AB11" s="537">
        <f t="shared" si="6"/>
        <v>73695049.350000009</v>
      </c>
      <c r="AC11" s="537">
        <f t="shared" si="6"/>
        <v>75340153.890000001</v>
      </c>
      <c r="AD11" s="537">
        <f t="shared" si="6"/>
        <v>74885329.420000017</v>
      </c>
      <c r="AE11" s="537">
        <f t="shared" si="6"/>
        <v>74976589.819999993</v>
      </c>
      <c r="AF11" s="537">
        <f t="shared" si="6"/>
        <v>75058058.079999998</v>
      </c>
      <c r="AG11" s="537">
        <f t="shared" ref="AG11:AL11" si="7">SUM(AG6:AG10)</f>
        <v>75051309.49000001</v>
      </c>
      <c r="AH11" s="537">
        <f t="shared" si="7"/>
        <v>76739072.63000001</v>
      </c>
      <c r="AI11" s="537">
        <f t="shared" si="7"/>
        <v>76784772.49000001</v>
      </c>
      <c r="AJ11" s="537">
        <f t="shared" si="7"/>
        <v>76927134.160000026</v>
      </c>
      <c r="AK11" s="537">
        <f t="shared" si="7"/>
        <v>76996296.010000005</v>
      </c>
      <c r="AL11" s="537">
        <f t="shared" si="7"/>
        <v>77355226.510000005</v>
      </c>
      <c r="AM11" s="537">
        <f t="shared" ref="AM11:AR11" si="8">SUM(AM6:AM10)</f>
        <v>77371859.63000001</v>
      </c>
      <c r="AN11" s="537">
        <f t="shared" si="8"/>
        <v>77595755.770000011</v>
      </c>
      <c r="AO11" s="537">
        <f t="shared" si="8"/>
        <v>78681271.370000005</v>
      </c>
      <c r="AP11" s="537">
        <f t="shared" si="8"/>
        <v>79011781.290000021</v>
      </c>
      <c r="AQ11" s="537">
        <f t="shared" si="8"/>
        <v>79051197.320000008</v>
      </c>
      <c r="AR11" s="537">
        <f t="shared" si="8"/>
        <v>78862876.430000007</v>
      </c>
      <c r="AS11" s="537">
        <f t="shared" ref="AS11:AX11" si="9">SUM(AS6:AS10)</f>
        <v>79722383.74000001</v>
      </c>
      <c r="AT11" s="537">
        <f t="shared" si="9"/>
        <v>79788428.549999997</v>
      </c>
      <c r="AU11" s="537">
        <f t="shared" si="9"/>
        <v>79825494.770000011</v>
      </c>
      <c r="AV11" s="537">
        <f t="shared" si="9"/>
        <v>80643616.230000004</v>
      </c>
      <c r="AW11" s="537">
        <f t="shared" si="9"/>
        <v>80760155.060000002</v>
      </c>
      <c r="AX11" s="537">
        <f t="shared" si="9"/>
        <v>75457728.320000008</v>
      </c>
      <c r="AY11" s="537">
        <f t="shared" ref="AY11:BD11" si="10">SUM(AY6:AY10)</f>
        <v>75546968.710000008</v>
      </c>
      <c r="AZ11" s="537">
        <f t="shared" si="10"/>
        <v>75988384.790000007</v>
      </c>
      <c r="BA11" s="537">
        <f t="shared" si="10"/>
        <v>76022556.530000001</v>
      </c>
      <c r="BB11" s="537">
        <f t="shared" si="10"/>
        <v>76356239.290000007</v>
      </c>
      <c r="BC11" s="537">
        <f t="shared" si="10"/>
        <v>76850298.420000002</v>
      </c>
      <c r="BD11" s="537">
        <f t="shared" si="10"/>
        <v>77287239.299999997</v>
      </c>
      <c r="BE11" s="537">
        <f t="shared" ref="BE11:BJ11" si="11">SUM(BE6:BE10)</f>
        <v>77288104.560000002</v>
      </c>
      <c r="BF11" s="537">
        <f t="shared" si="11"/>
        <v>77385844.450000003</v>
      </c>
      <c r="BG11" s="537">
        <f t="shared" si="11"/>
        <v>78671924.090000004</v>
      </c>
      <c r="BH11" s="537">
        <f t="shared" si="11"/>
        <v>79135132.390000001</v>
      </c>
      <c r="BI11" s="537">
        <f t="shared" si="11"/>
        <v>79405990.269999996</v>
      </c>
      <c r="BJ11" s="537">
        <f t="shared" si="11"/>
        <v>81460071.879999995</v>
      </c>
      <c r="BK11" s="537">
        <f>SUM(BK6:BK10)</f>
        <v>80814098.26000002</v>
      </c>
      <c r="BL11" s="537">
        <f>SUM(BL6:BL10)</f>
        <v>75120146.710000008</v>
      </c>
      <c r="BM11" s="1146">
        <f>SUM(BM6:BM10)</f>
        <v>75299784.780000016</v>
      </c>
      <c r="BN11" s="1146">
        <f>SUM(BN6:BN10)</f>
        <v>75459145.830000013</v>
      </c>
      <c r="BO11" s="1146">
        <f>SUM(BO6:BO10)</f>
        <v>75506943.130000025</v>
      </c>
      <c r="BP11" s="1146">
        <f t="shared" ref="BP11:BV11" si="12">SUM(BP6:BP10)</f>
        <v>75745442.870000005</v>
      </c>
      <c r="BQ11" s="1146">
        <f t="shared" si="12"/>
        <v>75829698.870000005</v>
      </c>
      <c r="BR11" s="1146">
        <f t="shared" si="12"/>
        <v>75849989.980000019</v>
      </c>
      <c r="BS11" s="1146">
        <f t="shared" si="12"/>
        <v>75900594.460000008</v>
      </c>
      <c r="BT11" s="1146">
        <f t="shared" si="12"/>
        <v>92186837.700000018</v>
      </c>
      <c r="BU11" s="1146">
        <f t="shared" si="12"/>
        <v>92299717.150000006</v>
      </c>
      <c r="BV11" s="1146">
        <f t="shared" si="12"/>
        <v>92273724.780000016</v>
      </c>
      <c r="BW11" s="1146">
        <f t="shared" ref="BW11:CI11" si="13">SUM(BW6:BW10)</f>
        <v>92328787.170000017</v>
      </c>
      <c r="BX11" s="1146">
        <f t="shared" si="13"/>
        <v>90037280.600000024</v>
      </c>
      <c r="BY11" s="1146">
        <f t="shared" si="13"/>
        <v>92647498.710000023</v>
      </c>
      <c r="BZ11" s="1146">
        <f t="shared" si="13"/>
        <v>100903670.32000004</v>
      </c>
      <c r="CA11" s="1146">
        <f t="shared" si="13"/>
        <v>101226578.93000004</v>
      </c>
      <c r="CB11" s="1146">
        <f t="shared" si="13"/>
        <v>101537515.83000003</v>
      </c>
      <c r="CC11" s="1146">
        <f t="shared" ref="CC11:CH11" si="14">SUM(CC6:CC10)</f>
        <v>101945246.98000002</v>
      </c>
      <c r="CD11" s="1146">
        <f t="shared" si="14"/>
        <v>102122547.54000004</v>
      </c>
      <c r="CE11" s="1146">
        <f t="shared" si="14"/>
        <v>102178419.51000004</v>
      </c>
      <c r="CF11" s="1146">
        <f t="shared" si="14"/>
        <v>102348794.91000003</v>
      </c>
      <c r="CG11" s="1146">
        <f t="shared" si="14"/>
        <v>102394912.80000001</v>
      </c>
      <c r="CH11" s="1146">
        <f t="shared" si="14"/>
        <v>102518419.78000002</v>
      </c>
      <c r="CI11" s="1147">
        <f t="shared" si="13"/>
        <v>98804876.758461565</v>
      </c>
      <c r="CK11" s="1150">
        <f>SUM(CK6:CK10)</f>
        <v>1270005.9855727085</v>
      </c>
      <c r="CL11" s="1150">
        <f>SUM(CL6:CL10)</f>
        <v>1282384.589213572</v>
      </c>
    </row>
    <row r="12" spans="1:90" ht="13.5" thickTop="1">
      <c r="A12" s="529" t="s">
        <v>1716</v>
      </c>
      <c r="CI12" s="1058"/>
      <c r="CJ12" s="1137"/>
      <c r="CK12" s="1137"/>
      <c r="CL12" s="1137"/>
    </row>
    <row r="13" spans="1:90">
      <c r="CI13" s="1058"/>
    </row>
    <row r="14" spans="1:90">
      <c r="CI14" s="1058"/>
    </row>
    <row r="15" spans="1:90">
      <c r="A15" s="1132"/>
      <c r="B15" s="1133"/>
      <c r="C15" s="530">
        <v>2015</v>
      </c>
      <c r="D15" s="530">
        <v>2015</v>
      </c>
      <c r="E15" s="530">
        <v>2015</v>
      </c>
      <c r="F15" s="530">
        <v>2015</v>
      </c>
      <c r="G15" s="530">
        <v>2015</v>
      </c>
      <c r="H15" s="530">
        <v>2015</v>
      </c>
      <c r="I15" s="530">
        <v>2015</v>
      </c>
      <c r="J15" s="530">
        <v>2015</v>
      </c>
      <c r="K15" s="530">
        <v>2015</v>
      </c>
      <c r="L15" s="530">
        <v>2015</v>
      </c>
      <c r="M15" s="530">
        <v>2015</v>
      </c>
      <c r="N15" s="530">
        <v>2015</v>
      </c>
      <c r="O15" s="530">
        <v>2016</v>
      </c>
      <c r="P15" s="530">
        <v>2016</v>
      </c>
      <c r="Q15" s="530">
        <v>2016</v>
      </c>
      <c r="R15" s="530">
        <v>2016</v>
      </c>
      <c r="S15" s="530">
        <v>2016</v>
      </c>
      <c r="T15" s="530">
        <v>2016</v>
      </c>
      <c r="U15" s="530">
        <v>2016</v>
      </c>
      <c r="V15" s="530">
        <v>2016</v>
      </c>
      <c r="W15" s="530">
        <v>2016</v>
      </c>
      <c r="X15" s="530">
        <v>2016</v>
      </c>
      <c r="Y15" s="530">
        <v>2016</v>
      </c>
      <c r="Z15" s="530">
        <v>2016</v>
      </c>
      <c r="AA15" s="530">
        <f t="shared" ref="AA15:AF15" si="15">+AA3</f>
        <v>2017</v>
      </c>
      <c r="AB15" s="530">
        <f t="shared" si="15"/>
        <v>2017</v>
      </c>
      <c r="AC15" s="530">
        <f t="shared" si="15"/>
        <v>2017</v>
      </c>
      <c r="AD15" s="530">
        <f t="shared" si="15"/>
        <v>2017</v>
      </c>
      <c r="AE15" s="530">
        <f t="shared" si="15"/>
        <v>2017</v>
      </c>
      <c r="AF15" s="530">
        <f t="shared" si="15"/>
        <v>2017</v>
      </c>
      <c r="AG15" s="530">
        <f t="shared" ref="AG15:AI16" si="16">+AG3</f>
        <v>2017</v>
      </c>
      <c r="AH15" s="530">
        <f t="shared" si="16"/>
        <v>2017</v>
      </c>
      <c r="AI15" s="530">
        <f t="shared" si="16"/>
        <v>2017</v>
      </c>
      <c r="AJ15" s="530">
        <f t="shared" ref="AJ15:AL16" si="17">+AJ3</f>
        <v>2017</v>
      </c>
      <c r="AK15" s="530">
        <f t="shared" si="17"/>
        <v>2017</v>
      </c>
      <c r="AL15" s="530">
        <f t="shared" si="17"/>
        <v>2017</v>
      </c>
      <c r="AM15" s="530">
        <f t="shared" ref="AM15:AO16" si="18">+AM3</f>
        <v>2018</v>
      </c>
      <c r="AN15" s="530">
        <f t="shared" si="18"/>
        <v>2018</v>
      </c>
      <c r="AO15" s="530">
        <f t="shared" si="18"/>
        <v>2018</v>
      </c>
      <c r="AP15" s="530">
        <f t="shared" ref="AP15:AR16" si="19">+AP3</f>
        <v>2018</v>
      </c>
      <c r="AQ15" s="530">
        <f t="shared" si="19"/>
        <v>2018</v>
      </c>
      <c r="AR15" s="530">
        <f t="shared" si="19"/>
        <v>2018</v>
      </c>
      <c r="AS15" s="530">
        <f t="shared" ref="AS15:AU16" si="20">+AS3</f>
        <v>2018</v>
      </c>
      <c r="AT15" s="530">
        <f t="shared" si="20"/>
        <v>2018</v>
      </c>
      <c r="AU15" s="530">
        <f t="shared" si="20"/>
        <v>2018</v>
      </c>
      <c r="AV15" s="530">
        <f t="shared" ref="AV15:AX16" si="21">+AV3</f>
        <v>2018</v>
      </c>
      <c r="AW15" s="530">
        <f t="shared" si="21"/>
        <v>2018</v>
      </c>
      <c r="AX15" s="530">
        <f t="shared" si="21"/>
        <v>2018</v>
      </c>
      <c r="AY15" s="530">
        <f t="shared" ref="AY15:BB16" si="22">+AY3</f>
        <v>2019</v>
      </c>
      <c r="AZ15" s="530">
        <f t="shared" si="22"/>
        <v>2019</v>
      </c>
      <c r="BA15" s="530">
        <f t="shared" si="22"/>
        <v>2019</v>
      </c>
      <c r="BB15" s="530">
        <f t="shared" si="22"/>
        <v>2019</v>
      </c>
      <c r="BC15" s="530">
        <f t="shared" ref="BC15:BG16" si="23">+BC3</f>
        <v>2019</v>
      </c>
      <c r="BD15" s="530">
        <f t="shared" si="23"/>
        <v>2019</v>
      </c>
      <c r="BE15" s="530">
        <f t="shared" si="23"/>
        <v>2019</v>
      </c>
      <c r="BF15" s="530">
        <f t="shared" si="23"/>
        <v>2019</v>
      </c>
      <c r="BG15" s="530">
        <f t="shared" si="23"/>
        <v>2019</v>
      </c>
      <c r="BH15" s="530">
        <f t="shared" ref="BH15:BJ16" si="24">+BH3</f>
        <v>2019</v>
      </c>
      <c r="BI15" s="530">
        <f t="shared" si="24"/>
        <v>2019</v>
      </c>
      <c r="BJ15" s="530">
        <f t="shared" si="24"/>
        <v>2019</v>
      </c>
      <c r="BK15" s="530" t="str">
        <f t="shared" ref="BK15:BM16" si="25">+BK3</f>
        <v>2020</v>
      </c>
      <c r="BL15" s="530" t="str">
        <f t="shared" si="25"/>
        <v>2020</v>
      </c>
      <c r="BM15" s="530" t="str">
        <f t="shared" si="25"/>
        <v>2020</v>
      </c>
      <c r="BN15" s="530" t="str">
        <f t="shared" ref="BN15:BP16" si="26">+BN3</f>
        <v>2020</v>
      </c>
      <c r="BO15" s="530" t="str">
        <f t="shared" si="26"/>
        <v>2020</v>
      </c>
      <c r="BP15" s="530" t="str">
        <f t="shared" si="26"/>
        <v>2020</v>
      </c>
      <c r="BQ15" s="530" t="str">
        <f t="shared" ref="BQ15:BS16" si="27">+BQ3</f>
        <v>2020</v>
      </c>
      <c r="BR15" s="530" t="str">
        <f t="shared" si="27"/>
        <v>2020</v>
      </c>
      <c r="BS15" s="530" t="str">
        <f t="shared" si="27"/>
        <v>2020</v>
      </c>
      <c r="BT15" s="530" t="str">
        <f t="shared" ref="BT15:BV16" si="28">+BT3</f>
        <v>2020</v>
      </c>
      <c r="BU15" s="530" t="str">
        <f t="shared" si="28"/>
        <v>2020</v>
      </c>
      <c r="BV15" s="530" t="str">
        <f t="shared" si="28"/>
        <v>2020</v>
      </c>
      <c r="BW15" s="530">
        <f t="shared" ref="BW15:BY16" si="29">+BW3</f>
        <v>2021</v>
      </c>
      <c r="BX15" s="530">
        <f t="shared" si="29"/>
        <v>2021</v>
      </c>
      <c r="BY15" s="530">
        <f t="shared" si="29"/>
        <v>2021</v>
      </c>
      <c r="BZ15" s="530">
        <f t="shared" ref="BZ15:CB16" si="30">+BZ3</f>
        <v>2021</v>
      </c>
      <c r="CA15" s="530">
        <f t="shared" si="30"/>
        <v>2021</v>
      </c>
      <c r="CB15" s="530">
        <f t="shared" si="30"/>
        <v>2021</v>
      </c>
      <c r="CC15" s="530">
        <f t="shared" ref="CC15:CE16" si="31">+CC3</f>
        <v>2021</v>
      </c>
      <c r="CD15" s="530">
        <f t="shared" si="31"/>
        <v>2021</v>
      </c>
      <c r="CE15" s="530">
        <f t="shared" si="31"/>
        <v>2021</v>
      </c>
      <c r="CF15" s="530">
        <f t="shared" ref="CF15:CH16" si="32">+CF3</f>
        <v>2021</v>
      </c>
      <c r="CG15" s="530">
        <f t="shared" si="32"/>
        <v>2021</v>
      </c>
      <c r="CH15" s="530">
        <f t="shared" si="32"/>
        <v>2021</v>
      </c>
      <c r="CI15" s="1144" t="s">
        <v>1714</v>
      </c>
      <c r="CJ15" s="1133" t="s">
        <v>1715</v>
      </c>
      <c r="CK15" s="1133" t="s">
        <v>1716</v>
      </c>
      <c r="CL15" s="1133" t="str">
        <f>+CL3</f>
        <v>YEAR-END</v>
      </c>
    </row>
    <row r="16" spans="1:90">
      <c r="A16" s="1134" t="s">
        <v>1730</v>
      </c>
      <c r="B16" s="1135"/>
      <c r="C16" s="532" t="s">
        <v>1719</v>
      </c>
      <c r="D16" s="532" t="s">
        <v>1720</v>
      </c>
      <c r="E16" s="532" t="s">
        <v>1721</v>
      </c>
      <c r="F16" s="532" t="s">
        <v>1722</v>
      </c>
      <c r="G16" s="532" t="s">
        <v>476</v>
      </c>
      <c r="H16" s="532" t="s">
        <v>1723</v>
      </c>
      <c r="I16" s="532" t="s">
        <v>1724</v>
      </c>
      <c r="J16" s="532" t="s">
        <v>1725</v>
      </c>
      <c r="K16" s="532" t="s">
        <v>1726</v>
      </c>
      <c r="L16" s="532" t="s">
        <v>1727</v>
      </c>
      <c r="M16" s="532" t="s">
        <v>1728</v>
      </c>
      <c r="N16" s="532" t="s">
        <v>1718</v>
      </c>
      <c r="O16" s="532" t="s">
        <v>1719</v>
      </c>
      <c r="P16" s="532" t="s">
        <v>1720</v>
      </c>
      <c r="Q16" s="532" t="s">
        <v>1721</v>
      </c>
      <c r="R16" s="532" t="s">
        <v>1722</v>
      </c>
      <c r="S16" s="532" t="s">
        <v>476</v>
      </c>
      <c r="T16" s="532" t="s">
        <v>1723</v>
      </c>
      <c r="U16" s="532" t="s">
        <v>1724</v>
      </c>
      <c r="V16" s="532" t="s">
        <v>1725</v>
      </c>
      <c r="W16" s="532" t="s">
        <v>1729</v>
      </c>
      <c r="X16" s="532" t="s">
        <v>1727</v>
      </c>
      <c r="Y16" s="532" t="s">
        <v>1728</v>
      </c>
      <c r="Z16" s="532" t="s">
        <v>1718</v>
      </c>
      <c r="AA16" s="532" t="s">
        <v>1719</v>
      </c>
      <c r="AB16" s="532" t="s">
        <v>1720</v>
      </c>
      <c r="AC16" s="532" t="s">
        <v>1721</v>
      </c>
      <c r="AD16" s="532" t="str">
        <f>+AD4</f>
        <v>Apr</v>
      </c>
      <c r="AE16" s="532" t="str">
        <f>+AE4</f>
        <v>May</v>
      </c>
      <c r="AF16" s="532" t="str">
        <f>+AF4</f>
        <v>Jun</v>
      </c>
      <c r="AG16" s="532" t="str">
        <f t="shared" si="16"/>
        <v>Jul</v>
      </c>
      <c r="AH16" s="532" t="str">
        <f t="shared" si="16"/>
        <v>Aug</v>
      </c>
      <c r="AI16" s="532" t="str">
        <f t="shared" si="16"/>
        <v>Sep</v>
      </c>
      <c r="AJ16" s="532" t="str">
        <f t="shared" si="17"/>
        <v>Oct</v>
      </c>
      <c r="AK16" s="532" t="str">
        <f t="shared" si="17"/>
        <v>Nov</v>
      </c>
      <c r="AL16" s="532" t="str">
        <f t="shared" si="17"/>
        <v>Dec</v>
      </c>
      <c r="AM16" s="532" t="str">
        <f t="shared" si="18"/>
        <v>Jan</v>
      </c>
      <c r="AN16" s="532" t="str">
        <f t="shared" si="18"/>
        <v>Feb</v>
      </c>
      <c r="AO16" s="532" t="str">
        <f t="shared" si="18"/>
        <v xml:space="preserve">Mar </v>
      </c>
      <c r="AP16" s="532" t="str">
        <f t="shared" si="19"/>
        <v>Apr</v>
      </c>
      <c r="AQ16" s="532" t="str">
        <f t="shared" si="19"/>
        <v>May</v>
      </c>
      <c r="AR16" s="532" t="str">
        <f t="shared" si="19"/>
        <v>Jun</v>
      </c>
      <c r="AS16" s="532" t="str">
        <f t="shared" si="20"/>
        <v>Jul</v>
      </c>
      <c r="AT16" s="532" t="str">
        <f t="shared" si="20"/>
        <v>Aug</v>
      </c>
      <c r="AU16" s="532" t="str">
        <f t="shared" si="20"/>
        <v>Sep</v>
      </c>
      <c r="AV16" s="532" t="str">
        <f t="shared" si="21"/>
        <v>Oct</v>
      </c>
      <c r="AW16" s="532" t="str">
        <f t="shared" si="21"/>
        <v>Nov</v>
      </c>
      <c r="AX16" s="532" t="str">
        <f t="shared" si="21"/>
        <v>Dec</v>
      </c>
      <c r="AY16" s="532" t="str">
        <f t="shared" si="22"/>
        <v>Jan</v>
      </c>
      <c r="AZ16" s="532" t="str">
        <f t="shared" si="22"/>
        <v>Feb</v>
      </c>
      <c r="BA16" s="532" t="str">
        <f t="shared" si="22"/>
        <v>Mar</v>
      </c>
      <c r="BB16" s="532" t="str">
        <f>+BB4</f>
        <v>Apr</v>
      </c>
      <c r="BC16" s="532" t="str">
        <f t="shared" si="23"/>
        <v>May</v>
      </c>
      <c r="BD16" s="532" t="str">
        <f t="shared" si="23"/>
        <v>Jun</v>
      </c>
      <c r="BE16" s="532" t="str">
        <f t="shared" si="23"/>
        <v>Jul</v>
      </c>
      <c r="BF16" s="532" t="str">
        <f t="shared" si="23"/>
        <v>Aug</v>
      </c>
      <c r="BG16" s="532" t="str">
        <f t="shared" si="23"/>
        <v>Sep</v>
      </c>
      <c r="BH16" s="532" t="str">
        <f t="shared" si="24"/>
        <v>Oct</v>
      </c>
      <c r="BI16" s="532" t="str">
        <f t="shared" si="24"/>
        <v>Nov</v>
      </c>
      <c r="BJ16" s="532" t="str">
        <f t="shared" si="24"/>
        <v>Dec</v>
      </c>
      <c r="BK16" s="532" t="str">
        <f t="shared" si="25"/>
        <v>Jan</v>
      </c>
      <c r="BL16" s="532" t="str">
        <f t="shared" si="25"/>
        <v>Feb</v>
      </c>
      <c r="BM16" s="532" t="str">
        <f t="shared" si="25"/>
        <v>Mar</v>
      </c>
      <c r="BN16" s="532" t="str">
        <f t="shared" si="26"/>
        <v>Apr</v>
      </c>
      <c r="BO16" s="532" t="str">
        <f t="shared" si="26"/>
        <v>May</v>
      </c>
      <c r="BP16" s="532" t="str">
        <f t="shared" si="26"/>
        <v>Jun</v>
      </c>
      <c r="BQ16" s="532" t="str">
        <f t="shared" si="27"/>
        <v>Jul</v>
      </c>
      <c r="BR16" s="532" t="str">
        <f t="shared" si="27"/>
        <v>Aug</v>
      </c>
      <c r="BS16" s="532" t="str">
        <f t="shared" si="27"/>
        <v>Sep</v>
      </c>
      <c r="BT16" s="532" t="str">
        <f t="shared" si="28"/>
        <v>Oct</v>
      </c>
      <c r="BU16" s="532" t="str">
        <f t="shared" si="28"/>
        <v>Nov</v>
      </c>
      <c r="BV16" s="532" t="str">
        <f t="shared" si="28"/>
        <v>Dec</v>
      </c>
      <c r="BW16" s="532" t="str">
        <f t="shared" si="29"/>
        <v>Jan</v>
      </c>
      <c r="BX16" s="532" t="str">
        <f t="shared" si="29"/>
        <v>Feb</v>
      </c>
      <c r="BY16" s="532" t="str">
        <f t="shared" si="29"/>
        <v>Mar</v>
      </c>
      <c r="BZ16" s="532" t="str">
        <f t="shared" si="30"/>
        <v>Apr</v>
      </c>
      <c r="CA16" s="532" t="str">
        <f t="shared" si="30"/>
        <v>May</v>
      </c>
      <c r="CB16" s="532" t="str">
        <f t="shared" si="30"/>
        <v>Jun</v>
      </c>
      <c r="CC16" s="532" t="str">
        <f t="shared" si="31"/>
        <v>Jul</v>
      </c>
      <c r="CD16" s="532" t="str">
        <f t="shared" si="31"/>
        <v>Aug</v>
      </c>
      <c r="CE16" s="532" t="str">
        <f t="shared" si="31"/>
        <v>Sept</v>
      </c>
      <c r="CF16" s="532" t="str">
        <f t="shared" si="32"/>
        <v>Oct</v>
      </c>
      <c r="CG16" s="532" t="str">
        <f t="shared" si="32"/>
        <v>Nov</v>
      </c>
      <c r="CH16" s="532" t="str">
        <f t="shared" si="32"/>
        <v>Dec</v>
      </c>
      <c r="CI16" s="1145" t="s">
        <v>215</v>
      </c>
      <c r="CJ16" s="1135" t="s">
        <v>108</v>
      </c>
      <c r="CK16" s="1135" t="s">
        <v>1715</v>
      </c>
      <c r="CL16" s="1135" t="s">
        <v>1715</v>
      </c>
    </row>
    <row r="17" spans="1:91">
      <c r="A17" s="531"/>
      <c r="B17" s="551" t="str">
        <f>+B5</f>
        <v>updated through Dec '21</v>
      </c>
      <c r="CI17" s="1058"/>
    </row>
    <row r="18" spans="1:91">
      <c r="A18" s="531" t="s">
        <v>2501</v>
      </c>
      <c r="B18" s="531"/>
      <c r="C18" s="538">
        <v>-16644955.83</v>
      </c>
      <c r="D18" s="538">
        <v>-10940448.600000001</v>
      </c>
      <c r="E18" s="538">
        <v>-11070346.330000002</v>
      </c>
      <c r="F18" s="538">
        <v>-11201014.500000002</v>
      </c>
      <c r="G18" s="538">
        <v>-11342012.800000001</v>
      </c>
      <c r="H18" s="538">
        <v>-11482966.73</v>
      </c>
      <c r="I18" s="538">
        <v>-11623985.689999999</v>
      </c>
      <c r="J18" s="538">
        <v>-11766101.6</v>
      </c>
      <c r="K18" s="538">
        <v>-11908735.35</v>
      </c>
      <c r="L18" s="538">
        <v>-12052007.91</v>
      </c>
      <c r="M18" s="538">
        <v>-12194902.059999999</v>
      </c>
      <c r="N18" s="536">
        <v>-13095348.719999999</v>
      </c>
      <c r="O18" s="536">
        <v>-13241153.499999998</v>
      </c>
      <c r="P18" s="536">
        <v>-13386958.279999999</v>
      </c>
      <c r="Q18" s="536">
        <v>-13532763.059999999</v>
      </c>
      <c r="R18" s="536">
        <v>-13678489.789999999</v>
      </c>
      <c r="S18" s="536">
        <v>-13824216.52</v>
      </c>
      <c r="T18" s="536">
        <v>-13969943.25</v>
      </c>
      <c r="U18" s="536">
        <v>-14117629.759999998</v>
      </c>
      <c r="V18" s="536">
        <v>-14272919.539999999</v>
      </c>
      <c r="W18" s="536">
        <v>-14428215.99</v>
      </c>
      <c r="X18" s="536">
        <v>-14583674.51</v>
      </c>
      <c r="Y18" s="536">
        <v>-14739682.739999998</v>
      </c>
      <c r="Z18" s="536">
        <v>-10183291.469999999</v>
      </c>
      <c r="AA18" s="536">
        <v>-10334851.370000001</v>
      </c>
      <c r="AB18" s="536">
        <v>-10486411.270000001</v>
      </c>
      <c r="AC18" s="536">
        <v>-10518104.790000003</v>
      </c>
      <c r="AD18" s="536">
        <v>-10668992.450000003</v>
      </c>
      <c r="AE18" s="536">
        <v>-10819880.110000005</v>
      </c>
      <c r="AF18" s="536">
        <v>-10970767.770000005</v>
      </c>
      <c r="AG18" s="536">
        <v>-11121963.770000005</v>
      </c>
      <c r="AH18" s="536">
        <v>-11273173.870000007</v>
      </c>
      <c r="AI18" s="536">
        <v>-11424729.590000005</v>
      </c>
      <c r="AJ18" s="536">
        <v>-11576290.320000004</v>
      </c>
      <c r="AK18" s="536">
        <v>-11727851.050000004</v>
      </c>
      <c r="AL18" s="536">
        <v>-11879411.780000003</v>
      </c>
      <c r="AM18" s="536">
        <v>-12032561.660000004</v>
      </c>
      <c r="AN18" s="536">
        <v>-12185713.010000004</v>
      </c>
      <c r="AO18" s="536">
        <v>-12338879.500000002</v>
      </c>
      <c r="AP18" s="536">
        <v>-12492061.369999999</v>
      </c>
      <c r="AQ18" s="536">
        <v>-12645265.17</v>
      </c>
      <c r="AR18" s="536">
        <v>-12798477.920000004</v>
      </c>
      <c r="AS18" s="536">
        <v>-12951912.850000003</v>
      </c>
      <c r="AT18" s="536">
        <v>-13106960.920000002</v>
      </c>
      <c r="AU18" s="536">
        <v>-13262170.160000002</v>
      </c>
      <c r="AV18" s="536">
        <v>-13417566.450000001</v>
      </c>
      <c r="AW18" s="536">
        <v>-13577405.440000001</v>
      </c>
      <c r="AX18" s="536">
        <v>-12971602.4</v>
      </c>
      <c r="AY18" s="536">
        <v>-13136019.52</v>
      </c>
      <c r="AZ18" s="536">
        <v>-13300930.27</v>
      </c>
      <c r="BA18" s="536">
        <v>-13465708.799999999</v>
      </c>
      <c r="BB18" s="536">
        <v>-13630474.829999998</v>
      </c>
      <c r="BC18" s="536">
        <v>-13795292.209999999</v>
      </c>
      <c r="BD18" s="536">
        <v>-13960226.979999999</v>
      </c>
      <c r="BE18" s="536">
        <v>-14125168.379999999</v>
      </c>
      <c r="BF18" s="536">
        <v>-14290034.01</v>
      </c>
      <c r="BG18" s="536">
        <v>-14454966.279999999</v>
      </c>
      <c r="BH18" s="536">
        <v>-14626161.969999999</v>
      </c>
      <c r="BI18" s="536">
        <v>-14797997.539999999</v>
      </c>
      <c r="BJ18" s="536">
        <v>-14970868.149999999</v>
      </c>
      <c r="BK18" s="536">
        <v>-14759277.889999999</v>
      </c>
      <c r="BL18" s="536">
        <v>-14935887.979999997</v>
      </c>
      <c r="BM18" s="1140">
        <v>-15113619.629999997</v>
      </c>
      <c r="BN18" s="1140">
        <v>-15291383.989999998</v>
      </c>
      <c r="BO18" s="1140">
        <v>-15469162.229999997</v>
      </c>
      <c r="BP18" s="1140">
        <v>-15647056.799999997</v>
      </c>
      <c r="BQ18" s="1140">
        <v>-15825704.1</v>
      </c>
      <c r="BR18" s="1140">
        <v>-16004467.24</v>
      </c>
      <c r="BS18" s="1140">
        <v>-16183198.589999996</v>
      </c>
      <c r="BT18" s="1140">
        <v>-16362107.059999997</v>
      </c>
      <c r="BU18" s="1140">
        <v>-16631489.319999997</v>
      </c>
      <c r="BV18" s="1140">
        <v>-16901291.509999998</v>
      </c>
      <c r="BW18" s="1140">
        <v>-17167038.679999996</v>
      </c>
      <c r="BX18" s="1140">
        <v>-17433020.749999996</v>
      </c>
      <c r="BY18" s="1140">
        <v>-17699334.909999996</v>
      </c>
      <c r="BZ18" s="1140">
        <v>-17979837.509999998</v>
      </c>
      <c r="CA18" s="1140">
        <v>-18275993.779999997</v>
      </c>
      <c r="CB18" s="1140">
        <v>-18573544.949999996</v>
      </c>
      <c r="CC18" s="1140">
        <v>-18872536.699999996</v>
      </c>
      <c r="CD18" s="1140">
        <v>-19172951.709999997</v>
      </c>
      <c r="CE18" s="1140">
        <v>-19473918.499999996</v>
      </c>
      <c r="CF18" s="1140">
        <v>-19775041.149999999</v>
      </c>
      <c r="CG18" s="1140">
        <v>-20076309.030000001</v>
      </c>
      <c r="CH18" s="1140">
        <v>-20377774.279999997</v>
      </c>
      <c r="CI18" s="1057">
        <f>AVERAGE(BV18:CH18)</f>
        <v>-18598353.343076922</v>
      </c>
      <c r="CJ18" s="1141">
        <v>3.9567732850364653E-4</v>
      </c>
      <c r="CK18" s="1054">
        <f>CI18*$CJ$18</f>
        <v>-7358.9467653555403</v>
      </c>
      <c r="CL18" s="1054">
        <f>CE18*$CJ$18</f>
        <v>-7705.3880475777378</v>
      </c>
    </row>
    <row r="19" spans="1:91">
      <c r="A19" s="531" t="s">
        <v>2502</v>
      </c>
      <c r="B19" s="531"/>
      <c r="C19" s="538">
        <v>-623872.14999999944</v>
      </c>
      <c r="D19" s="538">
        <v>-625964.54999999981</v>
      </c>
      <c r="E19" s="538">
        <v>-628058.23999999964</v>
      </c>
      <c r="F19" s="538">
        <v>-630151.92999999947</v>
      </c>
      <c r="G19" s="538">
        <v>-633214.34999999951</v>
      </c>
      <c r="H19" s="538">
        <v>-636277.36999999941</v>
      </c>
      <c r="I19" s="538">
        <v>-639340.38999999943</v>
      </c>
      <c r="J19" s="538">
        <v>-642403.40999999945</v>
      </c>
      <c r="K19" s="538">
        <v>-645466.49999999942</v>
      </c>
      <c r="L19" s="538">
        <v>-648529.58999999939</v>
      </c>
      <c r="M19" s="538">
        <v>-651592.76999999944</v>
      </c>
      <c r="N19" s="536">
        <v>-654665.54999999935</v>
      </c>
      <c r="O19" s="536">
        <v>-657738.32999999938</v>
      </c>
      <c r="P19" s="536">
        <v>-660811.48999999918</v>
      </c>
      <c r="Q19" s="536">
        <v>-663887.18999999925</v>
      </c>
      <c r="R19" s="536">
        <v>-666974.28999999899</v>
      </c>
      <c r="S19" s="536">
        <v>-670063.45999999903</v>
      </c>
      <c r="T19" s="536">
        <v>-673153.21999999904</v>
      </c>
      <c r="U19" s="536">
        <v>-631680.179999999</v>
      </c>
      <c r="V19" s="536">
        <v>-679332.99999999907</v>
      </c>
      <c r="W19" s="536">
        <v>-682422.8899999992</v>
      </c>
      <c r="X19" s="536">
        <v>-685512.77999999898</v>
      </c>
      <c r="Y19" s="536">
        <v>-689620.63999999897</v>
      </c>
      <c r="Z19" s="536">
        <v>-631761.98999999918</v>
      </c>
      <c r="AA19" s="536">
        <v>-620416.39999999886</v>
      </c>
      <c r="AB19" s="536">
        <v>-624535.40999999864</v>
      </c>
      <c r="AC19" s="536">
        <v>-628655.65999999887</v>
      </c>
      <c r="AD19" s="536">
        <v>-635856.62999999872</v>
      </c>
      <c r="AE19" s="536">
        <v>-642471.93999999855</v>
      </c>
      <c r="AF19" s="536">
        <v>-649113.79999999853</v>
      </c>
      <c r="AG19" s="536">
        <v>-655755.65999999864</v>
      </c>
      <c r="AH19" s="536">
        <v>-662397.28999999876</v>
      </c>
      <c r="AI19" s="536">
        <v>-669038.91999999876</v>
      </c>
      <c r="AJ19" s="536">
        <v>-675702.43999999831</v>
      </c>
      <c r="AK19" s="536">
        <v>-682457.70999999868</v>
      </c>
      <c r="AL19" s="536">
        <v>-689212.62999999837</v>
      </c>
      <c r="AM19" s="536">
        <v>-695967.54999999842</v>
      </c>
      <c r="AN19" s="536">
        <v>-702724.10999999847</v>
      </c>
      <c r="AO19" s="536">
        <v>-709488.44999999821</v>
      </c>
      <c r="AP19" s="536">
        <v>-717374.18</v>
      </c>
      <c r="AQ19" s="536">
        <v>-725597.53</v>
      </c>
      <c r="AR19" s="536">
        <v>-733829.1899999982</v>
      </c>
      <c r="AS19" s="536">
        <v>-741762.94999999844</v>
      </c>
      <c r="AT19" s="536">
        <v>-750035.3199999982</v>
      </c>
      <c r="AU19" s="536">
        <v>-758308.11999999825</v>
      </c>
      <c r="AV19" s="536">
        <v>-766580.91999999818</v>
      </c>
      <c r="AW19" s="536">
        <v>-774853.71999999799</v>
      </c>
      <c r="AX19" s="536">
        <v>15464.41</v>
      </c>
      <c r="AY19" s="536">
        <v>15464.41</v>
      </c>
      <c r="AZ19" s="536">
        <v>15464.41</v>
      </c>
      <c r="BA19" s="536">
        <v>15464.41</v>
      </c>
      <c r="BB19" s="536">
        <v>15464.41</v>
      </c>
      <c r="BC19" s="536">
        <v>15464.41</v>
      </c>
      <c r="BD19" s="536">
        <v>15464.41</v>
      </c>
      <c r="BE19" s="536">
        <v>15464.41</v>
      </c>
      <c r="BF19" s="536">
        <v>15464.41</v>
      </c>
      <c r="BG19" s="536">
        <v>60224.61</v>
      </c>
      <c r="BH19" s="536">
        <v>60224.61</v>
      </c>
      <c r="BI19" s="536">
        <v>60224.61</v>
      </c>
      <c r="BJ19" s="536">
        <v>60224.61</v>
      </c>
      <c r="BK19" s="536">
        <v>60224.61</v>
      </c>
      <c r="BL19" s="536">
        <v>60224.600000000413</v>
      </c>
      <c r="BM19" s="1140">
        <v>60224.600000000413</v>
      </c>
      <c r="BN19" s="1140">
        <v>60224.600000000413</v>
      </c>
      <c r="BO19" s="1140">
        <v>60224.600000000413</v>
      </c>
      <c r="BP19" s="1140">
        <v>60224.600000000413</v>
      </c>
      <c r="BQ19" s="1140">
        <v>60224.600000000559</v>
      </c>
      <c r="BR19" s="1140">
        <v>60224.600000000559</v>
      </c>
      <c r="BS19" s="1140">
        <v>60224.600000000413</v>
      </c>
      <c r="BT19" s="1140">
        <v>60224.600000000413</v>
      </c>
      <c r="BU19" s="1140">
        <v>60224.600000000413</v>
      </c>
      <c r="BV19" s="1140">
        <v>60224.600000000413</v>
      </c>
      <c r="BW19" s="1140">
        <v>60224.600000000413</v>
      </c>
      <c r="BX19" s="1140">
        <v>60224.600000000413</v>
      </c>
      <c r="BY19" s="1140">
        <v>60224.600000000413</v>
      </c>
      <c r="BZ19" s="1140">
        <v>60224.600000000413</v>
      </c>
      <c r="CA19" s="1140">
        <v>60224.600000000413</v>
      </c>
      <c r="CB19" s="1140">
        <v>60224.600000000413</v>
      </c>
      <c r="CC19" s="1140">
        <v>60224.600000000413</v>
      </c>
      <c r="CD19" s="1140">
        <v>60224.600000000413</v>
      </c>
      <c r="CE19" s="1140">
        <v>60224.600000000413</v>
      </c>
      <c r="CF19" s="1140">
        <v>60224.600000000413</v>
      </c>
      <c r="CG19" s="1140">
        <v>60224.600000000413</v>
      </c>
      <c r="CH19" s="1140">
        <v>60224.600000000413</v>
      </c>
      <c r="CI19" s="1057">
        <f>AVERAGE(BV19:CH19)</f>
        <v>60224.600000000435</v>
      </c>
      <c r="CJ19" s="1141">
        <v>6.7059247042031431E-3</v>
      </c>
      <c r="CK19" s="1055">
        <f>CI19*$CJ$19</f>
        <v>403.86163294075556</v>
      </c>
      <c r="CL19" s="1055">
        <f>CE19*$CJ$19</f>
        <v>403.86163294075538</v>
      </c>
    </row>
    <row r="20" spans="1:91">
      <c r="A20" s="531" t="s">
        <v>2503</v>
      </c>
      <c r="B20" s="531"/>
      <c r="C20" s="538">
        <v>-7487099.330000001</v>
      </c>
      <c r="D20" s="538">
        <v>-7526352.5000000009</v>
      </c>
      <c r="E20" s="538">
        <v>-7565605.6700000018</v>
      </c>
      <c r="F20" s="538">
        <v>-7604858.8400000017</v>
      </c>
      <c r="G20" s="538">
        <v>-7644112.0099999998</v>
      </c>
      <c r="H20" s="538">
        <v>-7683365.1800000016</v>
      </c>
      <c r="I20" s="538">
        <v>-7723111.5500000007</v>
      </c>
      <c r="J20" s="538">
        <v>-7762878.7800000021</v>
      </c>
      <c r="K20" s="538">
        <v>-7802646.0100000016</v>
      </c>
      <c r="L20" s="538">
        <v>-7843027.2100000018</v>
      </c>
      <c r="M20" s="538">
        <v>-7883448.2199999997</v>
      </c>
      <c r="N20" s="536">
        <v>-7928741.2700000023</v>
      </c>
      <c r="O20" s="536">
        <v>-7969191.2500000019</v>
      </c>
      <c r="P20" s="536">
        <v>-8009660.4600000009</v>
      </c>
      <c r="Q20" s="536">
        <v>-8050211.79</v>
      </c>
      <c r="R20" s="536">
        <v>-8090763.120000001</v>
      </c>
      <c r="S20" s="536">
        <v>-8131314.4500000002</v>
      </c>
      <c r="T20" s="536">
        <v>-4919074.32</v>
      </c>
      <c r="U20" s="536">
        <v>-4952927.4200000027</v>
      </c>
      <c r="V20" s="536">
        <v>-4986837.2300000014</v>
      </c>
      <c r="W20" s="536">
        <v>-5020747.0400000019</v>
      </c>
      <c r="X20" s="536">
        <v>-5054804.3100000015</v>
      </c>
      <c r="Y20" s="536">
        <v>-5088861.5800000038</v>
      </c>
      <c r="Z20" s="536">
        <v>-4878745.3900000034</v>
      </c>
      <c r="AA20" s="536">
        <v>-4924785.3800000027</v>
      </c>
      <c r="AB20" s="536">
        <v>-4971254.7600000035</v>
      </c>
      <c r="AC20" s="536">
        <v>-5010763.4200000037</v>
      </c>
      <c r="AD20" s="536">
        <v>-5057506.8900000043</v>
      </c>
      <c r="AE20" s="536">
        <v>-5104353.1500000041</v>
      </c>
      <c r="AF20" s="536">
        <v>-5140403.2500000047</v>
      </c>
      <c r="AG20" s="536">
        <v>-5187377.6300000045</v>
      </c>
      <c r="AH20" s="536">
        <v>-5234354.2100000037</v>
      </c>
      <c r="AI20" s="536">
        <v>-5279170.1100000041</v>
      </c>
      <c r="AJ20" s="536">
        <v>-5326639.6000000043</v>
      </c>
      <c r="AK20" s="536">
        <v>-5374172.6600000029</v>
      </c>
      <c r="AL20" s="536">
        <v>-5421817.8500000043</v>
      </c>
      <c r="AM20" s="536">
        <v>-5469576.2600000026</v>
      </c>
      <c r="AN20" s="536">
        <v>-5517334.3400000045</v>
      </c>
      <c r="AO20" s="536">
        <v>-5565091.9400000032</v>
      </c>
      <c r="AP20" s="536">
        <v>-5612882.1499999994</v>
      </c>
      <c r="AQ20" s="536">
        <v>-5660684.0899999999</v>
      </c>
      <c r="AR20" s="536">
        <v>-5708548.820000004</v>
      </c>
      <c r="AS20" s="536">
        <v>-5753853.8800000045</v>
      </c>
      <c r="AT20" s="536">
        <v>-5802283.2200000035</v>
      </c>
      <c r="AU20" s="536">
        <v>-5850782.8900000034</v>
      </c>
      <c r="AV20" s="536">
        <v>-5899289.5600000052</v>
      </c>
      <c r="AW20" s="536">
        <v>-5947829.2400000049</v>
      </c>
      <c r="AX20" s="536">
        <v>-5996434.8600000022</v>
      </c>
      <c r="AY20" s="536">
        <v>-6045192.3000000026</v>
      </c>
      <c r="AZ20" s="536">
        <v>-6093962.1400000025</v>
      </c>
      <c r="BA20" s="536">
        <v>-6142712.1400000025</v>
      </c>
      <c r="BB20" s="536">
        <v>-6191533.4400000023</v>
      </c>
      <c r="BC20" s="536">
        <v>-6240957.3800000027</v>
      </c>
      <c r="BD20" s="536">
        <v>-6291283.3400000026</v>
      </c>
      <c r="BE20" s="536">
        <v>-6342517.1200000029</v>
      </c>
      <c r="BF20" s="536">
        <v>-6393785.3300000029</v>
      </c>
      <c r="BG20" s="536">
        <v>-6416789.8200000031</v>
      </c>
      <c r="BH20" s="536">
        <v>-6468521.3200000031</v>
      </c>
      <c r="BI20" s="536">
        <v>-6520374.5200000033</v>
      </c>
      <c r="BJ20" s="536">
        <v>-6572394.4200000037</v>
      </c>
      <c r="BK20" s="536">
        <v>-6468939.3800000036</v>
      </c>
      <c r="BL20" s="536">
        <v>-6520873.3000000017</v>
      </c>
      <c r="BM20" s="1140">
        <v>-6572827.75</v>
      </c>
      <c r="BN20" s="1140">
        <v>-6625004.0300000021</v>
      </c>
      <c r="BO20" s="1140">
        <v>-6677460.6800000025</v>
      </c>
      <c r="BP20" s="1140">
        <v>-6729919.3000000017</v>
      </c>
      <c r="BQ20" s="1140">
        <v>-6782375.4400000023</v>
      </c>
      <c r="BR20" s="1140">
        <v>-6834931.4700000025</v>
      </c>
      <c r="BS20" s="1140">
        <v>-6878020.7800000021</v>
      </c>
      <c r="BT20" s="1140">
        <v>-6929802.9000000032</v>
      </c>
      <c r="BU20" s="1140">
        <v>-6982414.9700000035</v>
      </c>
      <c r="BV20" s="1140">
        <v>-7035097.3900000025</v>
      </c>
      <c r="BW20" s="1140">
        <v>-7094232.6900000023</v>
      </c>
      <c r="BX20" s="1140">
        <v>-7153393.6500000022</v>
      </c>
      <c r="BY20" s="1140">
        <v>-7212554.9100000039</v>
      </c>
      <c r="BZ20" s="1140">
        <v>-7271787.3400000045</v>
      </c>
      <c r="CA20" s="1140">
        <v>-7331024.0500000035</v>
      </c>
      <c r="CB20" s="1140">
        <v>-7390257.8500000061</v>
      </c>
      <c r="CC20" s="1140">
        <v>-7449554.3300000047</v>
      </c>
      <c r="CD20" s="1140">
        <v>-7509042.0000000037</v>
      </c>
      <c r="CE20" s="1140">
        <v>-7568812.4100000048</v>
      </c>
      <c r="CF20" s="1140">
        <v>-7628611.5800000075</v>
      </c>
      <c r="CG20" s="1140">
        <v>-7688657.8100000052</v>
      </c>
      <c r="CH20" s="1140">
        <v>-7748722.8400000054</v>
      </c>
      <c r="CI20" s="1057">
        <f>AVERAGE(BV20:CH20)</f>
        <v>-7390903.7576923128</v>
      </c>
      <c r="CJ20" s="1141">
        <v>4.6574746581736666E-2</v>
      </c>
      <c r="CK20" s="1055">
        <f>CI20*$CJ$20</f>
        <v>-344229.4695245247</v>
      </c>
      <c r="CL20" s="1055">
        <f>CE20*$CJ$20</f>
        <v>-352515.51992045378</v>
      </c>
    </row>
    <row r="21" spans="1:91">
      <c r="A21" s="531" t="s">
        <v>2504</v>
      </c>
      <c r="B21" s="531"/>
      <c r="C21" s="538">
        <v>-17930.449999999968</v>
      </c>
      <c r="D21" s="538">
        <v>-18204.089999999967</v>
      </c>
      <c r="E21" s="538">
        <v>-18477.729999999967</v>
      </c>
      <c r="F21" s="538">
        <v>-18751.369999999966</v>
      </c>
      <c r="G21" s="538">
        <v>-19025.009999999966</v>
      </c>
      <c r="H21" s="538">
        <v>-19298.649999999965</v>
      </c>
      <c r="I21" s="538">
        <v>-19578.189999999966</v>
      </c>
      <c r="J21" s="538">
        <v>-19857.729999999967</v>
      </c>
      <c r="K21" s="538">
        <v>-20137.269999999964</v>
      </c>
      <c r="L21" s="538">
        <v>-20423.839999999964</v>
      </c>
      <c r="M21" s="538">
        <v>-20710.409999999963</v>
      </c>
      <c r="N21" s="536">
        <v>-10885.819999999963</v>
      </c>
      <c r="O21" s="536">
        <v>-10918.709999999963</v>
      </c>
      <c r="P21" s="536">
        <v>-10951.599999999962</v>
      </c>
      <c r="Q21" s="536">
        <v>-10984.489999999962</v>
      </c>
      <c r="R21" s="536">
        <v>-11017.379999999961</v>
      </c>
      <c r="S21" s="536">
        <v>-11050.26999999996</v>
      </c>
      <c r="T21" s="536">
        <v>-11083.159999999956</v>
      </c>
      <c r="U21" s="536">
        <v>-11116.049999999956</v>
      </c>
      <c r="V21" s="536">
        <v>-11174.759999999955</v>
      </c>
      <c r="W21" s="536">
        <v>-11233.469999999954</v>
      </c>
      <c r="X21" s="536">
        <v>-11292.179999999953</v>
      </c>
      <c r="Y21" s="536">
        <v>-11350.889999999952</v>
      </c>
      <c r="Z21" s="536">
        <v>-11387.639999999948</v>
      </c>
      <c r="AA21" s="536">
        <v>-11446.349999999948</v>
      </c>
      <c r="AB21" s="536">
        <v>-11505.059999999947</v>
      </c>
      <c r="AC21" s="536">
        <v>-11563.769999999946</v>
      </c>
      <c r="AD21" s="536">
        <v>-11622.479999999945</v>
      </c>
      <c r="AE21" s="536">
        <v>-11681.189999999944</v>
      </c>
      <c r="AF21" s="536">
        <v>-11739.899999999943</v>
      </c>
      <c r="AG21" s="536">
        <v>-11798.609999999942</v>
      </c>
      <c r="AH21" s="536">
        <v>-11857.319999999949</v>
      </c>
      <c r="AI21" s="536">
        <v>-11916.029999999948</v>
      </c>
      <c r="AJ21" s="536">
        <v>-11974.739999999947</v>
      </c>
      <c r="AK21" s="536">
        <v>-12033.449999999946</v>
      </c>
      <c r="AL21" s="536">
        <v>-12092.159999999945</v>
      </c>
      <c r="AM21" s="536">
        <v>-12150.869999999944</v>
      </c>
      <c r="AN21" s="536">
        <v>-12209.579999999944</v>
      </c>
      <c r="AO21" s="536">
        <v>-12268.289999999943</v>
      </c>
      <c r="AP21" s="536">
        <v>-12326.999999999942</v>
      </c>
      <c r="AQ21" s="536">
        <v>-12385.709999999941</v>
      </c>
      <c r="AR21" s="536">
        <v>-12444.41999999994</v>
      </c>
      <c r="AS21" s="536">
        <v>-12503.129999999939</v>
      </c>
      <c r="AT21" s="536">
        <v>-12561.839999999938</v>
      </c>
      <c r="AU21" s="536">
        <v>-12620.549999999937</v>
      </c>
      <c r="AV21" s="536">
        <v>-12679.259999999937</v>
      </c>
      <c r="AW21" s="536">
        <v>-12737.969999999936</v>
      </c>
      <c r="AX21" s="536">
        <v>-32835.819999999934</v>
      </c>
      <c r="AY21" s="536">
        <v>-33174.029999999941</v>
      </c>
      <c r="AZ21" s="536">
        <v>-33512.239999999932</v>
      </c>
      <c r="BA21" s="536">
        <v>-33850.449999999939</v>
      </c>
      <c r="BB21" s="536">
        <v>-34188.659999999931</v>
      </c>
      <c r="BC21" s="536">
        <v>-34526.869999999937</v>
      </c>
      <c r="BD21" s="536">
        <v>-34865.079999999929</v>
      </c>
      <c r="BE21" s="536">
        <v>-35203.289999999935</v>
      </c>
      <c r="BF21" s="536">
        <v>-35541.499999999927</v>
      </c>
      <c r="BG21" s="536">
        <v>-35879.709999999934</v>
      </c>
      <c r="BH21" s="536">
        <v>-36217.919999999925</v>
      </c>
      <c r="BI21" s="536">
        <v>-36556.129999999932</v>
      </c>
      <c r="BJ21" s="536">
        <v>-36894.339999999924</v>
      </c>
      <c r="BK21" s="536">
        <v>-37232.549999999937</v>
      </c>
      <c r="BL21" s="536">
        <v>-37570.759999999937</v>
      </c>
      <c r="BM21" s="1140">
        <v>-37908.969999999936</v>
      </c>
      <c r="BN21" s="1140">
        <v>-38247.179999999935</v>
      </c>
      <c r="BO21" s="1140">
        <v>-38585.389999999934</v>
      </c>
      <c r="BP21" s="1140">
        <v>-38923.599999999933</v>
      </c>
      <c r="BQ21" s="1140">
        <v>-39261.809999999932</v>
      </c>
      <c r="BR21" s="1140">
        <v>-39600.019999999931</v>
      </c>
      <c r="BS21" s="1140">
        <v>-39938.22999999993</v>
      </c>
      <c r="BT21" s="1140">
        <v>-40276.43999999993</v>
      </c>
      <c r="BU21" s="1140">
        <v>-40614.649999999929</v>
      </c>
      <c r="BV21" s="1140">
        <v>-40952.859999999928</v>
      </c>
      <c r="BW21" s="1140">
        <v>-41288.729999999923</v>
      </c>
      <c r="BX21" s="1140">
        <v>-41624.599999999926</v>
      </c>
      <c r="BY21" s="1140">
        <v>-41960.469999999928</v>
      </c>
      <c r="BZ21" s="1140">
        <v>-42296.339999999924</v>
      </c>
      <c r="CA21" s="1140">
        <v>-42632.209999999919</v>
      </c>
      <c r="CB21" s="1140">
        <v>-42968.079999999914</v>
      </c>
      <c r="CC21" s="1140">
        <v>-43303.94999999991</v>
      </c>
      <c r="CD21" s="1140">
        <v>-43639.819999999905</v>
      </c>
      <c r="CE21" s="1140">
        <v>-43975.689999999908</v>
      </c>
      <c r="CF21" s="1140">
        <v>-44311.55999999991</v>
      </c>
      <c r="CG21" s="1140">
        <v>-44647.429999999906</v>
      </c>
      <c r="CH21" s="1140">
        <v>-44983.299999999901</v>
      </c>
      <c r="CI21" s="1057">
        <f>AVERAGE(BV21:CH21)</f>
        <v>-42968.079999999914</v>
      </c>
      <c r="CJ21" s="1141">
        <v>1.0749179407536232E-2</v>
      </c>
      <c r="CK21" s="1139">
        <f>CI21*$CJ$21</f>
        <v>-461.87160071736849</v>
      </c>
      <c r="CL21" s="1139">
        <f>CE21*$CJ$21</f>
        <v>-472.70258138019597</v>
      </c>
      <c r="CM21" s="1137"/>
    </row>
    <row r="22" spans="1:91">
      <c r="A22" s="531" t="s">
        <v>2505</v>
      </c>
      <c r="B22" s="531"/>
      <c r="C22" s="538">
        <v>-4533332.2200000025</v>
      </c>
      <c r="D22" s="538">
        <v>-3662652.0400000019</v>
      </c>
      <c r="E22" s="538">
        <v>-3716196.2400000021</v>
      </c>
      <c r="F22" s="538">
        <v>-3769740.4400000023</v>
      </c>
      <c r="G22" s="538">
        <v>-3823417.1100000022</v>
      </c>
      <c r="H22" s="538">
        <v>-3877093.7800000026</v>
      </c>
      <c r="I22" s="538">
        <v>-3931378.7700000028</v>
      </c>
      <c r="J22" s="538">
        <v>-3985855.0800000029</v>
      </c>
      <c r="K22" s="538">
        <v>-4040325.8600000031</v>
      </c>
      <c r="L22" s="538">
        <v>-4094819.1500000032</v>
      </c>
      <c r="M22" s="538">
        <v>-4149446.4000000032</v>
      </c>
      <c r="N22" s="536">
        <v>-4886958.2500000037</v>
      </c>
      <c r="O22" s="536">
        <v>-4950309.6900000032</v>
      </c>
      <c r="P22" s="536">
        <v>-5019062.7700000033</v>
      </c>
      <c r="Q22" s="536">
        <v>-5087815.8500000034</v>
      </c>
      <c r="R22" s="536">
        <v>-5156646.9800000042</v>
      </c>
      <c r="S22" s="536">
        <v>-5225478.1100000041</v>
      </c>
      <c r="T22" s="536">
        <v>-5294309.2400000039</v>
      </c>
      <c r="U22" s="536">
        <v>-5366335.0800000038</v>
      </c>
      <c r="V22" s="536">
        <v>-5438179.9300000034</v>
      </c>
      <c r="W22" s="536">
        <v>-5510024.780000004</v>
      </c>
      <c r="X22" s="536">
        <v>-5581870.3300000038</v>
      </c>
      <c r="Y22" s="536">
        <v>-5653722.9100000029</v>
      </c>
      <c r="Z22" s="536">
        <v>-4083448.590000004</v>
      </c>
      <c r="AA22" s="536">
        <v>-4136562.8500000043</v>
      </c>
      <c r="AB22" s="536">
        <v>-4189548.4600000046</v>
      </c>
      <c r="AC22" s="536">
        <v>-3041370.7900000052</v>
      </c>
      <c r="AD22" s="536">
        <v>-3082756.9900000049</v>
      </c>
      <c r="AE22" s="536">
        <v>-3124388.0400000047</v>
      </c>
      <c r="AF22" s="536">
        <v>-3166194.9900000044</v>
      </c>
      <c r="AG22" s="536">
        <v>-3208001.9400000041</v>
      </c>
      <c r="AH22" s="536">
        <v>-3249951.0600000042</v>
      </c>
      <c r="AI22" s="536">
        <v>-3291917.320000004</v>
      </c>
      <c r="AJ22" s="536">
        <v>-3333883.5800000038</v>
      </c>
      <c r="AK22" s="536">
        <v>-3375901.1100000036</v>
      </c>
      <c r="AL22" s="536">
        <v>-3417921.7500000037</v>
      </c>
      <c r="AM22" s="536">
        <v>-3460025.680000003</v>
      </c>
      <c r="AN22" s="536">
        <v>-3502284.9400000032</v>
      </c>
      <c r="AO22" s="536">
        <v>-3545971.8100000033</v>
      </c>
      <c r="AP22" s="536">
        <v>-3589844.5200000042</v>
      </c>
      <c r="AQ22" s="536">
        <v>-3633769.1900000041</v>
      </c>
      <c r="AR22" s="536">
        <v>-3677693.8600000022</v>
      </c>
      <c r="AS22" s="536">
        <v>-3721635.7700000023</v>
      </c>
      <c r="AT22" s="536">
        <v>-3765577.6800000025</v>
      </c>
      <c r="AU22" s="536">
        <v>-3809528.9600000018</v>
      </c>
      <c r="AV22" s="536">
        <v>-3853480.2400000021</v>
      </c>
      <c r="AW22" s="536">
        <v>-3897465.3000000017</v>
      </c>
      <c r="AX22" s="536">
        <v>-4484796.6600000011</v>
      </c>
      <c r="AY22" s="536">
        <v>-4538144.4300000016</v>
      </c>
      <c r="AZ22" s="536">
        <v>-4591305.9000000013</v>
      </c>
      <c r="BA22" s="536">
        <v>-4648279.2600000016</v>
      </c>
      <c r="BB22" s="536">
        <v>-4705316.7400000012</v>
      </c>
      <c r="BC22" s="536">
        <v>-4762715.1600000011</v>
      </c>
      <c r="BD22" s="536">
        <v>-4820447.790000001</v>
      </c>
      <c r="BE22" s="536">
        <v>-4878180.4200000009</v>
      </c>
      <c r="BF22" s="536">
        <v>-4935901.0000000019</v>
      </c>
      <c r="BG22" s="536">
        <v>-4993792.3200000012</v>
      </c>
      <c r="BH22" s="536">
        <v>-5051739.4900000012</v>
      </c>
      <c r="BI22" s="536">
        <v>-5111106.0900000017</v>
      </c>
      <c r="BJ22" s="536">
        <v>-5170513.8200000012</v>
      </c>
      <c r="BK22" s="536">
        <v>-5160958.42</v>
      </c>
      <c r="BL22" s="536">
        <v>-5228534.9600000009</v>
      </c>
      <c r="BM22" s="1140">
        <v>-5298840.7200000007</v>
      </c>
      <c r="BN22" s="1140">
        <v>-5369761.5999999996</v>
      </c>
      <c r="BO22" s="1140">
        <v>-5440868.8200000003</v>
      </c>
      <c r="BP22" s="1140">
        <v>-5512203.2800000003</v>
      </c>
      <c r="BQ22" s="1140">
        <v>-5584602.5300000012</v>
      </c>
      <c r="BR22" s="1140">
        <v>-5657161.2400000021</v>
      </c>
      <c r="BS22" s="1140">
        <v>-5729681.629999999</v>
      </c>
      <c r="BT22" s="1140">
        <v>-5802493.0999999996</v>
      </c>
      <c r="BU22" s="1140">
        <v>-5876076.25</v>
      </c>
      <c r="BV22" s="1140">
        <v>-5865736.5</v>
      </c>
      <c r="BW22" s="1140">
        <v>-5932151.8100000005</v>
      </c>
      <c r="BX22" s="1140">
        <v>-3644781.01</v>
      </c>
      <c r="BY22" s="1140">
        <v>-3691630.67</v>
      </c>
      <c r="BZ22" s="1140">
        <v>-3738480.3300000005</v>
      </c>
      <c r="CA22" s="1140">
        <v>-3785333.92</v>
      </c>
      <c r="CB22" s="1140">
        <v>-3832187.51</v>
      </c>
      <c r="CC22" s="1140">
        <v>-3879041.1</v>
      </c>
      <c r="CD22" s="1140">
        <v>-3925880.1799999988</v>
      </c>
      <c r="CE22" s="1140">
        <v>-3972915.6199999992</v>
      </c>
      <c r="CF22" s="1140">
        <v>-4019951.0599999996</v>
      </c>
      <c r="CG22" s="1140">
        <v>-4067058.3899999997</v>
      </c>
      <c r="CH22" s="1140">
        <v>-4114167.2799999993</v>
      </c>
      <c r="CI22" s="1057">
        <f>AVERAGE(BV22:CH22)</f>
        <v>-4189947.3369230772</v>
      </c>
      <c r="CJ22" s="1141">
        <v>9.580324945777258E-3</v>
      </c>
      <c r="CK22" s="1139">
        <f>CI22*$CJ$22</f>
        <v>-40141.056993417144</v>
      </c>
      <c r="CL22" s="1139">
        <f>CE22*$CJ$22</f>
        <v>-38061.822621754116</v>
      </c>
      <c r="CM22" s="1137"/>
    </row>
    <row r="23" spans="1:91" ht="13.5" thickBot="1">
      <c r="C23" s="537">
        <f>SUM(C18:C22)</f>
        <v>-29307189.980000004</v>
      </c>
      <c r="D23" s="537">
        <f>SUM(D18:D22)</f>
        <v>-22773621.780000005</v>
      </c>
      <c r="E23" s="537">
        <f t="shared" ref="E23:Z23" si="33">SUM(E18:E22)</f>
        <v>-22998684.210000005</v>
      </c>
      <c r="F23" s="537">
        <f t="shared" si="33"/>
        <v>-23224517.080000006</v>
      </c>
      <c r="G23" s="537">
        <f t="shared" si="33"/>
        <v>-23461781.280000005</v>
      </c>
      <c r="H23" s="537">
        <f t="shared" si="33"/>
        <v>-23699001.710000001</v>
      </c>
      <c r="I23" s="537">
        <f t="shared" si="33"/>
        <v>-23937394.590000004</v>
      </c>
      <c r="J23" s="537">
        <f t="shared" si="33"/>
        <v>-24177096.600000005</v>
      </c>
      <c r="K23" s="537">
        <f t="shared" si="33"/>
        <v>-24417310.990000002</v>
      </c>
      <c r="L23" s="537">
        <f t="shared" si="33"/>
        <v>-24658807.700000003</v>
      </c>
      <c r="M23" s="537">
        <f t="shared" si="33"/>
        <v>-24900099.859999999</v>
      </c>
      <c r="N23" s="537">
        <f t="shared" si="33"/>
        <v>-26576599.610000003</v>
      </c>
      <c r="O23" s="537">
        <f t="shared" si="33"/>
        <v>-26829311.480000004</v>
      </c>
      <c r="P23" s="537">
        <f t="shared" si="33"/>
        <v>-27087444.600000001</v>
      </c>
      <c r="Q23" s="537">
        <f t="shared" si="33"/>
        <v>-27345662.380000003</v>
      </c>
      <c r="R23" s="537">
        <f t="shared" si="33"/>
        <v>-27603891.560000002</v>
      </c>
      <c r="S23" s="537">
        <f t="shared" si="33"/>
        <v>-27862122.810000002</v>
      </c>
      <c r="T23" s="537">
        <f t="shared" si="33"/>
        <v>-24867563.190000005</v>
      </c>
      <c r="U23" s="537">
        <f t="shared" si="33"/>
        <v>-25079688.490000002</v>
      </c>
      <c r="V23" s="537">
        <f t="shared" si="33"/>
        <v>-25388444.460000005</v>
      </c>
      <c r="W23" s="537">
        <f t="shared" si="33"/>
        <v>-25652644.170000006</v>
      </c>
      <c r="X23" s="537">
        <f t="shared" si="33"/>
        <v>-25917154.110000007</v>
      </c>
      <c r="Y23" s="537">
        <f t="shared" si="33"/>
        <v>-26183238.760000005</v>
      </c>
      <c r="Z23" s="537">
        <f t="shared" si="33"/>
        <v>-19788635.080000006</v>
      </c>
      <c r="AA23" s="537">
        <f t="shared" ref="AA23:AF23" si="34">SUM(AA18:AA22)</f>
        <v>-20028062.350000005</v>
      </c>
      <c r="AB23" s="537">
        <f t="shared" si="34"/>
        <v>-20283254.960000008</v>
      </c>
      <c r="AC23" s="537">
        <f t="shared" si="34"/>
        <v>-19210458.430000011</v>
      </c>
      <c r="AD23" s="537">
        <f t="shared" si="34"/>
        <v>-19456735.440000013</v>
      </c>
      <c r="AE23" s="537">
        <f t="shared" si="34"/>
        <v>-19702774.430000015</v>
      </c>
      <c r="AF23" s="537">
        <f t="shared" si="34"/>
        <v>-19938219.710000012</v>
      </c>
      <c r="AG23" s="537">
        <f t="shared" ref="AG23:AL23" si="35">SUM(AG18:AG22)</f>
        <v>-20184897.610000014</v>
      </c>
      <c r="AH23" s="537">
        <f t="shared" si="35"/>
        <v>-20431733.750000015</v>
      </c>
      <c r="AI23" s="537">
        <f t="shared" si="35"/>
        <v>-20676771.970000014</v>
      </c>
      <c r="AJ23" s="537">
        <f t="shared" si="35"/>
        <v>-20924490.680000007</v>
      </c>
      <c r="AK23" s="537">
        <f t="shared" si="35"/>
        <v>-21172415.980000008</v>
      </c>
      <c r="AL23" s="537">
        <f t="shared" si="35"/>
        <v>-21420456.170000009</v>
      </c>
      <c r="AM23" s="537">
        <f t="shared" ref="AM23:AR23" si="36">SUM(AM18:AM22)</f>
        <v>-21670282.020000011</v>
      </c>
      <c r="AN23" s="537">
        <f t="shared" si="36"/>
        <v>-21920265.980000004</v>
      </c>
      <c r="AO23" s="537">
        <f t="shared" si="36"/>
        <v>-22171699.990000002</v>
      </c>
      <c r="AP23" s="537">
        <f t="shared" si="36"/>
        <v>-22424489.220000003</v>
      </c>
      <c r="AQ23" s="537">
        <f t="shared" si="36"/>
        <v>-22677701.690000005</v>
      </c>
      <c r="AR23" s="537">
        <f t="shared" si="36"/>
        <v>-22930994.210000012</v>
      </c>
      <c r="AS23" s="537">
        <f t="shared" ref="AS23:AX23" si="37">SUM(AS18:AS22)</f>
        <v>-23181668.580000009</v>
      </c>
      <c r="AT23" s="537">
        <f t="shared" si="37"/>
        <v>-23437418.980000008</v>
      </c>
      <c r="AU23" s="537">
        <f t="shared" si="37"/>
        <v>-23693410.680000007</v>
      </c>
      <c r="AV23" s="537">
        <f t="shared" si="37"/>
        <v>-23949596.430000007</v>
      </c>
      <c r="AW23" s="537">
        <f t="shared" si="37"/>
        <v>-24210291.670000006</v>
      </c>
      <c r="AX23" s="537">
        <f t="shared" si="37"/>
        <v>-23470205.330000002</v>
      </c>
      <c r="AY23" s="537">
        <f t="shared" ref="AY23:BD23" si="38">SUM(AY18:AY22)</f>
        <v>-23737065.870000005</v>
      </c>
      <c r="AZ23" s="537">
        <f t="shared" si="38"/>
        <v>-24004246.140000001</v>
      </c>
      <c r="BA23" s="537">
        <f t="shared" si="38"/>
        <v>-24275086.240000002</v>
      </c>
      <c r="BB23" s="537">
        <f t="shared" si="38"/>
        <v>-24546049.260000002</v>
      </c>
      <c r="BC23" s="537">
        <f t="shared" si="38"/>
        <v>-24818027.210000001</v>
      </c>
      <c r="BD23" s="537">
        <f t="shared" si="38"/>
        <v>-25091358.780000001</v>
      </c>
      <c r="BE23" s="537">
        <f t="shared" ref="BE23:BJ23" si="39">SUM(BE18:BE22)</f>
        <v>-25365604.800000004</v>
      </c>
      <c r="BF23" s="537">
        <f t="shared" si="39"/>
        <v>-25639797.430000007</v>
      </c>
      <c r="BG23" s="537">
        <f t="shared" si="39"/>
        <v>-25841203.520000003</v>
      </c>
      <c r="BH23" s="537">
        <f t="shared" si="39"/>
        <v>-26122416.090000004</v>
      </c>
      <c r="BI23" s="537">
        <f t="shared" si="39"/>
        <v>-26405809.670000002</v>
      </c>
      <c r="BJ23" s="537">
        <f t="shared" si="39"/>
        <v>-26690446.120000001</v>
      </c>
      <c r="BK23" s="537">
        <f>SUM(BK18:BK22)</f>
        <v>-26366183.630000003</v>
      </c>
      <c r="BL23" s="537">
        <f>SUM(BL18:BL22)</f>
        <v>-26662642.400000002</v>
      </c>
      <c r="BM23" s="1146">
        <f>SUM(BM18:BM22)</f>
        <v>-26962972.469999999</v>
      </c>
      <c r="BN23" s="1146">
        <f>SUM(BN18:BN22)</f>
        <v>-27264172.200000003</v>
      </c>
      <c r="BO23" s="1146">
        <f>SUM(BO18:BO22)</f>
        <v>-27565852.52</v>
      </c>
      <c r="BP23" s="1146">
        <f t="shared" ref="BP23:BV23" si="40">SUM(BP18:BP22)</f>
        <v>-27867878.380000003</v>
      </c>
      <c r="BQ23" s="1146">
        <f t="shared" si="40"/>
        <v>-28171719.280000001</v>
      </c>
      <c r="BR23" s="1146">
        <f t="shared" si="40"/>
        <v>-28475935.370000005</v>
      </c>
      <c r="BS23" s="1146">
        <f t="shared" si="40"/>
        <v>-28770614.629999999</v>
      </c>
      <c r="BT23" s="1146">
        <f t="shared" si="40"/>
        <v>-29074454.899999999</v>
      </c>
      <c r="BU23" s="1146">
        <f t="shared" si="40"/>
        <v>-29470370.59</v>
      </c>
      <c r="BV23" s="1146">
        <f t="shared" si="40"/>
        <v>-29782853.659999996</v>
      </c>
      <c r="BW23" s="1146">
        <f t="shared" ref="BW23:CB23" si="41">SUM(BW18:BW22)</f>
        <v>-30174487.309999995</v>
      </c>
      <c r="BX23" s="1146">
        <f t="shared" si="41"/>
        <v>-28212595.409999996</v>
      </c>
      <c r="BY23" s="1146">
        <f t="shared" si="41"/>
        <v>-28585256.359999999</v>
      </c>
      <c r="BZ23" s="1146">
        <f t="shared" si="41"/>
        <v>-28972176.920000002</v>
      </c>
      <c r="CA23" s="1146">
        <f t="shared" si="41"/>
        <v>-29374759.359999999</v>
      </c>
      <c r="CB23" s="1146">
        <f t="shared" si="41"/>
        <v>-29778733.789999999</v>
      </c>
      <c r="CC23" s="1146">
        <f t="shared" ref="CC23:CI23" si="42">SUM(CC18:CC22)</f>
        <v>-30184211.48</v>
      </c>
      <c r="CD23" s="1146">
        <f t="shared" si="42"/>
        <v>-30591289.109999999</v>
      </c>
      <c r="CE23" s="1146">
        <f t="shared" si="42"/>
        <v>-30999397.619999997</v>
      </c>
      <c r="CF23" s="1146">
        <f t="shared" si="42"/>
        <v>-31407690.75</v>
      </c>
      <c r="CG23" s="1146">
        <f t="shared" si="42"/>
        <v>-31816448.060000006</v>
      </c>
      <c r="CH23" s="1146">
        <f t="shared" si="42"/>
        <v>-32225423.100000001</v>
      </c>
      <c r="CI23" s="1147">
        <f t="shared" si="42"/>
        <v>-30161947.917692311</v>
      </c>
      <c r="CJ23" s="531"/>
      <c r="CK23" s="1150">
        <f>SUM(CK18:CK22)</f>
        <v>-391787.48325107398</v>
      </c>
      <c r="CL23" s="1150">
        <f>SUM(CL18:CL22)</f>
        <v>-398351.57153822511</v>
      </c>
      <c r="CM23" s="1137"/>
    </row>
    <row r="24" spans="1:91" ht="13.5" thickTop="1">
      <c r="A24" s="529" t="s">
        <v>1716</v>
      </c>
      <c r="BM24" s="1137"/>
      <c r="BN24" s="1137"/>
      <c r="BO24" s="1137"/>
      <c r="BP24" s="1137"/>
      <c r="BQ24" s="1137"/>
      <c r="BR24" s="1137"/>
      <c r="BS24" s="1137"/>
      <c r="BT24" s="1137"/>
      <c r="BU24" s="1137"/>
      <c r="BV24" s="1137"/>
      <c r="BW24" s="1137"/>
      <c r="BX24" s="1137"/>
      <c r="BY24" s="1137"/>
      <c r="BZ24" s="1137"/>
      <c r="CA24" s="1137"/>
      <c r="CB24" s="1137"/>
      <c r="CC24" s="1137"/>
      <c r="CD24" s="1137"/>
      <c r="CE24" s="1137"/>
      <c r="CF24" s="1137"/>
      <c r="CG24" s="1137"/>
      <c r="CH24" s="1137"/>
      <c r="CI24" s="1138"/>
      <c r="CK24" s="1137"/>
      <c r="CL24" s="1137"/>
      <c r="CM24" s="1137"/>
    </row>
    <row r="25" spans="1:91">
      <c r="CI25" s="1058"/>
    </row>
    <row r="26" spans="1:91">
      <c r="A26" s="1132"/>
      <c r="B26" s="1133"/>
      <c r="C26" s="530">
        <v>2015</v>
      </c>
      <c r="D26" s="530">
        <v>2015</v>
      </c>
      <c r="E26" s="530">
        <v>2015</v>
      </c>
      <c r="F26" s="530">
        <v>2015</v>
      </c>
      <c r="G26" s="530">
        <v>2015</v>
      </c>
      <c r="H26" s="530">
        <v>2015</v>
      </c>
      <c r="I26" s="530">
        <v>2015</v>
      </c>
      <c r="J26" s="530">
        <v>2015</v>
      </c>
      <c r="K26" s="530">
        <v>2015</v>
      </c>
      <c r="L26" s="530">
        <v>2015</v>
      </c>
      <c r="M26" s="530">
        <v>2015</v>
      </c>
      <c r="N26" s="530">
        <v>2015</v>
      </c>
      <c r="O26" s="530">
        <v>2016</v>
      </c>
      <c r="P26" s="530">
        <v>2016</v>
      </c>
      <c r="Q26" s="530">
        <v>2016</v>
      </c>
      <c r="R26" s="530">
        <v>2016</v>
      </c>
      <c r="S26" s="530">
        <v>2016</v>
      </c>
      <c r="T26" s="530">
        <v>2016</v>
      </c>
      <c r="U26" s="530">
        <v>2016</v>
      </c>
      <c r="V26" s="530">
        <v>2016</v>
      </c>
      <c r="W26" s="530">
        <v>2016</v>
      </c>
      <c r="X26" s="530">
        <v>2016</v>
      </c>
      <c r="Y26" s="530">
        <v>2016</v>
      </c>
      <c r="Z26" s="530">
        <v>2016</v>
      </c>
      <c r="AA26" s="530">
        <f t="shared" ref="AA26:AF26" si="43">+AA3</f>
        <v>2017</v>
      </c>
      <c r="AB26" s="530">
        <f t="shared" si="43"/>
        <v>2017</v>
      </c>
      <c r="AC26" s="530">
        <f t="shared" si="43"/>
        <v>2017</v>
      </c>
      <c r="AD26" s="530">
        <f t="shared" si="43"/>
        <v>2017</v>
      </c>
      <c r="AE26" s="530">
        <f t="shared" si="43"/>
        <v>2017</v>
      </c>
      <c r="AF26" s="530">
        <f t="shared" si="43"/>
        <v>2017</v>
      </c>
      <c r="AG26" s="530">
        <f t="shared" ref="AG26:AI27" si="44">+AG3</f>
        <v>2017</v>
      </c>
      <c r="AH26" s="530">
        <f t="shared" si="44"/>
        <v>2017</v>
      </c>
      <c r="AI26" s="530">
        <f t="shared" si="44"/>
        <v>2017</v>
      </c>
      <c r="AJ26" s="530">
        <f t="shared" ref="AJ26:AL27" si="45">+AJ3</f>
        <v>2017</v>
      </c>
      <c r="AK26" s="530">
        <f t="shared" si="45"/>
        <v>2017</v>
      </c>
      <c r="AL26" s="530">
        <f t="shared" si="45"/>
        <v>2017</v>
      </c>
      <c r="AM26" s="530">
        <f t="shared" ref="AM26:AO27" si="46">+AM3</f>
        <v>2018</v>
      </c>
      <c r="AN26" s="530">
        <f t="shared" si="46"/>
        <v>2018</v>
      </c>
      <c r="AO26" s="530">
        <f t="shared" si="46"/>
        <v>2018</v>
      </c>
      <c r="AP26" s="530">
        <f t="shared" ref="AP26:AR27" si="47">+AP3</f>
        <v>2018</v>
      </c>
      <c r="AQ26" s="530">
        <f t="shared" si="47"/>
        <v>2018</v>
      </c>
      <c r="AR26" s="530">
        <f t="shared" si="47"/>
        <v>2018</v>
      </c>
      <c r="AS26" s="530">
        <f t="shared" ref="AS26:AU27" si="48">+AS3</f>
        <v>2018</v>
      </c>
      <c r="AT26" s="530">
        <f t="shared" si="48"/>
        <v>2018</v>
      </c>
      <c r="AU26" s="530">
        <f t="shared" si="48"/>
        <v>2018</v>
      </c>
      <c r="AV26" s="530">
        <f t="shared" ref="AV26:AX27" si="49">+AV3</f>
        <v>2018</v>
      </c>
      <c r="AW26" s="530">
        <f t="shared" si="49"/>
        <v>2018</v>
      </c>
      <c r="AX26" s="530">
        <f t="shared" si="49"/>
        <v>2018</v>
      </c>
      <c r="AY26" s="530">
        <f t="shared" ref="AY26:BB27" si="50">+AY3</f>
        <v>2019</v>
      </c>
      <c r="AZ26" s="530">
        <f t="shared" si="50"/>
        <v>2019</v>
      </c>
      <c r="BA26" s="530">
        <f t="shared" si="50"/>
        <v>2019</v>
      </c>
      <c r="BB26" s="530">
        <f t="shared" si="50"/>
        <v>2019</v>
      </c>
      <c r="BC26" s="530">
        <f t="shared" ref="BC26:BG27" si="51">+BC3</f>
        <v>2019</v>
      </c>
      <c r="BD26" s="530">
        <f t="shared" si="51"/>
        <v>2019</v>
      </c>
      <c r="BE26" s="530">
        <f t="shared" si="51"/>
        <v>2019</v>
      </c>
      <c r="BF26" s="530">
        <f t="shared" si="51"/>
        <v>2019</v>
      </c>
      <c r="BG26" s="530">
        <f t="shared" si="51"/>
        <v>2019</v>
      </c>
      <c r="BH26" s="530">
        <f t="shared" ref="BH26:BJ27" si="52">+BH3</f>
        <v>2019</v>
      </c>
      <c r="BI26" s="530">
        <f t="shared" si="52"/>
        <v>2019</v>
      </c>
      <c r="BJ26" s="530">
        <f t="shared" si="52"/>
        <v>2019</v>
      </c>
      <c r="BK26" s="530" t="str">
        <f t="shared" ref="BK26:BM27" si="53">+BK3</f>
        <v>2020</v>
      </c>
      <c r="BL26" s="530" t="str">
        <f t="shared" si="53"/>
        <v>2020</v>
      </c>
      <c r="BM26" s="530" t="str">
        <f t="shared" si="53"/>
        <v>2020</v>
      </c>
      <c r="BN26" s="530" t="str">
        <f t="shared" ref="BN26:BP27" si="54">+BN3</f>
        <v>2020</v>
      </c>
      <c r="BO26" s="530" t="str">
        <f t="shared" si="54"/>
        <v>2020</v>
      </c>
      <c r="BP26" s="530" t="str">
        <f t="shared" si="54"/>
        <v>2020</v>
      </c>
      <c r="BQ26" s="530" t="str">
        <f t="shared" ref="BQ26:BS27" si="55">+BQ3</f>
        <v>2020</v>
      </c>
      <c r="BR26" s="530" t="str">
        <f t="shared" si="55"/>
        <v>2020</v>
      </c>
      <c r="BS26" s="530" t="str">
        <f t="shared" si="55"/>
        <v>2020</v>
      </c>
      <c r="BT26" s="530" t="str">
        <f t="shared" ref="BT26:BV27" si="56">+BT3</f>
        <v>2020</v>
      </c>
      <c r="BU26" s="530" t="str">
        <f t="shared" si="56"/>
        <v>2020</v>
      </c>
      <c r="BV26" s="530" t="str">
        <f t="shared" si="56"/>
        <v>2020</v>
      </c>
      <c r="BW26" s="530">
        <f t="shared" ref="BW26:BY27" si="57">+BW3</f>
        <v>2021</v>
      </c>
      <c r="BX26" s="530">
        <f t="shared" si="57"/>
        <v>2021</v>
      </c>
      <c r="BY26" s="530">
        <f t="shared" si="57"/>
        <v>2021</v>
      </c>
      <c r="BZ26" s="530">
        <f t="shared" ref="BZ26:CB27" si="58">+BZ3</f>
        <v>2021</v>
      </c>
      <c r="CA26" s="530">
        <f t="shared" si="58"/>
        <v>2021</v>
      </c>
      <c r="CB26" s="530">
        <f t="shared" si="58"/>
        <v>2021</v>
      </c>
      <c r="CC26" s="530">
        <f t="shared" ref="CC26:CE27" si="59">+CC3</f>
        <v>2021</v>
      </c>
      <c r="CD26" s="530">
        <f t="shared" si="59"/>
        <v>2021</v>
      </c>
      <c r="CE26" s="530">
        <f t="shared" si="59"/>
        <v>2021</v>
      </c>
      <c r="CF26" s="530">
        <f t="shared" ref="CF26:CH27" si="60">+CF3</f>
        <v>2021</v>
      </c>
      <c r="CG26" s="530">
        <f t="shared" si="60"/>
        <v>2021</v>
      </c>
      <c r="CH26" s="530">
        <f t="shared" si="60"/>
        <v>2021</v>
      </c>
      <c r="CI26" s="1144" t="s">
        <v>1830</v>
      </c>
      <c r="CJ26" s="1133" t="s">
        <v>1715</v>
      </c>
      <c r="CK26" s="1133" t="s">
        <v>1731</v>
      </c>
      <c r="CL26" s="545"/>
    </row>
    <row r="27" spans="1:91">
      <c r="A27" s="1134" t="s">
        <v>1732</v>
      </c>
      <c r="B27" s="1135"/>
      <c r="C27" s="532" t="s">
        <v>1719</v>
      </c>
      <c r="D27" s="532" t="s">
        <v>1720</v>
      </c>
      <c r="E27" s="532" t="s">
        <v>1721</v>
      </c>
      <c r="F27" s="532" t="s">
        <v>1722</v>
      </c>
      <c r="G27" s="532" t="s">
        <v>476</v>
      </c>
      <c r="H27" s="532" t="s">
        <v>1723</v>
      </c>
      <c r="I27" s="532" t="s">
        <v>1724</v>
      </c>
      <c r="J27" s="532" t="s">
        <v>1725</v>
      </c>
      <c r="K27" s="532" t="s">
        <v>1726</v>
      </c>
      <c r="L27" s="532" t="s">
        <v>1727</v>
      </c>
      <c r="M27" s="532" t="s">
        <v>1728</v>
      </c>
      <c r="N27" s="532" t="s">
        <v>1718</v>
      </c>
      <c r="O27" s="532" t="s">
        <v>1719</v>
      </c>
      <c r="P27" s="532" t="s">
        <v>1720</v>
      </c>
      <c r="Q27" s="532" t="s">
        <v>1721</v>
      </c>
      <c r="R27" s="532" t="s">
        <v>1722</v>
      </c>
      <c r="S27" s="532" t="s">
        <v>476</v>
      </c>
      <c r="T27" s="532" t="s">
        <v>1723</v>
      </c>
      <c r="U27" s="532" t="s">
        <v>1724</v>
      </c>
      <c r="V27" s="532" t="s">
        <v>1725</v>
      </c>
      <c r="W27" s="532" t="s">
        <v>1729</v>
      </c>
      <c r="X27" s="532" t="s">
        <v>1727</v>
      </c>
      <c r="Y27" s="532" t="s">
        <v>1728</v>
      </c>
      <c r="Z27" s="532" t="s">
        <v>1718</v>
      </c>
      <c r="AA27" s="532" t="s">
        <v>1719</v>
      </c>
      <c r="AB27" s="532" t="s">
        <v>1720</v>
      </c>
      <c r="AC27" s="532" t="s">
        <v>1721</v>
      </c>
      <c r="AD27" s="532" t="str">
        <f>+AD4</f>
        <v>Apr</v>
      </c>
      <c r="AE27" s="532" t="str">
        <f>+AE4</f>
        <v>May</v>
      </c>
      <c r="AF27" s="532" t="str">
        <f>+AF4</f>
        <v>Jun</v>
      </c>
      <c r="AG27" s="532" t="str">
        <f t="shared" si="44"/>
        <v>Jul</v>
      </c>
      <c r="AH27" s="532" t="str">
        <f t="shared" si="44"/>
        <v>Aug</v>
      </c>
      <c r="AI27" s="532" t="str">
        <f t="shared" si="44"/>
        <v>Sep</v>
      </c>
      <c r="AJ27" s="532" t="str">
        <f t="shared" si="45"/>
        <v>Oct</v>
      </c>
      <c r="AK27" s="532" t="str">
        <f t="shared" si="45"/>
        <v>Nov</v>
      </c>
      <c r="AL27" s="532" t="str">
        <f t="shared" si="45"/>
        <v>Dec</v>
      </c>
      <c r="AM27" s="532" t="str">
        <f t="shared" si="46"/>
        <v>Jan</v>
      </c>
      <c r="AN27" s="532" t="str">
        <f t="shared" si="46"/>
        <v>Feb</v>
      </c>
      <c r="AO27" s="532" t="str">
        <f t="shared" si="46"/>
        <v xml:space="preserve">Mar </v>
      </c>
      <c r="AP27" s="532" t="str">
        <f t="shared" si="47"/>
        <v>Apr</v>
      </c>
      <c r="AQ27" s="532" t="str">
        <f t="shared" si="47"/>
        <v>May</v>
      </c>
      <c r="AR27" s="532" t="str">
        <f t="shared" si="47"/>
        <v>Jun</v>
      </c>
      <c r="AS27" s="532" t="str">
        <f t="shared" si="48"/>
        <v>Jul</v>
      </c>
      <c r="AT27" s="532" t="str">
        <f t="shared" si="48"/>
        <v>Aug</v>
      </c>
      <c r="AU27" s="532" t="str">
        <f t="shared" si="48"/>
        <v>Sep</v>
      </c>
      <c r="AV27" s="532" t="str">
        <f t="shared" si="49"/>
        <v>Oct</v>
      </c>
      <c r="AW27" s="532" t="str">
        <f t="shared" si="49"/>
        <v>Nov</v>
      </c>
      <c r="AX27" s="532" t="str">
        <f t="shared" si="49"/>
        <v>Dec</v>
      </c>
      <c r="AY27" s="532" t="str">
        <f t="shared" si="50"/>
        <v>Jan</v>
      </c>
      <c r="AZ27" s="532" t="str">
        <f t="shared" si="50"/>
        <v>Feb</v>
      </c>
      <c r="BA27" s="532" t="str">
        <f t="shared" si="50"/>
        <v>Mar</v>
      </c>
      <c r="BB27" s="532" t="str">
        <f t="shared" si="50"/>
        <v>Apr</v>
      </c>
      <c r="BC27" s="532" t="str">
        <f t="shared" si="51"/>
        <v>May</v>
      </c>
      <c r="BD27" s="532" t="str">
        <f t="shared" si="51"/>
        <v>Jun</v>
      </c>
      <c r="BE27" s="532" t="str">
        <f t="shared" si="51"/>
        <v>Jul</v>
      </c>
      <c r="BF27" s="532" t="str">
        <f t="shared" si="51"/>
        <v>Aug</v>
      </c>
      <c r="BG27" s="532" t="str">
        <f t="shared" si="51"/>
        <v>Sep</v>
      </c>
      <c r="BH27" s="532" t="str">
        <f t="shared" si="52"/>
        <v>Oct</v>
      </c>
      <c r="BI27" s="532" t="str">
        <f t="shared" si="52"/>
        <v>Nov</v>
      </c>
      <c r="BJ27" s="532" t="str">
        <f t="shared" si="52"/>
        <v>Dec</v>
      </c>
      <c r="BK27" s="532" t="str">
        <f t="shared" si="53"/>
        <v>Jan</v>
      </c>
      <c r="BL27" s="532" t="str">
        <f t="shared" si="53"/>
        <v>Feb</v>
      </c>
      <c r="BM27" s="532" t="str">
        <f t="shared" si="53"/>
        <v>Mar</v>
      </c>
      <c r="BN27" s="532" t="str">
        <f t="shared" si="54"/>
        <v>Apr</v>
      </c>
      <c r="BO27" s="532" t="str">
        <f t="shared" si="54"/>
        <v>May</v>
      </c>
      <c r="BP27" s="532" t="str">
        <f t="shared" si="54"/>
        <v>Jun</v>
      </c>
      <c r="BQ27" s="532" t="str">
        <f t="shared" si="55"/>
        <v>Jul</v>
      </c>
      <c r="BR27" s="532" t="str">
        <f t="shared" si="55"/>
        <v>Aug</v>
      </c>
      <c r="BS27" s="532" t="str">
        <f t="shared" si="55"/>
        <v>Sep</v>
      </c>
      <c r="BT27" s="532" t="str">
        <f t="shared" si="56"/>
        <v>Oct</v>
      </c>
      <c r="BU27" s="532" t="str">
        <f t="shared" si="56"/>
        <v>Nov</v>
      </c>
      <c r="BV27" s="532" t="str">
        <f t="shared" si="56"/>
        <v>Dec</v>
      </c>
      <c r="BW27" s="532" t="str">
        <f t="shared" si="57"/>
        <v>Jan</v>
      </c>
      <c r="BX27" s="532" t="str">
        <f t="shared" si="57"/>
        <v>Feb</v>
      </c>
      <c r="BY27" s="532" t="str">
        <f t="shared" si="57"/>
        <v>Mar</v>
      </c>
      <c r="BZ27" s="532" t="str">
        <f t="shared" si="58"/>
        <v>Apr</v>
      </c>
      <c r="CA27" s="532" t="str">
        <f t="shared" si="58"/>
        <v>May</v>
      </c>
      <c r="CB27" s="532" t="str">
        <f t="shared" si="58"/>
        <v>Jun</v>
      </c>
      <c r="CC27" s="532" t="str">
        <f t="shared" si="59"/>
        <v>Jul</v>
      </c>
      <c r="CD27" s="532" t="str">
        <f t="shared" si="59"/>
        <v>Aug</v>
      </c>
      <c r="CE27" s="532" t="str">
        <f t="shared" si="59"/>
        <v>Sept</v>
      </c>
      <c r="CF27" s="532" t="str">
        <f t="shared" si="60"/>
        <v>Oct</v>
      </c>
      <c r="CG27" s="532" t="str">
        <f t="shared" si="60"/>
        <v>Nov</v>
      </c>
      <c r="CH27" s="532" t="str">
        <f t="shared" si="60"/>
        <v>Dec</v>
      </c>
      <c r="CI27" s="1145" t="s">
        <v>1</v>
      </c>
      <c r="CJ27" s="1135" t="s">
        <v>108</v>
      </c>
      <c r="CK27" s="1135" t="s">
        <v>1715</v>
      </c>
      <c r="CL27" s="546"/>
    </row>
    <row r="28" spans="1:91">
      <c r="A28" s="531"/>
      <c r="B28" s="551" t="str">
        <f>+B5</f>
        <v>updated through Dec '21</v>
      </c>
      <c r="CI28" s="1059"/>
      <c r="CJ28" s="1143"/>
      <c r="CK28" s="531"/>
      <c r="CL28" s="533"/>
    </row>
    <row r="29" spans="1:91" ht="15">
      <c r="A29" s="531" t="s">
        <v>2501</v>
      </c>
      <c r="B29" s="531"/>
      <c r="C29" s="538">
        <v>149742.79999999999</v>
      </c>
      <c r="D29" s="538">
        <v>149742.79999999999</v>
      </c>
      <c r="E29" s="538">
        <v>129897.73000000001</v>
      </c>
      <c r="F29" s="538">
        <v>130668.17</v>
      </c>
      <c r="G29" s="538">
        <v>140998.29999999999</v>
      </c>
      <c r="H29" s="538">
        <v>140953.93</v>
      </c>
      <c r="I29" s="538">
        <v>141018.96</v>
      </c>
      <c r="J29" s="538">
        <v>142115.91</v>
      </c>
      <c r="K29" s="538">
        <v>142633.75</v>
      </c>
      <c r="L29" s="538">
        <v>143272.56</v>
      </c>
      <c r="M29" s="538">
        <v>142894.15</v>
      </c>
      <c r="N29" s="538">
        <v>142955.69</v>
      </c>
      <c r="O29" s="536">
        <v>145804.78</v>
      </c>
      <c r="P29" s="536">
        <v>145804.78</v>
      </c>
      <c r="Q29" s="536">
        <v>145804.78</v>
      </c>
      <c r="R29" s="536">
        <v>145726.73000000001</v>
      </c>
      <c r="S29" s="536">
        <v>145726.73000000001</v>
      </c>
      <c r="T29" s="553">
        <v>145726.73000000001</v>
      </c>
      <c r="U29" s="553">
        <v>147686.51</v>
      </c>
      <c r="V29" s="553">
        <v>155289.78</v>
      </c>
      <c r="W29" s="553">
        <v>155296.44999999998</v>
      </c>
      <c r="X29" s="553">
        <v>155458.51999999999</v>
      </c>
      <c r="Y29" s="553">
        <v>156008.22999999998</v>
      </c>
      <c r="Z29" s="553">
        <v>156514.70000000001</v>
      </c>
      <c r="AA29" s="553">
        <v>151559.9</v>
      </c>
      <c r="AB29" s="553">
        <v>151559.9</v>
      </c>
      <c r="AC29" s="553">
        <v>151559.9</v>
      </c>
      <c r="AD29" s="553">
        <v>150887.66</v>
      </c>
      <c r="AE29" s="553">
        <v>150887.66</v>
      </c>
      <c r="AF29" s="553">
        <v>150887.66</v>
      </c>
      <c r="AG29" s="553">
        <v>151196</v>
      </c>
      <c r="AH29" s="553">
        <v>151210.1</v>
      </c>
      <c r="AI29" s="553">
        <v>151555.72</v>
      </c>
      <c r="AJ29" s="553">
        <v>151560.73000000001</v>
      </c>
      <c r="AK29" s="553">
        <v>151560.73000000001</v>
      </c>
      <c r="AL29" s="553">
        <v>151560.73000000001</v>
      </c>
      <c r="AM29" s="553">
        <v>153149.88</v>
      </c>
      <c r="AN29" s="553">
        <v>153151.35</v>
      </c>
      <c r="AO29" s="553">
        <v>153166.49000000002</v>
      </c>
      <c r="AP29" s="553">
        <v>153181.87000000002</v>
      </c>
      <c r="AQ29" s="553">
        <v>153203.80000000002</v>
      </c>
      <c r="AR29" s="553">
        <v>153212.75</v>
      </c>
      <c r="AS29" s="553">
        <v>153434.93000000002</v>
      </c>
      <c r="AT29" s="553">
        <v>155048.07</v>
      </c>
      <c r="AU29" s="553">
        <v>155209.24000000002</v>
      </c>
      <c r="AV29" s="553">
        <v>155396.29</v>
      </c>
      <c r="AW29" s="553">
        <v>159838.99000000002</v>
      </c>
      <c r="AX29" s="553">
        <v>160037.96000000002</v>
      </c>
      <c r="AY29" s="553">
        <v>164417.12</v>
      </c>
      <c r="AZ29" s="553">
        <v>164910.75</v>
      </c>
      <c r="BA29" s="553">
        <v>164778.53</v>
      </c>
      <c r="BB29" s="553">
        <v>164766.03</v>
      </c>
      <c r="BC29" s="553">
        <v>164817.38</v>
      </c>
      <c r="BD29" s="553">
        <v>164934.76999999999</v>
      </c>
      <c r="BE29" s="553">
        <v>164941.4</v>
      </c>
      <c r="BF29" s="553">
        <v>164865.63</v>
      </c>
      <c r="BG29" s="553">
        <v>164932.26999999999</v>
      </c>
      <c r="BH29" s="553">
        <v>171195.69</v>
      </c>
      <c r="BI29" s="553">
        <v>171835.57</v>
      </c>
      <c r="BJ29" s="553">
        <v>172870.61</v>
      </c>
      <c r="BK29" s="553">
        <v>178747.14</v>
      </c>
      <c r="BL29" s="553">
        <v>176610.09</v>
      </c>
      <c r="BM29" s="1140">
        <v>177731.65</v>
      </c>
      <c r="BN29" s="1140">
        <v>177764.36</v>
      </c>
      <c r="BO29" s="1140">
        <v>177778.24</v>
      </c>
      <c r="BP29" s="1140">
        <v>177894.57</v>
      </c>
      <c r="BQ29" s="1140">
        <v>178647.3</v>
      </c>
      <c r="BR29" s="1140">
        <v>178763.14</v>
      </c>
      <c r="BS29" s="1140">
        <v>178731.35</v>
      </c>
      <c r="BT29" s="1140">
        <v>178908.47</v>
      </c>
      <c r="BU29" s="1140">
        <v>269382.26</v>
      </c>
      <c r="BV29" s="1140">
        <v>269802.19</v>
      </c>
      <c r="BW29" s="1140">
        <v>265747.17000000004</v>
      </c>
      <c r="BX29" s="1140">
        <v>265982.07</v>
      </c>
      <c r="BY29" s="1140">
        <v>266314.16000000003</v>
      </c>
      <c r="BZ29" s="1140">
        <v>280502.60000000003</v>
      </c>
      <c r="CA29" s="1140">
        <v>296156.27</v>
      </c>
      <c r="CB29" s="1140">
        <v>297551.17000000004</v>
      </c>
      <c r="CC29" s="1140">
        <v>298991.75</v>
      </c>
      <c r="CD29" s="1140">
        <v>300415.01</v>
      </c>
      <c r="CE29" s="1140">
        <v>300966.79000000004</v>
      </c>
      <c r="CF29" s="1140">
        <v>301122.65000000002</v>
      </c>
      <c r="CG29" s="1140">
        <v>301267.88000000006</v>
      </c>
      <c r="CH29" s="1140">
        <v>301465.25000000006</v>
      </c>
      <c r="CI29" s="1057">
        <f>SUM(BW29:CH29)</f>
        <v>3476482.77</v>
      </c>
      <c r="CJ29" s="1141">
        <v>4.6151920293143725E-4</v>
      </c>
      <c r="CK29" s="1054">
        <f>CI29*$CJ$29</f>
        <v>1604.463557015275</v>
      </c>
      <c r="CL29" s="547"/>
    </row>
    <row r="30" spans="1:91" ht="15">
      <c r="A30" s="531" t="s">
        <v>2502</v>
      </c>
      <c r="B30" s="531"/>
      <c r="C30" s="538">
        <v>2092.2999999999997</v>
      </c>
      <c r="D30" s="538">
        <v>2092.4</v>
      </c>
      <c r="E30" s="538">
        <v>2093.69</v>
      </c>
      <c r="F30" s="538">
        <v>2093.69</v>
      </c>
      <c r="G30" s="538">
        <v>3062.42</v>
      </c>
      <c r="H30" s="538">
        <v>3063.0199999999995</v>
      </c>
      <c r="I30" s="538">
        <v>3063.0199999999995</v>
      </c>
      <c r="J30" s="538">
        <v>3063.0199999999995</v>
      </c>
      <c r="K30" s="538">
        <v>3063.09</v>
      </c>
      <c r="L30" s="538">
        <v>3063.09</v>
      </c>
      <c r="M30" s="538">
        <v>3063.1800000000003</v>
      </c>
      <c r="N30" s="538">
        <v>3072.7799999999997</v>
      </c>
      <c r="O30" s="536">
        <v>3072.7799999999997</v>
      </c>
      <c r="P30" s="536">
        <v>3073.16</v>
      </c>
      <c r="Q30" s="536">
        <v>3075.7</v>
      </c>
      <c r="R30" s="536">
        <v>3087.1000000000004</v>
      </c>
      <c r="S30" s="536">
        <v>3089.17</v>
      </c>
      <c r="T30" s="553">
        <v>3089.76</v>
      </c>
      <c r="U30" s="553">
        <v>3089.8900000000003</v>
      </c>
      <c r="V30" s="553">
        <v>3089.8900000000003</v>
      </c>
      <c r="W30" s="553">
        <v>3089.8900000000003</v>
      </c>
      <c r="X30" s="553">
        <v>3089.8900000000003</v>
      </c>
      <c r="Y30" s="553">
        <v>4107.8599999999997</v>
      </c>
      <c r="Z30" s="553">
        <v>4111.8999999999996</v>
      </c>
      <c r="AA30" s="553">
        <v>4118.82</v>
      </c>
      <c r="AB30" s="553">
        <v>4119.0099999999993</v>
      </c>
      <c r="AC30" s="553">
        <v>4120.25</v>
      </c>
      <c r="AD30" s="553">
        <v>7200.97</v>
      </c>
      <c r="AE30" s="553">
        <v>6615.31</v>
      </c>
      <c r="AF30" s="553">
        <v>6641.86</v>
      </c>
      <c r="AG30" s="553">
        <v>6641.8599999999988</v>
      </c>
      <c r="AH30" s="553">
        <v>6641.6299999999983</v>
      </c>
      <c r="AI30" s="553">
        <v>6641.6299999999983</v>
      </c>
      <c r="AJ30" s="553">
        <v>6663.5199999999995</v>
      </c>
      <c r="AK30" s="553">
        <v>6755.2699999999995</v>
      </c>
      <c r="AL30" s="553">
        <v>6754.9199999999992</v>
      </c>
      <c r="AM30" s="553">
        <v>6754.9199999999992</v>
      </c>
      <c r="AN30" s="553">
        <v>6756.5599999999986</v>
      </c>
      <c r="AO30" s="553">
        <v>6764.3399999999992</v>
      </c>
      <c r="AP30" s="553">
        <v>7885.7299999999987</v>
      </c>
      <c r="AQ30" s="553">
        <v>8223.3499999999985</v>
      </c>
      <c r="AR30" s="553">
        <v>8231.66</v>
      </c>
      <c r="AS30" s="553">
        <v>7933.7599999999993</v>
      </c>
      <c r="AT30" s="553">
        <v>8272.369999999999</v>
      </c>
      <c r="AU30" s="553">
        <v>8272.7999999999993</v>
      </c>
      <c r="AV30" s="553">
        <v>8272.7999999999993</v>
      </c>
      <c r="AW30" s="553">
        <v>8272.7999999999993</v>
      </c>
      <c r="AX30" s="553">
        <v>8272.74</v>
      </c>
      <c r="AY30" s="553">
        <v>0</v>
      </c>
      <c r="AZ30" s="553">
        <v>0</v>
      </c>
      <c r="BA30" s="553">
        <v>0</v>
      </c>
      <c r="BB30" s="553">
        <v>0</v>
      </c>
      <c r="BC30" s="553">
        <v>0</v>
      </c>
      <c r="BD30" s="553">
        <v>0</v>
      </c>
      <c r="BE30" s="553">
        <v>0</v>
      </c>
      <c r="BF30" s="553">
        <v>0</v>
      </c>
      <c r="BG30" s="553">
        <v>0</v>
      </c>
      <c r="BH30" s="553">
        <v>0</v>
      </c>
      <c r="BI30" s="553">
        <v>0</v>
      </c>
      <c r="BJ30" s="553">
        <v>0</v>
      </c>
      <c r="BK30" s="553">
        <v>0</v>
      </c>
      <c r="BL30" s="553">
        <v>0</v>
      </c>
      <c r="BM30" s="1140">
        <v>0</v>
      </c>
      <c r="BN30" s="1140">
        <v>0</v>
      </c>
      <c r="BO30" s="1140">
        <v>0</v>
      </c>
      <c r="BP30" s="1140">
        <v>0</v>
      </c>
      <c r="BQ30" s="1140">
        <v>0</v>
      </c>
      <c r="BR30" s="1140">
        <v>0</v>
      </c>
      <c r="BS30" s="1140">
        <v>0</v>
      </c>
      <c r="BT30" s="1140">
        <v>0</v>
      </c>
      <c r="BU30" s="1140">
        <v>0</v>
      </c>
      <c r="BV30" s="1140">
        <v>0</v>
      </c>
      <c r="BW30" s="1140">
        <v>0</v>
      </c>
      <c r="BX30" s="1140">
        <v>0</v>
      </c>
      <c r="BY30" s="1140">
        <v>0</v>
      </c>
      <c r="BZ30" s="1140">
        <v>0</v>
      </c>
      <c r="CA30" s="1140">
        <v>0</v>
      </c>
      <c r="CB30" s="1140">
        <v>0</v>
      </c>
      <c r="CC30" s="1140">
        <v>0</v>
      </c>
      <c r="CD30" s="1140">
        <v>0</v>
      </c>
      <c r="CE30" s="1140">
        <v>0</v>
      </c>
      <c r="CF30" s="1140">
        <v>0</v>
      </c>
      <c r="CG30" s="1140">
        <v>0</v>
      </c>
      <c r="CH30" s="1140">
        <v>0</v>
      </c>
      <c r="CI30" s="1057">
        <f>SUM(BW30:CH30)</f>
        <v>0</v>
      </c>
      <c r="CJ30" s="1141">
        <v>8.1813451987416304E-3</v>
      </c>
      <c r="CK30" s="1055">
        <f>CI30*$CJ$30</f>
        <v>0</v>
      </c>
      <c r="CL30" s="548"/>
    </row>
    <row r="31" spans="1:91" ht="15">
      <c r="A31" s="531" t="s">
        <v>2503</v>
      </c>
      <c r="B31" s="531"/>
      <c r="C31" s="538">
        <v>39253.169999999991</v>
      </c>
      <c r="D31" s="538">
        <v>39253.169999999991</v>
      </c>
      <c r="E31" s="538">
        <v>39253.169999999991</v>
      </c>
      <c r="F31" s="538">
        <v>39253.169999999991</v>
      </c>
      <c r="G31" s="538">
        <v>39253.169999999991</v>
      </c>
      <c r="H31" s="538">
        <v>39253.169999999991</v>
      </c>
      <c r="I31" s="538">
        <v>39746.369999999995</v>
      </c>
      <c r="J31" s="538">
        <v>39767.229999999996</v>
      </c>
      <c r="K31" s="538">
        <v>39767.229999999996</v>
      </c>
      <c r="L31" s="538">
        <v>40381.199999999997</v>
      </c>
      <c r="M31" s="538">
        <v>40421.01</v>
      </c>
      <c r="N31" s="538">
        <v>40421.01</v>
      </c>
      <c r="O31" s="536">
        <v>40449.979999999996</v>
      </c>
      <c r="P31" s="536">
        <v>40469.209999999992</v>
      </c>
      <c r="Q31" s="536">
        <v>40551.329999999994</v>
      </c>
      <c r="R31" s="536">
        <v>40551.329999999994</v>
      </c>
      <c r="S31" s="536">
        <v>40551.329999999994</v>
      </c>
      <c r="T31" s="553">
        <v>40566.459999999992</v>
      </c>
      <c r="U31" s="553">
        <v>33853.1</v>
      </c>
      <c r="V31" s="553">
        <v>33909.81</v>
      </c>
      <c r="W31" s="553">
        <v>33909.81</v>
      </c>
      <c r="X31" s="553">
        <v>34057.269999999997</v>
      </c>
      <c r="Y31" s="553">
        <v>34057.269999999997</v>
      </c>
      <c r="Z31" s="553">
        <v>34069.079999999994</v>
      </c>
      <c r="AA31" s="553">
        <v>46039.99</v>
      </c>
      <c r="AB31" s="553">
        <v>46469.37999999999</v>
      </c>
      <c r="AC31" s="553">
        <v>46495.079999999994</v>
      </c>
      <c r="AD31" s="553">
        <v>46743.47</v>
      </c>
      <c r="AE31" s="553">
        <v>46846.26</v>
      </c>
      <c r="AF31" s="553">
        <v>46919.69</v>
      </c>
      <c r="AG31" s="553">
        <v>46974.37999999999</v>
      </c>
      <c r="AH31" s="553">
        <v>46976.579999999987</v>
      </c>
      <c r="AI31" s="553">
        <v>47431.899999999994</v>
      </c>
      <c r="AJ31" s="553">
        <v>47469.49</v>
      </c>
      <c r="AK31" s="553">
        <v>47533.06</v>
      </c>
      <c r="AL31" s="553">
        <v>47645.189999999995</v>
      </c>
      <c r="AM31" s="553">
        <v>47758.409999999996</v>
      </c>
      <c r="AN31" s="553">
        <v>47758.080000000002</v>
      </c>
      <c r="AO31" s="553">
        <v>47757.599999999999</v>
      </c>
      <c r="AP31" s="553">
        <v>47790.209999999992</v>
      </c>
      <c r="AQ31" s="553">
        <v>47801.939999999995</v>
      </c>
      <c r="AR31" s="553">
        <v>47864.73</v>
      </c>
      <c r="AS31" s="553">
        <v>47945.060000000005</v>
      </c>
      <c r="AT31" s="553">
        <v>48429.339999999989</v>
      </c>
      <c r="AU31" s="553">
        <v>48499.669999999991</v>
      </c>
      <c r="AV31" s="553">
        <v>48506.67</v>
      </c>
      <c r="AW31" s="553">
        <v>48539.679999999993</v>
      </c>
      <c r="AX31" s="553">
        <v>48605.619999999995</v>
      </c>
      <c r="AY31" s="553">
        <v>48757.439999999995</v>
      </c>
      <c r="AZ31" s="553">
        <v>48769.839999999989</v>
      </c>
      <c r="BA31" s="553">
        <v>48749.999999999993</v>
      </c>
      <c r="BB31" s="553">
        <v>48821.299999999996</v>
      </c>
      <c r="BC31" s="553">
        <v>49423.939999999988</v>
      </c>
      <c r="BD31" s="553">
        <v>50325.959999999992</v>
      </c>
      <c r="BE31" s="553">
        <v>51233.779999999992</v>
      </c>
      <c r="BF31" s="553">
        <v>51268.209999999992</v>
      </c>
      <c r="BG31" s="553">
        <v>51403.749999999993</v>
      </c>
      <c r="BH31" s="553">
        <v>51731.499999999993</v>
      </c>
      <c r="BI31" s="553">
        <v>51853.19999999999</v>
      </c>
      <c r="BJ31" s="553">
        <v>52019.89999999998</v>
      </c>
      <c r="BK31" s="553">
        <v>52335.969999999987</v>
      </c>
      <c r="BL31" s="553">
        <v>51933.919999999991</v>
      </c>
      <c r="BM31" s="1140">
        <v>51954.44999999999</v>
      </c>
      <c r="BN31" s="1140">
        <v>52176.279999999992</v>
      </c>
      <c r="BO31" s="1140">
        <v>52456.649999999987</v>
      </c>
      <c r="BP31" s="1140">
        <v>52458.619999999988</v>
      </c>
      <c r="BQ31" s="1140">
        <v>52456.139999999992</v>
      </c>
      <c r="BR31" s="1140">
        <v>52556.029999999984</v>
      </c>
      <c r="BS31" s="1140">
        <v>52617.959999999985</v>
      </c>
      <c r="BT31" s="1140">
        <v>52598.119999999988</v>
      </c>
      <c r="BU31" s="1140">
        <v>52612.069999999985</v>
      </c>
      <c r="BV31" s="1140">
        <v>52682.419999999991</v>
      </c>
      <c r="BW31" s="1140">
        <v>59135.299999999996</v>
      </c>
      <c r="BX31" s="1140">
        <v>59160.959999999985</v>
      </c>
      <c r="BY31" s="1140">
        <v>59161.259999999987</v>
      </c>
      <c r="BZ31" s="1140">
        <v>59232.429999999986</v>
      </c>
      <c r="CA31" s="1140">
        <v>59236.709999999985</v>
      </c>
      <c r="CB31" s="1140">
        <v>59233.799999999996</v>
      </c>
      <c r="CC31" s="1140">
        <v>59296.479999999989</v>
      </c>
      <c r="CD31" s="1140">
        <v>59487.669999999991</v>
      </c>
      <c r="CE31" s="1140">
        <v>59770.409999999996</v>
      </c>
      <c r="CF31" s="1140">
        <v>59799.169999999991</v>
      </c>
      <c r="CG31" s="1140">
        <v>60046.229999999989</v>
      </c>
      <c r="CH31" s="1140">
        <v>60065.029999999992</v>
      </c>
      <c r="CI31" s="1057">
        <f>SUM(BW31:CH31)</f>
        <v>713625.45</v>
      </c>
      <c r="CJ31" s="1141">
        <v>3.9296283353789374E-2</v>
      </c>
      <c r="CK31" s="1055">
        <f>CI31*$CJ$31</f>
        <v>28042.82789167545</v>
      </c>
      <c r="CL31" s="548"/>
    </row>
    <row r="32" spans="1:91" ht="15">
      <c r="A32" s="531" t="s">
        <v>2504</v>
      </c>
      <c r="B32" s="531"/>
      <c r="C32" s="538">
        <v>273.64</v>
      </c>
      <c r="D32" s="538">
        <v>273.64</v>
      </c>
      <c r="E32" s="538">
        <v>273.64</v>
      </c>
      <c r="F32" s="538">
        <v>273.64</v>
      </c>
      <c r="G32" s="538">
        <v>273.64</v>
      </c>
      <c r="H32" s="538">
        <v>273.64</v>
      </c>
      <c r="I32" s="538">
        <v>279.54000000000002</v>
      </c>
      <c r="J32" s="538">
        <v>279.54000000000002</v>
      </c>
      <c r="K32" s="538">
        <v>279.54000000000002</v>
      </c>
      <c r="L32" s="538">
        <v>286.57</v>
      </c>
      <c r="M32" s="538">
        <v>286.57</v>
      </c>
      <c r="N32" s="538">
        <v>312.39</v>
      </c>
      <c r="O32" s="536">
        <v>312.39</v>
      </c>
      <c r="P32" s="536">
        <v>312.39</v>
      </c>
      <c r="Q32" s="536">
        <v>312.39</v>
      </c>
      <c r="R32" s="536">
        <v>312.39</v>
      </c>
      <c r="S32" s="536">
        <v>312.39</v>
      </c>
      <c r="T32" s="553">
        <v>312.39</v>
      </c>
      <c r="U32" s="553">
        <v>312.39</v>
      </c>
      <c r="V32" s="553">
        <v>338.21</v>
      </c>
      <c r="W32" s="553">
        <v>338.21</v>
      </c>
      <c r="X32" s="553">
        <v>338.21</v>
      </c>
      <c r="Y32" s="553">
        <v>338.21</v>
      </c>
      <c r="Z32" s="553">
        <v>338.21</v>
      </c>
      <c r="AA32" s="553">
        <v>338.21</v>
      </c>
      <c r="AB32" s="553">
        <v>338.21</v>
      </c>
      <c r="AC32" s="553">
        <v>338.21</v>
      </c>
      <c r="AD32" s="553">
        <v>338.21</v>
      </c>
      <c r="AE32" s="553">
        <v>338.21</v>
      </c>
      <c r="AF32" s="553">
        <v>338.21</v>
      </c>
      <c r="AG32" s="553">
        <v>338.21</v>
      </c>
      <c r="AH32" s="553">
        <v>338.21</v>
      </c>
      <c r="AI32" s="553">
        <v>338.21</v>
      </c>
      <c r="AJ32" s="553">
        <v>338.21</v>
      </c>
      <c r="AK32" s="553">
        <v>338.21</v>
      </c>
      <c r="AL32" s="553">
        <v>338.21</v>
      </c>
      <c r="AM32" s="553">
        <v>338.21</v>
      </c>
      <c r="AN32" s="553">
        <v>338.21</v>
      </c>
      <c r="AO32" s="553">
        <v>338.21</v>
      </c>
      <c r="AP32" s="553">
        <v>338.21</v>
      </c>
      <c r="AQ32" s="553">
        <v>338.21</v>
      </c>
      <c r="AR32" s="553">
        <v>338.21</v>
      </c>
      <c r="AS32" s="553">
        <v>338.21</v>
      </c>
      <c r="AT32" s="553">
        <v>338.21</v>
      </c>
      <c r="AU32" s="553">
        <v>338.21</v>
      </c>
      <c r="AV32" s="553">
        <v>338.21</v>
      </c>
      <c r="AW32" s="553">
        <v>338.21</v>
      </c>
      <c r="AX32" s="553">
        <v>338.21</v>
      </c>
      <c r="AY32" s="553">
        <v>338.21</v>
      </c>
      <c r="AZ32" s="553">
        <v>338.21</v>
      </c>
      <c r="BA32" s="553">
        <v>338.21</v>
      </c>
      <c r="BB32" s="553">
        <v>338.21</v>
      </c>
      <c r="BC32" s="553">
        <v>338.21</v>
      </c>
      <c r="BD32" s="553">
        <v>338.21</v>
      </c>
      <c r="BE32" s="553">
        <v>338.21</v>
      </c>
      <c r="BF32" s="553">
        <v>338.21</v>
      </c>
      <c r="BG32" s="553">
        <v>338.21</v>
      </c>
      <c r="BH32" s="553">
        <v>338.21</v>
      </c>
      <c r="BI32" s="553">
        <v>338.21</v>
      </c>
      <c r="BJ32" s="553">
        <v>338.21</v>
      </c>
      <c r="BK32" s="553">
        <v>338.21</v>
      </c>
      <c r="BL32" s="553">
        <v>338.21</v>
      </c>
      <c r="BM32" s="1140">
        <v>338.21</v>
      </c>
      <c r="BN32" s="1140">
        <v>338.21</v>
      </c>
      <c r="BO32" s="1140">
        <v>338.21</v>
      </c>
      <c r="BP32" s="1140">
        <v>338.21</v>
      </c>
      <c r="BQ32" s="1140">
        <v>338.21</v>
      </c>
      <c r="BR32" s="1140">
        <v>338.21</v>
      </c>
      <c r="BS32" s="1140">
        <v>338.21</v>
      </c>
      <c r="BT32" s="1140">
        <v>338.21</v>
      </c>
      <c r="BU32" s="1140">
        <v>338.21</v>
      </c>
      <c r="BV32" s="1140">
        <v>338.21</v>
      </c>
      <c r="BW32" s="1140">
        <v>335.87</v>
      </c>
      <c r="BX32" s="1140">
        <v>335.87</v>
      </c>
      <c r="BY32" s="1140">
        <v>335.87</v>
      </c>
      <c r="BZ32" s="1140">
        <v>335.87</v>
      </c>
      <c r="CA32" s="1140">
        <v>335.87</v>
      </c>
      <c r="CB32" s="1140">
        <v>335.87</v>
      </c>
      <c r="CC32" s="1140">
        <v>335.87</v>
      </c>
      <c r="CD32" s="1140">
        <v>335.87</v>
      </c>
      <c r="CE32" s="1140">
        <v>335.87</v>
      </c>
      <c r="CF32" s="1140">
        <v>335.87</v>
      </c>
      <c r="CG32" s="1140">
        <v>335.87</v>
      </c>
      <c r="CH32" s="1140">
        <v>335.87</v>
      </c>
      <c r="CI32" s="1057">
        <f>SUM(BW32:CH32)</f>
        <v>4030.4399999999991</v>
      </c>
      <c r="CJ32" s="1141">
        <v>2.5599830385185658E-2</v>
      </c>
      <c r="CK32" s="1055">
        <f>CI32*$CJ$32</f>
        <v>103.17858037766766</v>
      </c>
      <c r="CL32" s="548"/>
    </row>
    <row r="33" spans="1:90" ht="15">
      <c r="A33" s="531" t="s">
        <v>2505</v>
      </c>
      <c r="B33" s="531"/>
      <c r="C33" s="538">
        <v>62812.28</v>
      </c>
      <c r="D33" s="538">
        <v>63272.88</v>
      </c>
      <c r="E33" s="538">
        <v>53544.200000000004</v>
      </c>
      <c r="F33" s="538">
        <v>53544.200000000004</v>
      </c>
      <c r="G33" s="538">
        <v>53676.67</v>
      </c>
      <c r="H33" s="538">
        <v>53676.67</v>
      </c>
      <c r="I33" s="538">
        <v>54284.990000000005</v>
      </c>
      <c r="J33" s="538">
        <v>54476.310000000005</v>
      </c>
      <c r="K33" s="538">
        <v>54470.780000000006</v>
      </c>
      <c r="L33" s="538">
        <v>54493.290000000008</v>
      </c>
      <c r="M33" s="538">
        <v>54627.25</v>
      </c>
      <c r="N33" s="538">
        <v>55027.57</v>
      </c>
      <c r="O33" s="536">
        <v>63351.44</v>
      </c>
      <c r="P33" s="536">
        <v>68753.08</v>
      </c>
      <c r="Q33" s="536">
        <v>68753.08</v>
      </c>
      <c r="R33" s="536">
        <v>68831.13</v>
      </c>
      <c r="S33" s="536">
        <v>68831.13</v>
      </c>
      <c r="T33" s="553">
        <v>68831.13</v>
      </c>
      <c r="U33" s="553">
        <v>72025.84</v>
      </c>
      <c r="V33" s="553">
        <v>71844.849999999991</v>
      </c>
      <c r="W33" s="553">
        <v>71844.849999999991</v>
      </c>
      <c r="X33" s="553">
        <v>71845.55</v>
      </c>
      <c r="Y33" s="553">
        <v>71852.58</v>
      </c>
      <c r="Z33" s="553">
        <v>60184.58</v>
      </c>
      <c r="AA33" s="553">
        <v>53114.259999999995</v>
      </c>
      <c r="AB33" s="553">
        <v>52985.61</v>
      </c>
      <c r="AC33" s="553">
        <v>52985.61</v>
      </c>
      <c r="AD33" s="553">
        <v>41386.199999999997</v>
      </c>
      <c r="AE33" s="553">
        <v>41631.050000000003</v>
      </c>
      <c r="AF33" s="553">
        <v>41806.949999999997</v>
      </c>
      <c r="AG33" s="553">
        <v>41806.949999999997</v>
      </c>
      <c r="AH33" s="553">
        <v>41949.120000000003</v>
      </c>
      <c r="AI33" s="553">
        <v>41966.26</v>
      </c>
      <c r="AJ33" s="553">
        <v>41966.26</v>
      </c>
      <c r="AK33" s="553">
        <v>42017.53</v>
      </c>
      <c r="AL33" s="553">
        <v>42020.639999999999</v>
      </c>
      <c r="AM33" s="553">
        <v>42103.93</v>
      </c>
      <c r="AN33" s="553">
        <v>42259.259999999995</v>
      </c>
      <c r="AO33" s="553">
        <v>43686.869999999995</v>
      </c>
      <c r="AP33" s="553">
        <v>43872.710000000006</v>
      </c>
      <c r="AQ33" s="553">
        <v>43924.670000000006</v>
      </c>
      <c r="AR33" s="553">
        <v>43924.670000000006</v>
      </c>
      <c r="AS33" s="553">
        <v>43941.91</v>
      </c>
      <c r="AT33" s="553">
        <v>43941.91</v>
      </c>
      <c r="AU33" s="553">
        <v>43951.280000000006</v>
      </c>
      <c r="AV33" s="553">
        <v>43951.280000000006</v>
      </c>
      <c r="AW33" s="553">
        <v>43985.060000000005</v>
      </c>
      <c r="AX33" s="553">
        <v>44414.66</v>
      </c>
      <c r="AY33" s="553">
        <v>53347.770000000004</v>
      </c>
      <c r="AZ33" s="553">
        <v>53161.47</v>
      </c>
      <c r="BA33" s="553">
        <v>56973.36</v>
      </c>
      <c r="BB33" s="553">
        <v>57037.48</v>
      </c>
      <c r="BC33" s="553">
        <v>57398.42</v>
      </c>
      <c r="BD33" s="553">
        <v>57732.63</v>
      </c>
      <c r="BE33" s="553">
        <v>57732.63</v>
      </c>
      <c r="BF33" s="553">
        <v>57720.58</v>
      </c>
      <c r="BG33" s="553">
        <v>57891.32</v>
      </c>
      <c r="BH33" s="553">
        <v>57947.170000000006</v>
      </c>
      <c r="BI33" s="553">
        <v>59366.6</v>
      </c>
      <c r="BJ33" s="553">
        <v>59407.729999999996</v>
      </c>
      <c r="BK33" s="553">
        <v>67928.710000000006</v>
      </c>
      <c r="BL33" s="553">
        <v>67576.540000000008</v>
      </c>
      <c r="BM33" s="1140">
        <v>70305.759999999995</v>
      </c>
      <c r="BN33" s="1140">
        <v>70920.88</v>
      </c>
      <c r="BO33" s="1140">
        <v>71107.22</v>
      </c>
      <c r="BP33" s="1140">
        <v>71334.460000000006</v>
      </c>
      <c r="BQ33" s="1140">
        <v>72399.25</v>
      </c>
      <c r="BR33" s="1140">
        <v>72558.710000000006</v>
      </c>
      <c r="BS33" s="1140">
        <v>72520.39</v>
      </c>
      <c r="BT33" s="1140">
        <v>72811.47</v>
      </c>
      <c r="BU33" s="1140">
        <v>73583.150000000009</v>
      </c>
      <c r="BV33" s="1140">
        <v>73623.199999999997</v>
      </c>
      <c r="BW33" s="1140">
        <v>66415.310000000012</v>
      </c>
      <c r="BX33" s="1140">
        <v>66427.850000000006</v>
      </c>
      <c r="BY33" s="1140">
        <v>46849.66</v>
      </c>
      <c r="BZ33" s="1140">
        <v>46849.66</v>
      </c>
      <c r="CA33" s="1140">
        <v>46853.59</v>
      </c>
      <c r="CB33" s="1140">
        <v>46853.59</v>
      </c>
      <c r="CC33" s="1140">
        <v>46853.59</v>
      </c>
      <c r="CD33" s="1140">
        <v>46839.079999999994</v>
      </c>
      <c r="CE33" s="1140">
        <v>47035.439999999995</v>
      </c>
      <c r="CF33" s="1140">
        <v>47035.439999999995</v>
      </c>
      <c r="CG33" s="1140">
        <v>47107.329999999994</v>
      </c>
      <c r="CH33" s="1140">
        <v>47108.89</v>
      </c>
      <c r="CI33" s="1057">
        <f>SUM(BW33:CH33)</f>
        <v>602229.43000000005</v>
      </c>
      <c r="CJ33" s="1141">
        <v>1.888780869573644E-2</v>
      </c>
      <c r="CK33" s="1139">
        <f>CI33*$CJ$33</f>
        <v>11374.7942647824</v>
      </c>
      <c r="CL33" s="548"/>
    </row>
    <row r="34" spans="1:90" ht="15.75" thickBot="1">
      <c r="C34" s="537">
        <f>SUM(C29:C33)</f>
        <v>254174.18999999997</v>
      </c>
      <c r="D34" s="537">
        <f t="shared" ref="D34:Z34" si="61">SUM(D29:D33)</f>
        <v>254634.88999999998</v>
      </c>
      <c r="E34" s="537">
        <f t="shared" si="61"/>
        <v>225062.43000000002</v>
      </c>
      <c r="F34" s="537">
        <f t="shared" si="61"/>
        <v>225832.87</v>
      </c>
      <c r="G34" s="537">
        <f t="shared" si="61"/>
        <v>237264.2</v>
      </c>
      <c r="H34" s="537">
        <f t="shared" si="61"/>
        <v>237220.43</v>
      </c>
      <c r="I34" s="537">
        <f t="shared" si="61"/>
        <v>238392.88</v>
      </c>
      <c r="J34" s="537">
        <f t="shared" si="61"/>
        <v>239702.00999999998</v>
      </c>
      <c r="K34" s="537">
        <f t="shared" si="61"/>
        <v>240214.39</v>
      </c>
      <c r="L34" s="537">
        <f t="shared" si="61"/>
        <v>241496.71</v>
      </c>
      <c r="M34" s="537">
        <f t="shared" si="61"/>
        <v>241292.16</v>
      </c>
      <c r="N34" s="537">
        <f t="shared" si="61"/>
        <v>241789.44000000003</v>
      </c>
      <c r="O34" s="537">
        <f t="shared" si="61"/>
        <v>252991.37</v>
      </c>
      <c r="P34" s="537">
        <f t="shared" si="61"/>
        <v>258412.62</v>
      </c>
      <c r="Q34" s="537">
        <f t="shared" si="61"/>
        <v>258497.28000000003</v>
      </c>
      <c r="R34" s="537">
        <f t="shared" si="61"/>
        <v>258508.68000000002</v>
      </c>
      <c r="S34" s="537">
        <f t="shared" si="61"/>
        <v>258510.75000000003</v>
      </c>
      <c r="T34" s="537">
        <f t="shared" si="61"/>
        <v>258526.47000000003</v>
      </c>
      <c r="U34" s="537">
        <f t="shared" si="61"/>
        <v>256967.73000000004</v>
      </c>
      <c r="V34" s="537">
        <f t="shared" si="61"/>
        <v>264472.53999999998</v>
      </c>
      <c r="W34" s="537">
        <f t="shared" si="61"/>
        <v>264479.20999999996</v>
      </c>
      <c r="X34" s="537">
        <f t="shared" si="61"/>
        <v>264789.44</v>
      </c>
      <c r="Y34" s="537">
        <f t="shared" si="61"/>
        <v>266364.14999999997</v>
      </c>
      <c r="Z34" s="537">
        <f t="shared" si="61"/>
        <v>255218.46999999997</v>
      </c>
      <c r="AA34" s="537">
        <f t="shared" ref="AA34:AF34" si="62">SUM(AA29:AA33)</f>
        <v>255171.18</v>
      </c>
      <c r="AB34" s="537">
        <f t="shared" si="62"/>
        <v>255472.11</v>
      </c>
      <c r="AC34" s="537">
        <f t="shared" si="62"/>
        <v>255499.05</v>
      </c>
      <c r="AD34" s="537">
        <f t="shared" si="62"/>
        <v>246556.51</v>
      </c>
      <c r="AE34" s="537">
        <f t="shared" si="62"/>
        <v>246318.49</v>
      </c>
      <c r="AF34" s="537">
        <f t="shared" si="62"/>
        <v>246594.37</v>
      </c>
      <c r="AG34" s="537">
        <f t="shared" ref="AG34:AL34" si="63">SUM(AG29:AG33)</f>
        <v>246957.39999999997</v>
      </c>
      <c r="AH34" s="537">
        <f t="shared" si="63"/>
        <v>247115.63999999998</v>
      </c>
      <c r="AI34" s="537">
        <f t="shared" si="63"/>
        <v>247933.72</v>
      </c>
      <c r="AJ34" s="537">
        <f t="shared" si="63"/>
        <v>247998.21</v>
      </c>
      <c r="AK34" s="537">
        <f t="shared" si="63"/>
        <v>248204.79999999999</v>
      </c>
      <c r="AL34" s="537">
        <f t="shared" si="63"/>
        <v>248319.69</v>
      </c>
      <c r="AM34" s="537">
        <f t="shared" ref="AM34:AR34" si="64">SUM(AM29:AM33)</f>
        <v>250105.35</v>
      </c>
      <c r="AN34" s="537">
        <f t="shared" si="64"/>
        <v>250263.45999999996</v>
      </c>
      <c r="AO34" s="537">
        <f t="shared" si="64"/>
        <v>251713.51</v>
      </c>
      <c r="AP34" s="537">
        <f t="shared" si="64"/>
        <v>253068.73000000004</v>
      </c>
      <c r="AQ34" s="537">
        <f t="shared" si="64"/>
        <v>253491.97000000003</v>
      </c>
      <c r="AR34" s="537">
        <f t="shared" si="64"/>
        <v>253572.02000000002</v>
      </c>
      <c r="AS34" s="537">
        <f t="shared" ref="AS34:AX34" si="65">SUM(AS29:AS33)</f>
        <v>253593.87000000002</v>
      </c>
      <c r="AT34" s="537">
        <f t="shared" si="65"/>
        <v>256029.9</v>
      </c>
      <c r="AU34" s="537">
        <f t="shared" si="65"/>
        <v>256271.19999999998</v>
      </c>
      <c r="AV34" s="537">
        <f t="shared" si="65"/>
        <v>256465.25</v>
      </c>
      <c r="AW34" s="537">
        <f t="shared" si="65"/>
        <v>260974.74</v>
      </c>
      <c r="AX34" s="537">
        <f t="shared" si="65"/>
        <v>261669.19</v>
      </c>
      <c r="AY34" s="537">
        <f t="shared" ref="AY34:BD34" si="66">SUM(AY29:AY33)</f>
        <v>266860.53999999998</v>
      </c>
      <c r="AZ34" s="537">
        <f t="shared" si="66"/>
        <v>267180.27</v>
      </c>
      <c r="BA34" s="537">
        <f t="shared" si="66"/>
        <v>270840.09999999998</v>
      </c>
      <c r="BB34" s="537">
        <f t="shared" si="66"/>
        <v>270963.01999999996</v>
      </c>
      <c r="BC34" s="537">
        <f t="shared" si="66"/>
        <v>271977.95</v>
      </c>
      <c r="BD34" s="537">
        <f t="shared" si="66"/>
        <v>273331.56999999995</v>
      </c>
      <c r="BE34" s="537">
        <f t="shared" ref="BE34:BJ34" si="67">SUM(BE29:BE33)</f>
        <v>274246.01999999996</v>
      </c>
      <c r="BF34" s="537">
        <f t="shared" si="67"/>
        <v>274192.63</v>
      </c>
      <c r="BG34" s="537">
        <f t="shared" si="67"/>
        <v>274565.55</v>
      </c>
      <c r="BH34" s="537">
        <f t="shared" si="67"/>
        <v>281212.57</v>
      </c>
      <c r="BI34" s="537">
        <f t="shared" si="67"/>
        <v>283393.57999999996</v>
      </c>
      <c r="BJ34" s="537">
        <f t="shared" si="67"/>
        <v>284636.44999999995</v>
      </c>
      <c r="BK34" s="537">
        <f t="shared" ref="BK34:BP34" si="68">SUM(BK29:BK33)</f>
        <v>299350.02999999997</v>
      </c>
      <c r="BL34" s="537">
        <f t="shared" si="68"/>
        <v>296458.76</v>
      </c>
      <c r="BM34" s="1146">
        <f t="shared" si="68"/>
        <v>300330.06999999995</v>
      </c>
      <c r="BN34" s="1146">
        <f t="shared" si="68"/>
        <v>301199.73</v>
      </c>
      <c r="BO34" s="1146">
        <f t="shared" si="68"/>
        <v>301680.31999999995</v>
      </c>
      <c r="BP34" s="1146">
        <f t="shared" si="68"/>
        <v>302025.86</v>
      </c>
      <c r="BQ34" s="1146">
        <f t="shared" ref="BQ34:BV34" si="69">SUM(BQ29:BQ33)</f>
        <v>303840.89999999997</v>
      </c>
      <c r="BR34" s="1146">
        <f t="shared" si="69"/>
        <v>304216.08999999997</v>
      </c>
      <c r="BS34" s="1146">
        <f t="shared" si="69"/>
        <v>304207.90999999997</v>
      </c>
      <c r="BT34" s="1146">
        <f t="shared" si="69"/>
        <v>304656.27</v>
      </c>
      <c r="BU34" s="1146">
        <f t="shared" si="69"/>
        <v>395915.69000000006</v>
      </c>
      <c r="BV34" s="1146">
        <f t="shared" si="69"/>
        <v>396446.02</v>
      </c>
      <c r="BW34" s="1146">
        <f t="shared" ref="BW34:CB34" si="70">SUM(BW29:BW33)</f>
        <v>391633.65</v>
      </c>
      <c r="BX34" s="1146">
        <f t="shared" si="70"/>
        <v>391906.75</v>
      </c>
      <c r="BY34" s="1146">
        <f t="shared" si="70"/>
        <v>372660.95000000007</v>
      </c>
      <c r="BZ34" s="1146">
        <f t="shared" si="70"/>
        <v>386920.56000000006</v>
      </c>
      <c r="CA34" s="1146">
        <f t="shared" si="70"/>
        <v>402582.43999999994</v>
      </c>
      <c r="CB34" s="1146">
        <f t="shared" si="70"/>
        <v>403974.43000000005</v>
      </c>
      <c r="CC34" s="1146">
        <f t="shared" ref="CC34:CI34" si="71">SUM(CC29:CC33)</f>
        <v>405477.68999999994</v>
      </c>
      <c r="CD34" s="1146">
        <f t="shared" si="71"/>
        <v>407077.63</v>
      </c>
      <c r="CE34" s="1146">
        <f t="shared" si="71"/>
        <v>408108.51</v>
      </c>
      <c r="CF34" s="1146">
        <f t="shared" si="71"/>
        <v>408293.13</v>
      </c>
      <c r="CG34" s="1146">
        <f t="shared" si="71"/>
        <v>408757.31000000006</v>
      </c>
      <c r="CH34" s="1146">
        <f t="shared" si="71"/>
        <v>408975.04000000004</v>
      </c>
      <c r="CI34" s="1147">
        <f t="shared" si="71"/>
        <v>4796368.09</v>
      </c>
      <c r="CJ34" s="531"/>
      <c r="CK34" s="1150">
        <f>SUM(CK29:CK33)</f>
        <v>41125.264293850792</v>
      </c>
      <c r="CL34" s="549"/>
    </row>
    <row r="35" spans="1:90" ht="13.5" thickTop="1">
      <c r="A35" s="529" t="s">
        <v>1763</v>
      </c>
      <c r="CI35" s="1058"/>
    </row>
    <row r="36" spans="1:90">
      <c r="CI36" s="1058"/>
    </row>
    <row r="37" spans="1:90">
      <c r="A37" s="1132"/>
      <c r="B37" s="1133"/>
      <c r="C37" s="530">
        <v>2015</v>
      </c>
      <c r="D37" s="530">
        <v>2015</v>
      </c>
      <c r="E37" s="530">
        <v>2015</v>
      </c>
      <c r="F37" s="530">
        <v>2015</v>
      </c>
      <c r="G37" s="530">
        <v>2015</v>
      </c>
      <c r="H37" s="530">
        <v>2015</v>
      </c>
      <c r="I37" s="530">
        <v>2015</v>
      </c>
      <c r="J37" s="530">
        <v>2015</v>
      </c>
      <c r="K37" s="530">
        <v>2015</v>
      </c>
      <c r="L37" s="530">
        <v>2015</v>
      </c>
      <c r="M37" s="530">
        <v>2015</v>
      </c>
      <c r="N37" s="530">
        <v>2015</v>
      </c>
      <c r="O37" s="530">
        <v>2016</v>
      </c>
      <c r="P37" s="530">
        <v>2016</v>
      </c>
      <c r="Q37" s="530">
        <v>2016</v>
      </c>
      <c r="R37" s="530">
        <v>2016</v>
      </c>
      <c r="S37" s="530">
        <v>2016</v>
      </c>
      <c r="T37" s="530">
        <v>2016</v>
      </c>
      <c r="U37" s="530">
        <v>2016</v>
      </c>
      <c r="V37" s="530">
        <v>2016</v>
      </c>
      <c r="W37" s="530">
        <v>2016</v>
      </c>
      <c r="X37" s="530">
        <v>2016</v>
      </c>
      <c r="Y37" s="530">
        <v>2016</v>
      </c>
      <c r="Z37" s="530">
        <v>2016</v>
      </c>
      <c r="AA37" s="530">
        <v>2017</v>
      </c>
      <c r="AB37" s="530">
        <v>2017</v>
      </c>
      <c r="AC37" s="530">
        <v>2017</v>
      </c>
      <c r="AD37" s="530">
        <v>2017</v>
      </c>
      <c r="AE37" s="530">
        <v>2017</v>
      </c>
      <c r="AF37" s="530">
        <v>2017</v>
      </c>
      <c r="AG37" s="530">
        <v>2017</v>
      </c>
      <c r="AH37" s="530">
        <v>2017</v>
      </c>
      <c r="AI37" s="530">
        <v>2017</v>
      </c>
      <c r="AJ37" s="530">
        <v>2017</v>
      </c>
      <c r="AK37" s="530">
        <v>2017</v>
      </c>
      <c r="AL37" s="530">
        <v>2017</v>
      </c>
      <c r="AM37" s="530">
        <v>2018</v>
      </c>
      <c r="AN37" s="530">
        <v>2018</v>
      </c>
      <c r="AO37" s="530">
        <v>2018</v>
      </c>
      <c r="AP37" s="530">
        <v>2018</v>
      </c>
      <c r="AQ37" s="530">
        <v>2018</v>
      </c>
      <c r="AR37" s="530">
        <v>2018</v>
      </c>
      <c r="AS37" s="530">
        <v>2018</v>
      </c>
      <c r="AT37" s="530">
        <v>2018</v>
      </c>
      <c r="AU37" s="530">
        <v>2018</v>
      </c>
      <c r="AV37" s="530">
        <v>2018</v>
      </c>
      <c r="AW37" s="530">
        <v>2018</v>
      </c>
      <c r="AX37" s="530">
        <v>2018</v>
      </c>
      <c r="AY37" s="530">
        <v>2019</v>
      </c>
      <c r="AZ37" s="530">
        <v>2019</v>
      </c>
      <c r="BA37" s="530">
        <v>2019</v>
      </c>
      <c r="BB37" s="530">
        <v>2019</v>
      </c>
      <c r="BC37" s="530">
        <v>2019</v>
      </c>
      <c r="BD37" s="530">
        <v>2019</v>
      </c>
      <c r="BE37" s="530">
        <v>2019</v>
      </c>
      <c r="BF37" s="530">
        <v>2019</v>
      </c>
      <c r="BG37" s="530">
        <v>2019</v>
      </c>
      <c r="BH37" s="530">
        <v>2019</v>
      </c>
      <c r="BI37" s="530">
        <v>2019</v>
      </c>
      <c r="BJ37" s="530">
        <v>2019</v>
      </c>
      <c r="BK37" s="530" t="str">
        <f t="shared" ref="BK37:BM38" si="72">+BK26</f>
        <v>2020</v>
      </c>
      <c r="BL37" s="530" t="str">
        <f t="shared" si="72"/>
        <v>2020</v>
      </c>
      <c r="BM37" s="530" t="str">
        <f t="shared" si="72"/>
        <v>2020</v>
      </c>
      <c r="BN37" s="530" t="str">
        <f t="shared" ref="BN37:BP38" si="73">+BN26</f>
        <v>2020</v>
      </c>
      <c r="BO37" s="530" t="str">
        <f t="shared" si="73"/>
        <v>2020</v>
      </c>
      <c r="BP37" s="530" t="str">
        <f t="shared" si="73"/>
        <v>2020</v>
      </c>
      <c r="BQ37" s="530" t="str">
        <f t="shared" ref="BQ37:BS38" si="74">+BQ26</f>
        <v>2020</v>
      </c>
      <c r="BR37" s="530" t="str">
        <f t="shared" si="74"/>
        <v>2020</v>
      </c>
      <c r="BS37" s="530" t="str">
        <f t="shared" si="74"/>
        <v>2020</v>
      </c>
      <c r="BT37" s="530" t="str">
        <f t="shared" ref="BT37:BV38" si="75">+BT26</f>
        <v>2020</v>
      </c>
      <c r="BU37" s="530" t="str">
        <f t="shared" si="75"/>
        <v>2020</v>
      </c>
      <c r="BV37" s="530" t="str">
        <f t="shared" si="75"/>
        <v>2020</v>
      </c>
      <c r="BW37" s="530">
        <f t="shared" ref="BW37:BY38" si="76">+BW26</f>
        <v>2021</v>
      </c>
      <c r="BX37" s="530">
        <f t="shared" si="76"/>
        <v>2021</v>
      </c>
      <c r="BY37" s="530">
        <f t="shared" si="76"/>
        <v>2021</v>
      </c>
      <c r="BZ37" s="530">
        <f t="shared" ref="BZ37:CB38" si="77">+BZ26</f>
        <v>2021</v>
      </c>
      <c r="CA37" s="530">
        <f t="shared" si="77"/>
        <v>2021</v>
      </c>
      <c r="CB37" s="530">
        <f t="shared" si="77"/>
        <v>2021</v>
      </c>
      <c r="CC37" s="530">
        <f t="shared" ref="CC37:CE38" si="78">+CC26</f>
        <v>2021</v>
      </c>
      <c r="CD37" s="530">
        <f t="shared" si="78"/>
        <v>2021</v>
      </c>
      <c r="CE37" s="530">
        <f t="shared" si="78"/>
        <v>2021</v>
      </c>
      <c r="CF37" s="530">
        <f t="shared" ref="CF37:CH38" si="79">+CF26</f>
        <v>2021</v>
      </c>
      <c r="CG37" s="530">
        <f t="shared" si="79"/>
        <v>2021</v>
      </c>
      <c r="CH37" s="530">
        <f t="shared" si="79"/>
        <v>2021</v>
      </c>
      <c r="CI37" s="1144" t="s">
        <v>1714</v>
      </c>
      <c r="CJ37" s="1133" t="str">
        <f>+CL3</f>
        <v>YEAR-END</v>
      </c>
    </row>
    <row r="38" spans="1:90">
      <c r="A38" s="1134" t="s">
        <v>2331</v>
      </c>
      <c r="B38" s="1135"/>
      <c r="C38" s="532" t="s">
        <v>1719</v>
      </c>
      <c r="D38" s="532" t="s">
        <v>1720</v>
      </c>
      <c r="E38" s="532" t="s">
        <v>1721</v>
      </c>
      <c r="F38" s="532" t="s">
        <v>1722</v>
      </c>
      <c r="G38" s="532" t="s">
        <v>476</v>
      </c>
      <c r="H38" s="532" t="s">
        <v>1723</v>
      </c>
      <c r="I38" s="532" t="s">
        <v>1724</v>
      </c>
      <c r="J38" s="532" t="s">
        <v>1725</v>
      </c>
      <c r="K38" s="532" t="s">
        <v>1726</v>
      </c>
      <c r="L38" s="532" t="s">
        <v>1727</v>
      </c>
      <c r="M38" s="532" t="s">
        <v>1728</v>
      </c>
      <c r="N38" s="532" t="s">
        <v>1718</v>
      </c>
      <c r="O38" s="532" t="s">
        <v>1719</v>
      </c>
      <c r="P38" s="532" t="s">
        <v>1720</v>
      </c>
      <c r="Q38" s="532" t="s">
        <v>1721</v>
      </c>
      <c r="R38" s="532" t="s">
        <v>1722</v>
      </c>
      <c r="S38" s="532" t="s">
        <v>476</v>
      </c>
      <c r="T38" s="532" t="s">
        <v>1723</v>
      </c>
      <c r="U38" s="532" t="s">
        <v>1724</v>
      </c>
      <c r="V38" s="532" t="s">
        <v>1725</v>
      </c>
      <c r="W38" s="532" t="s">
        <v>1729</v>
      </c>
      <c r="X38" s="532" t="s">
        <v>1727</v>
      </c>
      <c r="Y38" s="532" t="s">
        <v>1728</v>
      </c>
      <c r="Z38" s="532" t="s">
        <v>1718</v>
      </c>
      <c r="AA38" s="532" t="s">
        <v>1719</v>
      </c>
      <c r="AB38" s="532" t="s">
        <v>1720</v>
      </c>
      <c r="AC38" s="532" t="s">
        <v>1721</v>
      </c>
      <c r="AD38" s="532" t="s">
        <v>1722</v>
      </c>
      <c r="AE38" s="532" t="s">
        <v>476</v>
      </c>
      <c r="AF38" s="532" t="s">
        <v>1723</v>
      </c>
      <c r="AG38" s="532" t="s">
        <v>1724</v>
      </c>
      <c r="AH38" s="532" t="s">
        <v>1725</v>
      </c>
      <c r="AI38" s="532" t="s">
        <v>1729</v>
      </c>
      <c r="AJ38" s="532" t="s">
        <v>1727</v>
      </c>
      <c r="AK38" s="532" t="s">
        <v>1728</v>
      </c>
      <c r="AL38" s="532" t="s">
        <v>1718</v>
      </c>
      <c r="AM38" s="532" t="s">
        <v>1719</v>
      </c>
      <c r="AN38" s="532" t="s">
        <v>1720</v>
      </c>
      <c r="AO38" s="532" t="s">
        <v>1721</v>
      </c>
      <c r="AP38" s="532" t="s">
        <v>1722</v>
      </c>
      <c r="AQ38" s="532" t="s">
        <v>476</v>
      </c>
      <c r="AR38" s="532" t="s">
        <v>1723</v>
      </c>
      <c r="AS38" s="532" t="s">
        <v>1724</v>
      </c>
      <c r="AT38" s="532" t="s">
        <v>1725</v>
      </c>
      <c r="AU38" s="532" t="s">
        <v>1729</v>
      </c>
      <c r="AV38" s="532" t="s">
        <v>1727</v>
      </c>
      <c r="AW38" s="532" t="s">
        <v>1728</v>
      </c>
      <c r="AX38" s="532" t="s">
        <v>1718</v>
      </c>
      <c r="AY38" s="532" t="s">
        <v>1719</v>
      </c>
      <c r="AZ38" s="532" t="s">
        <v>1720</v>
      </c>
      <c r="BA38" s="532" t="s">
        <v>1721</v>
      </c>
      <c r="BB38" s="532" t="s">
        <v>1722</v>
      </c>
      <c r="BC38" s="532" t="s">
        <v>476</v>
      </c>
      <c r="BD38" s="532" t="s">
        <v>1723</v>
      </c>
      <c r="BE38" s="532" t="s">
        <v>1724</v>
      </c>
      <c r="BF38" s="532" t="s">
        <v>1725</v>
      </c>
      <c r="BG38" s="532" t="s">
        <v>1726</v>
      </c>
      <c r="BH38" s="532" t="s">
        <v>1727</v>
      </c>
      <c r="BI38" s="532" t="s">
        <v>1728</v>
      </c>
      <c r="BJ38" s="532" t="s">
        <v>1718</v>
      </c>
      <c r="BK38" s="532" t="str">
        <f t="shared" si="72"/>
        <v>Jan</v>
      </c>
      <c r="BL38" s="532" t="str">
        <f t="shared" si="72"/>
        <v>Feb</v>
      </c>
      <c r="BM38" s="532" t="str">
        <f t="shared" si="72"/>
        <v>Mar</v>
      </c>
      <c r="BN38" s="532" t="str">
        <f t="shared" si="73"/>
        <v>Apr</v>
      </c>
      <c r="BO38" s="532" t="str">
        <f t="shared" si="73"/>
        <v>May</v>
      </c>
      <c r="BP38" s="532" t="str">
        <f t="shared" si="73"/>
        <v>Jun</v>
      </c>
      <c r="BQ38" s="532" t="str">
        <f t="shared" si="74"/>
        <v>Jul</v>
      </c>
      <c r="BR38" s="532" t="str">
        <f t="shared" si="74"/>
        <v>Aug</v>
      </c>
      <c r="BS38" s="532" t="str">
        <f t="shared" si="74"/>
        <v>Sep</v>
      </c>
      <c r="BT38" s="532" t="str">
        <f t="shared" si="75"/>
        <v>Oct</v>
      </c>
      <c r="BU38" s="532" t="str">
        <f t="shared" si="75"/>
        <v>Nov</v>
      </c>
      <c r="BV38" s="532" t="str">
        <f t="shared" si="75"/>
        <v>Dec</v>
      </c>
      <c r="BW38" s="532" t="str">
        <f t="shared" si="76"/>
        <v>Jan</v>
      </c>
      <c r="BX38" s="532" t="str">
        <f t="shared" si="76"/>
        <v>Feb</v>
      </c>
      <c r="BY38" s="532" t="str">
        <f t="shared" si="76"/>
        <v>Mar</v>
      </c>
      <c r="BZ38" s="532" t="str">
        <f t="shared" si="77"/>
        <v>Apr</v>
      </c>
      <c r="CA38" s="532" t="str">
        <f t="shared" si="77"/>
        <v>May</v>
      </c>
      <c r="CB38" s="532" t="str">
        <f t="shared" si="77"/>
        <v>Jun</v>
      </c>
      <c r="CC38" s="532" t="str">
        <f t="shared" si="78"/>
        <v>Jul</v>
      </c>
      <c r="CD38" s="532" t="str">
        <f t="shared" si="78"/>
        <v>Aug</v>
      </c>
      <c r="CE38" s="532" t="str">
        <f t="shared" si="78"/>
        <v>Sept</v>
      </c>
      <c r="CF38" s="532" t="str">
        <f t="shared" si="79"/>
        <v>Oct</v>
      </c>
      <c r="CG38" s="532" t="str">
        <f t="shared" si="79"/>
        <v>Nov</v>
      </c>
      <c r="CH38" s="532" t="str">
        <f t="shared" si="79"/>
        <v>Dec</v>
      </c>
      <c r="CI38" s="1145" t="s">
        <v>215</v>
      </c>
      <c r="CJ38" s="1135" t="str">
        <f>+CL4</f>
        <v>NON-UTILITY</v>
      </c>
    </row>
    <row r="39" spans="1:90">
      <c r="A39" s="531"/>
      <c r="B39" s="551" t="str">
        <f>+B28</f>
        <v>updated through Dec '21</v>
      </c>
      <c r="BM39" s="1137"/>
      <c r="BN39" s="1137"/>
      <c r="BO39" s="1137"/>
      <c r="BP39" s="1137"/>
      <c r="BQ39" s="1137"/>
      <c r="BR39" s="1137"/>
      <c r="BS39" s="1137"/>
      <c r="BT39" s="1137"/>
      <c r="BU39" s="1137"/>
      <c r="BV39" s="1137"/>
      <c r="BW39" s="1137"/>
      <c r="BX39" s="1137"/>
      <c r="BY39" s="1137"/>
      <c r="BZ39" s="1137"/>
      <c r="CA39" s="1137"/>
      <c r="CB39" s="1137"/>
      <c r="CC39" s="1137"/>
      <c r="CD39" s="1137"/>
      <c r="CE39" s="1137"/>
      <c r="CF39" s="1137"/>
      <c r="CG39" s="1137"/>
      <c r="CH39" s="1137"/>
      <c r="CI39" s="1059"/>
      <c r="CJ39" s="533"/>
      <c r="CK39" s="1137"/>
    </row>
    <row r="40" spans="1:90" ht="13.5" thickBot="1">
      <c r="A40" s="531" t="s">
        <v>2331</v>
      </c>
      <c r="B40" s="531"/>
      <c r="C40" s="538">
        <v>149742.79999999999</v>
      </c>
      <c r="D40" s="538">
        <v>149742.79999999999</v>
      </c>
      <c r="E40" s="538">
        <v>129897.73000000001</v>
      </c>
      <c r="F40" s="538">
        <v>130668.17</v>
      </c>
      <c r="G40" s="538">
        <v>140998.29999999999</v>
      </c>
      <c r="H40" s="538">
        <v>140953.93</v>
      </c>
      <c r="I40" s="538">
        <v>141018.96</v>
      </c>
      <c r="J40" s="538">
        <v>142115.91</v>
      </c>
      <c r="K40" s="538">
        <v>142633.75</v>
      </c>
      <c r="L40" s="538">
        <v>143272.56</v>
      </c>
      <c r="M40" s="538">
        <v>142894.15</v>
      </c>
      <c r="N40" s="538">
        <v>142955.69</v>
      </c>
      <c r="O40" s="536">
        <v>145804.78</v>
      </c>
      <c r="P40" s="536">
        <v>145804.78</v>
      </c>
      <c r="Q40" s="536">
        <v>145804.78</v>
      </c>
      <c r="R40" s="536">
        <v>145726.73000000001</v>
      </c>
      <c r="S40" s="536">
        <v>145726.73000000001</v>
      </c>
      <c r="T40" s="553">
        <v>145726.73000000001</v>
      </c>
      <c r="U40" s="553">
        <v>147686.51</v>
      </c>
      <c r="V40" s="553">
        <v>155289.78</v>
      </c>
      <c r="W40" s="553">
        <v>155296.44999999998</v>
      </c>
      <c r="X40" s="553">
        <v>155458.51999999999</v>
      </c>
      <c r="Y40" s="553">
        <v>156008.22999999998</v>
      </c>
      <c r="Z40" s="553">
        <v>156514.70000000001</v>
      </c>
      <c r="AA40" s="553">
        <v>151559.9</v>
      </c>
      <c r="AB40" s="553">
        <v>151559.9</v>
      </c>
      <c r="AC40" s="553">
        <v>151559.9</v>
      </c>
      <c r="AD40" s="553">
        <v>150887.66</v>
      </c>
      <c r="AE40" s="553">
        <v>150887.66</v>
      </c>
      <c r="AF40" s="553">
        <v>150887.66</v>
      </c>
      <c r="AG40" s="553">
        <v>151196</v>
      </c>
      <c r="AH40" s="553">
        <v>151210.1</v>
      </c>
      <c r="AI40" s="553">
        <v>151555.72</v>
      </c>
      <c r="AJ40" s="553">
        <v>151560.73000000001</v>
      </c>
      <c r="AK40" s="553">
        <v>151560.73000000001</v>
      </c>
      <c r="AL40" s="553">
        <v>151560.73000000001</v>
      </c>
      <c r="AM40" s="553">
        <v>153149.88</v>
      </c>
      <c r="AN40" s="553">
        <v>153151.35</v>
      </c>
      <c r="AO40" s="553">
        <v>153166.49000000002</v>
      </c>
      <c r="AP40" s="553">
        <v>153181.87000000002</v>
      </c>
      <c r="AQ40" s="553">
        <v>153203.80000000002</v>
      </c>
      <c r="AR40" s="553">
        <v>153212.75</v>
      </c>
      <c r="AS40" s="553">
        <v>153434.93000000002</v>
      </c>
      <c r="AT40" s="553">
        <v>155048.07</v>
      </c>
      <c r="AU40" s="536">
        <v>191108.77</v>
      </c>
      <c r="AV40" s="536">
        <v>624624.66999999993</v>
      </c>
      <c r="AW40" s="536">
        <v>1535006.97</v>
      </c>
      <c r="AX40" s="536">
        <v>1942104.6199999999</v>
      </c>
      <c r="AY40" s="536">
        <v>2581705.5049999999</v>
      </c>
      <c r="AZ40" s="536">
        <v>3546639.9849561998</v>
      </c>
      <c r="BA40" s="536">
        <v>4202766.5627509803</v>
      </c>
      <c r="BB40" s="536">
        <v>4995958.1285789488</v>
      </c>
      <c r="BC40" s="536">
        <v>6418430.1443875916</v>
      </c>
      <c r="BD40" s="536">
        <v>7554875.1457964759</v>
      </c>
      <c r="BE40" s="536">
        <v>8142600.2635803977</v>
      </c>
      <c r="BF40" s="536">
        <v>10240112.528299566</v>
      </c>
      <c r="BG40" s="536">
        <v>17927740.088667721</v>
      </c>
      <c r="BH40" s="536">
        <v>19792445.726132132</v>
      </c>
      <c r="BI40" s="536">
        <v>22093562.047576163</v>
      </c>
      <c r="BJ40" s="536">
        <v>31119823.52</v>
      </c>
      <c r="BK40" s="536">
        <f>+'Input Seg of CWIP'!B38</f>
        <v>38134367.370000005</v>
      </c>
      <c r="BL40" s="536">
        <f>+'Input Seg of CWIP'!C38</f>
        <v>49003384.75</v>
      </c>
      <c r="BM40" s="536">
        <f>+'Input Seg of CWIP'!D38</f>
        <v>52803058.25</v>
      </c>
      <c r="BN40" s="536">
        <f>+'Input Seg of CWIP'!E38</f>
        <v>63024653.970000006</v>
      </c>
      <c r="BO40" s="536">
        <f>+'Input Seg of CWIP'!F38</f>
        <v>77436623.799999997</v>
      </c>
      <c r="BP40" s="536">
        <f>+'Input Seg of CWIP'!G38</f>
        <v>83147027.359999985</v>
      </c>
      <c r="BQ40" s="536">
        <f>+'Input Seg of CWIP'!H38</f>
        <v>89682876.159999982</v>
      </c>
      <c r="BR40" s="536">
        <f>+'Input Seg of CWIP'!I38</f>
        <v>103095655.92999999</v>
      </c>
      <c r="BS40" s="536">
        <f>+'Input Seg of CWIP'!J38</f>
        <v>112522287.88</v>
      </c>
      <c r="BT40" s="536">
        <f>+'Input Seg of CWIP'!K38</f>
        <v>59452135.789999992</v>
      </c>
      <c r="BU40" s="536">
        <f>+'Input Seg of CWIP'!L38</f>
        <v>68292195.310000002</v>
      </c>
      <c r="BV40" s="536">
        <f>+'Input Seg of CWIP'!M38</f>
        <v>79339265.74000001</v>
      </c>
      <c r="BW40" s="536">
        <f>+'Input Seg of CWIP'!N38</f>
        <v>88385984.609999985</v>
      </c>
      <c r="BX40" s="536">
        <f>+'Input Seg of CWIP'!O38</f>
        <v>104457855.14999999</v>
      </c>
      <c r="BY40" s="536">
        <f>+'Input Seg of CWIP'!P38</f>
        <v>110307718.14000002</v>
      </c>
      <c r="BZ40" s="536">
        <f>+'Input Seg of CWIP'!Q38</f>
        <v>59491141.020000003</v>
      </c>
      <c r="CA40" s="536">
        <f>+'Input Seg of CWIP'!R38</f>
        <v>60442190.489999995</v>
      </c>
      <c r="CB40" s="536">
        <f>+'Input Seg of CWIP'!S38</f>
        <v>64079387.059999995</v>
      </c>
      <c r="CC40" s="536">
        <f>+'Input Seg of CWIP'!T38</f>
        <v>70787873.819999978</v>
      </c>
      <c r="CD40" s="536">
        <f>+'Input Seg of CWIP'!U38</f>
        <v>81016991.160000011</v>
      </c>
      <c r="CE40" s="536">
        <f>+'Input Seg of CWIP'!V38</f>
        <v>86698874.180000007</v>
      </c>
      <c r="CF40" s="536">
        <f>+'Input Seg of CWIP'!W38</f>
        <v>91643818.049999997</v>
      </c>
      <c r="CG40" s="536">
        <f>+'Input Seg of CWIP'!X38</f>
        <v>41525749.979999989</v>
      </c>
      <c r="CH40" s="536">
        <f>+'Input Seg of CWIP'!Y38</f>
        <v>46994371.800000004</v>
      </c>
      <c r="CI40" s="1151">
        <f>AVERAGE(BV40:CH40)</f>
        <v>75782401.630769223</v>
      </c>
      <c r="CJ40" s="1150">
        <f>+CH40</f>
        <v>46994371.800000004</v>
      </c>
      <c r="CK40" s="1137"/>
    </row>
    <row r="41" spans="1:90" ht="13.5" thickTop="1">
      <c r="BM41" s="1137"/>
      <c r="BN41" s="1137"/>
      <c r="BO41" s="1137"/>
      <c r="BP41" s="1137"/>
      <c r="BQ41" s="1137"/>
      <c r="BR41" s="1137"/>
      <c r="BS41" s="1137"/>
      <c r="BT41" s="1137"/>
      <c r="BU41" s="1137"/>
      <c r="BV41" s="1137"/>
      <c r="BW41" s="1137"/>
      <c r="BX41" s="1137"/>
      <c r="BY41" s="1137"/>
      <c r="BZ41" s="1137"/>
      <c r="CA41" s="1137"/>
      <c r="CB41" s="1137"/>
      <c r="CC41" s="1137"/>
      <c r="CD41" s="1137"/>
      <c r="CE41" s="1137"/>
      <c r="CF41" s="1137"/>
      <c r="CG41" s="1137"/>
      <c r="CH41" s="1137"/>
      <c r="CI41" s="1137"/>
      <c r="CJ41" s="1137"/>
      <c r="CK41" s="1137"/>
    </row>
    <row r="42" spans="1:90">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s="56"/>
      <c r="BN42" s="1137"/>
      <c r="BO42" s="1137"/>
      <c r="BP42" s="1137"/>
      <c r="BQ42" s="1137"/>
      <c r="BR42" s="1137"/>
      <c r="BS42" s="1137"/>
      <c r="BT42" s="1137"/>
      <c r="BU42" s="1137"/>
      <c r="BV42" s="1137"/>
      <c r="BW42" s="1137"/>
      <c r="BX42" s="1137"/>
      <c r="BY42" s="1137"/>
      <c r="BZ42" s="1137"/>
      <c r="CA42" s="1137"/>
      <c r="CB42" s="1137"/>
      <c r="CC42" s="1137"/>
      <c r="CD42" s="1137"/>
      <c r="CE42" s="1137"/>
      <c r="CF42" s="1137"/>
      <c r="CG42" s="1137"/>
      <c r="CH42" s="1137"/>
      <c r="CI42" s="1137"/>
      <c r="CJ42" s="1137"/>
      <c r="CK42" s="1137"/>
    </row>
    <row r="43" spans="1:90">
      <c r="BM43" s="1137"/>
      <c r="BN43" s="1137"/>
      <c r="BO43" s="1137"/>
      <c r="BP43" s="1137"/>
      <c r="BQ43" s="1137"/>
      <c r="BR43" s="1137"/>
      <c r="BS43" s="1137"/>
      <c r="BT43" s="1137"/>
      <c r="BU43" s="1137"/>
      <c r="BV43" s="1137"/>
      <c r="BW43" s="1137"/>
      <c r="BX43" s="1137"/>
      <c r="BY43" s="1137"/>
      <c r="BZ43" s="1137"/>
      <c r="CA43" s="1137"/>
      <c r="CB43" s="1137"/>
      <c r="CC43" s="1137"/>
      <c r="CD43" s="1137"/>
      <c r="CE43" s="1137"/>
      <c r="CF43" s="1137"/>
      <c r="CG43" s="1137"/>
      <c r="CH43" s="1137"/>
      <c r="CI43" s="1137"/>
      <c r="CJ43" s="1137"/>
      <c r="CK43" s="1137"/>
    </row>
    <row r="44" spans="1:90">
      <c r="BM44" s="1137"/>
      <c r="BN44" s="1137"/>
      <c r="BO44" s="1137"/>
      <c r="BP44" s="1137"/>
      <c r="BQ44" s="1137"/>
      <c r="BR44" s="1137"/>
      <c r="BS44" s="1137"/>
      <c r="BT44" s="1137"/>
      <c r="BU44" s="1137"/>
      <c r="BV44" s="1137"/>
      <c r="BW44" s="1137"/>
      <c r="BX44" s="1137"/>
      <c r="BY44" s="1137"/>
      <c r="BZ44" s="1137"/>
      <c r="CA44" s="1137"/>
      <c r="CB44" s="1137"/>
      <c r="CC44" s="1137"/>
      <c r="CD44" s="1137"/>
      <c r="CE44" s="1137"/>
      <c r="CF44" s="1137"/>
      <c r="CG44" s="1137"/>
      <c r="CH44" s="1137"/>
      <c r="CI44" s="1137"/>
      <c r="CJ44" s="1137"/>
      <c r="CK44" s="1137"/>
    </row>
    <row r="45" spans="1:90">
      <c r="BM45" s="1137"/>
      <c r="BN45" s="1137"/>
      <c r="BO45" s="1137"/>
      <c r="BP45" s="1137"/>
      <c r="BQ45" s="1137"/>
      <c r="BR45" s="1137"/>
      <c r="BS45" s="1137"/>
      <c r="BT45" s="1137"/>
      <c r="BU45" s="1137"/>
      <c r="BV45" s="1137"/>
      <c r="BW45" s="1137"/>
      <c r="BX45" s="1137"/>
      <c r="BY45" s="1137"/>
      <c r="BZ45" s="1137"/>
      <c r="CA45" s="1137"/>
      <c r="CB45" s="1137"/>
      <c r="CC45" s="1137"/>
      <c r="CD45" s="1137"/>
      <c r="CE45" s="1137"/>
      <c r="CF45" s="1137"/>
      <c r="CG45" s="1137"/>
      <c r="CH45" s="1137"/>
      <c r="CI45" s="1137"/>
      <c r="CJ45" s="1137"/>
      <c r="CK45" s="1137"/>
    </row>
  </sheetData>
  <phoneticPr fontId="65" type="noConversion"/>
  <pageMargins left="0.7" right="0.7" top="0.75" bottom="0.75" header="0.3" footer="0.3"/>
  <pageSetup paperSize="5" scale="42"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44"/>
  <sheetViews>
    <sheetView topLeftCell="P1" workbookViewId="0"/>
  </sheetViews>
  <sheetFormatPr defaultColWidth="9" defaultRowHeight="12.75"/>
  <cols>
    <col min="1" max="1" width="39.5703125" style="927" bestFit="1" customWidth="1"/>
    <col min="2" max="5" width="12.85546875" style="927" customWidth="1"/>
    <col min="6" max="9" width="13.28515625" style="927" customWidth="1"/>
    <col min="10" max="10" width="15.140625" style="927" bestFit="1" customWidth="1"/>
    <col min="11" max="14" width="14.85546875" style="927" customWidth="1"/>
    <col min="15" max="16" width="15.140625" style="927" bestFit="1" customWidth="1"/>
    <col min="17" max="20" width="13.28515625" style="927" customWidth="1"/>
    <col min="21" max="21" width="16" style="927" bestFit="1" customWidth="1"/>
    <col min="22" max="22" width="16.5703125" style="927" bestFit="1" customWidth="1"/>
    <col min="23" max="25" width="16.5703125" style="927" customWidth="1"/>
    <col min="26" max="26" width="14.85546875" style="927" customWidth="1"/>
    <col min="27" max="27" width="15" style="927" customWidth="1"/>
    <col min="28" max="28" width="9" style="927"/>
    <col min="29" max="29" width="14.5703125" style="927" bestFit="1" customWidth="1"/>
    <col min="30" max="16384" width="9" style="927"/>
  </cols>
  <sheetData>
    <row r="1" spans="1:26" ht="15.75">
      <c r="A1" s="1224" t="s">
        <v>204</v>
      </c>
      <c r="D1" s="1225"/>
      <c r="E1" s="1225"/>
      <c r="F1" s="1226"/>
      <c r="G1" s="1227"/>
      <c r="H1" s="1225"/>
      <c r="I1" s="1225"/>
      <c r="J1" s="1225"/>
      <c r="K1" s="1225"/>
      <c r="L1" s="1225"/>
      <c r="M1" s="1225"/>
      <c r="N1" s="1225"/>
      <c r="O1" s="1225"/>
      <c r="P1" s="1225"/>
      <c r="Q1" s="1225"/>
      <c r="R1" s="1225"/>
      <c r="S1" s="1225"/>
      <c r="T1" s="1225"/>
      <c r="U1" s="1225"/>
      <c r="V1" s="1225"/>
      <c r="W1" s="1225"/>
      <c r="X1" s="1225"/>
      <c r="Y1" s="1225"/>
      <c r="Z1" s="1225"/>
    </row>
    <row r="2" spans="1:26" ht="15.75">
      <c r="A2" s="1224" t="s">
        <v>2307</v>
      </c>
      <c r="B2" s="1225"/>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row>
    <row r="3" spans="1:26">
      <c r="A3" s="1228"/>
      <c r="B3" s="1229" t="s">
        <v>214</v>
      </c>
      <c r="C3" s="1229" t="s">
        <v>214</v>
      </c>
      <c r="D3" s="1229" t="s">
        <v>214</v>
      </c>
      <c r="E3" s="1229" t="s">
        <v>214</v>
      </c>
      <c r="F3" s="1229" t="s">
        <v>214</v>
      </c>
      <c r="G3" s="1229" t="s">
        <v>214</v>
      </c>
      <c r="H3" s="1229" t="s">
        <v>214</v>
      </c>
      <c r="I3" s="1229" t="s">
        <v>214</v>
      </c>
      <c r="J3" s="1229" t="s">
        <v>214</v>
      </c>
      <c r="K3" s="1229" t="s">
        <v>214</v>
      </c>
      <c r="L3" s="1229" t="s">
        <v>214</v>
      </c>
      <c r="M3" s="1229" t="s">
        <v>214</v>
      </c>
      <c r="N3" s="1229" t="s">
        <v>214</v>
      </c>
      <c r="O3" s="1229" t="s">
        <v>214</v>
      </c>
      <c r="P3" s="1229" t="s">
        <v>214</v>
      </c>
      <c r="Q3" s="1229" t="s">
        <v>214</v>
      </c>
      <c r="R3" s="1229" t="s">
        <v>214</v>
      </c>
      <c r="S3" s="1229" t="s">
        <v>214</v>
      </c>
      <c r="T3" s="1229" t="s">
        <v>214</v>
      </c>
      <c r="U3" s="1229" t="s">
        <v>214</v>
      </c>
      <c r="V3" s="1229" t="s">
        <v>214</v>
      </c>
      <c r="W3" s="1229" t="s">
        <v>214</v>
      </c>
      <c r="X3" s="1229" t="s">
        <v>214</v>
      </c>
      <c r="Y3" s="1229" t="s">
        <v>214</v>
      </c>
      <c r="Z3" s="1230"/>
    </row>
    <row r="4" spans="1:26">
      <c r="A4" s="1228"/>
      <c r="B4" s="1231">
        <v>2020</v>
      </c>
      <c r="C4" s="1231">
        <v>2020</v>
      </c>
      <c r="D4" s="1231">
        <v>2020</v>
      </c>
      <c r="E4" s="1231">
        <v>2020</v>
      </c>
      <c r="F4" s="1231">
        <v>2020</v>
      </c>
      <c r="G4" s="1231">
        <v>2020</v>
      </c>
      <c r="H4" s="1231">
        <v>2020</v>
      </c>
      <c r="I4" s="1231">
        <v>2020</v>
      </c>
      <c r="J4" s="1231">
        <v>2020</v>
      </c>
      <c r="K4" s="1231">
        <v>2020</v>
      </c>
      <c r="L4" s="1231">
        <v>2020</v>
      </c>
      <c r="M4" s="1231">
        <v>2020</v>
      </c>
      <c r="N4" s="1231">
        <v>2021</v>
      </c>
      <c r="O4" s="1231">
        <v>2021</v>
      </c>
      <c r="P4" s="1231">
        <v>2021</v>
      </c>
      <c r="Q4" s="1231">
        <v>2021</v>
      </c>
      <c r="R4" s="1231">
        <v>2021</v>
      </c>
      <c r="S4" s="1231">
        <v>2021</v>
      </c>
      <c r="T4" s="1231">
        <v>2021</v>
      </c>
      <c r="U4" s="1231">
        <v>2021</v>
      </c>
      <c r="V4" s="1231">
        <v>2021</v>
      </c>
      <c r="W4" s="1231">
        <v>2021</v>
      </c>
      <c r="X4" s="1231">
        <v>2021</v>
      </c>
      <c r="Y4" s="1231">
        <v>2021</v>
      </c>
      <c r="Z4" s="1230" t="s">
        <v>2330</v>
      </c>
    </row>
    <row r="5" spans="1:26">
      <c r="A5" s="925"/>
      <c r="B5" s="1232" t="s">
        <v>2309</v>
      </c>
      <c r="C5" s="1232" t="s">
        <v>2310</v>
      </c>
      <c r="D5" s="1232" t="s">
        <v>1721</v>
      </c>
      <c r="E5" s="1232" t="s">
        <v>1722</v>
      </c>
      <c r="F5" s="1232" t="s">
        <v>476</v>
      </c>
      <c r="G5" s="1232" t="s">
        <v>2715</v>
      </c>
      <c r="H5" s="1232" t="s">
        <v>2716</v>
      </c>
      <c r="I5" s="1232" t="s">
        <v>2315</v>
      </c>
      <c r="J5" s="1232" t="s">
        <v>2316</v>
      </c>
      <c r="K5" s="1232" t="s">
        <v>2328</v>
      </c>
      <c r="L5" s="1232" t="s">
        <v>2329</v>
      </c>
      <c r="M5" s="1232" t="s">
        <v>2308</v>
      </c>
      <c r="N5" s="1232" t="s">
        <v>2309</v>
      </c>
      <c r="O5" s="1232" t="s">
        <v>2310</v>
      </c>
      <c r="P5" s="1232" t="s">
        <v>2311</v>
      </c>
      <c r="Q5" s="1232" t="s">
        <v>2312</v>
      </c>
      <c r="R5" s="1232" t="s">
        <v>296</v>
      </c>
      <c r="S5" s="1232" t="s">
        <v>2717</v>
      </c>
      <c r="T5" s="1232" t="s">
        <v>2718</v>
      </c>
      <c r="U5" s="1232" t="s">
        <v>2719</v>
      </c>
      <c r="V5" s="1232" t="s">
        <v>2720</v>
      </c>
      <c r="W5" s="1232" t="s">
        <v>2729</v>
      </c>
      <c r="X5" s="1232" t="s">
        <v>2730</v>
      </c>
      <c r="Y5" s="1232" t="s">
        <v>2731</v>
      </c>
      <c r="Z5" s="1230" t="s">
        <v>3</v>
      </c>
    </row>
    <row r="6" spans="1:26" s="841" customFormat="1">
      <c r="A6" s="925" t="s">
        <v>2317</v>
      </c>
      <c r="B6" s="838">
        <v>87383269.209999964</v>
      </c>
      <c r="C6" s="838">
        <v>89788572.589999974</v>
      </c>
      <c r="D6" s="838">
        <v>92714028.869999975</v>
      </c>
      <c r="E6" s="838">
        <v>105186283.92999998</v>
      </c>
      <c r="F6" s="838">
        <v>119487898.44999997</v>
      </c>
      <c r="G6" s="838">
        <v>129123895.41999996</v>
      </c>
      <c r="H6" s="838">
        <v>142981953.91999996</v>
      </c>
      <c r="I6" s="838">
        <v>160185910.00999996</v>
      </c>
      <c r="J6" s="1233">
        <v>169862754.33999997</v>
      </c>
      <c r="K6" s="1233">
        <v>123028338.82999998</v>
      </c>
      <c r="L6" s="1233">
        <v>131449528.65999997</v>
      </c>
      <c r="M6" s="1233">
        <v>140807877.94999996</v>
      </c>
      <c r="N6" s="1233">
        <v>142689499.02999997</v>
      </c>
      <c r="O6" s="1233">
        <v>158270839.90999997</v>
      </c>
      <c r="P6" s="1233">
        <v>168655143.24999997</v>
      </c>
      <c r="Q6" s="1233">
        <v>116700530.18999998</v>
      </c>
      <c r="R6" s="1233">
        <v>118593709.78999999</v>
      </c>
      <c r="S6" s="1233">
        <v>130442949.62</v>
      </c>
      <c r="T6" s="1233">
        <v>145786057.19</v>
      </c>
      <c r="U6" s="1233">
        <v>159472172.24000001</v>
      </c>
      <c r="V6" s="1233">
        <v>174423907.45999998</v>
      </c>
      <c r="W6" s="1233">
        <v>191413442.61999997</v>
      </c>
      <c r="X6" s="1233">
        <v>142092425.80000001</v>
      </c>
      <c r="Y6" s="1233">
        <v>147483849.61000001</v>
      </c>
      <c r="Z6" s="842">
        <f>AVERAGE(M6:Y6)</f>
        <v>148987108.05076921</v>
      </c>
    </row>
    <row r="7" spans="1:26" s="841" customFormat="1">
      <c r="A7" s="925"/>
      <c r="B7" s="838"/>
      <c r="C7" s="838"/>
      <c r="D7" s="838"/>
      <c r="E7" s="838"/>
      <c r="F7" s="838"/>
      <c r="G7" s="838"/>
      <c r="H7" s="838"/>
      <c r="I7" s="838"/>
      <c r="J7" s="1233"/>
      <c r="K7" s="1233"/>
      <c r="L7" s="1233"/>
      <c r="M7" s="1233"/>
      <c r="N7" s="1233"/>
      <c r="O7" s="1233"/>
      <c r="P7" s="1233"/>
      <c r="Q7" s="1233"/>
      <c r="R7" s="1233"/>
      <c r="S7" s="1233"/>
      <c r="T7" s="1233"/>
      <c r="U7" s="1234"/>
      <c r="V7" s="1234"/>
      <c r="W7" s="1234"/>
      <c r="X7" s="1234"/>
      <c r="Y7" s="1234"/>
    </row>
    <row r="8" spans="1:26" s="841" customFormat="1">
      <c r="A8" s="925" t="s">
        <v>2318</v>
      </c>
      <c r="B8" s="1235">
        <v>12490817</v>
      </c>
      <c r="C8" s="1235">
        <v>11355400</v>
      </c>
      <c r="D8" s="1235">
        <v>5601979</v>
      </c>
      <c r="E8" s="1235">
        <v>5754830.4700000053</v>
      </c>
      <c r="F8" s="1235">
        <v>6938960</v>
      </c>
      <c r="G8" s="1235">
        <v>8967752</v>
      </c>
      <c r="H8" s="1235">
        <v>12024239</v>
      </c>
      <c r="I8" s="1235">
        <v>10102599</v>
      </c>
      <c r="J8" s="1236">
        <v>12309244</v>
      </c>
      <c r="K8" s="1236">
        <v>14357561</v>
      </c>
      <c r="L8" s="1236">
        <v>12700799.160000008</v>
      </c>
      <c r="M8" s="1236">
        <v>8641341</v>
      </c>
      <c r="N8" s="1236">
        <v>2319854.9499999983</v>
      </c>
      <c r="O8" s="1236">
        <v>3524153.8599999985</v>
      </c>
      <c r="P8" s="1236">
        <v>4408930.5799999982</v>
      </c>
      <c r="Q8" s="1236">
        <v>5911920.629999998</v>
      </c>
      <c r="R8" s="1236">
        <v>6669148.5099999988</v>
      </c>
      <c r="S8" s="1236">
        <v>8995091.5600000005</v>
      </c>
      <c r="T8" s="1236">
        <v>9683800.120000001</v>
      </c>
      <c r="U8" s="1236">
        <v>10904281.080000002</v>
      </c>
      <c r="V8" s="1236">
        <v>13613275.609999999</v>
      </c>
      <c r="W8" s="1236">
        <v>16499702.82</v>
      </c>
      <c r="X8" s="1236">
        <v>18104785.010000002</v>
      </c>
      <c r="Y8" s="1236">
        <v>17609019.299999993</v>
      </c>
      <c r="Z8" s="842">
        <f t="shared" ref="Z8:Z40" si="0">AVERAGE(M8:Y8)</f>
        <v>9760408.0792307686</v>
      </c>
    </row>
    <row r="9" spans="1:26" s="841" customFormat="1">
      <c r="A9" s="925"/>
      <c r="B9" s="838"/>
      <c r="C9" s="838"/>
      <c r="D9" s="838"/>
      <c r="E9" s="838"/>
      <c r="F9" s="838"/>
      <c r="G9" s="1235"/>
      <c r="H9" s="838"/>
      <c r="I9" s="838"/>
      <c r="J9" s="838"/>
      <c r="K9" s="838"/>
      <c r="L9" s="838"/>
      <c r="M9" s="838"/>
      <c r="N9" s="838"/>
      <c r="O9" s="838"/>
      <c r="P9" s="838"/>
      <c r="Q9" s="838"/>
      <c r="R9" s="838"/>
      <c r="S9" s="838"/>
      <c r="T9" s="838"/>
      <c r="U9" s="1234"/>
      <c r="V9" s="1234"/>
      <c r="W9" s="1234"/>
      <c r="X9" s="1234"/>
      <c r="Y9" s="1234"/>
      <c r="Z9" s="842"/>
    </row>
    <row r="10" spans="1:26" s="841" customFormat="1">
      <c r="A10" s="926" t="s">
        <v>2319</v>
      </c>
      <c r="B10" s="838"/>
      <c r="C10" s="838"/>
      <c r="D10" s="838"/>
      <c r="E10" s="838"/>
      <c r="F10" s="838"/>
      <c r="G10" s="1235"/>
      <c r="H10" s="838"/>
      <c r="I10" s="838"/>
      <c r="J10" s="838"/>
      <c r="K10" s="838"/>
      <c r="L10" s="838"/>
      <c r="M10" s="838"/>
      <c r="N10" s="838"/>
      <c r="O10" s="838"/>
      <c r="P10" s="838"/>
      <c r="Q10" s="838"/>
      <c r="R10" s="838"/>
      <c r="S10" s="838"/>
      <c r="T10" s="838"/>
      <c r="U10" s="1234"/>
      <c r="V10" s="1234"/>
      <c r="W10" s="1234"/>
      <c r="X10" s="1234"/>
      <c r="Y10" s="1234"/>
      <c r="Z10" s="842"/>
    </row>
    <row r="11" spans="1:26" s="841" customFormat="1">
      <c r="A11" s="927" t="s">
        <v>2324</v>
      </c>
      <c r="B11" s="1235">
        <v>35966.47</v>
      </c>
      <c r="C11" s="1235">
        <v>36140.68</v>
      </c>
      <c r="D11" s="1235">
        <v>36315.74</v>
      </c>
      <c r="E11" s="1235">
        <v>36491.65</v>
      </c>
      <c r="F11" s="1235">
        <v>36668.410000000003</v>
      </c>
      <c r="G11" s="1235">
        <v>36846.03</v>
      </c>
      <c r="H11" s="1235">
        <v>37024.51</v>
      </c>
      <c r="I11" s="1235">
        <v>37203.85</v>
      </c>
      <c r="J11" s="1235">
        <v>37384.06</v>
      </c>
      <c r="K11" s="1235">
        <v>0</v>
      </c>
      <c r="L11" s="1235">
        <v>0</v>
      </c>
      <c r="M11" s="1235">
        <v>0</v>
      </c>
      <c r="N11" s="1235">
        <v>0</v>
      </c>
      <c r="O11" s="1152">
        <v>0</v>
      </c>
      <c r="P11" s="1152">
        <v>0</v>
      </c>
      <c r="Q11" s="1152">
        <v>0</v>
      </c>
      <c r="R11" s="1152">
        <v>0</v>
      </c>
      <c r="S11" s="1152">
        <v>0</v>
      </c>
      <c r="T11" s="1152">
        <v>0</v>
      </c>
      <c r="U11" s="1237"/>
      <c r="V11" s="1237"/>
      <c r="W11" s="1237"/>
      <c r="X11" s="1237"/>
      <c r="Y11" s="1237"/>
      <c r="Z11" s="842"/>
    </row>
    <row r="12" spans="1:26" s="841" customFormat="1">
      <c r="A12" s="927" t="s">
        <v>2325</v>
      </c>
      <c r="B12" s="1235">
        <v>11563420.58</v>
      </c>
      <c r="C12" s="1235">
        <v>12797920.4</v>
      </c>
      <c r="D12" s="1235">
        <v>13179220.09</v>
      </c>
      <c r="E12" s="1235">
        <v>13701761.6</v>
      </c>
      <c r="F12" s="1235">
        <v>14624102.279999999</v>
      </c>
      <c r="G12" s="1235">
        <v>15093980.33</v>
      </c>
      <c r="H12" s="1235">
        <v>15363584.6</v>
      </c>
      <c r="I12" s="1235">
        <v>15506451.199999999</v>
      </c>
      <c r="J12" s="1235">
        <v>15645200.52</v>
      </c>
      <c r="K12" s="1235">
        <v>0</v>
      </c>
      <c r="L12" s="1235">
        <v>0</v>
      </c>
      <c r="M12" s="1235">
        <v>0</v>
      </c>
      <c r="N12" s="1235">
        <v>0</v>
      </c>
      <c r="O12" s="1152">
        <v>0</v>
      </c>
      <c r="P12" s="1152">
        <v>0</v>
      </c>
      <c r="Q12" s="1152">
        <v>0</v>
      </c>
      <c r="R12" s="1152">
        <v>0</v>
      </c>
      <c r="S12" s="1152">
        <v>0</v>
      </c>
      <c r="T12" s="1152">
        <v>0</v>
      </c>
      <c r="U12" s="1237"/>
      <c r="V12" s="1237"/>
      <c r="W12" s="1237"/>
      <c r="X12" s="1237"/>
      <c r="Y12" s="1237"/>
      <c r="Z12" s="842"/>
    </row>
    <row r="13" spans="1:26" s="841" customFormat="1">
      <c r="A13" s="927" t="s">
        <v>2320</v>
      </c>
      <c r="B13" s="1235">
        <v>5653928.8300000001</v>
      </c>
      <c r="C13" s="1235">
        <v>6231215.7699999996</v>
      </c>
      <c r="D13" s="1235">
        <v>6941969.7999999998</v>
      </c>
      <c r="E13" s="1235">
        <v>8502316.1199999992</v>
      </c>
      <c r="F13" s="1235">
        <v>10800031.24</v>
      </c>
      <c r="G13" s="1235">
        <v>11579288.860000001</v>
      </c>
      <c r="H13" s="1235">
        <v>16452212.01</v>
      </c>
      <c r="I13" s="1235">
        <v>18398754.93</v>
      </c>
      <c r="J13" s="1235">
        <v>23818486.459999997</v>
      </c>
      <c r="K13" s="1235">
        <v>30028288.229999997</v>
      </c>
      <c r="L13" s="1235">
        <v>35534986.920000002</v>
      </c>
      <c r="M13" s="1235">
        <v>42456805.880000003</v>
      </c>
      <c r="N13" s="1235">
        <v>47108105.390000001</v>
      </c>
      <c r="O13" s="1152">
        <v>51009048.789999999</v>
      </c>
      <c r="P13" s="1152">
        <v>54576485.420000002</v>
      </c>
      <c r="Q13" s="1152">
        <v>33566445.549999997</v>
      </c>
      <c r="R13" s="1152">
        <v>32527303.059999999</v>
      </c>
      <c r="S13" s="1152">
        <v>33126683.870000001</v>
      </c>
      <c r="T13" s="1152">
        <v>33515852.16</v>
      </c>
      <c r="U13" s="1238">
        <v>33777550.729999997</v>
      </c>
      <c r="V13" s="1238">
        <v>34261231.649999999</v>
      </c>
      <c r="W13" s="1238">
        <v>34619873.990000002</v>
      </c>
      <c r="X13" s="1238">
        <v>0</v>
      </c>
      <c r="Y13" s="1238">
        <v>0</v>
      </c>
      <c r="Z13" s="842">
        <f t="shared" si="0"/>
        <v>33118875.88384616</v>
      </c>
    </row>
    <row r="14" spans="1:26" s="841" customFormat="1">
      <c r="A14" s="927" t="s">
        <v>2322</v>
      </c>
      <c r="B14" s="1235">
        <v>8454930.4499999993</v>
      </c>
      <c r="C14" s="1235">
        <v>8598185.2499999981</v>
      </c>
      <c r="D14" s="1235">
        <v>8909166.6099999994</v>
      </c>
      <c r="E14" s="1235">
        <v>9535443.3800000008</v>
      </c>
      <c r="F14" s="1235">
        <v>10285629.649999999</v>
      </c>
      <c r="G14" s="1235">
        <v>10720718.02</v>
      </c>
      <c r="H14" s="1235">
        <v>11170804.560000001</v>
      </c>
      <c r="I14" s="1235">
        <v>11779183.77</v>
      </c>
      <c r="J14" s="1235">
        <v>14193553.000000002</v>
      </c>
      <c r="K14" s="1235">
        <v>15739461.930000002</v>
      </c>
      <c r="L14" s="1235">
        <v>18370602.200000003</v>
      </c>
      <c r="M14" s="1235">
        <v>20839387.149999999</v>
      </c>
      <c r="N14" s="1235">
        <v>23767842.66</v>
      </c>
      <c r="O14" s="1152">
        <v>26133116</v>
      </c>
      <c r="P14" s="1152">
        <v>28293958.349999998</v>
      </c>
      <c r="Q14" s="1152">
        <v>66551.69</v>
      </c>
      <c r="R14" s="1152">
        <v>66880.39</v>
      </c>
      <c r="S14" s="1152">
        <v>67978.13</v>
      </c>
      <c r="T14" s="1152">
        <v>69000.17</v>
      </c>
      <c r="U14" s="1238">
        <v>69334.38</v>
      </c>
      <c r="V14" s="1238">
        <v>69858.63</v>
      </c>
      <c r="W14" s="1238">
        <v>0</v>
      </c>
      <c r="X14" s="1238">
        <v>0</v>
      </c>
      <c r="Y14" s="1238">
        <v>0</v>
      </c>
      <c r="Z14" s="842">
        <f t="shared" si="0"/>
        <v>7649531.3499999987</v>
      </c>
    </row>
    <row r="15" spans="1:26" s="841" customFormat="1">
      <c r="A15" s="927" t="s">
        <v>2321</v>
      </c>
      <c r="B15" s="1235">
        <v>12314178.949999999</v>
      </c>
      <c r="C15" s="1235">
        <v>21177952.149999999</v>
      </c>
      <c r="D15" s="1235">
        <v>23555505.949999999</v>
      </c>
      <c r="E15" s="1235">
        <v>30897112.730000004</v>
      </c>
      <c r="F15" s="1235">
        <v>41159933</v>
      </c>
      <c r="G15" s="1235">
        <v>45148714.710000001</v>
      </c>
      <c r="H15" s="1235">
        <v>45985695.18</v>
      </c>
      <c r="I15" s="1235">
        <v>46646722.869999997</v>
      </c>
      <c r="J15" s="1235">
        <v>46801929.340000004</v>
      </c>
      <c r="K15" s="1235">
        <v>0</v>
      </c>
      <c r="L15" s="1235">
        <v>0</v>
      </c>
      <c r="M15" s="1235">
        <v>0</v>
      </c>
      <c r="N15" s="1235">
        <v>0</v>
      </c>
      <c r="O15" s="1152">
        <v>0</v>
      </c>
      <c r="P15" s="1152">
        <v>0</v>
      </c>
      <c r="Q15" s="1152">
        <v>0</v>
      </c>
      <c r="R15" s="1152">
        <v>0</v>
      </c>
      <c r="S15" s="1152">
        <v>0</v>
      </c>
      <c r="T15" s="1152">
        <v>0</v>
      </c>
      <c r="U15" s="1238">
        <v>0</v>
      </c>
      <c r="V15" s="1238">
        <v>0</v>
      </c>
      <c r="W15" s="1238">
        <v>0</v>
      </c>
      <c r="X15" s="1238">
        <v>0</v>
      </c>
      <c r="Y15" s="1238">
        <v>0</v>
      </c>
      <c r="Z15" s="842">
        <f t="shared" si="0"/>
        <v>0</v>
      </c>
    </row>
    <row r="16" spans="1:26" s="841" customFormat="1">
      <c r="A16" s="927" t="s">
        <v>2550</v>
      </c>
      <c r="B16" s="1235">
        <v>37843.699999999997</v>
      </c>
      <c r="C16" s="1235">
        <v>43581.279999999999</v>
      </c>
      <c r="D16" s="1235">
        <v>45236.79</v>
      </c>
      <c r="E16" s="1235">
        <v>201042.97</v>
      </c>
      <c r="F16" s="1235">
        <v>217714.44</v>
      </c>
      <c r="G16" s="1235">
        <v>227176.14</v>
      </c>
      <c r="H16" s="1235">
        <v>256962.88</v>
      </c>
      <c r="I16" s="1235">
        <v>853949.96</v>
      </c>
      <c r="J16" s="1235">
        <v>1702922.55</v>
      </c>
      <c r="K16" s="1235">
        <v>2737541.36</v>
      </c>
      <c r="L16" s="1235">
        <v>3329403.46</v>
      </c>
      <c r="M16" s="1235">
        <v>4269034</v>
      </c>
      <c r="N16" s="1235">
        <v>4957028.16</v>
      </c>
      <c r="O16" s="1152">
        <v>5532640.9100000001</v>
      </c>
      <c r="P16" s="1152">
        <v>6645237.3700000001</v>
      </c>
      <c r="Q16" s="1152">
        <v>7480664.0800000001</v>
      </c>
      <c r="R16" s="1152">
        <v>8082126.6299999999</v>
      </c>
      <c r="S16" s="1152">
        <v>8357770.54</v>
      </c>
      <c r="T16" s="1152">
        <v>8631551.1899999995</v>
      </c>
      <c r="U16" s="1238">
        <v>8773776.7699999996</v>
      </c>
      <c r="V16" s="1238">
        <v>8988650.3000000007</v>
      </c>
      <c r="W16" s="1238">
        <v>9119456.1699999999</v>
      </c>
      <c r="X16" s="1238">
        <v>9394496.5899999999</v>
      </c>
      <c r="Y16" s="1238">
        <v>10099072.75</v>
      </c>
      <c r="Z16" s="842">
        <f t="shared" si="0"/>
        <v>7717808.1123076929</v>
      </c>
    </row>
    <row r="17" spans="1:26" s="841" customFormat="1">
      <c r="A17" s="927" t="s">
        <v>2675</v>
      </c>
      <c r="B17" s="1235">
        <v>74098.39</v>
      </c>
      <c r="C17" s="1235">
        <v>118389.22</v>
      </c>
      <c r="D17" s="1235">
        <v>135643.26999999999</v>
      </c>
      <c r="E17" s="1235">
        <v>150485.51999999999</v>
      </c>
      <c r="F17" s="1235">
        <v>249196.17</v>
      </c>
      <c r="G17" s="1235">
        <v>267266.46000000002</v>
      </c>
      <c r="H17" s="1235">
        <v>338293.91</v>
      </c>
      <c r="I17" s="1235">
        <v>528350.93999999994</v>
      </c>
      <c r="J17" s="1239">
        <v>844177.5</v>
      </c>
      <c r="K17" s="1239">
        <v>904687.89</v>
      </c>
      <c r="L17" s="1239">
        <v>892704.11</v>
      </c>
      <c r="M17" s="1239">
        <v>922425.54</v>
      </c>
      <c r="N17" s="1239">
        <v>930788.44000000006</v>
      </c>
      <c r="O17" s="1152">
        <v>1083244.07</v>
      </c>
      <c r="P17" s="1152">
        <v>1101921.94</v>
      </c>
      <c r="Q17" s="1152">
        <v>1140501.23</v>
      </c>
      <c r="R17" s="1152">
        <v>1151575.6200000001</v>
      </c>
      <c r="S17" s="1152">
        <v>1171259.42</v>
      </c>
      <c r="T17" s="1152">
        <v>1219219.8999999999</v>
      </c>
      <c r="U17" s="1238">
        <v>1265137.6000000001</v>
      </c>
      <c r="V17" s="1240">
        <v>0</v>
      </c>
      <c r="W17" s="1248">
        <v>0</v>
      </c>
      <c r="X17" s="1248">
        <v>0</v>
      </c>
      <c r="Y17" s="1248">
        <v>0</v>
      </c>
      <c r="Z17" s="842">
        <f t="shared" si="0"/>
        <v>768159.52</v>
      </c>
    </row>
    <row r="18" spans="1:26" s="841" customFormat="1">
      <c r="A18" s="21" t="s">
        <v>2488</v>
      </c>
      <c r="B18" s="1235">
        <v>0</v>
      </c>
      <c r="C18" s="1235">
        <v>0</v>
      </c>
      <c r="D18" s="1152">
        <v>0</v>
      </c>
      <c r="E18" s="1235">
        <v>0</v>
      </c>
      <c r="F18" s="1235">
        <v>52902.23</v>
      </c>
      <c r="G18" s="1235">
        <v>62565.13</v>
      </c>
      <c r="H18" s="1235">
        <v>67776.100000000006</v>
      </c>
      <c r="I18" s="1235">
        <v>9334465.0299999993</v>
      </c>
      <c r="J18" s="1235">
        <v>9453108.8599999994</v>
      </c>
      <c r="K18" s="1235">
        <v>9998286.540000001</v>
      </c>
      <c r="L18" s="1235">
        <v>10067833.35</v>
      </c>
      <c r="M18" s="1235">
        <v>10618180.779999999</v>
      </c>
      <c r="N18" s="1235">
        <v>10717214.880000001</v>
      </c>
      <c r="O18" s="1152">
        <v>11098600</v>
      </c>
      <c r="P18" s="1152">
        <v>11435627.34</v>
      </c>
      <c r="Q18" s="1152">
        <v>12058288.02</v>
      </c>
      <c r="R18" s="1152">
        <v>12848339.200000001</v>
      </c>
      <c r="S18" s="1152">
        <v>13772991.170000002</v>
      </c>
      <c r="T18" s="1152">
        <v>19145361.530000001</v>
      </c>
      <c r="U18" s="1238">
        <v>26028514.520000003</v>
      </c>
      <c r="V18" s="1238">
        <v>27414013.170000002</v>
      </c>
      <c r="W18" s="1248">
        <v>29578660.280000001</v>
      </c>
      <c r="X18" s="1248">
        <v>9931458.3000000007</v>
      </c>
      <c r="Y18" s="1248">
        <v>10625873.82</v>
      </c>
      <c r="Z18" s="842">
        <f t="shared" si="0"/>
        <v>15790240.231538463</v>
      </c>
    </row>
    <row r="19" spans="1:26" s="841" customFormat="1">
      <c r="A19" s="927" t="s">
        <v>2676</v>
      </c>
      <c r="B19" s="1235">
        <v>0</v>
      </c>
      <c r="C19" s="1235">
        <v>0</v>
      </c>
      <c r="D19" s="1152">
        <v>0</v>
      </c>
      <c r="E19" s="1235">
        <v>0</v>
      </c>
      <c r="F19" s="1235">
        <v>10446.379999999999</v>
      </c>
      <c r="G19" s="1235">
        <v>10471.68</v>
      </c>
      <c r="H19" s="1235">
        <v>10522.41</v>
      </c>
      <c r="I19" s="1235">
        <v>10573.38</v>
      </c>
      <c r="J19" s="1235">
        <v>12617.15</v>
      </c>
      <c r="K19" s="1235">
        <v>12673.44</v>
      </c>
      <c r="L19" s="1235">
        <v>14997.96</v>
      </c>
      <c r="M19" s="1235">
        <v>21657.67</v>
      </c>
      <c r="N19" s="1235">
        <v>26124.11</v>
      </c>
      <c r="O19" s="1152">
        <v>28059.96</v>
      </c>
      <c r="P19" s="1152">
        <v>30307.17</v>
      </c>
      <c r="Q19" s="1152">
        <v>35330.699999999997</v>
      </c>
      <c r="R19" s="1152">
        <v>38067.910000000003</v>
      </c>
      <c r="S19" s="1152">
        <v>40958.720000000001</v>
      </c>
      <c r="T19" s="1152">
        <v>42946.6</v>
      </c>
      <c r="U19" s="1238">
        <v>45476.56</v>
      </c>
      <c r="V19" s="1240">
        <v>0</v>
      </c>
      <c r="W19" s="1248">
        <v>0</v>
      </c>
      <c r="X19" s="1248">
        <v>0</v>
      </c>
      <c r="Y19" s="1248">
        <v>0</v>
      </c>
      <c r="Z19" s="842">
        <f t="shared" si="0"/>
        <v>23763.799999999996</v>
      </c>
    </row>
    <row r="20" spans="1:26" s="841" customFormat="1">
      <c r="A20" s="927" t="s">
        <v>2677</v>
      </c>
      <c r="B20" s="1235">
        <v>0</v>
      </c>
      <c r="C20" s="1235">
        <v>0</v>
      </c>
      <c r="D20" s="1235">
        <v>0</v>
      </c>
      <c r="E20" s="1235">
        <v>0</v>
      </c>
      <c r="F20" s="1235">
        <v>0</v>
      </c>
      <c r="G20" s="1235">
        <v>0</v>
      </c>
      <c r="H20" s="1235">
        <v>0</v>
      </c>
      <c r="I20" s="1235">
        <v>0</v>
      </c>
      <c r="J20" s="1235">
        <v>0</v>
      </c>
      <c r="K20" s="1235">
        <v>0</v>
      </c>
      <c r="L20" s="1235">
        <v>26221</v>
      </c>
      <c r="M20" s="1235">
        <v>45636.1</v>
      </c>
      <c r="N20" s="1235">
        <v>69799.72</v>
      </c>
      <c r="O20" s="1152">
        <v>93662.399999999994</v>
      </c>
      <c r="P20" s="1152">
        <v>105872.7</v>
      </c>
      <c r="Q20" s="1152">
        <v>132168.70000000001</v>
      </c>
      <c r="R20" s="1152">
        <v>142978.12</v>
      </c>
      <c r="S20" s="1152">
        <v>226065.41</v>
      </c>
      <c r="T20" s="1152">
        <v>242099.03</v>
      </c>
      <c r="U20" s="1238">
        <v>296974.73</v>
      </c>
      <c r="V20" s="1238">
        <v>325381.05</v>
      </c>
      <c r="W20" s="1238">
        <v>1292732.6200000001</v>
      </c>
      <c r="X20" s="1238">
        <v>3520048.38</v>
      </c>
      <c r="Y20" s="1238">
        <v>3784390.32</v>
      </c>
      <c r="Z20" s="842">
        <f t="shared" si="0"/>
        <v>790600.71384615381</v>
      </c>
    </row>
    <row r="21" spans="1:26" s="841" customFormat="1">
      <c r="A21" s="927" t="s">
        <v>2551</v>
      </c>
      <c r="B21" s="1235">
        <v>0</v>
      </c>
      <c r="C21" s="1235">
        <v>0</v>
      </c>
      <c r="D21" s="1235">
        <v>0</v>
      </c>
      <c r="E21" s="1235">
        <v>0</v>
      </c>
      <c r="F21" s="1235">
        <v>0</v>
      </c>
      <c r="G21" s="1235">
        <v>0</v>
      </c>
      <c r="H21" s="1235">
        <v>0</v>
      </c>
      <c r="I21" s="1235">
        <v>0</v>
      </c>
      <c r="J21" s="1235">
        <v>0</v>
      </c>
      <c r="K21" s="1235">
        <v>0</v>
      </c>
      <c r="L21" s="1235">
        <v>0</v>
      </c>
      <c r="M21" s="1235">
        <v>28441.37</v>
      </c>
      <c r="N21" s="1235">
        <v>28510.25</v>
      </c>
      <c r="O21" s="1152">
        <v>35231.279999999999</v>
      </c>
      <c r="P21" s="1152">
        <v>96710.45</v>
      </c>
      <c r="Q21" s="1152">
        <v>105529.55</v>
      </c>
      <c r="R21" s="1152">
        <v>4408.57</v>
      </c>
      <c r="S21" s="1152">
        <v>7526.61</v>
      </c>
      <c r="T21" s="1152">
        <v>24607.21</v>
      </c>
      <c r="U21" s="1238">
        <v>31630.45</v>
      </c>
      <c r="V21" s="1238">
        <v>2384054.41</v>
      </c>
      <c r="W21" s="1238">
        <v>2441933.41</v>
      </c>
      <c r="X21" s="1238">
        <v>2590723.65</v>
      </c>
      <c r="Y21" s="1238">
        <v>2775979.63</v>
      </c>
      <c r="Z21" s="842">
        <f t="shared" si="0"/>
        <v>811945.14153846155</v>
      </c>
    </row>
    <row r="22" spans="1:26" s="841" customFormat="1">
      <c r="A22" s="927" t="s">
        <v>2323</v>
      </c>
      <c r="B22" s="1235">
        <v>0</v>
      </c>
      <c r="C22" s="1235">
        <v>0</v>
      </c>
      <c r="D22" s="1235">
        <v>0</v>
      </c>
      <c r="E22" s="1235">
        <v>0</v>
      </c>
      <c r="F22" s="1235">
        <v>0</v>
      </c>
      <c r="G22" s="1235">
        <v>0</v>
      </c>
      <c r="H22" s="1235">
        <v>0</v>
      </c>
      <c r="I22" s="1235">
        <v>0</v>
      </c>
      <c r="J22" s="1235">
        <v>12908.44</v>
      </c>
      <c r="K22" s="1235">
        <v>31196.400000000001</v>
      </c>
      <c r="L22" s="1235">
        <v>55446.31</v>
      </c>
      <c r="M22" s="1235">
        <v>137697.25</v>
      </c>
      <c r="N22" s="1235">
        <v>780571</v>
      </c>
      <c r="O22" s="1152">
        <v>905129.29</v>
      </c>
      <c r="P22" s="1152">
        <v>1738610.72</v>
      </c>
      <c r="Q22" s="1152">
        <v>2405127.2799999998</v>
      </c>
      <c r="R22" s="1152">
        <v>2914780.05</v>
      </c>
      <c r="S22" s="1152">
        <v>4401227.33</v>
      </c>
      <c r="T22" s="1152">
        <v>4730220.25</v>
      </c>
      <c r="U22" s="1238">
        <v>5669806.9199999999</v>
      </c>
      <c r="V22" s="1238">
        <v>7968148.5</v>
      </c>
      <c r="W22" s="1238">
        <v>8883174.2300000004</v>
      </c>
      <c r="X22" s="1238">
        <v>9889307.2300000004</v>
      </c>
      <c r="Y22" s="1238">
        <v>11062109.029999999</v>
      </c>
      <c r="Z22" s="842">
        <f t="shared" si="0"/>
        <v>4729685.3138461551</v>
      </c>
    </row>
    <row r="23" spans="1:26" s="841" customFormat="1">
      <c r="A23" s="927" t="s">
        <v>2578</v>
      </c>
      <c r="B23" s="1152"/>
      <c r="C23" s="1152"/>
      <c r="D23" s="1152"/>
      <c r="E23" s="1152"/>
      <c r="F23" s="1152"/>
      <c r="G23" s="1235"/>
      <c r="H23" s="1152"/>
      <c r="I23" s="1152"/>
      <c r="J23" s="1152"/>
      <c r="K23" s="1152"/>
      <c r="L23" s="1152"/>
      <c r="M23" s="1152">
        <v>0</v>
      </c>
      <c r="N23" s="1152">
        <v>0</v>
      </c>
      <c r="O23" s="1152">
        <v>3664638.77</v>
      </c>
      <c r="P23" s="1152">
        <v>3844303</v>
      </c>
      <c r="Q23" s="1152">
        <v>0</v>
      </c>
      <c r="R23" s="1152">
        <v>0</v>
      </c>
      <c r="S23" s="1152">
        <v>0</v>
      </c>
      <c r="T23" s="1152">
        <v>0</v>
      </c>
      <c r="U23" s="1238">
        <v>0</v>
      </c>
      <c r="V23" s="1238">
        <v>0</v>
      </c>
      <c r="W23" s="1238">
        <v>0</v>
      </c>
      <c r="X23" s="1238">
        <v>0</v>
      </c>
      <c r="Y23" s="1238">
        <v>0</v>
      </c>
      <c r="Z23" s="842">
        <f t="shared" si="0"/>
        <v>577610.9053846153</v>
      </c>
    </row>
    <row r="24" spans="1:26" s="841" customFormat="1">
      <c r="A24" s="927" t="s">
        <v>2579</v>
      </c>
      <c r="B24" s="1152"/>
      <c r="C24" s="1152"/>
      <c r="D24" s="1152"/>
      <c r="E24" s="1152"/>
      <c r="F24" s="1152"/>
      <c r="G24" s="1235"/>
      <c r="H24" s="1152"/>
      <c r="I24" s="1152"/>
      <c r="J24" s="1152"/>
      <c r="K24" s="1152"/>
      <c r="L24" s="1152"/>
      <c r="M24" s="1152">
        <v>0</v>
      </c>
      <c r="N24" s="1152">
        <v>0</v>
      </c>
      <c r="O24" s="1152">
        <v>74596.42</v>
      </c>
      <c r="P24" s="1152">
        <v>106228.99</v>
      </c>
      <c r="Q24" s="1152">
        <v>106667.81</v>
      </c>
      <c r="R24" s="1152">
        <v>107191.07</v>
      </c>
      <c r="S24" s="1152">
        <v>118290.15</v>
      </c>
      <c r="T24" s="1152">
        <v>118840.24</v>
      </c>
      <c r="U24" s="1238">
        <v>119418.75</v>
      </c>
      <c r="V24" s="1238">
        <v>120000.08</v>
      </c>
      <c r="W24" s="1238">
        <v>121415.07</v>
      </c>
      <c r="X24" s="1238">
        <v>122004.1</v>
      </c>
      <c r="Y24" s="1238">
        <v>123508.02</v>
      </c>
      <c r="Z24" s="842">
        <f t="shared" si="0"/>
        <v>95243.13076923076</v>
      </c>
    </row>
    <row r="25" spans="1:26" s="841" customFormat="1">
      <c r="A25" s="927" t="s">
        <v>2580</v>
      </c>
      <c r="B25" s="1152"/>
      <c r="C25" s="1152"/>
      <c r="D25" s="1152"/>
      <c r="E25" s="1152"/>
      <c r="F25" s="1152"/>
      <c r="G25" s="1235"/>
      <c r="H25" s="1152"/>
      <c r="I25" s="1152"/>
      <c r="J25" s="1152"/>
      <c r="K25" s="1152"/>
      <c r="L25" s="1152"/>
      <c r="M25" s="1152">
        <v>0</v>
      </c>
      <c r="N25" s="1152">
        <v>0</v>
      </c>
      <c r="O25" s="1152">
        <v>2079530.85</v>
      </c>
      <c r="P25" s="1152">
        <v>2090240.87</v>
      </c>
      <c r="Q25" s="1152">
        <v>2100364.13</v>
      </c>
      <c r="R25" s="1152">
        <v>2145279.34</v>
      </c>
      <c r="S25" s="1152">
        <v>2186866.4700000002</v>
      </c>
      <c r="T25" s="1152">
        <v>2443931.54</v>
      </c>
      <c r="U25" s="1238">
        <v>2624455.92</v>
      </c>
      <c r="V25" s="1238">
        <v>2823321.68</v>
      </c>
      <c r="W25" s="1238">
        <v>2935376.71</v>
      </c>
      <c r="X25" s="1238">
        <v>2987883.51</v>
      </c>
      <c r="Y25" s="1238">
        <v>3061604.59</v>
      </c>
      <c r="Z25" s="842">
        <f t="shared" si="0"/>
        <v>2113758.1238461542</v>
      </c>
    </row>
    <row r="26" spans="1:26" s="841" customFormat="1">
      <c r="A26" s="927" t="s">
        <v>2581</v>
      </c>
      <c r="B26" s="1152"/>
      <c r="C26" s="1152"/>
      <c r="D26" s="1152"/>
      <c r="E26" s="1152"/>
      <c r="F26" s="1152"/>
      <c r="G26" s="1235"/>
      <c r="H26" s="1152"/>
      <c r="I26" s="1152"/>
      <c r="J26" s="1152"/>
      <c r="K26" s="1152"/>
      <c r="L26" s="1152"/>
      <c r="M26" s="1152">
        <v>0</v>
      </c>
      <c r="N26" s="1152">
        <v>0</v>
      </c>
      <c r="O26" s="1152">
        <v>52116.68</v>
      </c>
      <c r="P26" s="1152">
        <v>0</v>
      </c>
      <c r="Q26" s="1152">
        <v>0</v>
      </c>
      <c r="R26" s="1152">
        <v>0</v>
      </c>
      <c r="S26" s="1152">
        <v>0</v>
      </c>
      <c r="T26" s="1152">
        <v>0</v>
      </c>
      <c r="U26" s="1238">
        <v>0</v>
      </c>
      <c r="V26" s="1238">
        <v>0</v>
      </c>
      <c r="W26" s="1238">
        <v>0</v>
      </c>
      <c r="X26" s="1238">
        <v>0</v>
      </c>
      <c r="Y26" s="1238">
        <v>0</v>
      </c>
      <c r="Z26" s="842">
        <f t="shared" si="0"/>
        <v>4008.9753846153844</v>
      </c>
    </row>
    <row r="27" spans="1:26" s="841" customFormat="1">
      <c r="A27" s="927" t="s">
        <v>2582</v>
      </c>
      <c r="B27" s="1152"/>
      <c r="C27" s="1152"/>
      <c r="D27" s="1152"/>
      <c r="E27" s="1152"/>
      <c r="F27" s="1152"/>
      <c r="G27" s="1235"/>
      <c r="H27" s="1152"/>
      <c r="I27" s="1152"/>
      <c r="J27" s="1152"/>
      <c r="K27" s="1152"/>
      <c r="L27" s="1152"/>
      <c r="M27" s="1152">
        <v>0</v>
      </c>
      <c r="N27" s="1152">
        <v>0</v>
      </c>
      <c r="O27" s="1152">
        <v>13595.9</v>
      </c>
      <c r="P27" s="1152">
        <v>14017.16</v>
      </c>
      <c r="Q27" s="1152">
        <v>14514.89</v>
      </c>
      <c r="R27" s="1152">
        <v>14585.16</v>
      </c>
      <c r="S27" s="1152">
        <v>14770.75</v>
      </c>
      <c r="T27" s="1152">
        <v>14842.38</v>
      </c>
      <c r="U27" s="1238">
        <v>14914.63</v>
      </c>
      <c r="V27" s="1238">
        <v>14987.23</v>
      </c>
      <c r="W27" s="1238">
        <v>24783.18</v>
      </c>
      <c r="X27" s="1238">
        <v>24880.16</v>
      </c>
      <c r="Y27" s="1238">
        <v>25001.27</v>
      </c>
      <c r="Z27" s="842">
        <f t="shared" si="0"/>
        <v>14684.054615384615</v>
      </c>
    </row>
    <row r="28" spans="1:26" s="841" customFormat="1">
      <c r="A28" s="927" t="s">
        <v>2583</v>
      </c>
      <c r="B28" s="1152"/>
      <c r="C28" s="1152"/>
      <c r="D28" s="1152"/>
      <c r="E28" s="1152"/>
      <c r="F28" s="1152"/>
      <c r="G28" s="1235"/>
      <c r="H28" s="1152"/>
      <c r="I28" s="1152"/>
      <c r="J28" s="1152"/>
      <c r="K28" s="1152"/>
      <c r="L28" s="1152"/>
      <c r="M28" s="1152">
        <v>0</v>
      </c>
      <c r="N28" s="1152">
        <v>0</v>
      </c>
      <c r="O28" s="1152">
        <v>457.21</v>
      </c>
      <c r="P28" s="1152">
        <v>459.43</v>
      </c>
      <c r="Q28" s="1152">
        <v>0</v>
      </c>
      <c r="R28" s="1152">
        <v>0</v>
      </c>
      <c r="S28" s="1152">
        <v>0</v>
      </c>
      <c r="T28" s="1152">
        <v>0</v>
      </c>
      <c r="U28" s="1238">
        <v>0</v>
      </c>
      <c r="V28" s="1238">
        <v>0</v>
      </c>
      <c r="W28" s="1238">
        <v>0</v>
      </c>
      <c r="X28" s="1238">
        <v>0</v>
      </c>
      <c r="Y28" s="1238">
        <v>0</v>
      </c>
      <c r="Z28" s="842">
        <f t="shared" si="0"/>
        <v>70.510769230769228</v>
      </c>
    </row>
    <row r="29" spans="1:26" s="841" customFormat="1">
      <c r="A29" s="927" t="s">
        <v>2584</v>
      </c>
      <c r="B29" s="1152"/>
      <c r="C29" s="1152"/>
      <c r="D29" s="1152"/>
      <c r="E29" s="1152"/>
      <c r="F29" s="1152"/>
      <c r="G29" s="1235"/>
      <c r="H29" s="1152"/>
      <c r="I29" s="1152"/>
      <c r="J29" s="1152"/>
      <c r="K29" s="1152"/>
      <c r="L29" s="1152"/>
      <c r="M29" s="1152">
        <v>0</v>
      </c>
      <c r="N29" s="1152">
        <v>0</v>
      </c>
      <c r="O29" s="1152">
        <v>2221925.2799999998</v>
      </c>
      <c r="P29" s="1152">
        <v>0</v>
      </c>
      <c r="Q29" s="1152">
        <v>0</v>
      </c>
      <c r="R29" s="1152">
        <v>0</v>
      </c>
      <c r="S29" s="1152">
        <v>0</v>
      </c>
      <c r="T29" s="1152">
        <v>0</v>
      </c>
      <c r="U29" s="1238">
        <v>0</v>
      </c>
      <c r="V29" s="1238">
        <v>0</v>
      </c>
      <c r="W29" s="1238">
        <v>0</v>
      </c>
      <c r="X29" s="1238">
        <v>0</v>
      </c>
      <c r="Y29" s="1238">
        <v>0</v>
      </c>
      <c r="Z29" s="842">
        <f t="shared" si="0"/>
        <v>170917.32923076922</v>
      </c>
    </row>
    <row r="30" spans="1:26" s="841" customFormat="1">
      <c r="A30" s="927" t="s">
        <v>2585</v>
      </c>
      <c r="B30" s="1152"/>
      <c r="C30" s="1152"/>
      <c r="D30" s="1152"/>
      <c r="E30" s="1152"/>
      <c r="F30" s="1152"/>
      <c r="G30" s="1235"/>
      <c r="H30" s="1152"/>
      <c r="I30" s="1152"/>
      <c r="J30" s="1152"/>
      <c r="K30" s="1152"/>
      <c r="L30" s="1152"/>
      <c r="M30" s="1152">
        <v>0</v>
      </c>
      <c r="N30" s="1152">
        <v>0</v>
      </c>
      <c r="O30" s="1152">
        <v>117630.43</v>
      </c>
      <c r="P30" s="1152">
        <v>128166.79</v>
      </c>
      <c r="Q30" s="1152">
        <v>129193.52</v>
      </c>
      <c r="R30" s="1152">
        <v>132489.24</v>
      </c>
      <c r="S30" s="1152">
        <v>133127.71</v>
      </c>
      <c r="T30" s="1152">
        <v>133775.76999999999</v>
      </c>
      <c r="U30" s="1238">
        <v>141590.06</v>
      </c>
      <c r="V30" s="1238">
        <v>142261.89000000001</v>
      </c>
      <c r="W30" s="1238">
        <v>142954.42000000001</v>
      </c>
      <c r="X30" s="1238">
        <v>145354.47</v>
      </c>
      <c r="Y30" s="1238">
        <v>162995.32999999999</v>
      </c>
      <c r="Z30" s="842">
        <f t="shared" si="0"/>
        <v>116118.43307692309</v>
      </c>
    </row>
    <row r="31" spans="1:26" s="841" customFormat="1">
      <c r="A31" s="927" t="s">
        <v>2586</v>
      </c>
      <c r="B31" s="1152"/>
      <c r="C31" s="1152"/>
      <c r="D31" s="1152"/>
      <c r="E31" s="1152"/>
      <c r="F31" s="1152"/>
      <c r="G31" s="1235"/>
      <c r="H31" s="1152"/>
      <c r="I31" s="1152"/>
      <c r="J31" s="1152"/>
      <c r="K31" s="1152"/>
      <c r="L31" s="1152"/>
      <c r="M31" s="1152">
        <v>0</v>
      </c>
      <c r="N31" s="1152">
        <v>0</v>
      </c>
      <c r="O31" s="1152">
        <v>256002.99000000002</v>
      </c>
      <c r="P31" s="1152">
        <v>0</v>
      </c>
      <c r="Q31" s="1152">
        <v>0</v>
      </c>
      <c r="R31" s="1152">
        <v>0</v>
      </c>
      <c r="S31" s="1152">
        <v>0</v>
      </c>
      <c r="T31" s="1152">
        <v>0</v>
      </c>
      <c r="U31" s="1238">
        <v>0</v>
      </c>
      <c r="V31" s="1238">
        <v>0</v>
      </c>
      <c r="W31" s="1238">
        <v>0</v>
      </c>
      <c r="X31" s="1238">
        <v>0</v>
      </c>
      <c r="Y31" s="1238">
        <v>0</v>
      </c>
      <c r="Z31" s="842">
        <f t="shared" si="0"/>
        <v>19692.537692307695</v>
      </c>
    </row>
    <row r="32" spans="1:26" s="841" customFormat="1">
      <c r="A32" s="927" t="s">
        <v>2587</v>
      </c>
      <c r="B32" s="1152"/>
      <c r="C32" s="1152"/>
      <c r="D32" s="1152"/>
      <c r="E32" s="1152"/>
      <c r="F32" s="1152"/>
      <c r="G32" s="1235"/>
      <c r="H32" s="1152"/>
      <c r="I32" s="1152"/>
      <c r="J32" s="1152"/>
      <c r="K32" s="1152"/>
      <c r="L32" s="1152"/>
      <c r="M32" s="1152">
        <v>0</v>
      </c>
      <c r="N32" s="1152">
        <v>0</v>
      </c>
      <c r="O32" s="1152">
        <v>58627.92</v>
      </c>
      <c r="P32" s="1152">
        <v>0</v>
      </c>
      <c r="Q32" s="1152">
        <v>0</v>
      </c>
      <c r="R32" s="1152">
        <v>0</v>
      </c>
      <c r="S32" s="1152">
        <v>0</v>
      </c>
      <c r="T32" s="1152">
        <v>0</v>
      </c>
      <c r="U32" s="1238">
        <v>0</v>
      </c>
      <c r="V32" s="1238">
        <v>0</v>
      </c>
      <c r="W32" s="1238">
        <v>0</v>
      </c>
      <c r="X32" s="1238">
        <v>0</v>
      </c>
      <c r="Y32" s="1238">
        <v>0</v>
      </c>
      <c r="Z32" s="842">
        <f t="shared" si="0"/>
        <v>4509.84</v>
      </c>
    </row>
    <row r="33" spans="1:29" s="841" customFormat="1">
      <c r="A33" s="927" t="s">
        <v>2588</v>
      </c>
      <c r="B33" s="1152"/>
      <c r="C33" s="1152"/>
      <c r="D33" s="1152"/>
      <c r="E33" s="1152"/>
      <c r="F33" s="1152"/>
      <c r="G33" s="1235"/>
      <c r="H33" s="1152"/>
      <c r="I33" s="1152"/>
      <c r="J33" s="1152"/>
      <c r="K33" s="1152"/>
      <c r="L33" s="1152"/>
      <c r="M33" s="1152">
        <v>0</v>
      </c>
      <c r="N33" s="1152">
        <v>0</v>
      </c>
      <c r="O33" s="1152">
        <v>0</v>
      </c>
      <c r="P33" s="1152">
        <v>99570.44</v>
      </c>
      <c r="Q33" s="1152">
        <v>130884.73</v>
      </c>
      <c r="R33" s="1152">
        <v>131448.10999999999</v>
      </c>
      <c r="S33" s="1152">
        <v>132087.99</v>
      </c>
      <c r="T33" s="1152">
        <v>132730.98000000001</v>
      </c>
      <c r="U33" s="1238">
        <v>133377.10999999999</v>
      </c>
      <c r="V33" s="1238">
        <v>134159.85999999999</v>
      </c>
      <c r="W33" s="1238">
        <v>134812.63</v>
      </c>
      <c r="X33" s="1238">
        <v>236795.94</v>
      </c>
      <c r="Y33" s="1238">
        <v>1479707.32</v>
      </c>
      <c r="Z33" s="842">
        <f t="shared" si="0"/>
        <v>211198.08538461541</v>
      </c>
    </row>
    <row r="34" spans="1:29" s="841" customFormat="1">
      <c r="A34" s="927" t="s">
        <v>2678</v>
      </c>
      <c r="B34" s="1152"/>
      <c r="C34" s="1152"/>
      <c r="D34" s="1152"/>
      <c r="E34" s="1152"/>
      <c r="F34" s="1152"/>
      <c r="G34" s="1235"/>
      <c r="H34" s="1152"/>
      <c r="I34" s="1152"/>
      <c r="J34" s="1152"/>
      <c r="K34" s="1152"/>
      <c r="L34" s="1152"/>
      <c r="M34" s="1152">
        <v>0</v>
      </c>
      <c r="N34" s="1152">
        <v>0</v>
      </c>
      <c r="O34" s="1152">
        <v>0</v>
      </c>
      <c r="P34" s="1152">
        <v>0</v>
      </c>
      <c r="Q34" s="1152">
        <v>18909.14</v>
      </c>
      <c r="R34" s="1152">
        <v>18955.169999999998</v>
      </c>
      <c r="S34" s="1152">
        <v>19047.439999999999</v>
      </c>
      <c r="T34" s="1152">
        <v>19140.16</v>
      </c>
      <c r="U34" s="1238">
        <v>19233.34</v>
      </c>
      <c r="V34" s="1238">
        <v>23722.87</v>
      </c>
      <c r="W34" s="1238">
        <v>37270.18</v>
      </c>
      <c r="X34" s="1238">
        <v>266317.44</v>
      </c>
      <c r="Y34" s="1238">
        <v>278259.56</v>
      </c>
      <c r="Z34" s="842">
        <f t="shared" si="0"/>
        <v>53911.946153846155</v>
      </c>
    </row>
    <row r="35" spans="1:29" s="841" customFormat="1">
      <c r="A35" s="21" t="s">
        <v>2679</v>
      </c>
      <c r="B35" s="1152"/>
      <c r="C35" s="1152"/>
      <c r="D35" s="1152"/>
      <c r="E35" s="1152"/>
      <c r="F35" s="1152"/>
      <c r="G35" s="1235"/>
      <c r="H35" s="1152"/>
      <c r="I35" s="1152"/>
      <c r="J35" s="1152"/>
      <c r="K35" s="1152"/>
      <c r="L35" s="1152"/>
      <c r="M35" s="1152">
        <v>0</v>
      </c>
      <c r="N35" s="1152">
        <v>0</v>
      </c>
      <c r="O35" s="1152">
        <v>0</v>
      </c>
      <c r="P35" s="1152">
        <v>0</v>
      </c>
      <c r="Q35" s="1152">
        <v>0</v>
      </c>
      <c r="R35" s="1152">
        <v>115782.85</v>
      </c>
      <c r="S35" s="1152">
        <v>302735.34999999998</v>
      </c>
      <c r="T35" s="1152">
        <v>303754.71000000002</v>
      </c>
      <c r="U35" s="1238">
        <v>2005798.69</v>
      </c>
      <c r="V35" s="1238">
        <v>2029082.86</v>
      </c>
      <c r="W35" s="1238">
        <v>2040935.89</v>
      </c>
      <c r="X35" s="1238">
        <v>2053773.02</v>
      </c>
      <c r="Y35" s="1238">
        <v>3049430.85</v>
      </c>
      <c r="Z35" s="842">
        <f t="shared" si="0"/>
        <v>915484.1707692307</v>
      </c>
    </row>
    <row r="36" spans="1:29" s="841" customFormat="1">
      <c r="A36" s="21" t="s">
        <v>2770</v>
      </c>
      <c r="B36" s="1152"/>
      <c r="C36" s="1152"/>
      <c r="D36" s="1152"/>
      <c r="E36" s="1152"/>
      <c r="F36" s="1152"/>
      <c r="G36" s="1235"/>
      <c r="H36" s="1152"/>
      <c r="I36" s="1152"/>
      <c r="J36" s="1152"/>
      <c r="K36" s="1152"/>
      <c r="L36" s="1152"/>
      <c r="M36" s="1152">
        <v>0</v>
      </c>
      <c r="N36" s="1152">
        <v>0</v>
      </c>
      <c r="O36" s="1152">
        <v>0</v>
      </c>
      <c r="P36" s="1152">
        <v>0</v>
      </c>
      <c r="Q36" s="1152">
        <v>0</v>
      </c>
      <c r="R36" s="1152">
        <v>0</v>
      </c>
      <c r="S36" s="1152">
        <v>0</v>
      </c>
      <c r="T36" s="1152">
        <v>0</v>
      </c>
      <c r="U36" s="1152">
        <v>0</v>
      </c>
      <c r="V36" s="1152">
        <v>0</v>
      </c>
      <c r="W36" s="1238">
        <v>270439.27</v>
      </c>
      <c r="X36" s="1238">
        <v>362707.19</v>
      </c>
      <c r="Y36" s="1238">
        <v>398915.03</v>
      </c>
      <c r="Z36" s="842">
        <f t="shared" si="0"/>
        <v>79389.345384615386</v>
      </c>
    </row>
    <row r="37" spans="1:29" s="841" customFormat="1">
      <c r="A37" s="21" t="s">
        <v>2771</v>
      </c>
      <c r="B37" s="1152"/>
      <c r="C37" s="1152"/>
      <c r="D37" s="1152"/>
      <c r="E37" s="1152"/>
      <c r="F37" s="1152"/>
      <c r="G37" s="1235"/>
      <c r="H37" s="1152"/>
      <c r="I37" s="1152"/>
      <c r="J37" s="1152"/>
      <c r="K37" s="1152"/>
      <c r="L37" s="1152"/>
      <c r="M37" s="1152">
        <v>0</v>
      </c>
      <c r="N37" s="1152">
        <v>0</v>
      </c>
      <c r="O37" s="1152">
        <v>0</v>
      </c>
      <c r="P37" s="1152">
        <v>0</v>
      </c>
      <c r="Q37" s="1152">
        <v>0</v>
      </c>
      <c r="R37" s="1152">
        <v>0</v>
      </c>
      <c r="S37" s="1152">
        <v>0</v>
      </c>
      <c r="T37" s="1152">
        <v>0</v>
      </c>
      <c r="U37" s="1152">
        <v>0</v>
      </c>
      <c r="V37" s="1152">
        <v>0</v>
      </c>
      <c r="W37" s="1152">
        <v>0</v>
      </c>
      <c r="X37" s="1152">
        <v>0</v>
      </c>
      <c r="Y37" s="1238">
        <v>67524.28</v>
      </c>
      <c r="Z37" s="842">
        <f t="shared" si="0"/>
        <v>5194.1753846153842</v>
      </c>
    </row>
    <row r="38" spans="1:29" s="842" customFormat="1">
      <c r="A38" s="926" t="s">
        <v>2326</v>
      </c>
      <c r="B38" s="839">
        <v>38134367.370000005</v>
      </c>
      <c r="C38" s="839">
        <v>49003384.75</v>
      </c>
      <c r="D38" s="839">
        <v>52803058.25</v>
      </c>
      <c r="E38" s="839">
        <v>63024653.970000006</v>
      </c>
      <c r="F38" s="839">
        <v>77436623.799999997</v>
      </c>
      <c r="G38" s="839">
        <v>83147027.359999985</v>
      </c>
      <c r="H38" s="839">
        <v>89682876.159999982</v>
      </c>
      <c r="I38" s="839">
        <v>103095655.92999999</v>
      </c>
      <c r="J38" s="839">
        <v>112522287.88</v>
      </c>
      <c r="K38" s="839">
        <v>59452135.789999992</v>
      </c>
      <c r="L38" s="839">
        <v>68292195.310000002</v>
      </c>
      <c r="M38" s="839">
        <v>79339265.74000001</v>
      </c>
      <c r="N38" s="839">
        <v>88385984.609999985</v>
      </c>
      <c r="O38" s="839">
        <v>104457855.14999999</v>
      </c>
      <c r="P38" s="839">
        <v>110307718.14000002</v>
      </c>
      <c r="Q38" s="839">
        <v>59491141.020000003</v>
      </c>
      <c r="R38" s="839">
        <v>60442190.489999995</v>
      </c>
      <c r="S38" s="839">
        <v>64079387.059999995</v>
      </c>
      <c r="T38" s="839">
        <v>70787873.819999978</v>
      </c>
      <c r="U38" s="839">
        <v>81016991.160000011</v>
      </c>
      <c r="V38" s="839">
        <v>86698874.180000007</v>
      </c>
      <c r="W38" s="839">
        <v>91643818.049999997</v>
      </c>
      <c r="X38" s="839">
        <v>41525749.979999989</v>
      </c>
      <c r="Y38" s="839">
        <v>46994371.800000004</v>
      </c>
      <c r="Z38" s="839">
        <f t="shared" si="0"/>
        <v>75782401.630769223</v>
      </c>
      <c r="AB38" s="841"/>
    </row>
    <row r="39" spans="1:29" s="841" customFormat="1">
      <c r="A39" s="926"/>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AC39" s="842"/>
    </row>
    <row r="40" spans="1:29" s="842" customFormat="1">
      <c r="A40" s="1241" t="s">
        <v>2327</v>
      </c>
      <c r="B40" s="1242">
        <v>36758084.839999959</v>
      </c>
      <c r="C40" s="1242">
        <v>29429787.839999974</v>
      </c>
      <c r="D40" s="1242">
        <v>34308991.619999975</v>
      </c>
      <c r="E40" s="1242">
        <v>36406799.489999972</v>
      </c>
      <c r="F40" s="1242">
        <v>35112314.649999976</v>
      </c>
      <c r="G40" s="1242">
        <v>37009116.059999973</v>
      </c>
      <c r="H40" s="1242">
        <v>41274838.759999976</v>
      </c>
      <c r="I40" s="1242">
        <v>46987655.079999968</v>
      </c>
      <c r="J40" s="1242">
        <v>45031222.459999979</v>
      </c>
      <c r="K40" s="1242">
        <v>49218642.039999992</v>
      </c>
      <c r="L40" s="1242">
        <v>50456534.189999953</v>
      </c>
      <c r="M40" s="1242">
        <v>52827271.209999949</v>
      </c>
      <c r="N40" s="1242">
        <v>51983659.469999999</v>
      </c>
      <c r="O40" s="1242">
        <v>50288830.899999991</v>
      </c>
      <c r="P40" s="1242">
        <v>53938494.529999942</v>
      </c>
      <c r="Q40" s="1242">
        <v>51297468.539999984</v>
      </c>
      <c r="R40" s="1242">
        <v>51482370.789999992</v>
      </c>
      <c r="S40" s="1242">
        <v>57368471.000000007</v>
      </c>
      <c r="T40" s="1242">
        <v>65314383.250000015</v>
      </c>
      <c r="U40" s="1242">
        <v>67550899.999999985</v>
      </c>
      <c r="V40" s="1242">
        <v>74111757.669999957</v>
      </c>
      <c r="W40" s="1242">
        <v>83269921.749999985</v>
      </c>
      <c r="X40" s="1242">
        <v>82461890.810000017</v>
      </c>
      <c r="Y40" s="1242">
        <v>82880458.51000002</v>
      </c>
      <c r="Z40" s="842">
        <f t="shared" si="0"/>
        <v>63444298.340769216</v>
      </c>
    </row>
    <row r="41" spans="1:29" s="841" customFormat="1">
      <c r="A41" s="1241"/>
      <c r="B41" s="838"/>
      <c r="C41" s="838"/>
      <c r="D41" s="838"/>
      <c r="E41" s="838"/>
      <c r="F41" s="838"/>
      <c r="G41" s="838"/>
      <c r="H41" s="838"/>
      <c r="I41" s="838"/>
      <c r="J41" s="838"/>
      <c r="K41" s="838"/>
      <c r="L41" s="838"/>
      <c r="M41" s="838"/>
      <c r="N41" s="838"/>
      <c r="O41" s="838"/>
      <c r="P41" s="838"/>
      <c r="Q41" s="838"/>
      <c r="R41" s="838"/>
      <c r="S41" s="838"/>
      <c r="T41" s="838"/>
      <c r="U41" s="838"/>
      <c r="V41" s="838"/>
      <c r="W41" s="838"/>
      <c r="X41" s="838"/>
      <c r="Y41" s="838"/>
    </row>
    <row r="42" spans="1:29" s="841" customFormat="1">
      <c r="A42" s="927"/>
      <c r="B42" s="840"/>
      <c r="C42" s="840"/>
      <c r="D42" s="840"/>
      <c r="E42" s="840"/>
      <c r="F42" s="840"/>
      <c r="I42" s="840"/>
      <c r="J42" s="840"/>
      <c r="K42" s="840"/>
      <c r="P42" s="838"/>
      <c r="Q42" s="838"/>
      <c r="R42" s="838"/>
      <c r="S42" s="838"/>
      <c r="T42" s="838"/>
      <c r="V42" s="838">
        <v>0</v>
      </c>
      <c r="W42" s="838"/>
      <c r="X42" s="838"/>
      <c r="Y42" s="838"/>
      <c r="Z42" s="838"/>
      <c r="AA42" s="838"/>
    </row>
    <row r="43" spans="1:29">
      <c r="B43" s="1243"/>
      <c r="C43" s="1243"/>
      <c r="D43" s="1243"/>
      <c r="E43" s="1243"/>
      <c r="F43" s="1243"/>
      <c r="G43" s="1243"/>
      <c r="H43" s="1243"/>
      <c r="I43" s="1243"/>
      <c r="J43" s="1243"/>
      <c r="K43" s="1243"/>
      <c r="L43" s="1243"/>
      <c r="M43" s="1243"/>
      <c r="N43" s="1243"/>
      <c r="O43" s="1243"/>
      <c r="P43" s="1243"/>
      <c r="Q43" s="1243"/>
      <c r="R43" s="1243"/>
      <c r="S43" s="1243" t="s">
        <v>2701</v>
      </c>
      <c r="T43" s="1243"/>
      <c r="U43" s="1243"/>
      <c r="V43" s="1243"/>
      <c r="W43" s="1243"/>
      <c r="X43" s="1243"/>
      <c r="Y43" s="1243"/>
      <c r="Z43" s="1243"/>
      <c r="AA43" s="1244"/>
    </row>
    <row r="44" spans="1:29">
      <c r="AA44" s="1244"/>
    </row>
  </sheetData>
  <phoneticPr fontId="65" type="noConversion"/>
  <pageMargins left="0.7" right="0.7" top="0.75" bottom="0.75" header="0.3" footer="0.3"/>
  <pageSetup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N39"/>
  <sheetViews>
    <sheetView workbookViewId="0"/>
  </sheetViews>
  <sheetFormatPr defaultRowHeight="12.75"/>
  <cols>
    <col min="1" max="1" width="20" customWidth="1"/>
    <col min="2" max="2" width="15.85546875" customWidth="1"/>
    <col min="3" max="14" width="11.5703125" customWidth="1"/>
  </cols>
  <sheetData>
    <row r="1" spans="1:14">
      <c r="A1" s="17" t="s">
        <v>2670</v>
      </c>
    </row>
    <row r="3" spans="1:14" ht="15" hidden="1">
      <c r="B3" s="803">
        <v>43070</v>
      </c>
      <c r="C3" s="803">
        <v>43101</v>
      </c>
      <c r="D3" s="803">
        <v>43132</v>
      </c>
      <c r="E3" s="803">
        <v>43160</v>
      </c>
      <c r="F3" s="803">
        <v>43191</v>
      </c>
      <c r="G3" s="803">
        <v>43221</v>
      </c>
      <c r="H3" s="803">
        <v>43252</v>
      </c>
      <c r="I3" s="803">
        <v>43282</v>
      </c>
      <c r="J3" s="803">
        <v>43313</v>
      </c>
      <c r="K3" s="803">
        <v>43344</v>
      </c>
      <c r="L3" s="803">
        <v>43374</v>
      </c>
      <c r="M3" s="803">
        <v>43405</v>
      </c>
      <c r="N3" s="803">
        <v>43435</v>
      </c>
    </row>
    <row r="4" spans="1:14" ht="21.6" hidden="1" customHeight="1">
      <c r="A4" s="804">
        <v>42736</v>
      </c>
      <c r="B4">
        <v>0.38574999999999998</v>
      </c>
    </row>
    <row r="5" spans="1:14" ht="21.6" hidden="1" customHeight="1">
      <c r="A5" s="804">
        <v>42767</v>
      </c>
      <c r="B5">
        <v>0.38574999999999998</v>
      </c>
      <c r="C5">
        <v>0.38574999999999998</v>
      </c>
    </row>
    <row r="6" spans="1:14" ht="21.6" hidden="1" customHeight="1">
      <c r="A6" s="804">
        <v>42795</v>
      </c>
      <c r="B6">
        <v>0.38574999999999998</v>
      </c>
      <c r="C6">
        <v>0.38574999999999998</v>
      </c>
      <c r="D6">
        <v>0.38574999999999998</v>
      </c>
    </row>
    <row r="7" spans="1:14" ht="21.6" hidden="1" customHeight="1">
      <c r="A7" s="804">
        <v>42826</v>
      </c>
      <c r="B7">
        <v>0.38574999999999998</v>
      </c>
      <c r="C7">
        <v>0.38574999999999998</v>
      </c>
      <c r="D7">
        <v>0.38574999999999998</v>
      </c>
      <c r="E7">
        <v>0.38574999999999998</v>
      </c>
    </row>
    <row r="8" spans="1:14" ht="21.6" hidden="1" customHeight="1">
      <c r="A8" s="804">
        <v>42856</v>
      </c>
      <c r="B8">
        <v>0.38574999999999998</v>
      </c>
      <c r="C8">
        <v>0.38574999999999998</v>
      </c>
      <c r="D8">
        <v>0.38574999999999998</v>
      </c>
      <c r="E8">
        <v>0.38574999999999998</v>
      </c>
      <c r="F8">
        <v>0.38574999999999998</v>
      </c>
    </row>
    <row r="9" spans="1:14" ht="21.6" hidden="1" customHeight="1">
      <c r="A9" s="804">
        <v>42887</v>
      </c>
      <c r="B9">
        <v>0.38574999999999998</v>
      </c>
      <c r="C9">
        <v>0.38574999999999998</v>
      </c>
      <c r="D9">
        <v>0.38574999999999998</v>
      </c>
      <c r="E9">
        <v>0.38574999999999998</v>
      </c>
      <c r="F9">
        <v>0.38574999999999998</v>
      </c>
      <c r="G9">
        <v>0.38574999999999998</v>
      </c>
    </row>
    <row r="10" spans="1:14" ht="21.6" hidden="1" customHeight="1">
      <c r="A10" s="804">
        <v>42917</v>
      </c>
      <c r="B10">
        <v>0.38574999999999998</v>
      </c>
      <c r="C10">
        <v>0.38574999999999998</v>
      </c>
      <c r="D10">
        <v>0.38574999999999998</v>
      </c>
      <c r="E10">
        <v>0.38574999999999998</v>
      </c>
      <c r="F10">
        <v>0.38574999999999998</v>
      </c>
      <c r="G10">
        <v>0.38574999999999998</v>
      </c>
      <c r="H10">
        <v>0.38574999999999998</v>
      </c>
    </row>
    <row r="11" spans="1:14" ht="21.6" hidden="1" customHeight="1">
      <c r="A11" s="804">
        <v>42948</v>
      </c>
      <c r="B11">
        <v>0.38574999999999998</v>
      </c>
      <c r="C11">
        <v>0.38574999999999998</v>
      </c>
      <c r="D11">
        <v>0.38574999999999998</v>
      </c>
      <c r="E11">
        <v>0.38574999999999998</v>
      </c>
      <c r="F11">
        <v>0.38574999999999998</v>
      </c>
      <c r="G11">
        <v>0.38574999999999998</v>
      </c>
      <c r="H11">
        <v>0.38574999999999998</v>
      </c>
      <c r="I11">
        <v>0.38574999999999998</v>
      </c>
    </row>
    <row r="12" spans="1:14" ht="21.6" hidden="1" customHeight="1">
      <c r="A12" s="804">
        <v>42979</v>
      </c>
      <c r="B12">
        <v>0.38574999999999998</v>
      </c>
      <c r="C12">
        <v>0.38574999999999998</v>
      </c>
      <c r="D12">
        <v>0.38574999999999998</v>
      </c>
      <c r="E12">
        <v>0.38574999999999998</v>
      </c>
      <c r="F12">
        <v>0.38574999999999998</v>
      </c>
      <c r="G12">
        <v>0.38574999999999998</v>
      </c>
      <c r="H12">
        <v>0.38574999999999998</v>
      </c>
      <c r="I12">
        <v>0.38574999999999998</v>
      </c>
      <c r="J12">
        <v>0.38574999999999998</v>
      </c>
    </row>
    <row r="13" spans="1:14" ht="21.6" hidden="1" customHeight="1">
      <c r="A13" s="804">
        <v>43009</v>
      </c>
      <c r="B13">
        <v>0.38574999999999998</v>
      </c>
      <c r="C13">
        <v>0.38574999999999998</v>
      </c>
      <c r="D13">
        <v>0.38574999999999998</v>
      </c>
      <c r="E13">
        <v>0.38574999999999998</v>
      </c>
      <c r="F13">
        <v>0.38574999999999998</v>
      </c>
      <c r="G13">
        <v>0.38574999999999998</v>
      </c>
      <c r="H13">
        <v>0.38574999999999998</v>
      </c>
      <c r="I13">
        <v>0.38574999999999998</v>
      </c>
      <c r="J13">
        <v>0.38574999999999998</v>
      </c>
      <c r="K13">
        <v>0.38574999999999998</v>
      </c>
    </row>
    <row r="14" spans="1:14" ht="21.6" hidden="1" customHeight="1">
      <c r="A14" s="804">
        <v>43040</v>
      </c>
      <c r="B14">
        <v>0.38574999999999998</v>
      </c>
      <c r="C14">
        <v>0.38574999999999998</v>
      </c>
      <c r="D14">
        <v>0.38574999999999998</v>
      </c>
      <c r="E14">
        <v>0.38574999999999998</v>
      </c>
      <c r="F14">
        <v>0.38574999999999998</v>
      </c>
      <c r="G14">
        <v>0.38574999999999998</v>
      </c>
      <c r="H14">
        <v>0.38574999999999998</v>
      </c>
      <c r="I14">
        <v>0.38574999999999998</v>
      </c>
      <c r="J14">
        <v>0.38574999999999998</v>
      </c>
      <c r="K14">
        <v>0.38574999999999998</v>
      </c>
      <c r="L14">
        <v>0.38574999999999998</v>
      </c>
    </row>
    <row r="15" spans="1:14" ht="21.6" hidden="1" customHeight="1">
      <c r="A15" s="804">
        <v>43070</v>
      </c>
      <c r="B15">
        <v>0.38574999999999998</v>
      </c>
      <c r="C15">
        <v>0.38574999999999998</v>
      </c>
      <c r="D15">
        <v>0.38574999999999998</v>
      </c>
      <c r="E15">
        <v>0.38574999999999998</v>
      </c>
      <c r="F15">
        <v>0.38574999999999998</v>
      </c>
      <c r="G15">
        <v>0.38574999999999998</v>
      </c>
      <c r="H15">
        <v>0.38574999999999998</v>
      </c>
      <c r="I15">
        <v>0.38574999999999998</v>
      </c>
      <c r="J15">
        <v>0.38574999999999998</v>
      </c>
      <c r="K15">
        <v>0.38574999999999998</v>
      </c>
      <c r="L15">
        <v>0.38574999999999998</v>
      </c>
      <c r="M15">
        <v>0.38574999999999998</v>
      </c>
    </row>
    <row r="16" spans="1:14" ht="21.6" hidden="1" customHeight="1">
      <c r="A16" s="804">
        <v>43101</v>
      </c>
      <c r="B16" s="804"/>
      <c r="C16">
        <v>0.25345000000000001</v>
      </c>
      <c r="D16">
        <v>0.25345000000000001</v>
      </c>
      <c r="E16">
        <v>0.25345000000000001</v>
      </c>
      <c r="F16">
        <v>0.25345000000000001</v>
      </c>
      <c r="G16">
        <v>0.25345000000000001</v>
      </c>
      <c r="H16">
        <v>0.25345000000000001</v>
      </c>
      <c r="I16">
        <v>0.25345000000000001</v>
      </c>
      <c r="J16">
        <v>0.25345000000000001</v>
      </c>
      <c r="K16">
        <v>0.25345000000000001</v>
      </c>
      <c r="L16">
        <v>0.25345000000000001</v>
      </c>
      <c r="M16">
        <v>0.25345000000000001</v>
      </c>
      <c r="N16">
        <v>0.25345000000000001</v>
      </c>
    </row>
    <row r="17" spans="1:14" ht="21.6" hidden="1" customHeight="1">
      <c r="A17" s="804">
        <v>43132</v>
      </c>
      <c r="B17" s="804"/>
      <c r="D17">
        <v>0.25345000000000001</v>
      </c>
      <c r="E17">
        <v>0.25345000000000001</v>
      </c>
      <c r="F17">
        <v>0.25345000000000001</v>
      </c>
      <c r="G17">
        <v>0.25345000000000001</v>
      </c>
      <c r="H17">
        <v>0.25345000000000001</v>
      </c>
      <c r="I17">
        <v>0.25345000000000001</v>
      </c>
      <c r="J17">
        <v>0.25345000000000001</v>
      </c>
      <c r="K17">
        <v>0.25345000000000001</v>
      </c>
      <c r="L17">
        <v>0.25345000000000001</v>
      </c>
      <c r="M17">
        <v>0.25345000000000001</v>
      </c>
      <c r="N17">
        <v>0.25345000000000001</v>
      </c>
    </row>
    <row r="18" spans="1:14" ht="21.6" hidden="1" customHeight="1">
      <c r="A18" s="804">
        <v>43160</v>
      </c>
      <c r="B18" s="804"/>
      <c r="E18">
        <v>0.25345000000000001</v>
      </c>
      <c r="F18">
        <v>0.25345000000000001</v>
      </c>
      <c r="G18">
        <v>0.25345000000000001</v>
      </c>
      <c r="H18">
        <v>0.25345000000000001</v>
      </c>
      <c r="I18">
        <v>0.25345000000000001</v>
      </c>
      <c r="J18">
        <v>0.25345000000000001</v>
      </c>
      <c r="K18">
        <v>0.25345000000000001</v>
      </c>
      <c r="L18">
        <v>0.25345000000000001</v>
      </c>
      <c r="M18">
        <v>0.25345000000000001</v>
      </c>
      <c r="N18">
        <v>0.25345000000000001</v>
      </c>
    </row>
    <row r="19" spans="1:14" ht="21.6" hidden="1" customHeight="1">
      <c r="A19" s="804">
        <v>43191</v>
      </c>
      <c r="B19" s="804"/>
      <c r="F19">
        <v>0.25345000000000001</v>
      </c>
      <c r="G19">
        <v>0.25345000000000001</v>
      </c>
      <c r="H19">
        <v>0.25345000000000001</v>
      </c>
      <c r="I19">
        <v>0.25345000000000001</v>
      </c>
      <c r="J19">
        <v>0.25345000000000001</v>
      </c>
      <c r="K19">
        <v>0.25345000000000001</v>
      </c>
      <c r="L19">
        <v>0.25345000000000001</v>
      </c>
      <c r="M19">
        <v>0.25345000000000001</v>
      </c>
      <c r="N19">
        <v>0.25345000000000001</v>
      </c>
    </row>
    <row r="20" spans="1:14" ht="21.6" hidden="1" customHeight="1">
      <c r="A20" s="804">
        <v>43221</v>
      </c>
      <c r="B20" s="804"/>
      <c r="G20">
        <v>0.25345000000000001</v>
      </c>
      <c r="H20">
        <v>0.25345000000000001</v>
      </c>
      <c r="I20">
        <v>0.25345000000000001</v>
      </c>
      <c r="J20">
        <v>0.25345000000000001</v>
      </c>
      <c r="K20">
        <v>0.25345000000000001</v>
      </c>
      <c r="L20">
        <v>0.25345000000000001</v>
      </c>
      <c r="M20">
        <v>0.25345000000000001</v>
      </c>
      <c r="N20">
        <v>0.25345000000000001</v>
      </c>
    </row>
    <row r="21" spans="1:14" ht="21.6" hidden="1" customHeight="1">
      <c r="A21" s="804">
        <v>43252</v>
      </c>
      <c r="B21" s="804"/>
      <c r="H21">
        <v>0.25345000000000001</v>
      </c>
      <c r="I21">
        <v>0.25345000000000001</v>
      </c>
      <c r="J21">
        <v>0.25345000000000001</v>
      </c>
      <c r="K21">
        <v>0.25345000000000001</v>
      </c>
      <c r="L21">
        <v>0.25345000000000001</v>
      </c>
      <c r="M21">
        <v>0.25345000000000001</v>
      </c>
      <c r="N21">
        <v>0.25345000000000001</v>
      </c>
    </row>
    <row r="22" spans="1:14" ht="21.6" hidden="1" customHeight="1">
      <c r="A22" s="804">
        <v>43282</v>
      </c>
      <c r="B22" s="804"/>
      <c r="I22">
        <v>0.25345000000000001</v>
      </c>
      <c r="J22">
        <v>0.25345000000000001</v>
      </c>
      <c r="K22">
        <v>0.25345000000000001</v>
      </c>
      <c r="L22">
        <v>0.25345000000000001</v>
      </c>
      <c r="M22">
        <v>0.25345000000000001</v>
      </c>
      <c r="N22">
        <v>0.25345000000000001</v>
      </c>
    </row>
    <row r="23" spans="1:14" ht="21.6" hidden="1" customHeight="1">
      <c r="A23" s="804">
        <v>43313</v>
      </c>
      <c r="B23" s="804"/>
      <c r="J23">
        <v>0.25345000000000001</v>
      </c>
      <c r="K23">
        <v>0.25345000000000001</v>
      </c>
      <c r="L23">
        <v>0.25345000000000001</v>
      </c>
      <c r="M23">
        <v>0.25345000000000001</v>
      </c>
      <c r="N23">
        <v>0.25345000000000001</v>
      </c>
    </row>
    <row r="24" spans="1:14" ht="21.6" hidden="1" customHeight="1">
      <c r="A24" s="804">
        <v>43344</v>
      </c>
      <c r="B24" s="804"/>
      <c r="K24">
        <v>0.25345000000000001</v>
      </c>
      <c r="L24">
        <v>0.25345000000000001</v>
      </c>
      <c r="M24">
        <v>0.25345000000000001</v>
      </c>
      <c r="N24">
        <v>0.25345000000000001</v>
      </c>
    </row>
    <row r="25" spans="1:14" ht="21.6" hidden="1" customHeight="1">
      <c r="A25" s="804">
        <v>43374</v>
      </c>
      <c r="B25" s="804"/>
      <c r="L25">
        <v>0.25345000000000001</v>
      </c>
      <c r="M25">
        <v>0.25345000000000001</v>
      </c>
      <c r="N25">
        <v>0.25345000000000001</v>
      </c>
    </row>
    <row r="26" spans="1:14" ht="21.6" hidden="1" customHeight="1">
      <c r="A26" s="804">
        <v>43405</v>
      </c>
      <c r="B26" s="804"/>
      <c r="M26">
        <v>0.25345000000000001</v>
      </c>
      <c r="N26">
        <v>0.25345000000000001</v>
      </c>
    </row>
    <row r="27" spans="1:14" ht="21.6" hidden="1" customHeight="1">
      <c r="A27" s="804">
        <v>43435</v>
      </c>
      <c r="B27" s="804"/>
      <c r="N27">
        <v>0.25345000000000001</v>
      </c>
    </row>
    <row r="28" spans="1:14" ht="15" hidden="1">
      <c r="A28" s="805"/>
      <c r="B28" s="805"/>
    </row>
    <row r="29" spans="1:14" ht="16.5" hidden="1" thickBot="1">
      <c r="A29" s="806" t="s">
        <v>2202</v>
      </c>
      <c r="B29" s="807">
        <f>ROUND(SUM(B4:B27)/12,5)</f>
        <v>0.38574999999999998</v>
      </c>
      <c r="C29" s="808">
        <f>ROUND(SUM(C4:C27)/12,5)</f>
        <v>0.37473000000000001</v>
      </c>
      <c r="D29" s="808">
        <f t="shared" ref="D29:N29" si="0">SUM(D4:D27)/12</f>
        <v>0.36369999999999991</v>
      </c>
      <c r="E29" s="808">
        <f t="shared" si="0"/>
        <v>0.35267499999999991</v>
      </c>
      <c r="F29" s="808">
        <f t="shared" si="0"/>
        <v>0.34164999999999995</v>
      </c>
      <c r="G29" s="808">
        <f t="shared" si="0"/>
        <v>0.33062499999999995</v>
      </c>
      <c r="H29" s="808">
        <f t="shared" si="0"/>
        <v>0.31959999999999994</v>
      </c>
      <c r="I29" s="808">
        <f t="shared" si="0"/>
        <v>0.30857499999999999</v>
      </c>
      <c r="J29" s="808">
        <f t="shared" si="0"/>
        <v>0.29754999999999998</v>
      </c>
      <c r="K29" s="808">
        <f t="shared" si="0"/>
        <v>0.28652499999999997</v>
      </c>
      <c r="L29" s="808">
        <f t="shared" si="0"/>
        <v>0.27549999999999997</v>
      </c>
      <c r="M29" s="808">
        <f t="shared" si="0"/>
        <v>0.26447499999999996</v>
      </c>
      <c r="N29" s="808">
        <f t="shared" si="0"/>
        <v>0.25345000000000001</v>
      </c>
    </row>
    <row r="30" spans="1:14" ht="20.45" hidden="1" customHeight="1" thickTop="1">
      <c r="A30" s="806" t="s">
        <v>2202</v>
      </c>
      <c r="B30" s="809">
        <f>1-B29</f>
        <v>0.61424999999999996</v>
      </c>
      <c r="C30" s="810">
        <f>1-C29</f>
        <v>0.62526999999999999</v>
      </c>
      <c r="D30" s="810">
        <f t="shared" ref="D30:N30" si="1">1-D29</f>
        <v>0.63630000000000009</v>
      </c>
      <c r="E30" s="810">
        <f t="shared" si="1"/>
        <v>0.64732500000000015</v>
      </c>
      <c r="F30" s="810">
        <f t="shared" si="1"/>
        <v>0.65834999999999999</v>
      </c>
      <c r="G30" s="810">
        <f t="shared" si="1"/>
        <v>0.66937500000000005</v>
      </c>
      <c r="H30" s="810">
        <f t="shared" si="1"/>
        <v>0.68040000000000012</v>
      </c>
      <c r="I30" s="810">
        <f t="shared" si="1"/>
        <v>0.69142499999999996</v>
      </c>
      <c r="J30" s="810">
        <f t="shared" si="1"/>
        <v>0.70245000000000002</v>
      </c>
      <c r="K30" s="810">
        <f t="shared" si="1"/>
        <v>0.71347500000000008</v>
      </c>
      <c r="L30" s="810">
        <f t="shared" si="1"/>
        <v>0.72450000000000003</v>
      </c>
      <c r="M30" s="810">
        <f t="shared" si="1"/>
        <v>0.73552499999999998</v>
      </c>
      <c r="N30" s="810">
        <f t="shared" si="1"/>
        <v>0.74655000000000005</v>
      </c>
    </row>
    <row r="31" spans="1:14" s="811" customFormat="1" ht="18.75" hidden="1">
      <c r="A31" s="812"/>
      <c r="B31" s="812"/>
      <c r="C31" s="813">
        <v>43101</v>
      </c>
      <c r="D31" s="813">
        <v>43132</v>
      </c>
      <c r="E31" s="813">
        <v>43160</v>
      </c>
      <c r="F31" s="813">
        <v>43191</v>
      </c>
      <c r="G31" s="813">
        <v>43221</v>
      </c>
      <c r="H31" s="813">
        <v>43252</v>
      </c>
      <c r="I31" s="813">
        <v>43282</v>
      </c>
      <c r="J31" s="813">
        <v>43313</v>
      </c>
      <c r="K31" s="813">
        <v>43344</v>
      </c>
      <c r="L31" s="813">
        <v>43374</v>
      </c>
      <c r="M31" s="813">
        <v>43405</v>
      </c>
      <c r="N31" s="813">
        <v>43435</v>
      </c>
    </row>
    <row r="32" spans="1:14" ht="15" hidden="1">
      <c r="A32" s="805"/>
      <c r="B32" s="814" t="s">
        <v>2203</v>
      </c>
      <c r="C32" s="815" t="s">
        <v>2204</v>
      </c>
      <c r="D32" s="815" t="s">
        <v>2204</v>
      </c>
      <c r="E32" s="815" t="s">
        <v>2204</v>
      </c>
      <c r="F32" s="815" t="s">
        <v>2204</v>
      </c>
      <c r="G32" s="815" t="s">
        <v>2204</v>
      </c>
      <c r="H32" s="815" t="s">
        <v>2204</v>
      </c>
      <c r="I32" s="815" t="s">
        <v>2204</v>
      </c>
      <c r="J32" s="815" t="s">
        <v>2204</v>
      </c>
      <c r="K32" s="815" t="s">
        <v>2204</v>
      </c>
      <c r="L32" s="815" t="s">
        <v>2204</v>
      </c>
      <c r="M32" s="815" t="s">
        <v>2204</v>
      </c>
      <c r="N32" s="815" t="s">
        <v>2204</v>
      </c>
    </row>
    <row r="33" spans="1:14" ht="15" hidden="1">
      <c r="A33" s="805"/>
      <c r="B33" s="814" t="s">
        <v>2205</v>
      </c>
      <c r="C33" s="815" t="s">
        <v>2206</v>
      </c>
      <c r="D33" s="815" t="s">
        <v>2206</v>
      </c>
      <c r="E33" s="815" t="s">
        <v>2206</v>
      </c>
      <c r="F33" s="815" t="s">
        <v>2206</v>
      </c>
      <c r="G33" s="815" t="s">
        <v>2206</v>
      </c>
      <c r="H33" s="815" t="s">
        <v>2206</v>
      </c>
      <c r="I33" s="815" t="s">
        <v>2206</v>
      </c>
      <c r="J33" s="815" t="s">
        <v>2206</v>
      </c>
      <c r="K33" s="815" t="s">
        <v>2206</v>
      </c>
      <c r="L33" s="815" t="s">
        <v>2206</v>
      </c>
      <c r="M33" s="815" t="s">
        <v>2206</v>
      </c>
      <c r="N33" s="815" t="s">
        <v>2206</v>
      </c>
    </row>
    <row r="34" spans="1:14" ht="15" hidden="1">
      <c r="B34" s="814" t="s">
        <v>169</v>
      </c>
      <c r="C34" s="815" t="s">
        <v>2207</v>
      </c>
      <c r="D34" s="815" t="s">
        <v>2207</v>
      </c>
      <c r="E34" s="815" t="s">
        <v>2207</v>
      </c>
      <c r="F34" s="815" t="s">
        <v>2207</v>
      </c>
      <c r="G34" s="815" t="s">
        <v>2207</v>
      </c>
      <c r="H34" s="815" t="s">
        <v>2207</v>
      </c>
      <c r="I34" s="815" t="s">
        <v>2207</v>
      </c>
      <c r="J34" s="815" t="s">
        <v>2207</v>
      </c>
      <c r="K34" s="815" t="s">
        <v>2207</v>
      </c>
      <c r="L34" s="815" t="s">
        <v>2207</v>
      </c>
      <c r="M34" s="815" t="s">
        <v>2207</v>
      </c>
      <c r="N34" s="815" t="s">
        <v>2207</v>
      </c>
    </row>
    <row r="35" spans="1:14" ht="15">
      <c r="B35" s="816"/>
      <c r="C35" s="815"/>
      <c r="D35" s="815"/>
      <c r="E35" s="815"/>
      <c r="F35" s="815"/>
      <c r="G35" s="815"/>
      <c r="H35" s="815"/>
      <c r="I35" s="815"/>
      <c r="J35" s="815"/>
      <c r="K35" s="815"/>
      <c r="L35" s="815"/>
      <c r="M35" s="815"/>
      <c r="N35" s="815"/>
    </row>
    <row r="36" spans="1:14">
      <c r="A36" s="64" t="s">
        <v>2499</v>
      </c>
      <c r="B36" s="1154">
        <v>0.23792650000000001</v>
      </c>
      <c r="C36" s="816"/>
      <c r="D36" s="816"/>
      <c r="E36" s="816"/>
      <c r="F36" s="816"/>
      <c r="G36" s="816"/>
      <c r="H36" s="816"/>
      <c r="I36" s="816"/>
      <c r="J36" s="816"/>
      <c r="K36" s="816"/>
      <c r="L36" s="816"/>
      <c r="M36" s="816"/>
      <c r="N36" s="816"/>
    </row>
    <row r="37" spans="1:14">
      <c r="A37" s="147" t="s">
        <v>2500</v>
      </c>
      <c r="B37" s="1153">
        <f>1-B36</f>
        <v>0.76207349999999996</v>
      </c>
      <c r="C37" s="816"/>
      <c r="D37" s="816"/>
      <c r="E37" s="816"/>
      <c r="F37" s="816"/>
      <c r="G37" s="816"/>
      <c r="H37" s="816"/>
      <c r="I37" s="816"/>
      <c r="J37" s="816"/>
      <c r="K37" s="816"/>
      <c r="L37" s="816"/>
      <c r="M37" s="816"/>
      <c r="N37" s="816"/>
    </row>
    <row r="38" spans="1:14">
      <c r="B38" s="816"/>
      <c r="C38" s="816"/>
      <c r="D38" s="816"/>
      <c r="E38" s="816"/>
      <c r="F38" s="816"/>
      <c r="G38" s="816"/>
      <c r="H38" s="816"/>
      <c r="I38" s="816"/>
      <c r="J38" s="816"/>
      <c r="K38" s="816"/>
      <c r="L38" s="816"/>
      <c r="M38" s="816"/>
      <c r="N38" s="816"/>
    </row>
    <row r="39" spans="1:14">
      <c r="B39" s="816"/>
      <c r="C39" s="816"/>
      <c r="D39" s="816"/>
      <c r="E39" s="816"/>
      <c r="F39" s="816"/>
      <c r="G39" s="816"/>
      <c r="H39" s="816"/>
      <c r="I39" s="816"/>
      <c r="J39" s="816"/>
      <c r="K39" s="816"/>
      <c r="L39" s="816"/>
      <c r="M39" s="816"/>
      <c r="N39" s="816"/>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2060"/>
    <pageSetUpPr fitToPage="1"/>
  </sheetPr>
  <dimension ref="A1:U270"/>
  <sheetViews>
    <sheetView topLeftCell="C241" workbookViewId="0"/>
  </sheetViews>
  <sheetFormatPr defaultRowHeight="12.75"/>
  <cols>
    <col min="1" max="1" width="11.7109375" bestFit="1" customWidth="1"/>
    <col min="2" max="2" width="18.42578125" customWidth="1"/>
    <col min="3" max="3" width="12.5703125" bestFit="1" customWidth="1"/>
    <col min="4" max="4" width="20.42578125" customWidth="1"/>
    <col min="5" max="5" width="12.5703125" bestFit="1" customWidth="1"/>
    <col min="6" max="6" width="18.7109375" bestFit="1" customWidth="1"/>
    <col min="7" max="7" width="16.5703125" customWidth="1"/>
    <col min="8" max="8" width="18.140625" hidden="1" customWidth="1"/>
    <col min="9" max="9" width="18.28515625" hidden="1" customWidth="1"/>
    <col min="10" max="10" width="18.28515625" bestFit="1" customWidth="1"/>
    <col min="11" max="11" width="11.85546875" bestFit="1" customWidth="1"/>
    <col min="12" max="12" width="12.28515625" bestFit="1" customWidth="1"/>
    <col min="13" max="13" width="10.42578125" customWidth="1"/>
    <col min="14" max="14" width="9.28515625" bestFit="1" customWidth="1"/>
    <col min="19" max="19" width="19.85546875" bestFit="1" customWidth="1"/>
    <col min="20" max="20" width="9.7109375" bestFit="1" customWidth="1"/>
    <col min="21" max="21" width="18.85546875" customWidth="1"/>
  </cols>
  <sheetData>
    <row r="1" spans="1:21" ht="15">
      <c r="A1" s="8"/>
      <c r="B1" s="6" t="s">
        <v>204</v>
      </c>
      <c r="C1" s="6"/>
      <c r="D1" s="6"/>
      <c r="E1" s="8"/>
      <c r="F1" s="8"/>
      <c r="G1" s="8"/>
      <c r="H1" s="8"/>
      <c r="I1" s="8"/>
      <c r="J1" s="8"/>
      <c r="K1" s="8"/>
      <c r="L1" s="8"/>
      <c r="M1" s="8"/>
      <c r="N1" s="8"/>
      <c r="O1" s="8"/>
      <c r="P1" s="8"/>
      <c r="Q1" s="8"/>
      <c r="R1" s="8"/>
      <c r="S1" s="8"/>
      <c r="T1" s="8"/>
      <c r="U1" s="8"/>
    </row>
    <row r="2" spans="1:21" ht="15">
      <c r="A2" s="8"/>
      <c r="B2" s="8"/>
      <c r="C2" s="8"/>
      <c r="D2" s="8"/>
      <c r="E2" s="8"/>
      <c r="F2" s="8"/>
      <c r="G2" s="8"/>
      <c r="H2" s="8"/>
      <c r="I2" s="8"/>
      <c r="J2" s="8"/>
      <c r="K2" s="8"/>
      <c r="L2" s="8"/>
      <c r="M2" s="8"/>
      <c r="N2" s="8"/>
      <c r="O2" s="8"/>
      <c r="P2" s="8"/>
      <c r="Q2" s="8"/>
      <c r="R2" s="8"/>
      <c r="S2" s="8"/>
      <c r="T2" s="8"/>
      <c r="U2" s="8"/>
    </row>
    <row r="3" spans="1:21" ht="15">
      <c r="A3" s="8"/>
      <c r="B3" s="8"/>
      <c r="C3" s="8"/>
      <c r="D3" s="8"/>
      <c r="E3" s="8"/>
      <c r="F3" s="8"/>
      <c r="G3" s="8"/>
      <c r="H3" s="8"/>
      <c r="I3" s="8"/>
      <c r="J3" s="8"/>
      <c r="K3" s="8"/>
      <c r="L3" s="8"/>
      <c r="M3" s="8"/>
      <c r="N3" s="8"/>
      <c r="O3" s="8"/>
      <c r="P3" s="8"/>
      <c r="Q3" s="8"/>
      <c r="R3" s="8"/>
      <c r="S3" s="8"/>
      <c r="T3" s="8"/>
      <c r="U3" s="8"/>
    </row>
    <row r="4" spans="1:21" ht="15">
      <c r="A4" s="8"/>
      <c r="C4" s="8"/>
      <c r="D4" s="8"/>
      <c r="E4" s="8"/>
      <c r="F4" s="8"/>
    </row>
    <row r="5" spans="1:21" ht="15">
      <c r="A5" s="8"/>
      <c r="B5" s="8"/>
      <c r="C5" s="8"/>
      <c r="D5" s="8"/>
      <c r="E5" s="8"/>
      <c r="F5" s="8"/>
    </row>
    <row r="6" spans="1:21" ht="15.75">
      <c r="A6" s="12" t="s">
        <v>518</v>
      </c>
      <c r="B6" s="8"/>
      <c r="C6" s="7"/>
      <c r="D6" s="8"/>
      <c r="E6" s="8"/>
      <c r="F6" s="8"/>
    </row>
    <row r="7" spans="1:21" ht="15">
      <c r="A7" s="8"/>
      <c r="B7" s="8"/>
      <c r="C7" s="8"/>
      <c r="D7" s="8"/>
      <c r="E7" s="8"/>
      <c r="F7" s="8"/>
    </row>
    <row r="8" spans="1:21" ht="15">
      <c r="A8" s="8"/>
      <c r="B8" s="8">
        <f>5032-2947</f>
        <v>2085</v>
      </c>
      <c r="C8" s="8"/>
      <c r="D8" s="8"/>
      <c r="E8" s="8"/>
      <c r="F8" s="8"/>
    </row>
    <row r="9" spans="1:21" ht="15">
      <c r="A9" s="8"/>
      <c r="B9" s="9"/>
      <c r="C9" s="9"/>
      <c r="D9" s="9"/>
      <c r="E9" s="9"/>
      <c r="F9" s="9"/>
    </row>
    <row r="10" spans="1:21" ht="15">
      <c r="A10" s="8"/>
      <c r="B10" s="9" t="s">
        <v>298</v>
      </c>
      <c r="C10" s="9" t="s">
        <v>299</v>
      </c>
      <c r="D10" s="9" t="s">
        <v>300</v>
      </c>
      <c r="E10" s="9" t="s">
        <v>299</v>
      </c>
      <c r="F10" s="8"/>
    </row>
    <row r="11" spans="1:21" ht="15">
      <c r="A11" s="8"/>
      <c r="B11" s="1155" t="s">
        <v>301</v>
      </c>
      <c r="C11" s="13" t="s">
        <v>302</v>
      </c>
      <c r="D11" s="13" t="s">
        <v>303</v>
      </c>
      <c r="E11" s="13" t="s">
        <v>302</v>
      </c>
      <c r="F11" s="8"/>
    </row>
    <row r="12" spans="1:21" ht="15">
      <c r="A12" s="8"/>
      <c r="B12" s="9"/>
      <c r="C12" s="9"/>
      <c r="D12" s="9"/>
      <c r="E12" s="9"/>
      <c r="F12" s="11">
        <v>1387151.6</v>
      </c>
    </row>
    <row r="13" spans="1:21" ht="16.5" customHeight="1">
      <c r="A13" s="8"/>
      <c r="B13" s="8"/>
      <c r="C13" s="8"/>
      <c r="D13" s="1156" t="s">
        <v>304</v>
      </c>
      <c r="E13" s="8"/>
      <c r="F13" s="8"/>
    </row>
    <row r="14" spans="1:21" ht="16.5" customHeight="1">
      <c r="A14" s="16" t="s">
        <v>297</v>
      </c>
      <c r="B14" s="15">
        <v>2947</v>
      </c>
      <c r="C14" s="10"/>
      <c r="D14" s="15">
        <f>ROUND(F14/1000,0)</f>
        <v>1387</v>
      </c>
      <c r="E14" s="10"/>
      <c r="F14" s="14">
        <v>1387151.6</v>
      </c>
    </row>
    <row r="15" spans="1:21" ht="16.5" customHeight="1">
      <c r="A15" s="16" t="s">
        <v>312</v>
      </c>
      <c r="B15" s="15">
        <v>2947</v>
      </c>
      <c r="C15" s="10"/>
      <c r="D15" s="15">
        <f t="shared" ref="D15:D38" si="0">ROUND(F15/1000,0)</f>
        <v>1394</v>
      </c>
      <c r="E15" s="10"/>
      <c r="F15" s="11">
        <f t="shared" ref="F15:F38" si="1">F14+6637.1</f>
        <v>1393788.7000000002</v>
      </c>
    </row>
    <row r="16" spans="1:21" ht="16.5" customHeight="1">
      <c r="A16" s="16" t="s">
        <v>313</v>
      </c>
      <c r="B16" s="15">
        <v>2947</v>
      </c>
      <c r="C16" s="10"/>
      <c r="D16" s="15">
        <f t="shared" si="0"/>
        <v>1400</v>
      </c>
      <c r="E16" s="10"/>
      <c r="F16" s="11">
        <f t="shared" si="1"/>
        <v>1400425.8000000003</v>
      </c>
    </row>
    <row r="17" spans="1:6" ht="16.5" customHeight="1">
      <c r="A17" s="16" t="s">
        <v>314</v>
      </c>
      <c r="B17" s="15">
        <v>2947</v>
      </c>
      <c r="C17" s="10"/>
      <c r="D17" s="15">
        <f t="shared" si="0"/>
        <v>1407</v>
      </c>
      <c r="E17" s="10"/>
      <c r="F17" s="11">
        <f t="shared" si="1"/>
        <v>1407062.9000000004</v>
      </c>
    </row>
    <row r="18" spans="1:6" ht="16.5" customHeight="1">
      <c r="A18" s="16" t="s">
        <v>315</v>
      </c>
      <c r="B18" s="15">
        <v>2947</v>
      </c>
      <c r="C18" s="10"/>
      <c r="D18" s="15">
        <f t="shared" si="0"/>
        <v>1414</v>
      </c>
      <c r="E18" s="10"/>
      <c r="F18" s="11">
        <f t="shared" si="1"/>
        <v>1413700.0000000005</v>
      </c>
    </row>
    <row r="19" spans="1:6" ht="16.5" customHeight="1">
      <c r="A19" s="16" t="s">
        <v>316</v>
      </c>
      <c r="B19" s="15">
        <v>2947</v>
      </c>
      <c r="C19" s="10"/>
      <c r="D19" s="15">
        <f t="shared" si="0"/>
        <v>1420</v>
      </c>
      <c r="E19" s="10"/>
      <c r="F19" s="11">
        <f t="shared" si="1"/>
        <v>1420337.1000000006</v>
      </c>
    </row>
    <row r="20" spans="1:6" ht="16.5" customHeight="1">
      <c r="A20" s="16" t="s">
        <v>317</v>
      </c>
      <c r="B20" s="15">
        <v>2947</v>
      </c>
      <c r="C20" s="10"/>
      <c r="D20" s="15">
        <f t="shared" si="0"/>
        <v>1427</v>
      </c>
      <c r="E20" s="10"/>
      <c r="F20" s="11">
        <f t="shared" si="1"/>
        <v>1426974.2000000007</v>
      </c>
    </row>
    <row r="21" spans="1:6" ht="16.5" customHeight="1">
      <c r="A21" s="16" t="s">
        <v>318</v>
      </c>
      <c r="B21" s="15">
        <v>2947</v>
      </c>
      <c r="C21" s="10"/>
      <c r="D21" s="15">
        <f t="shared" si="0"/>
        <v>1434</v>
      </c>
      <c r="E21" s="10"/>
      <c r="F21" s="11">
        <f t="shared" si="1"/>
        <v>1433611.3000000007</v>
      </c>
    </row>
    <row r="22" spans="1:6" ht="16.5" customHeight="1">
      <c r="A22" s="16" t="s">
        <v>319</v>
      </c>
      <c r="B22" s="15">
        <v>2947</v>
      </c>
      <c r="C22" s="10"/>
      <c r="D22" s="15">
        <f>ROUND(F22/1000,0)</f>
        <v>1440</v>
      </c>
      <c r="E22" s="10"/>
      <c r="F22" s="11">
        <f t="shared" si="1"/>
        <v>1440248.4000000008</v>
      </c>
    </row>
    <row r="23" spans="1:6" ht="16.5" customHeight="1">
      <c r="A23" s="16" t="s">
        <v>320</v>
      </c>
      <c r="B23" s="15">
        <v>2947</v>
      </c>
      <c r="C23" s="10"/>
      <c r="D23" s="15">
        <f t="shared" si="0"/>
        <v>1447</v>
      </c>
      <c r="E23" s="10"/>
      <c r="F23" s="11">
        <f t="shared" si="1"/>
        <v>1446885.5000000009</v>
      </c>
    </row>
    <row r="24" spans="1:6" ht="16.5" customHeight="1">
      <c r="A24" s="16" t="s">
        <v>321</v>
      </c>
      <c r="B24" s="15">
        <v>2947</v>
      </c>
      <c r="C24" s="10"/>
      <c r="D24" s="15">
        <f t="shared" si="0"/>
        <v>1454</v>
      </c>
      <c r="E24" s="10"/>
      <c r="F24" s="11">
        <f t="shared" si="1"/>
        <v>1453522.600000001</v>
      </c>
    </row>
    <row r="25" spans="1:6" ht="16.5" customHeight="1">
      <c r="A25" s="16" t="s">
        <v>322</v>
      </c>
      <c r="B25" s="15">
        <v>2947</v>
      </c>
      <c r="C25" s="10"/>
      <c r="D25" s="15">
        <f>ROUND(F25/1000,0)</f>
        <v>1460</v>
      </c>
      <c r="E25" s="10"/>
      <c r="F25" s="11">
        <f t="shared" si="1"/>
        <v>1460159.7000000011</v>
      </c>
    </row>
    <row r="26" spans="1:6" ht="16.5" customHeight="1">
      <c r="A26" s="16" t="s">
        <v>323</v>
      </c>
      <c r="B26" s="15">
        <v>2947</v>
      </c>
      <c r="C26" s="10">
        <f>ROUND((SUM(B14:B26)/13),0)</f>
        <v>2947</v>
      </c>
      <c r="D26" s="15">
        <f>ROUND(F26/1000,0)</f>
        <v>1467</v>
      </c>
      <c r="E26" s="10">
        <f t="shared" ref="E26:E38" si="2">ROUND((SUM(D14:D26)/13),2)</f>
        <v>1427</v>
      </c>
      <c r="F26" s="11">
        <f t="shared" si="1"/>
        <v>1466796.8000000012</v>
      </c>
    </row>
    <row r="27" spans="1:6" ht="16.5" customHeight="1">
      <c r="A27" s="16" t="s">
        <v>364</v>
      </c>
      <c r="B27" s="15">
        <v>2947</v>
      </c>
      <c r="C27" s="10">
        <f t="shared" ref="C27:C39" si="3">ROUND((SUM(B15:B27)/13),0)</f>
        <v>2947</v>
      </c>
      <c r="D27" s="15">
        <f t="shared" si="0"/>
        <v>1473</v>
      </c>
      <c r="E27" s="10">
        <f t="shared" si="2"/>
        <v>1433.62</v>
      </c>
      <c r="F27" s="11">
        <f t="shared" si="1"/>
        <v>1473433.9000000013</v>
      </c>
    </row>
    <row r="28" spans="1:6" ht="16.5" customHeight="1">
      <c r="A28" s="16" t="s">
        <v>365</v>
      </c>
      <c r="B28" s="15">
        <v>2947</v>
      </c>
      <c r="C28" s="10">
        <f t="shared" si="3"/>
        <v>2947</v>
      </c>
      <c r="D28" s="15">
        <f t="shared" si="0"/>
        <v>1480</v>
      </c>
      <c r="E28" s="10">
        <f t="shared" si="2"/>
        <v>1440.23</v>
      </c>
      <c r="F28" s="11">
        <f t="shared" si="1"/>
        <v>1480071.0000000014</v>
      </c>
    </row>
    <row r="29" spans="1:6" ht="16.5" customHeight="1">
      <c r="A29" s="16" t="s">
        <v>366</v>
      </c>
      <c r="B29" s="15">
        <v>2947</v>
      </c>
      <c r="C29" s="10">
        <f t="shared" si="3"/>
        <v>2947</v>
      </c>
      <c r="D29" s="15">
        <f t="shared" si="0"/>
        <v>1487</v>
      </c>
      <c r="E29" s="10">
        <f t="shared" si="2"/>
        <v>1446.92</v>
      </c>
      <c r="F29" s="11">
        <f t="shared" si="1"/>
        <v>1486708.1000000015</v>
      </c>
    </row>
    <row r="30" spans="1:6" ht="16.5" customHeight="1">
      <c r="A30" s="16" t="s">
        <v>367</v>
      </c>
      <c r="B30" s="15">
        <v>2947</v>
      </c>
      <c r="C30" s="10">
        <f t="shared" si="3"/>
        <v>2947</v>
      </c>
      <c r="D30" s="15">
        <f t="shared" si="0"/>
        <v>1493</v>
      </c>
      <c r="E30" s="10">
        <f t="shared" si="2"/>
        <v>1453.54</v>
      </c>
      <c r="F30" s="11">
        <f t="shared" si="1"/>
        <v>1493345.2000000016</v>
      </c>
    </row>
    <row r="31" spans="1:6" ht="16.5" customHeight="1">
      <c r="A31" s="16" t="s">
        <v>368</v>
      </c>
      <c r="B31" s="15">
        <v>2947</v>
      </c>
      <c r="C31" s="10">
        <f t="shared" si="3"/>
        <v>2947</v>
      </c>
      <c r="D31" s="15">
        <f t="shared" si="0"/>
        <v>1500</v>
      </c>
      <c r="E31" s="10">
        <f t="shared" si="2"/>
        <v>1460.15</v>
      </c>
      <c r="F31" s="11">
        <f t="shared" si="1"/>
        <v>1499982.3000000017</v>
      </c>
    </row>
    <row r="32" spans="1:6" ht="16.5" customHeight="1">
      <c r="A32" s="16" t="s">
        <v>369</v>
      </c>
      <c r="B32" s="15">
        <v>2947</v>
      </c>
      <c r="C32" s="10">
        <f t="shared" si="3"/>
        <v>2947</v>
      </c>
      <c r="D32" s="15">
        <f t="shared" si="0"/>
        <v>1507</v>
      </c>
      <c r="E32" s="10">
        <f t="shared" si="2"/>
        <v>1466.85</v>
      </c>
      <c r="F32" s="11">
        <f t="shared" si="1"/>
        <v>1506619.4000000018</v>
      </c>
    </row>
    <row r="33" spans="1:6" ht="16.5" customHeight="1">
      <c r="A33" s="16" t="s">
        <v>370</v>
      </c>
      <c r="B33" s="15">
        <v>2947</v>
      </c>
      <c r="C33" s="10">
        <f t="shared" si="3"/>
        <v>2947</v>
      </c>
      <c r="D33" s="15">
        <f t="shared" si="0"/>
        <v>1513</v>
      </c>
      <c r="E33" s="10">
        <f t="shared" si="2"/>
        <v>1473.46</v>
      </c>
      <c r="F33" s="11">
        <f t="shared" si="1"/>
        <v>1513256.5000000019</v>
      </c>
    </row>
    <row r="34" spans="1:6" ht="16.5" customHeight="1">
      <c r="A34" s="16" t="s">
        <v>371</v>
      </c>
      <c r="B34" s="15">
        <v>2947</v>
      </c>
      <c r="C34" s="10">
        <f t="shared" si="3"/>
        <v>2947</v>
      </c>
      <c r="D34" s="15">
        <f>ROUND(F34/1000,0)</f>
        <v>1520</v>
      </c>
      <c r="E34" s="10">
        <f>ROUND((SUM(D22:D34)/13),2)</f>
        <v>1480.08</v>
      </c>
      <c r="F34" s="11">
        <f>F33+6637.1</f>
        <v>1519893.600000002</v>
      </c>
    </row>
    <row r="35" spans="1:6" ht="16.5" customHeight="1">
      <c r="A35" s="16" t="s">
        <v>372</v>
      </c>
      <c r="B35" s="15">
        <v>2947</v>
      </c>
      <c r="C35" s="10">
        <f t="shared" si="3"/>
        <v>2947</v>
      </c>
      <c r="D35" s="15">
        <f t="shared" si="0"/>
        <v>1527</v>
      </c>
      <c r="E35" s="10">
        <f t="shared" si="2"/>
        <v>1486.77</v>
      </c>
      <c r="F35" s="11">
        <f t="shared" si="1"/>
        <v>1526530.700000002</v>
      </c>
    </row>
    <row r="36" spans="1:6" ht="16.5" customHeight="1">
      <c r="A36" s="16" t="s">
        <v>373</v>
      </c>
      <c r="B36" s="15">
        <v>2947</v>
      </c>
      <c r="C36" s="10">
        <f t="shared" si="3"/>
        <v>2947</v>
      </c>
      <c r="D36" s="15">
        <f t="shared" si="0"/>
        <v>1533</v>
      </c>
      <c r="E36" s="10">
        <f t="shared" si="2"/>
        <v>1493.38</v>
      </c>
      <c r="F36" s="11">
        <f t="shared" si="1"/>
        <v>1533167.8000000021</v>
      </c>
    </row>
    <row r="37" spans="1:6" ht="16.5" customHeight="1">
      <c r="A37" s="16" t="s">
        <v>374</v>
      </c>
      <c r="B37" s="15">
        <v>2947</v>
      </c>
      <c r="C37" s="10">
        <f t="shared" si="3"/>
        <v>2947</v>
      </c>
      <c r="D37" s="15">
        <f t="shared" si="0"/>
        <v>1540</v>
      </c>
      <c r="E37" s="10">
        <f t="shared" si="2"/>
        <v>1500</v>
      </c>
      <c r="F37" s="11">
        <f t="shared" si="1"/>
        <v>1539804.9000000022</v>
      </c>
    </row>
    <row r="38" spans="1:6" ht="16.5" customHeight="1">
      <c r="A38" s="16" t="s">
        <v>375</v>
      </c>
      <c r="B38" s="15">
        <v>2947</v>
      </c>
      <c r="C38" s="10">
        <f t="shared" si="3"/>
        <v>2947</v>
      </c>
      <c r="D38" s="15">
        <f t="shared" si="0"/>
        <v>1546</v>
      </c>
      <c r="E38" s="10">
        <f t="shared" si="2"/>
        <v>1506.62</v>
      </c>
      <c r="F38" s="11">
        <f t="shared" si="1"/>
        <v>1546442.0000000023</v>
      </c>
    </row>
    <row r="39" spans="1:6" ht="16.5" customHeight="1">
      <c r="A39" s="39" t="s">
        <v>432</v>
      </c>
      <c r="B39" s="15">
        <v>2947</v>
      </c>
      <c r="C39" s="10">
        <f t="shared" si="3"/>
        <v>2947</v>
      </c>
      <c r="D39" s="15">
        <f t="shared" ref="D39:D44" si="4">ROUND(F39/1000,0)</f>
        <v>1553</v>
      </c>
      <c r="E39" s="10">
        <f t="shared" ref="E39:E44" si="5">ROUND((SUM(D27:D39)/13),2)</f>
        <v>1513.23</v>
      </c>
      <c r="F39" s="11">
        <f t="shared" ref="F39:F44" si="6">F38+6637.1</f>
        <v>1553079.1000000024</v>
      </c>
    </row>
    <row r="40" spans="1:6" ht="16.5" customHeight="1">
      <c r="A40" s="39" t="s">
        <v>433</v>
      </c>
      <c r="B40" s="15">
        <v>2947</v>
      </c>
      <c r="C40" s="10">
        <f t="shared" ref="C40:C45" si="7">ROUND((SUM(B28:B40)/13),0)</f>
        <v>2947</v>
      </c>
      <c r="D40" s="15">
        <f t="shared" si="4"/>
        <v>1560</v>
      </c>
      <c r="E40" s="10">
        <f t="shared" si="5"/>
        <v>1519.92</v>
      </c>
      <c r="F40" s="11">
        <f t="shared" si="6"/>
        <v>1559716.2000000025</v>
      </c>
    </row>
    <row r="41" spans="1:6" ht="16.5" customHeight="1">
      <c r="A41" s="38" t="s">
        <v>434</v>
      </c>
      <c r="B41" s="15">
        <v>2947</v>
      </c>
      <c r="C41" s="10">
        <f t="shared" si="7"/>
        <v>2947</v>
      </c>
      <c r="D41" s="15">
        <f t="shared" si="4"/>
        <v>1566</v>
      </c>
      <c r="E41" s="10">
        <f t="shared" si="5"/>
        <v>1526.54</v>
      </c>
      <c r="F41" s="11">
        <f t="shared" si="6"/>
        <v>1566353.3000000026</v>
      </c>
    </row>
    <row r="42" spans="1:6" ht="16.5" customHeight="1">
      <c r="A42" s="38" t="s">
        <v>435</v>
      </c>
      <c r="B42" s="15">
        <v>2947</v>
      </c>
      <c r="C42" s="10">
        <f t="shared" si="7"/>
        <v>2947</v>
      </c>
      <c r="D42" s="15">
        <f t="shared" si="4"/>
        <v>1573</v>
      </c>
      <c r="E42" s="10">
        <f t="shared" si="5"/>
        <v>1533.15</v>
      </c>
      <c r="F42" s="11">
        <f t="shared" si="6"/>
        <v>1572990.4000000027</v>
      </c>
    </row>
    <row r="43" spans="1:6" ht="16.5" customHeight="1">
      <c r="A43" s="38" t="s">
        <v>436</v>
      </c>
      <c r="B43" s="15">
        <v>2947</v>
      </c>
      <c r="C43" s="10">
        <f t="shared" si="7"/>
        <v>2947</v>
      </c>
      <c r="D43" s="15">
        <f t="shared" si="4"/>
        <v>1580</v>
      </c>
      <c r="E43" s="10">
        <f t="shared" si="5"/>
        <v>1539.85</v>
      </c>
      <c r="F43" s="11">
        <f t="shared" si="6"/>
        <v>1579627.5000000028</v>
      </c>
    </row>
    <row r="44" spans="1:6" ht="16.5" customHeight="1">
      <c r="A44" s="38" t="s">
        <v>437</v>
      </c>
      <c r="B44" s="15">
        <v>2947</v>
      </c>
      <c r="C44" s="10">
        <f t="shared" si="7"/>
        <v>2947</v>
      </c>
      <c r="D44" s="15">
        <f t="shared" si="4"/>
        <v>1586</v>
      </c>
      <c r="E44" s="10">
        <f t="shared" si="5"/>
        <v>1546.46</v>
      </c>
      <c r="F44" s="11">
        <f t="shared" si="6"/>
        <v>1586264.6000000029</v>
      </c>
    </row>
    <row r="45" spans="1:6" ht="16.5" customHeight="1">
      <c r="A45" s="38" t="s">
        <v>438</v>
      </c>
      <c r="B45" s="15">
        <v>2947</v>
      </c>
      <c r="C45" s="10">
        <f t="shared" si="7"/>
        <v>2947</v>
      </c>
      <c r="D45" s="15">
        <f t="shared" ref="D45:D50" si="8">ROUND(F45/1000,0)</f>
        <v>1593</v>
      </c>
      <c r="E45" s="10">
        <f t="shared" ref="E45:E50" si="9">ROUND((SUM(D33:D45)/13),2)</f>
        <v>1553.08</v>
      </c>
      <c r="F45" s="11">
        <f t="shared" ref="F45:F50" si="10">F44+6637.1</f>
        <v>1592901.700000003</v>
      </c>
    </row>
    <row r="46" spans="1:6" ht="16.5" customHeight="1">
      <c r="A46" s="38" t="s">
        <v>439</v>
      </c>
      <c r="B46" s="15">
        <v>2947</v>
      </c>
      <c r="C46" s="10">
        <f t="shared" ref="C46:C51" si="11">ROUND((SUM(B34:B46)/13),0)</f>
        <v>2947</v>
      </c>
      <c r="D46" s="15">
        <f t="shared" si="8"/>
        <v>1600</v>
      </c>
      <c r="E46" s="10">
        <f t="shared" si="9"/>
        <v>1559.77</v>
      </c>
      <c r="F46" s="11">
        <f t="shared" si="10"/>
        <v>1599538.8000000031</v>
      </c>
    </row>
    <row r="47" spans="1:6" ht="16.5" customHeight="1">
      <c r="A47" s="38" t="s">
        <v>440</v>
      </c>
      <c r="B47" s="15">
        <v>2947</v>
      </c>
      <c r="C47" s="10">
        <f t="shared" si="11"/>
        <v>2947</v>
      </c>
      <c r="D47" s="15">
        <f t="shared" si="8"/>
        <v>1606</v>
      </c>
      <c r="E47" s="10">
        <f t="shared" si="9"/>
        <v>1566.38</v>
      </c>
      <c r="F47" s="11">
        <f t="shared" si="10"/>
        <v>1606175.9000000032</v>
      </c>
    </row>
    <row r="48" spans="1:6" ht="16.5" customHeight="1">
      <c r="A48" s="38" t="s">
        <v>441</v>
      </c>
      <c r="B48" s="15">
        <v>2947</v>
      </c>
      <c r="C48" s="10">
        <f t="shared" si="11"/>
        <v>2947</v>
      </c>
      <c r="D48" s="15">
        <f t="shared" si="8"/>
        <v>1613</v>
      </c>
      <c r="E48" s="10">
        <f t="shared" si="9"/>
        <v>1573</v>
      </c>
      <c r="F48" s="11">
        <f t="shared" si="10"/>
        <v>1612813.0000000033</v>
      </c>
    </row>
    <row r="49" spans="1:6" ht="16.5" customHeight="1">
      <c r="A49" s="38" t="s">
        <v>442</v>
      </c>
      <c r="B49" s="15">
        <v>2947</v>
      </c>
      <c r="C49" s="10">
        <f t="shared" si="11"/>
        <v>2947</v>
      </c>
      <c r="D49" s="15">
        <f t="shared" si="8"/>
        <v>1619</v>
      </c>
      <c r="E49" s="10">
        <f t="shared" si="9"/>
        <v>1579.62</v>
      </c>
      <c r="F49" s="11">
        <f t="shared" si="10"/>
        <v>1619450.1000000034</v>
      </c>
    </row>
    <row r="50" spans="1:6" ht="16.5" customHeight="1">
      <c r="A50" s="38" t="s">
        <v>443</v>
      </c>
      <c r="B50" s="15">
        <v>2947</v>
      </c>
      <c r="C50" s="10">
        <f t="shared" si="11"/>
        <v>2947</v>
      </c>
      <c r="D50" s="15">
        <f t="shared" si="8"/>
        <v>1626</v>
      </c>
      <c r="E50" s="10">
        <f t="shared" si="9"/>
        <v>1586.23</v>
      </c>
      <c r="F50" s="11">
        <f t="shared" si="10"/>
        <v>1626087.2000000034</v>
      </c>
    </row>
    <row r="51" spans="1:6" ht="16.5" customHeight="1">
      <c r="A51" s="38" t="s">
        <v>444</v>
      </c>
      <c r="B51" s="15">
        <v>2947</v>
      </c>
      <c r="C51" s="10">
        <f t="shared" si="11"/>
        <v>2947</v>
      </c>
      <c r="D51" s="15">
        <f t="shared" ref="D51:D56" si="12">ROUND(F51/1000,0)</f>
        <v>1633</v>
      </c>
      <c r="E51" s="10">
        <f t="shared" ref="E51:E56" si="13">ROUND((SUM(D39:D51)/13),2)</f>
        <v>1592.92</v>
      </c>
      <c r="F51" s="11">
        <f t="shared" ref="F51:F56" si="14">F50+6637.1</f>
        <v>1632724.3000000035</v>
      </c>
    </row>
    <row r="52" spans="1:6" ht="16.5" customHeight="1">
      <c r="A52" s="39" t="s">
        <v>445</v>
      </c>
      <c r="B52" s="15">
        <v>2947</v>
      </c>
      <c r="C52" s="10">
        <f t="shared" ref="C52:C57" si="15">ROUND((SUM(B40:B52)/13),0)</f>
        <v>2947</v>
      </c>
      <c r="D52" s="15">
        <f t="shared" si="12"/>
        <v>1639</v>
      </c>
      <c r="E52" s="10">
        <f t="shared" si="13"/>
        <v>1599.54</v>
      </c>
      <c r="F52" s="11">
        <f t="shared" si="14"/>
        <v>1639361.4000000036</v>
      </c>
    </row>
    <row r="53" spans="1:6" ht="16.5" customHeight="1">
      <c r="A53" s="38" t="s">
        <v>446</v>
      </c>
      <c r="B53" s="15">
        <v>2947</v>
      </c>
      <c r="C53" s="10">
        <f t="shared" si="15"/>
        <v>2947</v>
      </c>
      <c r="D53" s="15">
        <f t="shared" si="12"/>
        <v>1646</v>
      </c>
      <c r="E53" s="10">
        <f t="shared" si="13"/>
        <v>1606.15</v>
      </c>
      <c r="F53" s="11">
        <f t="shared" si="14"/>
        <v>1645998.5000000037</v>
      </c>
    </row>
    <row r="54" spans="1:6" ht="16.5" customHeight="1">
      <c r="A54" s="38" t="s">
        <v>447</v>
      </c>
      <c r="B54" s="15">
        <v>2947</v>
      </c>
      <c r="C54" s="10">
        <f t="shared" si="15"/>
        <v>2947</v>
      </c>
      <c r="D54" s="15">
        <f t="shared" si="12"/>
        <v>1653</v>
      </c>
      <c r="E54" s="10">
        <f t="shared" si="13"/>
        <v>1612.85</v>
      </c>
      <c r="F54" s="11">
        <f t="shared" si="14"/>
        <v>1652635.6000000038</v>
      </c>
    </row>
    <row r="55" spans="1:6" ht="16.5" customHeight="1">
      <c r="A55" s="38" t="s">
        <v>448</v>
      </c>
      <c r="B55" s="15">
        <v>2947</v>
      </c>
      <c r="C55" s="10">
        <f t="shared" si="15"/>
        <v>2947</v>
      </c>
      <c r="D55" s="15">
        <f t="shared" si="12"/>
        <v>1659</v>
      </c>
      <c r="E55" s="10">
        <f t="shared" si="13"/>
        <v>1619.46</v>
      </c>
      <c r="F55" s="11">
        <f t="shared" si="14"/>
        <v>1659272.7000000039</v>
      </c>
    </row>
    <row r="56" spans="1:6" ht="16.5" customHeight="1">
      <c r="A56" s="38" t="s">
        <v>449</v>
      </c>
      <c r="B56" s="15">
        <v>2947</v>
      </c>
      <c r="C56" s="10">
        <f t="shared" si="15"/>
        <v>2947</v>
      </c>
      <c r="D56" s="15">
        <f t="shared" si="12"/>
        <v>1666</v>
      </c>
      <c r="E56" s="10">
        <f t="shared" si="13"/>
        <v>1626.08</v>
      </c>
      <c r="F56" s="11">
        <f t="shared" si="14"/>
        <v>1665909.800000004</v>
      </c>
    </row>
    <row r="57" spans="1:6" ht="16.5" customHeight="1">
      <c r="A57" s="38" t="s">
        <v>450</v>
      </c>
      <c r="B57" s="15">
        <v>2947</v>
      </c>
      <c r="C57" s="10">
        <f t="shared" si="15"/>
        <v>2947</v>
      </c>
      <c r="D57" s="15">
        <f t="shared" ref="D57:D62" si="16">ROUND(F57/1000,0)</f>
        <v>1673</v>
      </c>
      <c r="E57" s="10">
        <f t="shared" ref="E57:E62" si="17">ROUND((SUM(D45:D57)/13),2)</f>
        <v>1632.77</v>
      </c>
      <c r="F57" s="11">
        <f t="shared" ref="F57:F62" si="18">F56+6637.1</f>
        <v>1672546.9000000041</v>
      </c>
    </row>
    <row r="58" spans="1:6" ht="16.5" customHeight="1">
      <c r="A58" s="38" t="s">
        <v>451</v>
      </c>
      <c r="B58" s="15">
        <v>2947</v>
      </c>
      <c r="C58" s="10">
        <f>ROUND((SUM(B46:B58)/13),0)</f>
        <v>2947</v>
      </c>
      <c r="D58" s="15">
        <f t="shared" si="16"/>
        <v>1679</v>
      </c>
      <c r="E58" s="10">
        <f t="shared" si="17"/>
        <v>1639.38</v>
      </c>
      <c r="F58" s="11">
        <f t="shared" si="18"/>
        <v>1679184.0000000042</v>
      </c>
    </row>
    <row r="59" spans="1:6" ht="16.5" customHeight="1">
      <c r="A59" s="38" t="s">
        <v>452</v>
      </c>
      <c r="B59" s="15">
        <v>2947</v>
      </c>
      <c r="C59" s="10">
        <f>ROUND((SUM(B47:B59)/13),0)</f>
        <v>2947</v>
      </c>
      <c r="D59" s="15">
        <f t="shared" si="16"/>
        <v>1686</v>
      </c>
      <c r="E59" s="10">
        <f t="shared" si="17"/>
        <v>1646</v>
      </c>
      <c r="F59" s="11">
        <f t="shared" si="18"/>
        <v>1685821.1000000043</v>
      </c>
    </row>
    <row r="60" spans="1:6" ht="16.5" customHeight="1">
      <c r="A60" s="38" t="s">
        <v>453</v>
      </c>
      <c r="B60" s="15">
        <v>2947</v>
      </c>
      <c r="C60" s="10">
        <f>ROUND((SUM(B48:B60)/13),0)</f>
        <v>2947</v>
      </c>
      <c r="D60" s="15">
        <f t="shared" si="16"/>
        <v>1692</v>
      </c>
      <c r="E60" s="10">
        <f t="shared" si="17"/>
        <v>1652.62</v>
      </c>
      <c r="F60" s="11">
        <f t="shared" si="18"/>
        <v>1692458.2000000044</v>
      </c>
    </row>
    <row r="61" spans="1:6" ht="16.5" customHeight="1">
      <c r="A61" s="38" t="s">
        <v>454</v>
      </c>
      <c r="B61" s="15">
        <v>2947</v>
      </c>
      <c r="C61" s="10">
        <f>ROUND((SUM(B49:B61)/13),0)</f>
        <v>2947</v>
      </c>
      <c r="D61" s="15">
        <f t="shared" si="16"/>
        <v>1699</v>
      </c>
      <c r="E61" s="10">
        <f t="shared" si="17"/>
        <v>1659.23</v>
      </c>
      <c r="F61" s="11">
        <f t="shared" si="18"/>
        <v>1699095.3000000045</v>
      </c>
    </row>
    <row r="62" spans="1:6" ht="16.5" customHeight="1">
      <c r="A62" s="38" t="s">
        <v>455</v>
      </c>
      <c r="B62" s="15">
        <v>2947</v>
      </c>
      <c r="C62" s="10">
        <f>ROUND((SUM(B50:B62)/13),0)</f>
        <v>2947</v>
      </c>
      <c r="D62" s="15">
        <f t="shared" si="16"/>
        <v>1706</v>
      </c>
      <c r="E62" s="10">
        <f t="shared" si="17"/>
        <v>1665.92</v>
      </c>
      <c r="F62" s="11">
        <f t="shared" si="18"/>
        <v>1705732.4000000046</v>
      </c>
    </row>
    <row r="63" spans="1:6" ht="16.5" customHeight="1">
      <c r="A63" s="39" t="s">
        <v>456</v>
      </c>
      <c r="B63" s="15">
        <v>2947</v>
      </c>
      <c r="C63" s="10">
        <f t="shared" ref="C63:C74" si="19">ROUND((SUM(B51:B63)/13),0)</f>
        <v>2947</v>
      </c>
      <c r="D63" s="15">
        <f t="shared" ref="D63:D74" si="20">ROUND(F63/1000,0)</f>
        <v>1712</v>
      </c>
      <c r="E63" s="10">
        <f t="shared" ref="E63:E74" si="21">ROUND((SUM(D51:D63)/13),2)</f>
        <v>1672.54</v>
      </c>
      <c r="F63" s="11">
        <f t="shared" ref="F63:F74" si="22">F62+6637.1</f>
        <v>1712369.5000000047</v>
      </c>
    </row>
    <row r="64" spans="1:6" ht="16.5" customHeight="1">
      <c r="A64" s="39" t="s">
        <v>457</v>
      </c>
      <c r="B64" s="15">
        <v>2947</v>
      </c>
      <c r="C64" s="10">
        <f t="shared" si="19"/>
        <v>2947</v>
      </c>
      <c r="D64" s="15">
        <f t="shared" si="20"/>
        <v>1719</v>
      </c>
      <c r="E64" s="10">
        <f t="shared" si="21"/>
        <v>1679.15</v>
      </c>
      <c r="F64" s="11">
        <f t="shared" si="22"/>
        <v>1719006.6000000047</v>
      </c>
    </row>
    <row r="65" spans="1:6" ht="16.5" customHeight="1">
      <c r="A65" s="39" t="s">
        <v>458</v>
      </c>
      <c r="B65" s="15">
        <v>2947</v>
      </c>
      <c r="C65" s="10">
        <f t="shared" si="19"/>
        <v>2947</v>
      </c>
      <c r="D65" s="15">
        <f t="shared" si="20"/>
        <v>1726</v>
      </c>
      <c r="E65" s="10">
        <f t="shared" si="21"/>
        <v>1685.85</v>
      </c>
      <c r="F65" s="11">
        <f t="shared" si="22"/>
        <v>1725643.7000000048</v>
      </c>
    </row>
    <row r="66" spans="1:6" ht="16.5" customHeight="1">
      <c r="A66" s="39" t="s">
        <v>459</v>
      </c>
      <c r="B66" s="15">
        <v>2947</v>
      </c>
      <c r="C66" s="10">
        <f t="shared" si="19"/>
        <v>2947</v>
      </c>
      <c r="D66" s="15">
        <f t="shared" si="20"/>
        <v>1732</v>
      </c>
      <c r="E66" s="10">
        <f t="shared" si="21"/>
        <v>1692.46</v>
      </c>
      <c r="F66" s="11">
        <f t="shared" si="22"/>
        <v>1732280.8000000049</v>
      </c>
    </row>
    <row r="67" spans="1:6" ht="16.5" customHeight="1">
      <c r="A67" s="39" t="s">
        <v>460</v>
      </c>
      <c r="B67" s="15">
        <v>2947</v>
      </c>
      <c r="C67" s="10">
        <f t="shared" si="19"/>
        <v>2947</v>
      </c>
      <c r="D67" s="15">
        <f t="shared" si="20"/>
        <v>1739</v>
      </c>
      <c r="E67" s="10">
        <f t="shared" si="21"/>
        <v>1699.08</v>
      </c>
      <c r="F67" s="11">
        <f t="shared" si="22"/>
        <v>1738917.900000005</v>
      </c>
    </row>
    <row r="68" spans="1:6" ht="16.5" customHeight="1">
      <c r="A68" s="39" t="s">
        <v>461</v>
      </c>
      <c r="B68" s="15">
        <v>2947</v>
      </c>
      <c r="C68" s="10">
        <f t="shared" si="19"/>
        <v>2947</v>
      </c>
      <c r="D68" s="15">
        <f t="shared" si="20"/>
        <v>1746</v>
      </c>
      <c r="E68" s="10">
        <f t="shared" si="21"/>
        <v>1705.77</v>
      </c>
      <c r="F68" s="11">
        <f t="shared" si="22"/>
        <v>1745555.0000000051</v>
      </c>
    </row>
    <row r="69" spans="1:6" ht="16.5" customHeight="1">
      <c r="A69" s="39" t="s">
        <v>462</v>
      </c>
      <c r="B69" s="15">
        <v>2947</v>
      </c>
      <c r="C69" s="10">
        <f t="shared" si="19"/>
        <v>2947</v>
      </c>
      <c r="D69" s="15">
        <f t="shared" si="20"/>
        <v>1752</v>
      </c>
      <c r="E69" s="10">
        <f t="shared" si="21"/>
        <v>1712.38</v>
      </c>
      <c r="F69" s="11">
        <f t="shared" si="22"/>
        <v>1752192.1000000052</v>
      </c>
    </row>
    <row r="70" spans="1:6" ht="16.5" customHeight="1">
      <c r="A70" s="39" t="s">
        <v>463</v>
      </c>
      <c r="B70" s="15">
        <v>2947</v>
      </c>
      <c r="C70" s="10">
        <f t="shared" si="19"/>
        <v>2947</v>
      </c>
      <c r="D70" s="15">
        <f t="shared" si="20"/>
        <v>1759</v>
      </c>
      <c r="E70" s="10">
        <f t="shared" si="21"/>
        <v>1719</v>
      </c>
      <c r="F70" s="11">
        <f t="shared" si="22"/>
        <v>1758829.2000000053</v>
      </c>
    </row>
    <row r="71" spans="1:6" ht="16.5" customHeight="1">
      <c r="A71" s="39" t="s">
        <v>464</v>
      </c>
      <c r="B71" s="15">
        <v>2947</v>
      </c>
      <c r="C71" s="10">
        <f t="shared" si="19"/>
        <v>2947</v>
      </c>
      <c r="D71" s="15">
        <f t="shared" si="20"/>
        <v>1765</v>
      </c>
      <c r="E71" s="10">
        <f t="shared" si="21"/>
        <v>1725.62</v>
      </c>
      <c r="F71" s="11">
        <f t="shared" si="22"/>
        <v>1765466.3000000054</v>
      </c>
    </row>
    <row r="72" spans="1:6" ht="16.5" customHeight="1">
      <c r="A72" s="39" t="s">
        <v>465</v>
      </c>
      <c r="B72" s="15">
        <v>2947</v>
      </c>
      <c r="C72" s="10">
        <f t="shared" si="19"/>
        <v>2947</v>
      </c>
      <c r="D72" s="15">
        <f t="shared" si="20"/>
        <v>1772</v>
      </c>
      <c r="E72" s="10">
        <f t="shared" si="21"/>
        <v>1732.23</v>
      </c>
      <c r="F72" s="11">
        <f t="shared" si="22"/>
        <v>1772103.4000000055</v>
      </c>
    </row>
    <row r="73" spans="1:6" ht="16.5" customHeight="1">
      <c r="A73" s="39" t="s">
        <v>466</v>
      </c>
      <c r="B73" s="15">
        <v>2947</v>
      </c>
      <c r="C73" s="10">
        <f t="shared" si="19"/>
        <v>2947</v>
      </c>
      <c r="D73" s="15">
        <f t="shared" si="20"/>
        <v>1779</v>
      </c>
      <c r="E73" s="10">
        <f t="shared" si="21"/>
        <v>1738.92</v>
      </c>
      <c r="F73" s="11">
        <f t="shared" si="22"/>
        <v>1778740.5000000056</v>
      </c>
    </row>
    <row r="74" spans="1:6" ht="16.5" customHeight="1">
      <c r="A74" s="39" t="s">
        <v>467</v>
      </c>
      <c r="B74" s="15">
        <v>2947</v>
      </c>
      <c r="C74" s="10">
        <f t="shared" si="19"/>
        <v>2947</v>
      </c>
      <c r="D74" s="15">
        <f t="shared" si="20"/>
        <v>1785</v>
      </c>
      <c r="E74" s="10">
        <f t="shared" si="21"/>
        <v>1745.54</v>
      </c>
      <c r="F74" s="11">
        <f t="shared" si="22"/>
        <v>1785377.6000000057</v>
      </c>
    </row>
    <row r="75" spans="1:6" ht="16.5" customHeight="1">
      <c r="A75" s="50">
        <v>39083</v>
      </c>
      <c r="B75" s="15">
        <v>2947</v>
      </c>
      <c r="C75" s="10">
        <f t="shared" ref="C75:C86" si="23">ROUND((SUM(B63:B75)/13),0)</f>
        <v>2947</v>
      </c>
      <c r="D75" s="15">
        <f t="shared" ref="D75:D86" si="24">ROUND(F75/1000,0)</f>
        <v>1792</v>
      </c>
      <c r="E75" s="10">
        <f t="shared" ref="E75:E86" si="25">ROUND((SUM(D63:D75)/13),2)</f>
        <v>1752.15</v>
      </c>
      <c r="F75" s="11">
        <f t="shared" ref="F75:F86" si="26">F74+6637.1</f>
        <v>1792014.7000000058</v>
      </c>
    </row>
    <row r="76" spans="1:6" ht="16.5" customHeight="1">
      <c r="A76" s="50">
        <v>39114</v>
      </c>
      <c r="B76" s="15">
        <v>2947</v>
      </c>
      <c r="C76" s="10">
        <f t="shared" si="23"/>
        <v>2947</v>
      </c>
      <c r="D76" s="15">
        <f t="shared" si="24"/>
        <v>1799</v>
      </c>
      <c r="E76" s="10">
        <f t="shared" si="25"/>
        <v>1758.85</v>
      </c>
      <c r="F76" s="11">
        <f t="shared" si="26"/>
        <v>1798651.8000000059</v>
      </c>
    </row>
    <row r="77" spans="1:6" ht="16.5" customHeight="1">
      <c r="A77" s="50">
        <v>39142</v>
      </c>
      <c r="B77" s="15">
        <v>2947</v>
      </c>
      <c r="C77" s="10">
        <f t="shared" si="23"/>
        <v>2947</v>
      </c>
      <c r="D77" s="15">
        <f t="shared" si="24"/>
        <v>1805</v>
      </c>
      <c r="E77" s="10">
        <f t="shared" si="25"/>
        <v>1765.46</v>
      </c>
      <c r="F77" s="11">
        <f t="shared" si="26"/>
        <v>1805288.900000006</v>
      </c>
    </row>
    <row r="78" spans="1:6" ht="16.5" customHeight="1">
      <c r="A78" s="50">
        <v>39173</v>
      </c>
      <c r="B78" s="15">
        <v>2947</v>
      </c>
      <c r="C78" s="10">
        <f t="shared" si="23"/>
        <v>2947</v>
      </c>
      <c r="D78" s="15">
        <f t="shared" si="24"/>
        <v>1812</v>
      </c>
      <c r="E78" s="10">
        <f t="shared" si="25"/>
        <v>1772.08</v>
      </c>
      <c r="F78" s="11">
        <f t="shared" si="26"/>
        <v>1811926.0000000061</v>
      </c>
    </row>
    <row r="79" spans="1:6" ht="16.5" customHeight="1">
      <c r="A79" s="50">
        <v>39203</v>
      </c>
      <c r="B79" s="15">
        <v>2947</v>
      </c>
      <c r="C79" s="10">
        <f t="shared" si="23"/>
        <v>2947</v>
      </c>
      <c r="D79" s="15">
        <f t="shared" si="24"/>
        <v>1819</v>
      </c>
      <c r="E79" s="10">
        <f t="shared" si="25"/>
        <v>1778.77</v>
      </c>
      <c r="F79" s="11">
        <f t="shared" si="26"/>
        <v>1818563.1000000061</v>
      </c>
    </row>
    <row r="80" spans="1:6" ht="16.5" customHeight="1">
      <c r="A80" s="50">
        <v>39234</v>
      </c>
      <c r="B80" s="15">
        <v>2947</v>
      </c>
      <c r="C80" s="10">
        <f t="shared" si="23"/>
        <v>2947</v>
      </c>
      <c r="D80" s="15">
        <f t="shared" si="24"/>
        <v>1825</v>
      </c>
      <c r="E80" s="10">
        <f t="shared" si="25"/>
        <v>1785.38</v>
      </c>
      <c r="F80" s="11">
        <f t="shared" si="26"/>
        <v>1825200.2000000062</v>
      </c>
    </row>
    <row r="81" spans="1:7" ht="16.5" customHeight="1">
      <c r="A81" s="50">
        <v>39264</v>
      </c>
      <c r="B81" s="15">
        <v>2947</v>
      </c>
      <c r="C81" s="10">
        <f t="shared" si="23"/>
        <v>2947</v>
      </c>
      <c r="D81" s="15">
        <f t="shared" si="24"/>
        <v>1832</v>
      </c>
      <c r="E81" s="10">
        <f t="shared" si="25"/>
        <v>1792</v>
      </c>
      <c r="F81" s="11">
        <f t="shared" si="26"/>
        <v>1831837.3000000063</v>
      </c>
    </row>
    <row r="82" spans="1:7" ht="16.5" customHeight="1">
      <c r="A82" s="50">
        <v>39295</v>
      </c>
      <c r="B82" s="15">
        <v>2947</v>
      </c>
      <c r="C82" s="10">
        <f t="shared" si="23"/>
        <v>2947</v>
      </c>
      <c r="D82" s="15">
        <f t="shared" si="24"/>
        <v>1838</v>
      </c>
      <c r="E82" s="10">
        <f t="shared" si="25"/>
        <v>1798.62</v>
      </c>
      <c r="F82" s="11">
        <f t="shared" si="26"/>
        <v>1838474.4000000064</v>
      </c>
    </row>
    <row r="83" spans="1:7" ht="16.5" customHeight="1">
      <c r="A83" s="50">
        <v>39326</v>
      </c>
      <c r="B83" s="15">
        <v>2947</v>
      </c>
      <c r="C83" s="10">
        <f t="shared" si="23"/>
        <v>2947</v>
      </c>
      <c r="D83" s="15">
        <f t="shared" si="24"/>
        <v>1845</v>
      </c>
      <c r="E83" s="10">
        <f t="shared" si="25"/>
        <v>1805.23</v>
      </c>
      <c r="F83" s="11">
        <f t="shared" si="26"/>
        <v>1845111.5000000065</v>
      </c>
    </row>
    <row r="84" spans="1:7" ht="16.5" customHeight="1">
      <c r="A84" s="50">
        <v>39356</v>
      </c>
      <c r="B84" s="15">
        <v>2947</v>
      </c>
      <c r="C84" s="10">
        <f t="shared" si="23"/>
        <v>2947</v>
      </c>
      <c r="D84" s="15">
        <f t="shared" si="24"/>
        <v>1852</v>
      </c>
      <c r="E84" s="10">
        <f t="shared" si="25"/>
        <v>1811.92</v>
      </c>
      <c r="F84" s="11">
        <f t="shared" si="26"/>
        <v>1851748.6000000066</v>
      </c>
    </row>
    <row r="85" spans="1:7" ht="16.5" customHeight="1">
      <c r="A85" s="50">
        <v>39387</v>
      </c>
      <c r="B85" s="15">
        <v>2947</v>
      </c>
      <c r="C85" s="10">
        <f t="shared" si="23"/>
        <v>2947</v>
      </c>
      <c r="D85" s="15">
        <f t="shared" si="24"/>
        <v>1858</v>
      </c>
      <c r="E85" s="10">
        <f t="shared" si="25"/>
        <v>1818.54</v>
      </c>
      <c r="F85" s="11">
        <f t="shared" si="26"/>
        <v>1858385.7000000067</v>
      </c>
    </row>
    <row r="86" spans="1:7" ht="16.5" customHeight="1">
      <c r="A86" s="50">
        <v>39417</v>
      </c>
      <c r="B86" s="15">
        <v>2947</v>
      </c>
      <c r="C86" s="10">
        <f t="shared" si="23"/>
        <v>2947</v>
      </c>
      <c r="D86" s="15">
        <f t="shared" si="24"/>
        <v>1865</v>
      </c>
      <c r="E86" s="10">
        <f t="shared" si="25"/>
        <v>1825.15</v>
      </c>
      <c r="F86" s="11">
        <f t="shared" si="26"/>
        <v>1865022.8000000068</v>
      </c>
    </row>
    <row r="87" spans="1:7" ht="16.5" customHeight="1">
      <c r="A87" s="50">
        <v>39448</v>
      </c>
      <c r="B87" s="15">
        <v>2947</v>
      </c>
      <c r="C87" s="10">
        <f t="shared" ref="C87:C98" si="27">ROUND((SUM(B75:B87)/13),0)</f>
        <v>2947</v>
      </c>
      <c r="D87" s="15">
        <f t="shared" ref="D87:D98" si="28">ROUND(F87/1000,0)</f>
        <v>1872</v>
      </c>
      <c r="E87" s="10">
        <f t="shared" ref="E87:G102" si="29">ROUND((SUM(D75:D87)/13),2)</f>
        <v>1831.85</v>
      </c>
      <c r="F87" s="11">
        <f t="shared" ref="F87:F98" si="30">F86+6637.1</f>
        <v>1871659.9000000069</v>
      </c>
      <c r="G87" s="10">
        <f t="shared" si="29"/>
        <v>1831837.3</v>
      </c>
    </row>
    <row r="88" spans="1:7" ht="16.5" customHeight="1">
      <c r="A88" s="50">
        <v>39479</v>
      </c>
      <c r="B88" s="15">
        <v>2947</v>
      </c>
      <c r="C88" s="10">
        <f t="shared" si="27"/>
        <v>2947</v>
      </c>
      <c r="D88" s="15">
        <f t="shared" si="28"/>
        <v>1878</v>
      </c>
      <c r="E88" s="10">
        <f t="shared" si="29"/>
        <v>1838.46</v>
      </c>
      <c r="F88" s="11">
        <f t="shared" si="30"/>
        <v>1878297.000000007</v>
      </c>
      <c r="G88" s="10">
        <f t="shared" si="29"/>
        <v>1838474.4</v>
      </c>
    </row>
    <row r="89" spans="1:7" ht="16.5" customHeight="1">
      <c r="A89" s="50">
        <v>39508</v>
      </c>
      <c r="B89" s="15">
        <v>2947</v>
      </c>
      <c r="C89" s="10">
        <f t="shared" si="27"/>
        <v>2947</v>
      </c>
      <c r="D89" s="15">
        <f t="shared" si="28"/>
        <v>1885</v>
      </c>
      <c r="E89" s="10">
        <f t="shared" si="29"/>
        <v>1845.08</v>
      </c>
      <c r="F89" s="11">
        <f t="shared" si="30"/>
        <v>1884934.1000000071</v>
      </c>
      <c r="G89" s="10">
        <f t="shared" si="29"/>
        <v>1845111.5</v>
      </c>
    </row>
    <row r="90" spans="1:7" ht="16.5" customHeight="1">
      <c r="A90" s="50">
        <v>39539</v>
      </c>
      <c r="B90" s="15">
        <v>2947</v>
      </c>
      <c r="C90" s="10">
        <f t="shared" si="27"/>
        <v>2947</v>
      </c>
      <c r="D90" s="15">
        <f t="shared" si="28"/>
        <v>1892</v>
      </c>
      <c r="E90" s="10">
        <f t="shared" si="29"/>
        <v>1851.77</v>
      </c>
      <c r="F90" s="11">
        <f t="shared" si="30"/>
        <v>1891571.2000000072</v>
      </c>
      <c r="G90" s="10">
        <f t="shared" si="29"/>
        <v>1851748.6</v>
      </c>
    </row>
    <row r="91" spans="1:7" ht="16.5" customHeight="1">
      <c r="A91" s="50">
        <v>39569</v>
      </c>
      <c r="B91" s="15">
        <v>2947</v>
      </c>
      <c r="C91" s="10">
        <f t="shared" si="27"/>
        <v>2947</v>
      </c>
      <c r="D91" s="15">
        <f t="shared" si="28"/>
        <v>1898</v>
      </c>
      <c r="E91" s="10">
        <f t="shared" si="29"/>
        <v>1858.38</v>
      </c>
      <c r="F91" s="11">
        <f t="shared" si="30"/>
        <v>1898208.3000000073</v>
      </c>
      <c r="G91" s="10">
        <f t="shared" si="29"/>
        <v>1858385.7</v>
      </c>
    </row>
    <row r="92" spans="1:7" ht="16.5" customHeight="1">
      <c r="A92" s="50">
        <v>39600</v>
      </c>
      <c r="B92" s="15">
        <v>2947</v>
      </c>
      <c r="C92" s="10">
        <f t="shared" si="27"/>
        <v>2947</v>
      </c>
      <c r="D92" s="15">
        <f t="shared" si="28"/>
        <v>1905</v>
      </c>
      <c r="E92" s="10">
        <f t="shared" si="29"/>
        <v>1865</v>
      </c>
      <c r="F92" s="11">
        <f t="shared" si="30"/>
        <v>1904845.4000000074</v>
      </c>
      <c r="G92" s="10">
        <f t="shared" si="29"/>
        <v>1865022.8</v>
      </c>
    </row>
    <row r="93" spans="1:7" ht="16.5" customHeight="1">
      <c r="A93" s="50">
        <v>39630</v>
      </c>
      <c r="B93" s="15">
        <v>2947</v>
      </c>
      <c r="C93" s="10">
        <f t="shared" si="27"/>
        <v>2947</v>
      </c>
      <c r="D93" s="15">
        <f t="shared" si="28"/>
        <v>1911</v>
      </c>
      <c r="E93" s="10">
        <f t="shared" si="29"/>
        <v>1871.62</v>
      </c>
      <c r="F93" s="11">
        <f t="shared" si="30"/>
        <v>1911482.5000000075</v>
      </c>
      <c r="G93" s="10">
        <f t="shared" si="29"/>
        <v>1871659.9</v>
      </c>
    </row>
    <row r="94" spans="1:7" ht="16.5" customHeight="1">
      <c r="A94" s="50">
        <v>39661</v>
      </c>
      <c r="B94" s="15">
        <v>2947</v>
      </c>
      <c r="C94" s="10">
        <f>ROUND((SUM(B82:B94)/13),0)</f>
        <v>2947</v>
      </c>
      <c r="D94" s="15">
        <f t="shared" si="28"/>
        <v>1918</v>
      </c>
      <c r="E94" s="10">
        <f t="shared" si="29"/>
        <v>1878.23</v>
      </c>
      <c r="F94" s="11">
        <f t="shared" si="30"/>
        <v>1918119.6000000075</v>
      </c>
      <c r="G94" s="10">
        <f t="shared" si="29"/>
        <v>1878297</v>
      </c>
    </row>
    <row r="95" spans="1:7" ht="16.5" customHeight="1">
      <c r="A95" s="50">
        <v>39692</v>
      </c>
      <c r="B95" s="15">
        <v>2947</v>
      </c>
      <c r="C95" s="10">
        <f t="shared" si="27"/>
        <v>2947</v>
      </c>
      <c r="D95" s="15">
        <f t="shared" si="28"/>
        <v>1925</v>
      </c>
      <c r="E95" s="10">
        <f t="shared" si="29"/>
        <v>1884.92</v>
      </c>
      <c r="F95" s="11">
        <f t="shared" si="30"/>
        <v>1924756.7000000076</v>
      </c>
      <c r="G95" s="10">
        <f t="shared" si="29"/>
        <v>1884934.1</v>
      </c>
    </row>
    <row r="96" spans="1:7" ht="16.5" customHeight="1">
      <c r="A96" s="50">
        <v>39722</v>
      </c>
      <c r="B96" s="15">
        <v>2947</v>
      </c>
      <c r="C96" s="10">
        <f t="shared" si="27"/>
        <v>2947</v>
      </c>
      <c r="D96" s="15">
        <f t="shared" si="28"/>
        <v>1931</v>
      </c>
      <c r="E96" s="10">
        <f t="shared" si="29"/>
        <v>1891.54</v>
      </c>
      <c r="F96" s="11">
        <f t="shared" si="30"/>
        <v>1931393.8000000077</v>
      </c>
      <c r="G96" s="10">
        <f t="shared" si="29"/>
        <v>1891571.2</v>
      </c>
    </row>
    <row r="97" spans="1:7" ht="16.5" customHeight="1">
      <c r="A97" s="50">
        <v>39753</v>
      </c>
      <c r="B97" s="15">
        <v>2947</v>
      </c>
      <c r="C97" s="10">
        <f t="shared" si="27"/>
        <v>2947</v>
      </c>
      <c r="D97" s="15">
        <f t="shared" si="28"/>
        <v>1938</v>
      </c>
      <c r="E97" s="10">
        <f t="shared" si="29"/>
        <v>1898.15</v>
      </c>
      <c r="F97" s="11">
        <f t="shared" si="30"/>
        <v>1938030.9000000078</v>
      </c>
      <c r="G97" s="10">
        <f t="shared" si="29"/>
        <v>1898208.3</v>
      </c>
    </row>
    <row r="98" spans="1:7" ht="16.5" customHeight="1">
      <c r="A98" s="50">
        <v>39783</v>
      </c>
      <c r="B98" s="15">
        <v>2947</v>
      </c>
      <c r="C98" s="10">
        <f t="shared" si="27"/>
        <v>2947</v>
      </c>
      <c r="D98" s="15">
        <f t="shared" si="28"/>
        <v>1945</v>
      </c>
      <c r="E98" s="10">
        <f t="shared" si="29"/>
        <v>1904.85</v>
      </c>
      <c r="F98" s="11">
        <f t="shared" si="30"/>
        <v>1944668.0000000079</v>
      </c>
      <c r="G98" s="10">
        <f t="shared" si="29"/>
        <v>1904845.4</v>
      </c>
    </row>
    <row r="99" spans="1:7" ht="16.5" customHeight="1">
      <c r="A99" s="50">
        <v>39814</v>
      </c>
      <c r="B99" s="15">
        <v>2947</v>
      </c>
      <c r="C99" s="10">
        <f t="shared" ref="C99:C109" si="31">ROUND((SUM(B87:B99)/13),0)</f>
        <v>2947</v>
      </c>
      <c r="D99" s="15">
        <f t="shared" ref="D99:D109" si="32">ROUND(F99/1000,0)</f>
        <v>1951</v>
      </c>
      <c r="E99" s="10">
        <f t="shared" ref="E99:E109" si="33">ROUND((SUM(D87:D99)/13),2)</f>
        <v>1911.46</v>
      </c>
      <c r="F99" s="11">
        <f t="shared" ref="F99:F109" si="34">F98+6637.1</f>
        <v>1951305.100000008</v>
      </c>
      <c r="G99" s="10">
        <f t="shared" si="29"/>
        <v>1911482.5</v>
      </c>
    </row>
    <row r="100" spans="1:7" ht="16.5" customHeight="1">
      <c r="A100" s="50">
        <v>39845</v>
      </c>
      <c r="B100" s="15">
        <v>2947</v>
      </c>
      <c r="C100" s="10">
        <f t="shared" si="31"/>
        <v>2947</v>
      </c>
      <c r="D100" s="15">
        <f t="shared" si="32"/>
        <v>1958</v>
      </c>
      <c r="E100" s="10">
        <f t="shared" si="33"/>
        <v>1918.08</v>
      </c>
      <c r="F100" s="11">
        <f t="shared" si="34"/>
        <v>1957942.2000000081</v>
      </c>
      <c r="G100" s="10">
        <f t="shared" si="29"/>
        <v>1918119.6</v>
      </c>
    </row>
    <row r="101" spans="1:7" ht="16.5" customHeight="1">
      <c r="A101" s="50">
        <v>39873</v>
      </c>
      <c r="B101" s="15">
        <v>2947</v>
      </c>
      <c r="C101" s="10">
        <f t="shared" si="31"/>
        <v>2947</v>
      </c>
      <c r="D101" s="15">
        <f t="shared" si="32"/>
        <v>1965</v>
      </c>
      <c r="E101" s="10">
        <f t="shared" si="33"/>
        <v>1924.77</v>
      </c>
      <c r="F101" s="11">
        <f t="shared" si="34"/>
        <v>1964579.3000000082</v>
      </c>
      <c r="G101" s="10">
        <f t="shared" si="29"/>
        <v>1924756.7</v>
      </c>
    </row>
    <row r="102" spans="1:7" ht="16.5" customHeight="1">
      <c r="A102" s="50">
        <v>39904</v>
      </c>
      <c r="B102" s="15">
        <v>2947</v>
      </c>
      <c r="C102" s="10">
        <f t="shared" si="31"/>
        <v>2947</v>
      </c>
      <c r="D102" s="15">
        <f t="shared" si="32"/>
        <v>1971</v>
      </c>
      <c r="E102" s="10">
        <f t="shared" si="33"/>
        <v>1931.38</v>
      </c>
      <c r="F102" s="11">
        <f t="shared" si="34"/>
        <v>1971216.4000000083</v>
      </c>
      <c r="G102" s="10">
        <f t="shared" si="29"/>
        <v>1931393.8</v>
      </c>
    </row>
    <row r="103" spans="1:7" ht="16.5" customHeight="1">
      <c r="A103" s="50">
        <v>39934</v>
      </c>
      <c r="B103" s="15">
        <v>2947</v>
      </c>
      <c r="C103" s="10">
        <f t="shared" si="31"/>
        <v>2947</v>
      </c>
      <c r="D103" s="15">
        <f t="shared" si="32"/>
        <v>1978</v>
      </c>
      <c r="E103" s="10">
        <f t="shared" si="33"/>
        <v>1938</v>
      </c>
      <c r="F103" s="11">
        <f t="shared" si="34"/>
        <v>1977853.5000000084</v>
      </c>
      <c r="G103" s="10">
        <f t="shared" ref="G103:G110" si="35">ROUND((SUM(F91:F103)/13),2)</f>
        <v>1938030.9</v>
      </c>
    </row>
    <row r="104" spans="1:7" ht="16.5" customHeight="1">
      <c r="A104" s="50">
        <v>39965</v>
      </c>
      <c r="B104" s="15">
        <v>2947</v>
      </c>
      <c r="C104" s="10">
        <f t="shared" si="31"/>
        <v>2947</v>
      </c>
      <c r="D104" s="15">
        <f t="shared" si="32"/>
        <v>1984</v>
      </c>
      <c r="E104" s="10">
        <f t="shared" si="33"/>
        <v>1944.62</v>
      </c>
      <c r="F104" s="11">
        <f t="shared" si="34"/>
        <v>1984490.6000000085</v>
      </c>
      <c r="G104" s="10">
        <f t="shared" si="35"/>
        <v>1944668</v>
      </c>
    </row>
    <row r="105" spans="1:7" ht="16.5" customHeight="1">
      <c r="A105" s="50">
        <v>39995</v>
      </c>
      <c r="B105" s="15">
        <v>2947</v>
      </c>
      <c r="C105" s="10">
        <f t="shared" si="31"/>
        <v>2947</v>
      </c>
      <c r="D105" s="15">
        <f t="shared" si="32"/>
        <v>1991</v>
      </c>
      <c r="E105" s="10">
        <f t="shared" si="33"/>
        <v>1951.23</v>
      </c>
      <c r="F105" s="11">
        <f t="shared" si="34"/>
        <v>1991127.7000000086</v>
      </c>
      <c r="G105" s="10">
        <f t="shared" si="35"/>
        <v>1951305.1</v>
      </c>
    </row>
    <row r="106" spans="1:7" ht="16.5" customHeight="1">
      <c r="A106" s="50">
        <v>40026</v>
      </c>
      <c r="B106" s="15">
        <v>2947</v>
      </c>
      <c r="C106" s="10">
        <f t="shared" si="31"/>
        <v>2947</v>
      </c>
      <c r="D106" s="15">
        <f t="shared" si="32"/>
        <v>1998</v>
      </c>
      <c r="E106" s="10">
        <f t="shared" si="33"/>
        <v>1957.92</v>
      </c>
      <c r="F106" s="11">
        <f t="shared" si="34"/>
        <v>1997764.8000000087</v>
      </c>
      <c r="G106" s="10">
        <f t="shared" si="35"/>
        <v>1957942.2</v>
      </c>
    </row>
    <row r="107" spans="1:7" ht="16.5" customHeight="1">
      <c r="A107" s="50">
        <v>40057</v>
      </c>
      <c r="B107" s="15">
        <v>2947</v>
      </c>
      <c r="C107" s="10">
        <f t="shared" si="31"/>
        <v>2947</v>
      </c>
      <c r="D107" s="15">
        <f t="shared" si="32"/>
        <v>2004</v>
      </c>
      <c r="E107" s="10">
        <f t="shared" si="33"/>
        <v>1964.54</v>
      </c>
      <c r="F107" s="11">
        <f t="shared" si="34"/>
        <v>2004401.9000000088</v>
      </c>
      <c r="G107" s="10">
        <f t="shared" si="35"/>
        <v>1964579.3</v>
      </c>
    </row>
    <row r="108" spans="1:7" ht="16.5" customHeight="1">
      <c r="A108" s="50">
        <v>40087</v>
      </c>
      <c r="B108" s="15">
        <v>2947</v>
      </c>
      <c r="C108" s="10">
        <f t="shared" si="31"/>
        <v>2947</v>
      </c>
      <c r="D108" s="15">
        <f t="shared" si="32"/>
        <v>2011</v>
      </c>
      <c r="E108" s="10">
        <f t="shared" si="33"/>
        <v>1971.15</v>
      </c>
      <c r="F108" s="11">
        <f t="shared" si="34"/>
        <v>2011039.0000000088</v>
      </c>
      <c r="G108" s="10">
        <f t="shared" si="35"/>
        <v>1971216.4</v>
      </c>
    </row>
    <row r="109" spans="1:7" ht="16.5" customHeight="1">
      <c r="A109" s="50">
        <v>40118</v>
      </c>
      <c r="B109" s="15">
        <v>2947</v>
      </c>
      <c r="C109" s="10">
        <f t="shared" si="31"/>
        <v>2947</v>
      </c>
      <c r="D109" s="15">
        <f t="shared" si="32"/>
        <v>2018</v>
      </c>
      <c r="E109" s="10">
        <f t="shared" si="33"/>
        <v>1977.85</v>
      </c>
      <c r="F109" s="11">
        <f t="shared" si="34"/>
        <v>2017676.1000000089</v>
      </c>
      <c r="G109" s="10">
        <f t="shared" si="35"/>
        <v>1977853.5</v>
      </c>
    </row>
    <row r="110" spans="1:7" ht="16.5" customHeight="1">
      <c r="A110" s="50">
        <v>40148</v>
      </c>
      <c r="B110" s="15">
        <v>2947</v>
      </c>
      <c r="C110" s="10">
        <f>ROUND((SUM(B98:B110)/13),0)</f>
        <v>2947</v>
      </c>
      <c r="D110" s="15">
        <f>ROUND(F110/1000,0)</f>
        <v>2024</v>
      </c>
      <c r="E110" s="10">
        <f>ROUND((SUM(D98:D110)/13),2)</f>
        <v>1984.46</v>
      </c>
      <c r="F110" s="11">
        <f>F109+6637.1</f>
        <v>2024313.200000009</v>
      </c>
      <c r="G110" s="10">
        <f t="shared" si="35"/>
        <v>1984490.6</v>
      </c>
    </row>
    <row r="111" spans="1:7" ht="16.5" customHeight="1">
      <c r="A111" s="50">
        <v>40179</v>
      </c>
      <c r="B111" s="15">
        <v>2947</v>
      </c>
      <c r="C111" s="10">
        <f t="shared" ref="C111:C122" si="36">ROUND((SUM(B99:B111)/13),0)</f>
        <v>2947</v>
      </c>
      <c r="D111" s="15">
        <f t="shared" ref="D111:D122" si="37">ROUND(F111/1000,0)</f>
        <v>2031</v>
      </c>
      <c r="E111" s="10">
        <f t="shared" ref="E111:E122" si="38">ROUND((SUM(D99:D111)/13),2)</f>
        <v>1991.08</v>
      </c>
      <c r="F111" s="11">
        <f t="shared" ref="F111:F174" si="39">F110+6637.1</f>
        <v>2030950.3000000091</v>
      </c>
      <c r="G111" s="10">
        <f t="shared" ref="G111:G122" si="40">ROUND((SUM(F99:F111)/13),2)</f>
        <v>1991127.7</v>
      </c>
    </row>
    <row r="112" spans="1:7" ht="16.5" customHeight="1">
      <c r="A112" s="50">
        <v>40210</v>
      </c>
      <c r="B112" s="15">
        <v>2947</v>
      </c>
      <c r="C112" s="10">
        <f t="shared" si="36"/>
        <v>2947</v>
      </c>
      <c r="D112" s="15">
        <f t="shared" si="37"/>
        <v>2038</v>
      </c>
      <c r="E112" s="10">
        <f t="shared" si="38"/>
        <v>1997.77</v>
      </c>
      <c r="F112" s="11">
        <f t="shared" si="39"/>
        <v>2037587.4000000092</v>
      </c>
      <c r="G112" s="10">
        <f t="shared" si="40"/>
        <v>1997764.8</v>
      </c>
    </row>
    <row r="113" spans="1:7" ht="16.5" customHeight="1">
      <c r="A113" s="50">
        <v>40238</v>
      </c>
      <c r="B113" s="15">
        <v>2947</v>
      </c>
      <c r="C113" s="10">
        <f t="shared" si="36"/>
        <v>2947</v>
      </c>
      <c r="D113" s="15">
        <f t="shared" si="37"/>
        <v>2044</v>
      </c>
      <c r="E113" s="10">
        <f t="shared" si="38"/>
        <v>2004.38</v>
      </c>
      <c r="F113" s="11">
        <f t="shared" si="39"/>
        <v>2044224.5000000093</v>
      </c>
      <c r="G113" s="10">
        <f t="shared" si="40"/>
        <v>2004401.9</v>
      </c>
    </row>
    <row r="114" spans="1:7" ht="16.5" customHeight="1">
      <c r="A114" s="50">
        <v>40269</v>
      </c>
      <c r="B114" s="15">
        <v>2947</v>
      </c>
      <c r="C114" s="10">
        <f t="shared" si="36"/>
        <v>2947</v>
      </c>
      <c r="D114" s="15">
        <f t="shared" si="37"/>
        <v>2051</v>
      </c>
      <c r="E114" s="10">
        <f t="shared" si="38"/>
        <v>2011</v>
      </c>
      <c r="F114" s="11">
        <f t="shared" si="39"/>
        <v>2050861.6000000094</v>
      </c>
      <c r="G114" s="10">
        <f t="shared" si="40"/>
        <v>2011039</v>
      </c>
    </row>
    <row r="115" spans="1:7" ht="16.5" customHeight="1">
      <c r="A115" s="50">
        <v>40299</v>
      </c>
      <c r="B115" s="15">
        <v>2947</v>
      </c>
      <c r="C115" s="10">
        <f t="shared" si="36"/>
        <v>2947</v>
      </c>
      <c r="D115" s="15">
        <f t="shared" si="37"/>
        <v>2057</v>
      </c>
      <c r="E115" s="10">
        <f t="shared" si="38"/>
        <v>2017.62</v>
      </c>
      <c r="F115" s="11">
        <f t="shared" si="39"/>
        <v>2057498.7000000095</v>
      </c>
      <c r="G115" s="10">
        <f t="shared" si="40"/>
        <v>2017676.1</v>
      </c>
    </row>
    <row r="116" spans="1:7" ht="16.5" customHeight="1">
      <c r="A116" s="50">
        <v>40330</v>
      </c>
      <c r="B116" s="15">
        <v>2947</v>
      </c>
      <c r="C116" s="10">
        <f t="shared" si="36"/>
        <v>2947</v>
      </c>
      <c r="D116" s="15">
        <f t="shared" si="37"/>
        <v>2064</v>
      </c>
      <c r="E116" s="10">
        <f t="shared" si="38"/>
        <v>2024.23</v>
      </c>
      <c r="F116" s="11">
        <f t="shared" si="39"/>
        <v>2064135.8000000096</v>
      </c>
      <c r="G116" s="10">
        <f t="shared" si="40"/>
        <v>2024313.2</v>
      </c>
    </row>
    <row r="117" spans="1:7" ht="16.5" customHeight="1">
      <c r="A117" s="50">
        <v>40360</v>
      </c>
      <c r="B117" s="15">
        <v>2947</v>
      </c>
      <c r="C117" s="10">
        <f t="shared" si="36"/>
        <v>2947</v>
      </c>
      <c r="D117" s="15">
        <f t="shared" si="37"/>
        <v>2071</v>
      </c>
      <c r="E117" s="10">
        <f t="shared" si="38"/>
        <v>2030.92</v>
      </c>
      <c r="F117" s="11">
        <f t="shared" si="39"/>
        <v>2070772.9000000097</v>
      </c>
      <c r="G117" s="10">
        <f t="shared" si="40"/>
        <v>2030950.3</v>
      </c>
    </row>
    <row r="118" spans="1:7" ht="16.5" customHeight="1">
      <c r="A118" s="50">
        <v>40391</v>
      </c>
      <c r="B118" s="15">
        <v>2947</v>
      </c>
      <c r="C118" s="10">
        <f t="shared" si="36"/>
        <v>2947</v>
      </c>
      <c r="D118" s="15">
        <f t="shared" si="37"/>
        <v>2077</v>
      </c>
      <c r="E118" s="10">
        <f t="shared" si="38"/>
        <v>2037.54</v>
      </c>
      <c r="F118" s="11">
        <f t="shared" si="39"/>
        <v>2077410.0000000098</v>
      </c>
      <c r="G118" s="10">
        <f t="shared" si="40"/>
        <v>2037587.4</v>
      </c>
    </row>
    <row r="119" spans="1:7" ht="16.5" customHeight="1">
      <c r="A119" s="50">
        <v>40422</v>
      </c>
      <c r="B119" s="15">
        <v>2947</v>
      </c>
      <c r="C119" s="10">
        <f t="shared" si="36"/>
        <v>2947</v>
      </c>
      <c r="D119" s="15">
        <f t="shared" si="37"/>
        <v>2084</v>
      </c>
      <c r="E119" s="10">
        <f t="shared" si="38"/>
        <v>2044.15</v>
      </c>
      <c r="F119" s="11">
        <f t="shared" si="39"/>
        <v>2084047.1000000099</v>
      </c>
      <c r="G119" s="10">
        <f t="shared" si="40"/>
        <v>2044224.5</v>
      </c>
    </row>
    <row r="120" spans="1:7" ht="16.5" customHeight="1">
      <c r="A120" s="50">
        <v>40452</v>
      </c>
      <c r="B120" s="37">
        <v>2947</v>
      </c>
      <c r="C120" s="153">
        <f t="shared" si="36"/>
        <v>2947</v>
      </c>
      <c r="D120" s="37">
        <f t="shared" si="37"/>
        <v>2091</v>
      </c>
      <c r="E120" s="10">
        <f t="shared" si="38"/>
        <v>2050.85</v>
      </c>
      <c r="F120" s="11">
        <f t="shared" si="39"/>
        <v>2090684.20000001</v>
      </c>
      <c r="G120" s="10">
        <f t="shared" si="40"/>
        <v>2050861.6</v>
      </c>
    </row>
    <row r="121" spans="1:7" ht="16.5" customHeight="1">
      <c r="A121" s="50">
        <v>40483</v>
      </c>
      <c r="B121" s="37">
        <v>2947</v>
      </c>
      <c r="C121" s="153">
        <f t="shared" si="36"/>
        <v>2947</v>
      </c>
      <c r="D121" s="37">
        <f t="shared" si="37"/>
        <v>2097</v>
      </c>
      <c r="E121" s="10">
        <f t="shared" si="38"/>
        <v>2057.46</v>
      </c>
      <c r="F121" s="11">
        <f t="shared" si="39"/>
        <v>2097321.3000000101</v>
      </c>
      <c r="G121" s="10">
        <f t="shared" si="40"/>
        <v>2057498.7</v>
      </c>
    </row>
    <row r="122" spans="1:7" ht="16.5" customHeight="1">
      <c r="A122" s="50">
        <v>40513</v>
      </c>
      <c r="B122" s="37">
        <v>2947</v>
      </c>
      <c r="C122" s="153">
        <f t="shared" si="36"/>
        <v>2947</v>
      </c>
      <c r="D122" s="37">
        <f t="shared" si="37"/>
        <v>2104</v>
      </c>
      <c r="E122" s="10">
        <f t="shared" si="38"/>
        <v>2064.08</v>
      </c>
      <c r="F122" s="11">
        <f t="shared" si="39"/>
        <v>2103958.4000000102</v>
      </c>
      <c r="G122" s="10">
        <f t="shared" si="40"/>
        <v>2064135.8</v>
      </c>
    </row>
    <row r="123" spans="1:7" ht="16.5" customHeight="1">
      <c r="A123" s="50">
        <v>40544</v>
      </c>
      <c r="B123" s="37">
        <v>2947</v>
      </c>
      <c r="C123" s="153">
        <f t="shared" ref="C123:C128" si="41">ROUND((SUM(B111:B123)/13),0)</f>
        <v>2947</v>
      </c>
      <c r="D123" s="37">
        <f t="shared" ref="D123:D128" si="42">ROUND(F123/1000,0)</f>
        <v>2111</v>
      </c>
      <c r="E123" s="10">
        <f t="shared" ref="E123:E128" si="43">ROUND((SUM(D111:D123)/13),2)</f>
        <v>2070.77</v>
      </c>
      <c r="F123" s="11">
        <f>F122+6637.1</f>
        <v>2110595.5000000102</v>
      </c>
      <c r="G123" s="10">
        <f t="shared" ref="G123:G128" si="44">ROUND((SUM(F111:F123)/13),2)</f>
        <v>2070772.9</v>
      </c>
    </row>
    <row r="124" spans="1:7" ht="16.5" customHeight="1">
      <c r="A124" s="50">
        <v>40575</v>
      </c>
      <c r="B124" s="37">
        <v>2947</v>
      </c>
      <c r="C124" s="153">
        <f t="shared" si="41"/>
        <v>2947</v>
      </c>
      <c r="D124" s="37">
        <f t="shared" si="42"/>
        <v>2117</v>
      </c>
      <c r="E124" s="10">
        <f t="shared" si="43"/>
        <v>2077.38</v>
      </c>
      <c r="F124" s="11">
        <f t="shared" si="39"/>
        <v>2117232.6000000103</v>
      </c>
      <c r="G124" s="10">
        <f t="shared" si="44"/>
        <v>2077410</v>
      </c>
    </row>
    <row r="125" spans="1:7" ht="16.5" customHeight="1">
      <c r="A125" s="50">
        <v>40603</v>
      </c>
      <c r="B125" s="37">
        <v>2947</v>
      </c>
      <c r="C125" s="153">
        <f t="shared" si="41"/>
        <v>2947</v>
      </c>
      <c r="D125" s="37">
        <f t="shared" si="42"/>
        <v>2124</v>
      </c>
      <c r="E125" s="10">
        <f t="shared" si="43"/>
        <v>2084</v>
      </c>
      <c r="F125" s="11">
        <f t="shared" si="39"/>
        <v>2123869.7000000104</v>
      </c>
      <c r="G125" s="10">
        <f t="shared" si="44"/>
        <v>2084047.1</v>
      </c>
    </row>
    <row r="126" spans="1:7" ht="16.5" customHeight="1">
      <c r="A126" s="50">
        <v>40634</v>
      </c>
      <c r="B126" s="37">
        <v>2947</v>
      </c>
      <c r="C126" s="153">
        <f t="shared" si="41"/>
        <v>2947</v>
      </c>
      <c r="D126" s="37">
        <f t="shared" si="42"/>
        <v>2131</v>
      </c>
      <c r="E126" s="10">
        <f t="shared" si="43"/>
        <v>2090.69</v>
      </c>
      <c r="F126" s="11">
        <f t="shared" si="39"/>
        <v>2130506.8000000105</v>
      </c>
      <c r="G126" s="10">
        <f t="shared" si="44"/>
        <v>2090684.2</v>
      </c>
    </row>
    <row r="127" spans="1:7" ht="16.5" customHeight="1">
      <c r="A127" s="50">
        <v>40664</v>
      </c>
      <c r="B127" s="37">
        <v>2947</v>
      </c>
      <c r="C127" s="153">
        <f t="shared" si="41"/>
        <v>2947</v>
      </c>
      <c r="D127" s="37">
        <f t="shared" si="42"/>
        <v>2137</v>
      </c>
      <c r="E127" s="10">
        <f t="shared" si="43"/>
        <v>2097.31</v>
      </c>
      <c r="F127" s="11">
        <f t="shared" si="39"/>
        <v>2137143.9000000106</v>
      </c>
      <c r="G127" s="10">
        <f t="shared" si="44"/>
        <v>2097321.2999999998</v>
      </c>
    </row>
    <row r="128" spans="1:7" ht="16.5" customHeight="1">
      <c r="A128" s="50">
        <v>40695</v>
      </c>
      <c r="B128" s="37">
        <v>2947</v>
      </c>
      <c r="C128" s="153">
        <f t="shared" si="41"/>
        <v>2947</v>
      </c>
      <c r="D128" s="37">
        <f t="shared" si="42"/>
        <v>2144</v>
      </c>
      <c r="E128" s="10">
        <f t="shared" si="43"/>
        <v>2104</v>
      </c>
      <c r="F128" s="11">
        <f t="shared" si="39"/>
        <v>2143781.0000000107</v>
      </c>
      <c r="G128" s="10">
        <f t="shared" si="44"/>
        <v>2103958.4</v>
      </c>
    </row>
    <row r="129" spans="1:7" ht="16.5" customHeight="1">
      <c r="A129" s="50">
        <v>40725</v>
      </c>
      <c r="B129" s="37">
        <v>2947</v>
      </c>
      <c r="C129" s="153">
        <f t="shared" ref="C129:C134" si="45">ROUND((SUM(B117:B129)/13),0)</f>
        <v>2947</v>
      </c>
      <c r="D129" s="37">
        <f t="shared" ref="D129:D134" si="46">ROUND(F129/1000,0)</f>
        <v>2150</v>
      </c>
      <c r="E129" s="10">
        <f t="shared" ref="E129:E134" si="47">ROUND((SUM(D117:D129)/13),2)</f>
        <v>2110.62</v>
      </c>
      <c r="F129" s="11">
        <f t="shared" si="39"/>
        <v>2150418.1000000108</v>
      </c>
      <c r="G129" s="10">
        <f t="shared" ref="G129:G134" si="48">ROUND((SUM(F117:F129)/13),2)</f>
        <v>2110595.5</v>
      </c>
    </row>
    <row r="130" spans="1:7" ht="16.5" customHeight="1">
      <c r="A130" s="50">
        <v>40756</v>
      </c>
      <c r="B130" s="37">
        <v>2947</v>
      </c>
      <c r="C130" s="153">
        <f t="shared" si="45"/>
        <v>2947</v>
      </c>
      <c r="D130" s="37">
        <f t="shared" si="46"/>
        <v>2157</v>
      </c>
      <c r="E130" s="10">
        <f t="shared" si="47"/>
        <v>2117.23</v>
      </c>
      <c r="F130" s="11">
        <f t="shared" si="39"/>
        <v>2157055.2000000109</v>
      </c>
      <c r="G130" s="10">
        <f t="shared" si="48"/>
        <v>2117232.6</v>
      </c>
    </row>
    <row r="131" spans="1:7" ht="16.5" customHeight="1">
      <c r="A131" s="50">
        <v>40787</v>
      </c>
      <c r="B131" s="37">
        <v>2947</v>
      </c>
      <c r="C131" s="153">
        <f t="shared" si="45"/>
        <v>2947</v>
      </c>
      <c r="D131" s="37">
        <f t="shared" si="46"/>
        <v>2164</v>
      </c>
      <c r="E131" s="10">
        <f t="shared" si="47"/>
        <v>2123.92</v>
      </c>
      <c r="F131" s="11">
        <f t="shared" si="39"/>
        <v>2163692.300000011</v>
      </c>
      <c r="G131" s="10">
        <f t="shared" si="48"/>
        <v>2123869.7000000002</v>
      </c>
    </row>
    <row r="132" spans="1:7" ht="16.5" customHeight="1">
      <c r="A132" s="50">
        <v>40817</v>
      </c>
      <c r="B132" s="37">
        <v>2947</v>
      </c>
      <c r="C132" s="153">
        <f t="shared" si="45"/>
        <v>2947</v>
      </c>
      <c r="D132" s="37">
        <f t="shared" si="46"/>
        <v>2170</v>
      </c>
      <c r="E132" s="10">
        <f t="shared" si="47"/>
        <v>2130.54</v>
      </c>
      <c r="F132" s="11">
        <f t="shared" si="39"/>
        <v>2170329.4000000111</v>
      </c>
      <c r="G132" s="10">
        <f t="shared" si="48"/>
        <v>2130506.7999999998</v>
      </c>
    </row>
    <row r="133" spans="1:7" ht="16.5" customHeight="1">
      <c r="A133" s="50">
        <v>40848</v>
      </c>
      <c r="B133" s="37">
        <v>2947</v>
      </c>
      <c r="C133" s="153">
        <f t="shared" si="45"/>
        <v>2947</v>
      </c>
      <c r="D133" s="37">
        <f t="shared" si="46"/>
        <v>2177</v>
      </c>
      <c r="E133" s="10">
        <f t="shared" si="47"/>
        <v>2137.15</v>
      </c>
      <c r="F133" s="11">
        <f t="shared" si="39"/>
        <v>2176966.5000000112</v>
      </c>
      <c r="G133" s="10">
        <f t="shared" si="48"/>
        <v>2137143.9</v>
      </c>
    </row>
    <row r="134" spans="1:7" ht="16.5" customHeight="1">
      <c r="A134" s="50">
        <v>40878</v>
      </c>
      <c r="B134" s="37">
        <v>2947</v>
      </c>
      <c r="C134" s="153">
        <f t="shared" si="45"/>
        <v>2947</v>
      </c>
      <c r="D134" s="37">
        <f t="shared" si="46"/>
        <v>2184</v>
      </c>
      <c r="E134" s="10">
        <f t="shared" si="47"/>
        <v>2143.85</v>
      </c>
      <c r="F134" s="11">
        <f t="shared" si="39"/>
        <v>2183603.6000000113</v>
      </c>
      <c r="G134" s="10">
        <f t="shared" si="48"/>
        <v>2143781</v>
      </c>
    </row>
    <row r="135" spans="1:7" ht="16.5" customHeight="1">
      <c r="A135" s="50">
        <v>40939</v>
      </c>
      <c r="B135" s="37">
        <v>2947</v>
      </c>
      <c r="C135" s="153">
        <f t="shared" ref="C135:C140" si="49">ROUND((SUM(B123:B135)/13),0)</f>
        <v>2947</v>
      </c>
      <c r="D135" s="37">
        <f t="shared" ref="D135:D140" si="50">ROUND(F135/1000,0)</f>
        <v>2190</v>
      </c>
      <c r="E135" s="10">
        <f t="shared" ref="E135:E140" si="51">ROUND((SUM(D123:D135)/13),2)</f>
        <v>2150.46</v>
      </c>
      <c r="F135" s="11">
        <f t="shared" si="39"/>
        <v>2190240.7000000114</v>
      </c>
      <c r="G135" s="10">
        <f t="shared" ref="G135:G140" si="52">ROUND((SUM(F123:F135)/13),2)</f>
        <v>2150418.1</v>
      </c>
    </row>
    <row r="136" spans="1:7" ht="16.5" customHeight="1">
      <c r="A136" s="50">
        <v>40968</v>
      </c>
      <c r="B136" s="37">
        <v>2947</v>
      </c>
      <c r="C136" s="153">
        <f t="shared" si="49"/>
        <v>2947</v>
      </c>
      <c r="D136" s="37">
        <f t="shared" si="50"/>
        <v>2197</v>
      </c>
      <c r="E136" s="10">
        <f t="shared" si="51"/>
        <v>2157.08</v>
      </c>
      <c r="F136" s="11">
        <f t="shared" si="39"/>
        <v>2196877.8000000115</v>
      </c>
      <c r="G136" s="10">
        <f t="shared" si="52"/>
        <v>2157055.2000000002</v>
      </c>
    </row>
    <row r="137" spans="1:7" ht="16.5" customHeight="1">
      <c r="A137" s="50">
        <v>40999</v>
      </c>
      <c r="B137" s="37">
        <v>2947</v>
      </c>
      <c r="C137" s="153">
        <f t="shared" si="49"/>
        <v>2947</v>
      </c>
      <c r="D137" s="37">
        <f t="shared" si="50"/>
        <v>2204</v>
      </c>
      <c r="E137" s="10">
        <f t="shared" si="51"/>
        <v>2163.77</v>
      </c>
      <c r="F137" s="11">
        <f t="shared" si="39"/>
        <v>2203514.9000000115</v>
      </c>
      <c r="G137" s="10">
        <f t="shared" si="52"/>
        <v>2163692.2999999998</v>
      </c>
    </row>
    <row r="138" spans="1:7" ht="16.5" customHeight="1">
      <c r="A138" s="50">
        <v>41029</v>
      </c>
      <c r="B138" s="37">
        <v>2947</v>
      </c>
      <c r="C138" s="153">
        <f t="shared" si="49"/>
        <v>2947</v>
      </c>
      <c r="D138" s="37">
        <f t="shared" si="50"/>
        <v>2210</v>
      </c>
      <c r="E138" s="10">
        <f t="shared" si="51"/>
        <v>2170.38</v>
      </c>
      <c r="F138" s="11">
        <f t="shared" si="39"/>
        <v>2210152.0000000116</v>
      </c>
      <c r="G138" s="10">
        <f t="shared" si="52"/>
        <v>2170329.4</v>
      </c>
    </row>
    <row r="139" spans="1:7" ht="16.5" customHeight="1">
      <c r="A139" s="50">
        <v>41060</v>
      </c>
      <c r="B139" s="37">
        <v>2947</v>
      </c>
      <c r="C139" s="153">
        <f t="shared" si="49"/>
        <v>2947</v>
      </c>
      <c r="D139" s="37">
        <f t="shared" si="50"/>
        <v>2217</v>
      </c>
      <c r="E139" s="10">
        <f t="shared" si="51"/>
        <v>2177</v>
      </c>
      <c r="F139" s="11">
        <f t="shared" si="39"/>
        <v>2216789.1000000117</v>
      </c>
      <c r="G139" s="10">
        <f t="shared" si="52"/>
        <v>2176966.5</v>
      </c>
    </row>
    <row r="140" spans="1:7" ht="16.5" customHeight="1">
      <c r="A140" s="50">
        <v>41090</v>
      </c>
      <c r="B140" s="37">
        <v>2947</v>
      </c>
      <c r="C140" s="153">
        <f t="shared" si="49"/>
        <v>2947</v>
      </c>
      <c r="D140" s="37">
        <f t="shared" si="50"/>
        <v>2223</v>
      </c>
      <c r="E140" s="10">
        <f t="shared" si="51"/>
        <v>2183.62</v>
      </c>
      <c r="F140" s="11">
        <f t="shared" si="39"/>
        <v>2223426.2000000118</v>
      </c>
      <c r="G140" s="10">
        <f t="shared" si="52"/>
        <v>2183603.6</v>
      </c>
    </row>
    <row r="141" spans="1:7" ht="16.5" customHeight="1">
      <c r="A141" s="50">
        <v>41121</v>
      </c>
      <c r="B141" s="37">
        <v>2947</v>
      </c>
      <c r="C141" s="153">
        <f t="shared" ref="C141:C146" si="53">ROUND((SUM(B129:B141)/13),0)</f>
        <v>2947</v>
      </c>
      <c r="D141" s="37">
        <f t="shared" ref="D141:D146" si="54">ROUND(F141/1000,0)</f>
        <v>2230</v>
      </c>
      <c r="E141" s="10">
        <f t="shared" ref="E141:E146" si="55">ROUND((SUM(D129:D141)/13),2)</f>
        <v>2190.23</v>
      </c>
      <c r="F141" s="11">
        <f t="shared" si="39"/>
        <v>2230063.3000000119</v>
      </c>
      <c r="G141" s="10">
        <f t="shared" ref="G141:G146" si="56">ROUND((SUM(F129:F141)/13),2)</f>
        <v>2190240.7000000002</v>
      </c>
    </row>
    <row r="142" spans="1:7" ht="16.5" customHeight="1">
      <c r="A142" s="50">
        <v>41152</v>
      </c>
      <c r="B142" s="37">
        <v>2947</v>
      </c>
      <c r="C142" s="153">
        <f t="shared" si="53"/>
        <v>2947</v>
      </c>
      <c r="D142" s="37">
        <f t="shared" si="54"/>
        <v>2237</v>
      </c>
      <c r="E142" s="10">
        <f t="shared" si="55"/>
        <v>2196.92</v>
      </c>
      <c r="F142" s="11">
        <f t="shared" si="39"/>
        <v>2236700.400000012</v>
      </c>
      <c r="G142" s="10">
        <f t="shared" si="56"/>
        <v>2196877.7999999998</v>
      </c>
    </row>
    <row r="143" spans="1:7" ht="16.5" customHeight="1">
      <c r="A143" s="50">
        <v>41182</v>
      </c>
      <c r="B143" s="37">
        <v>2947</v>
      </c>
      <c r="C143" s="153">
        <f t="shared" si="53"/>
        <v>2947</v>
      </c>
      <c r="D143" s="37">
        <f t="shared" si="54"/>
        <v>2243</v>
      </c>
      <c r="E143" s="10">
        <f t="shared" si="55"/>
        <v>2203.54</v>
      </c>
      <c r="F143" s="11">
        <f t="shared" si="39"/>
        <v>2243337.5000000121</v>
      </c>
      <c r="G143" s="10">
        <f t="shared" si="56"/>
        <v>2203514.9</v>
      </c>
    </row>
    <row r="144" spans="1:7" ht="16.5" customHeight="1">
      <c r="A144" s="50">
        <v>41213</v>
      </c>
      <c r="B144" s="37">
        <v>2947</v>
      </c>
      <c r="C144" s="153">
        <f t="shared" si="53"/>
        <v>2947</v>
      </c>
      <c r="D144" s="37">
        <f t="shared" si="54"/>
        <v>2250</v>
      </c>
      <c r="E144" s="10">
        <f t="shared" si="55"/>
        <v>2210.15</v>
      </c>
      <c r="F144" s="11">
        <f t="shared" si="39"/>
        <v>2249974.6000000122</v>
      </c>
      <c r="G144" s="10">
        <f t="shared" si="56"/>
        <v>2210152</v>
      </c>
    </row>
    <row r="145" spans="1:7" ht="16.5" customHeight="1">
      <c r="A145" s="50">
        <v>41243</v>
      </c>
      <c r="B145" s="37">
        <v>2947</v>
      </c>
      <c r="C145" s="153">
        <f t="shared" si="53"/>
        <v>2947</v>
      </c>
      <c r="D145" s="37">
        <f t="shared" si="54"/>
        <v>2257</v>
      </c>
      <c r="E145" s="10">
        <f t="shared" si="55"/>
        <v>2216.85</v>
      </c>
      <c r="F145" s="11">
        <f t="shared" si="39"/>
        <v>2256611.7000000123</v>
      </c>
      <c r="G145" s="10">
        <f t="shared" si="56"/>
        <v>2216789.1</v>
      </c>
    </row>
    <row r="146" spans="1:7" ht="16.5" customHeight="1">
      <c r="A146" s="50">
        <v>41274</v>
      </c>
      <c r="B146" s="37">
        <v>2947</v>
      </c>
      <c r="C146" s="153">
        <f t="shared" si="53"/>
        <v>2947</v>
      </c>
      <c r="D146" s="37">
        <f t="shared" si="54"/>
        <v>2263</v>
      </c>
      <c r="E146" s="10">
        <f t="shared" si="55"/>
        <v>2223.46</v>
      </c>
      <c r="F146" s="11">
        <f t="shared" si="39"/>
        <v>2263248.8000000124</v>
      </c>
      <c r="G146" s="10">
        <f t="shared" si="56"/>
        <v>2223426.2000000002</v>
      </c>
    </row>
    <row r="147" spans="1:7" ht="16.5" customHeight="1">
      <c r="A147" s="50">
        <v>41305</v>
      </c>
      <c r="B147" s="37">
        <v>2947</v>
      </c>
      <c r="C147" s="153">
        <f t="shared" ref="C147:C152" si="57">ROUND((SUM(B135:B147)/13),0)</f>
        <v>2947</v>
      </c>
      <c r="D147" s="37">
        <f t="shared" ref="D147:D152" si="58">ROUND(F147/1000,0)</f>
        <v>2270</v>
      </c>
      <c r="E147" s="10">
        <f t="shared" ref="E147:E152" si="59">ROUND((SUM(D135:D147)/13),2)</f>
        <v>2230.08</v>
      </c>
      <c r="F147" s="11">
        <f>F146+6637.1</f>
        <v>2269885.9000000125</v>
      </c>
      <c r="G147" s="10">
        <f t="shared" ref="G147:G152" si="60">ROUND((SUM(F135:F147)/13),2)</f>
        <v>2230063.2999999998</v>
      </c>
    </row>
    <row r="148" spans="1:7" ht="16.5" customHeight="1">
      <c r="A148" s="50">
        <v>41333</v>
      </c>
      <c r="B148" s="37">
        <v>2947</v>
      </c>
      <c r="C148" s="153">
        <f t="shared" si="57"/>
        <v>2947</v>
      </c>
      <c r="D148" s="37">
        <f t="shared" si="58"/>
        <v>2277</v>
      </c>
      <c r="E148" s="10">
        <f t="shared" si="59"/>
        <v>2236.77</v>
      </c>
      <c r="F148" s="11">
        <f t="shared" si="39"/>
        <v>2276523.0000000126</v>
      </c>
      <c r="G148" s="10">
        <f t="shared" si="60"/>
        <v>2236700.4</v>
      </c>
    </row>
    <row r="149" spans="1:7" ht="16.5" customHeight="1">
      <c r="A149" s="50">
        <v>41364</v>
      </c>
      <c r="B149" s="37">
        <v>2947</v>
      </c>
      <c r="C149" s="153">
        <f t="shared" si="57"/>
        <v>2947</v>
      </c>
      <c r="D149" s="37">
        <f t="shared" si="58"/>
        <v>2283</v>
      </c>
      <c r="E149" s="10">
        <f t="shared" si="59"/>
        <v>2243.38</v>
      </c>
      <c r="F149" s="11">
        <f t="shared" si="39"/>
        <v>2283160.1000000127</v>
      </c>
      <c r="G149" s="10">
        <f t="shared" si="60"/>
        <v>2243337.5</v>
      </c>
    </row>
    <row r="150" spans="1:7" ht="16.5" customHeight="1">
      <c r="A150" s="50">
        <v>41394</v>
      </c>
      <c r="B150" s="37">
        <v>2947</v>
      </c>
      <c r="C150" s="153">
        <f t="shared" si="57"/>
        <v>2947</v>
      </c>
      <c r="D150" s="37">
        <f t="shared" si="58"/>
        <v>2290</v>
      </c>
      <c r="E150" s="10">
        <f t="shared" si="59"/>
        <v>2250</v>
      </c>
      <c r="F150" s="11">
        <f t="shared" si="39"/>
        <v>2289797.2000000128</v>
      </c>
      <c r="G150" s="10">
        <f t="shared" si="60"/>
        <v>2249974.6</v>
      </c>
    </row>
    <row r="151" spans="1:7" ht="16.5" customHeight="1">
      <c r="A151" s="50">
        <v>41425</v>
      </c>
      <c r="B151" s="37">
        <v>2947</v>
      </c>
      <c r="C151" s="153">
        <f t="shared" si="57"/>
        <v>2947</v>
      </c>
      <c r="D151" s="37">
        <f t="shared" si="58"/>
        <v>2296</v>
      </c>
      <c r="E151" s="10">
        <f t="shared" si="59"/>
        <v>2256.62</v>
      </c>
      <c r="F151" s="11">
        <f t="shared" si="39"/>
        <v>2296434.3000000129</v>
      </c>
      <c r="G151" s="10">
        <f t="shared" si="60"/>
        <v>2256611.7000000002</v>
      </c>
    </row>
    <row r="152" spans="1:7" ht="16.5" customHeight="1">
      <c r="A152" s="50">
        <v>41455</v>
      </c>
      <c r="B152" s="37">
        <v>2947</v>
      </c>
      <c r="C152" s="153">
        <f t="shared" si="57"/>
        <v>2947</v>
      </c>
      <c r="D152" s="37">
        <f t="shared" si="58"/>
        <v>2303</v>
      </c>
      <c r="E152" s="10">
        <f t="shared" si="59"/>
        <v>2263.23</v>
      </c>
      <c r="F152" s="11">
        <f t="shared" si="39"/>
        <v>2303071.4000000129</v>
      </c>
      <c r="G152" s="10">
        <f t="shared" si="60"/>
        <v>2263248.7999999998</v>
      </c>
    </row>
    <row r="153" spans="1:7" ht="16.5" customHeight="1">
      <c r="A153" s="50">
        <v>41486</v>
      </c>
      <c r="B153" s="37">
        <v>2947</v>
      </c>
      <c r="C153" s="153">
        <f t="shared" ref="C153:C158" si="61">ROUND((SUM(B141:B153)/13),0)</f>
        <v>2947</v>
      </c>
      <c r="D153" s="37">
        <f t="shared" ref="D153:D158" si="62">ROUND(F153/1000,0)</f>
        <v>2310</v>
      </c>
      <c r="E153" s="10">
        <f t="shared" ref="E153:E158" si="63">ROUND((SUM(D141:D153)/13),2)</f>
        <v>2269.92</v>
      </c>
      <c r="F153" s="11">
        <f t="shared" si="39"/>
        <v>2309708.500000013</v>
      </c>
      <c r="G153" s="10">
        <f t="shared" ref="G153:G158" si="64">ROUND((SUM(F141:F153)/13),2)</f>
        <v>2269885.9</v>
      </c>
    </row>
    <row r="154" spans="1:7" ht="16.5" customHeight="1">
      <c r="A154" s="50">
        <v>41517</v>
      </c>
      <c r="B154" s="37">
        <v>2947</v>
      </c>
      <c r="C154" s="153">
        <f t="shared" si="61"/>
        <v>2947</v>
      </c>
      <c r="D154" s="37">
        <f t="shared" si="62"/>
        <v>2316</v>
      </c>
      <c r="E154" s="10">
        <f t="shared" si="63"/>
        <v>2276.54</v>
      </c>
      <c r="F154" s="11">
        <f t="shared" si="39"/>
        <v>2316345.6000000131</v>
      </c>
      <c r="G154" s="10">
        <f t="shared" si="64"/>
        <v>2276523</v>
      </c>
    </row>
    <row r="155" spans="1:7" ht="16.5" customHeight="1">
      <c r="A155" s="50">
        <v>41547</v>
      </c>
      <c r="B155" s="37">
        <v>2947</v>
      </c>
      <c r="C155" s="153">
        <f t="shared" si="61"/>
        <v>2947</v>
      </c>
      <c r="D155" s="37">
        <f t="shared" si="62"/>
        <v>2323</v>
      </c>
      <c r="E155" s="10">
        <f t="shared" si="63"/>
        <v>2283.15</v>
      </c>
      <c r="F155" s="11">
        <f t="shared" si="39"/>
        <v>2322982.7000000132</v>
      </c>
      <c r="G155" s="10">
        <f t="shared" si="64"/>
        <v>2283160.1</v>
      </c>
    </row>
    <row r="156" spans="1:7" ht="16.5" customHeight="1">
      <c r="A156" s="50">
        <v>41578</v>
      </c>
      <c r="B156" s="37">
        <v>2947</v>
      </c>
      <c r="C156" s="153">
        <f t="shared" si="61"/>
        <v>2947</v>
      </c>
      <c r="D156" s="37">
        <f t="shared" si="62"/>
        <v>2330</v>
      </c>
      <c r="E156" s="10">
        <f t="shared" si="63"/>
        <v>2289.85</v>
      </c>
      <c r="F156" s="11">
        <f t="shared" si="39"/>
        <v>2329619.8000000133</v>
      </c>
      <c r="G156" s="10">
        <f t="shared" si="64"/>
        <v>2289797.2000000002</v>
      </c>
    </row>
    <row r="157" spans="1:7" ht="16.5" customHeight="1">
      <c r="A157" s="50">
        <v>41608</v>
      </c>
      <c r="B157" s="37">
        <v>2947</v>
      </c>
      <c r="C157" s="153">
        <f t="shared" si="61"/>
        <v>2947</v>
      </c>
      <c r="D157" s="37">
        <f t="shared" si="62"/>
        <v>2336</v>
      </c>
      <c r="E157" s="10">
        <f t="shared" si="63"/>
        <v>2296.46</v>
      </c>
      <c r="F157" s="11">
        <f t="shared" si="39"/>
        <v>2336256.9000000134</v>
      </c>
      <c r="G157" s="10">
        <f t="shared" si="64"/>
        <v>2296434.2999999998</v>
      </c>
    </row>
    <row r="158" spans="1:7" ht="16.5" customHeight="1">
      <c r="A158" s="50">
        <v>41639</v>
      </c>
      <c r="B158" s="37">
        <v>2947</v>
      </c>
      <c r="C158" s="153">
        <f t="shared" si="61"/>
        <v>2947</v>
      </c>
      <c r="D158" s="37">
        <f t="shared" si="62"/>
        <v>2343</v>
      </c>
      <c r="E158" s="10">
        <f t="shared" si="63"/>
        <v>2303.08</v>
      </c>
      <c r="F158" s="11">
        <f t="shared" si="39"/>
        <v>2342894.0000000135</v>
      </c>
      <c r="G158" s="10">
        <f t="shared" si="64"/>
        <v>2303071.4</v>
      </c>
    </row>
    <row r="159" spans="1:7" ht="16.5" customHeight="1">
      <c r="A159" s="326">
        <v>41670</v>
      </c>
      <c r="B159" s="37">
        <v>2947</v>
      </c>
      <c r="C159" s="153">
        <f t="shared" ref="C159:C164" si="65">ROUND((SUM(B147:B159)/13),0)</f>
        <v>2947</v>
      </c>
      <c r="D159" s="37">
        <f t="shared" ref="D159:D167" si="66">ROUND(F159/1000,0)</f>
        <v>2350</v>
      </c>
      <c r="E159" s="153">
        <f t="shared" ref="E159:E164" si="67">ROUND((SUM(D147:D159)/13),2)</f>
        <v>2309.77</v>
      </c>
      <c r="F159" s="149">
        <f t="shared" si="39"/>
        <v>2349531.1000000136</v>
      </c>
      <c r="G159" s="153">
        <f t="shared" ref="G159:G164" si="68">ROUND((SUM(F147:F159)/13),2)</f>
        <v>2309708.5</v>
      </c>
    </row>
    <row r="160" spans="1:7" ht="16.5" customHeight="1">
      <c r="A160" s="326">
        <v>41698</v>
      </c>
      <c r="B160" s="37">
        <v>2947</v>
      </c>
      <c r="C160" s="153">
        <f t="shared" si="65"/>
        <v>2947</v>
      </c>
      <c r="D160" s="37">
        <f t="shared" si="66"/>
        <v>2356</v>
      </c>
      <c r="E160" s="153">
        <f t="shared" si="67"/>
        <v>2316.38</v>
      </c>
      <c r="F160" s="149">
        <f t="shared" si="39"/>
        <v>2356168.2000000137</v>
      </c>
      <c r="G160" s="153">
        <f t="shared" si="68"/>
        <v>2316345.6</v>
      </c>
    </row>
    <row r="161" spans="1:7" ht="16.5" customHeight="1">
      <c r="A161" s="326">
        <v>41729</v>
      </c>
      <c r="B161" s="37">
        <v>2947</v>
      </c>
      <c r="C161" s="153">
        <f t="shared" si="65"/>
        <v>2947</v>
      </c>
      <c r="D161" s="37">
        <f t="shared" si="66"/>
        <v>2363</v>
      </c>
      <c r="E161" s="153">
        <f t="shared" si="67"/>
        <v>2323</v>
      </c>
      <c r="F161" s="149">
        <f t="shared" si="39"/>
        <v>2362805.3000000138</v>
      </c>
      <c r="G161" s="153">
        <f t="shared" si="68"/>
        <v>2322982.7000000002</v>
      </c>
    </row>
    <row r="162" spans="1:7" ht="16.5" customHeight="1">
      <c r="A162" s="326">
        <v>41759</v>
      </c>
      <c r="B162" s="37">
        <v>2947</v>
      </c>
      <c r="C162" s="153">
        <f t="shared" si="65"/>
        <v>2947</v>
      </c>
      <c r="D162" s="37">
        <f t="shared" si="66"/>
        <v>2369</v>
      </c>
      <c r="E162" s="153">
        <f t="shared" si="67"/>
        <v>2329.62</v>
      </c>
      <c r="F162" s="149">
        <f t="shared" si="39"/>
        <v>2369442.4000000139</v>
      </c>
      <c r="G162" s="153">
        <f t="shared" si="68"/>
        <v>2329619.7999999998</v>
      </c>
    </row>
    <row r="163" spans="1:7" ht="16.5" customHeight="1">
      <c r="A163" s="326">
        <v>41790</v>
      </c>
      <c r="B163" s="37">
        <v>2947</v>
      </c>
      <c r="C163" s="153">
        <f t="shared" si="65"/>
        <v>2947</v>
      </c>
      <c r="D163" s="37">
        <f t="shared" si="66"/>
        <v>2376</v>
      </c>
      <c r="E163" s="153">
        <f t="shared" si="67"/>
        <v>2336.23</v>
      </c>
      <c r="F163" s="149">
        <f t="shared" si="39"/>
        <v>2376079.500000014</v>
      </c>
      <c r="G163" s="153">
        <f t="shared" si="68"/>
        <v>2336256.9</v>
      </c>
    </row>
    <row r="164" spans="1:7" ht="16.5" customHeight="1">
      <c r="A164" s="326">
        <v>41820</v>
      </c>
      <c r="B164" s="37">
        <v>2947</v>
      </c>
      <c r="C164" s="153">
        <f t="shared" si="65"/>
        <v>2947</v>
      </c>
      <c r="D164" s="37">
        <f t="shared" si="66"/>
        <v>2383</v>
      </c>
      <c r="E164" s="153">
        <f t="shared" si="67"/>
        <v>2342.92</v>
      </c>
      <c r="F164" s="149">
        <f t="shared" si="39"/>
        <v>2382716.6000000141</v>
      </c>
      <c r="G164" s="153">
        <f t="shared" si="68"/>
        <v>2342894</v>
      </c>
    </row>
    <row r="165" spans="1:7" ht="16.5" customHeight="1">
      <c r="A165" s="326">
        <v>41851</v>
      </c>
      <c r="B165" s="37">
        <v>2947</v>
      </c>
      <c r="C165" s="153">
        <f t="shared" ref="C165:C170" si="69">ROUND((SUM(B153:B165)/13),0)</f>
        <v>2947</v>
      </c>
      <c r="D165" s="37">
        <f t="shared" si="66"/>
        <v>2389</v>
      </c>
      <c r="E165" s="153">
        <f t="shared" ref="E165:E170" si="70">ROUND((SUM(D153:D165)/13),2)</f>
        <v>2349.54</v>
      </c>
      <c r="F165" s="149">
        <f t="shared" si="39"/>
        <v>2389353.7000000142</v>
      </c>
      <c r="G165" s="153">
        <f t="shared" ref="G165:G170" si="71">ROUND((SUM(F153:F165)/13),2)</f>
        <v>2349531.1</v>
      </c>
    </row>
    <row r="166" spans="1:7" ht="16.5" customHeight="1">
      <c r="A166" s="326">
        <v>41882</v>
      </c>
      <c r="B166" s="37">
        <v>2947</v>
      </c>
      <c r="C166" s="153">
        <f t="shared" si="69"/>
        <v>2947</v>
      </c>
      <c r="D166" s="37">
        <f t="shared" si="66"/>
        <v>2396</v>
      </c>
      <c r="E166" s="153">
        <f t="shared" si="70"/>
        <v>2356.15</v>
      </c>
      <c r="F166" s="149">
        <f t="shared" si="39"/>
        <v>2395990.8000000142</v>
      </c>
      <c r="G166" s="153">
        <f t="shared" si="71"/>
        <v>2356168.2000000002</v>
      </c>
    </row>
    <row r="167" spans="1:7" ht="16.5" customHeight="1">
      <c r="A167" s="326">
        <v>41912</v>
      </c>
      <c r="B167" s="37">
        <v>2947</v>
      </c>
      <c r="C167" s="153">
        <f t="shared" si="69"/>
        <v>2947</v>
      </c>
      <c r="D167" s="37">
        <f t="shared" si="66"/>
        <v>2403</v>
      </c>
      <c r="E167" s="153">
        <f t="shared" si="70"/>
        <v>2362.85</v>
      </c>
      <c r="F167" s="149">
        <f t="shared" si="39"/>
        <v>2402627.9000000143</v>
      </c>
      <c r="G167" s="153">
        <f t="shared" si="71"/>
        <v>2362805.2999999998</v>
      </c>
    </row>
    <row r="168" spans="1:7" ht="16.5" customHeight="1">
      <c r="A168" s="326">
        <v>41943</v>
      </c>
      <c r="B168" s="37">
        <v>2947</v>
      </c>
      <c r="C168" s="153">
        <f t="shared" si="69"/>
        <v>2947</v>
      </c>
      <c r="D168" s="37">
        <f t="shared" ref="D168:D173" si="72">ROUND(F168/1000,0)</f>
        <v>2409</v>
      </c>
      <c r="E168" s="153">
        <f t="shared" si="70"/>
        <v>2369.46</v>
      </c>
      <c r="F168" s="149">
        <f t="shared" si="39"/>
        <v>2409265.0000000144</v>
      </c>
      <c r="G168" s="153">
        <f t="shared" si="71"/>
        <v>2369442.4</v>
      </c>
    </row>
    <row r="169" spans="1:7" ht="16.5" customHeight="1">
      <c r="A169" s="326">
        <v>41973</v>
      </c>
      <c r="B169" s="37">
        <v>2947</v>
      </c>
      <c r="C169" s="153">
        <f t="shared" si="69"/>
        <v>2947</v>
      </c>
      <c r="D169" s="37">
        <f t="shared" si="72"/>
        <v>2416</v>
      </c>
      <c r="E169" s="153">
        <f t="shared" si="70"/>
        <v>2376.08</v>
      </c>
      <c r="F169" s="149">
        <f t="shared" si="39"/>
        <v>2415902.1000000145</v>
      </c>
      <c r="G169" s="153">
        <f t="shared" si="71"/>
        <v>2376079.5</v>
      </c>
    </row>
    <row r="170" spans="1:7" ht="16.5" customHeight="1">
      <c r="A170" s="326">
        <v>42004</v>
      </c>
      <c r="B170" s="37">
        <v>2947</v>
      </c>
      <c r="C170" s="153">
        <f t="shared" si="69"/>
        <v>2947</v>
      </c>
      <c r="D170" s="37">
        <f t="shared" si="72"/>
        <v>2423</v>
      </c>
      <c r="E170" s="153">
        <f t="shared" si="70"/>
        <v>2382.77</v>
      </c>
      <c r="F170" s="149">
        <f t="shared" si="39"/>
        <v>2422539.2000000146</v>
      </c>
      <c r="G170" s="153">
        <f t="shared" si="71"/>
        <v>2382716.6</v>
      </c>
    </row>
    <row r="171" spans="1:7" ht="15">
      <c r="A171" s="326">
        <v>42035</v>
      </c>
      <c r="B171" s="37">
        <v>2947</v>
      </c>
      <c r="C171" s="153">
        <f t="shared" ref="C171:C176" si="73">ROUND((SUM(B159:B171)/13),0)</f>
        <v>2947</v>
      </c>
      <c r="D171" s="37">
        <f t="shared" si="72"/>
        <v>2429</v>
      </c>
      <c r="E171" s="153">
        <f t="shared" ref="E171:E176" si="74">ROUND((SUM(D159:D171)/13),2)</f>
        <v>2389.38</v>
      </c>
      <c r="F171" s="149">
        <f t="shared" si="39"/>
        <v>2429176.3000000147</v>
      </c>
      <c r="G171" s="153">
        <f>ROUND((SUM(F159:F171)/13),2)</f>
        <v>2389353.7000000002</v>
      </c>
    </row>
    <row r="172" spans="1:7" ht="15">
      <c r="A172" s="326">
        <v>42063</v>
      </c>
      <c r="B172" s="37">
        <v>2947</v>
      </c>
      <c r="C172" s="153">
        <f t="shared" si="73"/>
        <v>2947</v>
      </c>
      <c r="D172" s="37">
        <f t="shared" si="72"/>
        <v>2436</v>
      </c>
      <c r="E172" s="153">
        <f t="shared" si="74"/>
        <v>2396</v>
      </c>
      <c r="F172" s="149">
        <f t="shared" si="39"/>
        <v>2435813.4000000148</v>
      </c>
      <c r="G172" s="153">
        <f>ROUND((SUM(F160:F172)/13),2)</f>
        <v>2395990.7999999998</v>
      </c>
    </row>
    <row r="173" spans="1:7" ht="15">
      <c r="A173" s="326">
        <v>42094</v>
      </c>
      <c r="B173" s="37">
        <v>2947</v>
      </c>
      <c r="C173" s="153">
        <f t="shared" si="73"/>
        <v>2947</v>
      </c>
      <c r="D173" s="37">
        <f t="shared" si="72"/>
        <v>2442</v>
      </c>
      <c r="E173" s="153">
        <f t="shared" si="74"/>
        <v>2402.62</v>
      </c>
      <c r="F173" s="149">
        <f t="shared" si="39"/>
        <v>2442450.5000000149</v>
      </c>
      <c r="G173" s="153">
        <f>ROUND((SUM(F161:F173)/13),2)</f>
        <v>2402627.9</v>
      </c>
    </row>
    <row r="174" spans="1:7" ht="15">
      <c r="A174" s="326">
        <v>42124</v>
      </c>
      <c r="B174" s="37">
        <v>2947</v>
      </c>
      <c r="C174" s="153">
        <f t="shared" si="73"/>
        <v>2947</v>
      </c>
      <c r="D174" s="37">
        <f t="shared" ref="D174:D179" si="75">ROUND(F174/1000,0)</f>
        <v>2449</v>
      </c>
      <c r="E174" s="153">
        <f t="shared" si="74"/>
        <v>2409.23</v>
      </c>
      <c r="F174" s="149">
        <f t="shared" si="39"/>
        <v>2449087.600000015</v>
      </c>
      <c r="G174" s="153">
        <f>ROUND((SUM(F162:F174)/13),2)</f>
        <v>2409265</v>
      </c>
    </row>
    <row r="175" spans="1:7" ht="15">
      <c r="A175" s="326">
        <v>42155</v>
      </c>
      <c r="B175" s="37">
        <v>2947</v>
      </c>
      <c r="C175" s="153">
        <f t="shared" si="73"/>
        <v>2947</v>
      </c>
      <c r="D175" s="37">
        <f t="shared" si="75"/>
        <v>2456</v>
      </c>
      <c r="E175" s="153">
        <f t="shared" si="74"/>
        <v>2415.92</v>
      </c>
      <c r="F175" s="149">
        <f t="shared" ref="F175:F239" si="76">F174+6637.1</f>
        <v>2455724.7000000151</v>
      </c>
      <c r="G175" s="153">
        <f>ROUND((SUM(F163:F175)/13),2)</f>
        <v>2415902.1</v>
      </c>
    </row>
    <row r="176" spans="1:7" ht="15">
      <c r="A176" s="326">
        <v>42185</v>
      </c>
      <c r="B176" s="37">
        <v>2947</v>
      </c>
      <c r="C176" s="153">
        <f t="shared" si="73"/>
        <v>2947</v>
      </c>
      <c r="D176" s="37">
        <f t="shared" si="75"/>
        <v>2462</v>
      </c>
      <c r="E176" s="153">
        <f t="shared" si="74"/>
        <v>2422.54</v>
      </c>
      <c r="F176" s="149">
        <f t="shared" si="76"/>
        <v>2462361.8000000152</v>
      </c>
      <c r="G176" s="153">
        <f t="shared" ref="G176:G187" si="77">ROUND((SUM(F164:F176)/13),2)</f>
        <v>2422539.2000000002</v>
      </c>
    </row>
    <row r="177" spans="1:7" ht="15">
      <c r="A177" s="326">
        <v>42216</v>
      </c>
      <c r="B177" s="37">
        <v>2947</v>
      </c>
      <c r="C177" s="153">
        <f t="shared" ref="C177:C188" si="78">ROUND((SUM(B165:B177)/13),0)</f>
        <v>2947</v>
      </c>
      <c r="D177" s="37">
        <f t="shared" si="75"/>
        <v>2469</v>
      </c>
      <c r="E177" s="153">
        <f t="shared" ref="E177:E188" si="79">ROUND((SUM(D165:D177)/13),2)</f>
        <v>2429.15</v>
      </c>
      <c r="F177" s="149">
        <f t="shared" si="76"/>
        <v>2468998.9000000153</v>
      </c>
      <c r="G177" s="153">
        <f t="shared" si="77"/>
        <v>2429176.2999999998</v>
      </c>
    </row>
    <row r="178" spans="1:7" ht="15">
      <c r="A178" s="326">
        <v>42247</v>
      </c>
      <c r="B178" s="37">
        <v>2947</v>
      </c>
      <c r="C178" s="153">
        <f t="shared" si="78"/>
        <v>2947</v>
      </c>
      <c r="D178" s="37">
        <f t="shared" si="75"/>
        <v>2476</v>
      </c>
      <c r="E178" s="153">
        <f t="shared" si="79"/>
        <v>2435.85</v>
      </c>
      <c r="F178" s="149">
        <f t="shared" si="76"/>
        <v>2475636.0000000154</v>
      </c>
      <c r="G178" s="153">
        <f t="shared" si="77"/>
        <v>2435813.4</v>
      </c>
    </row>
    <row r="179" spans="1:7" ht="15">
      <c r="A179" s="326">
        <v>42277</v>
      </c>
      <c r="B179" s="37">
        <v>2947</v>
      </c>
      <c r="C179" s="153">
        <f t="shared" si="78"/>
        <v>2947</v>
      </c>
      <c r="D179" s="37">
        <f t="shared" si="75"/>
        <v>2482</v>
      </c>
      <c r="E179" s="153">
        <f t="shared" si="79"/>
        <v>2442.46</v>
      </c>
      <c r="F179" s="149">
        <f t="shared" si="76"/>
        <v>2482273.1000000155</v>
      </c>
      <c r="G179" s="153">
        <f t="shared" si="77"/>
        <v>2442450.5</v>
      </c>
    </row>
    <row r="180" spans="1:7" ht="15">
      <c r="A180" s="326">
        <v>42308</v>
      </c>
      <c r="B180" s="37">
        <v>2947</v>
      </c>
      <c r="C180" s="153">
        <f t="shared" si="78"/>
        <v>2947</v>
      </c>
      <c r="D180" s="37">
        <f>ROUND(F180/1000,0)</f>
        <v>2489</v>
      </c>
      <c r="E180" s="153">
        <f t="shared" si="79"/>
        <v>2449.08</v>
      </c>
      <c r="F180" s="149">
        <f t="shared" si="76"/>
        <v>2488910.2000000156</v>
      </c>
      <c r="G180" s="153">
        <f t="shared" si="77"/>
        <v>2449087.6</v>
      </c>
    </row>
    <row r="181" spans="1:7" ht="15">
      <c r="A181" s="326">
        <v>42338</v>
      </c>
      <c r="B181" s="37">
        <v>2947</v>
      </c>
      <c r="C181" s="153">
        <f t="shared" si="78"/>
        <v>2947</v>
      </c>
      <c r="D181" s="37">
        <f>ROUND(F181/1000,0)</f>
        <v>2496</v>
      </c>
      <c r="E181" s="153">
        <f t="shared" si="79"/>
        <v>2455.77</v>
      </c>
      <c r="F181" s="149">
        <f t="shared" si="76"/>
        <v>2495547.3000000156</v>
      </c>
      <c r="G181" s="153">
        <f t="shared" si="77"/>
        <v>2455724.7000000002</v>
      </c>
    </row>
    <row r="182" spans="1:7" ht="15">
      <c r="A182" s="326">
        <v>42369</v>
      </c>
      <c r="B182" s="37">
        <v>2947</v>
      </c>
      <c r="C182" s="153">
        <f t="shared" si="78"/>
        <v>2947</v>
      </c>
      <c r="D182" s="37">
        <f>ROUND(F182/1000,0)</f>
        <v>2502</v>
      </c>
      <c r="E182" s="153">
        <f t="shared" si="79"/>
        <v>2462.38</v>
      </c>
      <c r="F182" s="149">
        <f t="shared" si="76"/>
        <v>2502184.4000000157</v>
      </c>
      <c r="G182" s="153">
        <f t="shared" si="77"/>
        <v>2462361.7999999998</v>
      </c>
    </row>
    <row r="183" spans="1:7" ht="15">
      <c r="A183" s="326">
        <v>42400</v>
      </c>
      <c r="B183" s="37">
        <v>2947</v>
      </c>
      <c r="C183" s="153">
        <f t="shared" si="78"/>
        <v>2947</v>
      </c>
      <c r="D183" s="37">
        <f t="shared" ref="D183:D194" si="80">ROUND(F183/1000,0)</f>
        <v>2509</v>
      </c>
      <c r="E183" s="153">
        <f t="shared" si="79"/>
        <v>2469</v>
      </c>
      <c r="F183" s="149">
        <f t="shared" si="76"/>
        <v>2508821.5000000158</v>
      </c>
      <c r="G183" s="153">
        <f t="shared" si="77"/>
        <v>2468998.9</v>
      </c>
    </row>
    <row r="184" spans="1:7" ht="15">
      <c r="A184" s="326">
        <v>42429</v>
      </c>
      <c r="B184" s="37">
        <v>2947</v>
      </c>
      <c r="C184" s="153">
        <f t="shared" si="78"/>
        <v>2947</v>
      </c>
      <c r="D184" s="37">
        <f t="shared" si="80"/>
        <v>2515</v>
      </c>
      <c r="E184" s="153">
        <f t="shared" si="79"/>
        <v>2475.62</v>
      </c>
      <c r="F184" s="149">
        <f t="shared" si="76"/>
        <v>2515458.6000000159</v>
      </c>
      <c r="G184" s="153">
        <f t="shared" si="77"/>
        <v>2475636</v>
      </c>
    </row>
    <row r="185" spans="1:7" ht="15">
      <c r="A185" s="326">
        <v>42460</v>
      </c>
      <c r="B185" s="37">
        <v>2947</v>
      </c>
      <c r="C185" s="153">
        <f t="shared" si="78"/>
        <v>2947</v>
      </c>
      <c r="D185" s="37">
        <f t="shared" si="80"/>
        <v>2522</v>
      </c>
      <c r="E185" s="153">
        <f t="shared" si="79"/>
        <v>2482.23</v>
      </c>
      <c r="F185" s="149">
        <f t="shared" si="76"/>
        <v>2522095.700000016</v>
      </c>
      <c r="G185" s="153">
        <f t="shared" si="77"/>
        <v>2482273.1</v>
      </c>
    </row>
    <row r="186" spans="1:7" ht="15">
      <c r="A186" s="326">
        <v>42490</v>
      </c>
      <c r="B186" s="37">
        <v>2947</v>
      </c>
      <c r="C186" s="153">
        <f t="shared" si="78"/>
        <v>2947</v>
      </c>
      <c r="D186" s="37">
        <f t="shared" si="80"/>
        <v>2529</v>
      </c>
      <c r="E186" s="153">
        <f t="shared" si="79"/>
        <v>2488.92</v>
      </c>
      <c r="F186" s="149">
        <f t="shared" si="76"/>
        <v>2528732.8000000161</v>
      </c>
      <c r="G186" s="153">
        <f t="shared" si="77"/>
        <v>2488910.2000000002</v>
      </c>
    </row>
    <row r="187" spans="1:7" ht="15">
      <c r="A187" s="326">
        <v>42521</v>
      </c>
      <c r="B187" s="37">
        <v>2947</v>
      </c>
      <c r="C187" s="153">
        <f t="shared" si="78"/>
        <v>2947</v>
      </c>
      <c r="D187" s="37">
        <f t="shared" si="80"/>
        <v>2535</v>
      </c>
      <c r="E187" s="153">
        <f t="shared" si="79"/>
        <v>2495.54</v>
      </c>
      <c r="F187" s="149">
        <f t="shared" si="76"/>
        <v>2535369.9000000162</v>
      </c>
      <c r="G187" s="153">
        <f t="shared" si="77"/>
        <v>2495547.2999999998</v>
      </c>
    </row>
    <row r="188" spans="1:7" ht="15">
      <c r="A188" s="326">
        <v>42551</v>
      </c>
      <c r="B188" s="37">
        <v>2947</v>
      </c>
      <c r="C188" s="153">
        <f t="shared" si="78"/>
        <v>2947</v>
      </c>
      <c r="D188" s="37">
        <f t="shared" si="80"/>
        <v>2542</v>
      </c>
      <c r="E188" s="153">
        <f t="shared" si="79"/>
        <v>2502.15</v>
      </c>
      <c r="F188" s="149">
        <f t="shared" si="76"/>
        <v>2542007.0000000163</v>
      </c>
      <c r="G188" s="153">
        <f t="shared" ref="G188:G194" si="81">ROUND((SUM(F176:F188)/13),2)</f>
        <v>2502184.4</v>
      </c>
    </row>
    <row r="189" spans="1:7" ht="15">
      <c r="A189" s="326">
        <v>42582</v>
      </c>
      <c r="B189" s="37">
        <v>2947</v>
      </c>
      <c r="C189" s="153">
        <f t="shared" ref="C189:C194" si="82">ROUND((SUM(B177:B189)/13),0)</f>
        <v>2947</v>
      </c>
      <c r="D189" s="37">
        <f t="shared" si="80"/>
        <v>2549</v>
      </c>
      <c r="E189" s="153">
        <f t="shared" ref="E189:E194" si="83">ROUND((SUM(D177:D189)/13),2)</f>
        <v>2508.85</v>
      </c>
      <c r="F189" s="149">
        <f t="shared" si="76"/>
        <v>2548644.1000000164</v>
      </c>
      <c r="G189" s="153">
        <f t="shared" si="81"/>
        <v>2508821.5</v>
      </c>
    </row>
    <row r="190" spans="1:7" ht="15">
      <c r="A190" s="326">
        <v>42613</v>
      </c>
      <c r="B190" s="37">
        <v>2947</v>
      </c>
      <c r="C190" s="153">
        <f t="shared" si="82"/>
        <v>2947</v>
      </c>
      <c r="D190" s="37">
        <f t="shared" si="80"/>
        <v>2555</v>
      </c>
      <c r="E190" s="153">
        <f t="shared" si="83"/>
        <v>2515.46</v>
      </c>
      <c r="F190" s="149">
        <f t="shared" si="76"/>
        <v>2555281.2000000165</v>
      </c>
      <c r="G190" s="153">
        <f t="shared" si="81"/>
        <v>2515458.6</v>
      </c>
    </row>
    <row r="191" spans="1:7" ht="15">
      <c r="A191" s="326">
        <v>42643</v>
      </c>
      <c r="B191" s="37">
        <v>2947</v>
      </c>
      <c r="C191" s="153">
        <f t="shared" si="82"/>
        <v>2947</v>
      </c>
      <c r="D191" s="37">
        <f t="shared" si="80"/>
        <v>2562</v>
      </c>
      <c r="E191" s="153">
        <f t="shared" si="83"/>
        <v>2522.08</v>
      </c>
      <c r="F191" s="149">
        <f t="shared" si="76"/>
        <v>2561918.3000000166</v>
      </c>
      <c r="G191" s="153">
        <f t="shared" si="81"/>
        <v>2522095.7000000002</v>
      </c>
    </row>
    <row r="192" spans="1:7" ht="15">
      <c r="A192" s="326">
        <v>42674</v>
      </c>
      <c r="B192" s="37">
        <v>2947</v>
      </c>
      <c r="C192" s="153">
        <f t="shared" si="82"/>
        <v>2947</v>
      </c>
      <c r="D192" s="37">
        <f t="shared" si="80"/>
        <v>2569</v>
      </c>
      <c r="E192" s="153">
        <f t="shared" si="83"/>
        <v>2528.77</v>
      </c>
      <c r="F192" s="149">
        <f t="shared" si="76"/>
        <v>2568555.4000000167</v>
      </c>
      <c r="G192" s="153">
        <f t="shared" si="81"/>
        <v>2528732.7999999998</v>
      </c>
    </row>
    <row r="193" spans="1:7" ht="15">
      <c r="A193" s="326">
        <v>42704</v>
      </c>
      <c r="B193" s="37">
        <v>2947</v>
      </c>
      <c r="C193" s="153">
        <f t="shared" si="82"/>
        <v>2947</v>
      </c>
      <c r="D193" s="37">
        <f t="shared" si="80"/>
        <v>2575</v>
      </c>
      <c r="E193" s="153">
        <f t="shared" si="83"/>
        <v>2535.38</v>
      </c>
      <c r="F193" s="149">
        <f t="shared" si="76"/>
        <v>2575192.5000000168</v>
      </c>
      <c r="G193" s="153">
        <f t="shared" si="81"/>
        <v>2535369.9</v>
      </c>
    </row>
    <row r="194" spans="1:7" ht="15">
      <c r="A194" s="326">
        <v>42735</v>
      </c>
      <c r="B194" s="37">
        <v>2947</v>
      </c>
      <c r="C194" s="153">
        <f t="shared" si="82"/>
        <v>2947</v>
      </c>
      <c r="D194" s="37">
        <f t="shared" si="80"/>
        <v>2582</v>
      </c>
      <c r="E194" s="153">
        <f t="shared" si="83"/>
        <v>2542</v>
      </c>
      <c r="F194" s="149">
        <f t="shared" si="76"/>
        <v>2581829.6000000169</v>
      </c>
      <c r="G194" s="153">
        <f t="shared" si="81"/>
        <v>2542007</v>
      </c>
    </row>
    <row r="195" spans="1:7" ht="15">
      <c r="A195" s="326">
        <v>42766</v>
      </c>
      <c r="B195" s="37">
        <v>2947</v>
      </c>
      <c r="C195" s="153">
        <f t="shared" ref="C195:C212" si="84">ROUND((SUM(B183:B195)/13),0)</f>
        <v>2947</v>
      </c>
      <c r="D195" s="37">
        <f t="shared" ref="D195:D213" si="85">ROUND(F195/1000,0)</f>
        <v>2588</v>
      </c>
      <c r="E195" s="153">
        <f t="shared" ref="E195:E213" si="86">ROUND((SUM(D183:D195)/13),2)</f>
        <v>2548.62</v>
      </c>
      <c r="F195" s="149">
        <f t="shared" si="76"/>
        <v>2588466.700000017</v>
      </c>
      <c r="G195" s="153">
        <f t="shared" ref="G195:G213" si="87">ROUND((SUM(F183:F195)/13),2)</f>
        <v>2548644.1</v>
      </c>
    </row>
    <row r="196" spans="1:7" ht="15">
      <c r="A196" s="326">
        <v>42794</v>
      </c>
      <c r="B196" s="37">
        <v>2947</v>
      </c>
      <c r="C196" s="153">
        <f t="shared" si="84"/>
        <v>2947</v>
      </c>
      <c r="D196" s="37">
        <f t="shared" si="85"/>
        <v>2595</v>
      </c>
      <c r="E196" s="153">
        <f t="shared" si="86"/>
        <v>2555.23</v>
      </c>
      <c r="F196" s="149">
        <f t="shared" si="76"/>
        <v>2595103.800000017</v>
      </c>
      <c r="G196" s="153">
        <f t="shared" si="87"/>
        <v>2555281.2000000002</v>
      </c>
    </row>
    <row r="197" spans="1:7" ht="15">
      <c r="A197" s="326">
        <v>42825</v>
      </c>
      <c r="B197" s="37">
        <v>2947</v>
      </c>
      <c r="C197" s="153">
        <f t="shared" si="84"/>
        <v>2947</v>
      </c>
      <c r="D197" s="37">
        <f t="shared" si="85"/>
        <v>2602</v>
      </c>
      <c r="E197" s="153">
        <f t="shared" si="86"/>
        <v>2561.92</v>
      </c>
      <c r="F197" s="149">
        <f t="shared" si="76"/>
        <v>2601740.9000000171</v>
      </c>
      <c r="G197" s="153">
        <f t="shared" si="87"/>
        <v>2561918.2999999998</v>
      </c>
    </row>
    <row r="198" spans="1:7" ht="15">
      <c r="A198" s="326">
        <v>42855</v>
      </c>
      <c r="B198" s="37">
        <v>2947</v>
      </c>
      <c r="C198" s="153">
        <f t="shared" si="84"/>
        <v>2947</v>
      </c>
      <c r="D198" s="37">
        <f t="shared" si="85"/>
        <v>2608</v>
      </c>
      <c r="E198" s="153">
        <f t="shared" si="86"/>
        <v>2568.54</v>
      </c>
      <c r="F198" s="149">
        <f t="shared" si="76"/>
        <v>2608378.0000000172</v>
      </c>
      <c r="G198" s="153">
        <f t="shared" si="87"/>
        <v>2568555.4</v>
      </c>
    </row>
    <row r="199" spans="1:7" ht="15">
      <c r="A199" s="326">
        <v>42886</v>
      </c>
      <c r="B199" s="37">
        <v>2947</v>
      </c>
      <c r="C199" s="153">
        <f t="shared" si="84"/>
        <v>2947</v>
      </c>
      <c r="D199" s="37">
        <f t="shared" si="85"/>
        <v>2615</v>
      </c>
      <c r="E199" s="153">
        <f t="shared" si="86"/>
        <v>2575.15</v>
      </c>
      <c r="F199" s="149">
        <f t="shared" si="76"/>
        <v>2615015.1000000173</v>
      </c>
      <c r="G199" s="153">
        <f t="shared" si="87"/>
        <v>2575192.5</v>
      </c>
    </row>
    <row r="200" spans="1:7" ht="15">
      <c r="A200" s="326">
        <v>42916</v>
      </c>
      <c r="B200" s="37">
        <v>2947</v>
      </c>
      <c r="C200" s="153">
        <f t="shared" si="84"/>
        <v>2947</v>
      </c>
      <c r="D200" s="37">
        <f t="shared" si="85"/>
        <v>2622</v>
      </c>
      <c r="E200" s="153">
        <f t="shared" si="86"/>
        <v>2581.85</v>
      </c>
      <c r="F200" s="149">
        <f t="shared" si="76"/>
        <v>2621652.2000000174</v>
      </c>
      <c r="G200" s="153">
        <f t="shared" si="87"/>
        <v>2581829.6</v>
      </c>
    </row>
    <row r="201" spans="1:7" ht="15">
      <c r="A201" s="326">
        <v>42947</v>
      </c>
      <c r="B201" s="37">
        <v>2947</v>
      </c>
      <c r="C201" s="153">
        <f t="shared" si="84"/>
        <v>2947</v>
      </c>
      <c r="D201" s="37">
        <f t="shared" si="85"/>
        <v>2628</v>
      </c>
      <c r="E201" s="153">
        <f t="shared" si="86"/>
        <v>2588.46</v>
      </c>
      <c r="F201" s="149">
        <f t="shared" si="76"/>
        <v>2628289.3000000175</v>
      </c>
      <c r="G201" s="153">
        <f t="shared" si="87"/>
        <v>2588466.7000000002</v>
      </c>
    </row>
    <row r="202" spans="1:7" ht="15">
      <c r="A202" s="326">
        <v>42978</v>
      </c>
      <c r="B202" s="37">
        <v>2947</v>
      </c>
      <c r="C202" s="153">
        <f t="shared" si="84"/>
        <v>2947</v>
      </c>
      <c r="D202" s="37">
        <f t="shared" si="85"/>
        <v>2635</v>
      </c>
      <c r="E202" s="153">
        <f t="shared" si="86"/>
        <v>2595.08</v>
      </c>
      <c r="F202" s="149">
        <f t="shared" si="76"/>
        <v>2634926.4000000176</v>
      </c>
      <c r="G202" s="153">
        <f t="shared" si="87"/>
        <v>2595103.7999999998</v>
      </c>
    </row>
    <row r="203" spans="1:7" ht="15">
      <c r="A203" s="326">
        <v>43008</v>
      </c>
      <c r="B203" s="37">
        <v>2947</v>
      </c>
      <c r="C203" s="153">
        <f t="shared" si="84"/>
        <v>2947</v>
      </c>
      <c r="D203" s="37">
        <f t="shared" si="85"/>
        <v>2642</v>
      </c>
      <c r="E203" s="153">
        <f t="shared" si="86"/>
        <v>2601.77</v>
      </c>
      <c r="F203" s="149">
        <f t="shared" si="76"/>
        <v>2641563.5000000177</v>
      </c>
      <c r="G203" s="153">
        <f t="shared" si="87"/>
        <v>2601740.9</v>
      </c>
    </row>
    <row r="204" spans="1:7" ht="15">
      <c r="A204" s="326">
        <v>43039</v>
      </c>
      <c r="B204" s="37">
        <v>2947</v>
      </c>
      <c r="C204" s="153">
        <f t="shared" si="84"/>
        <v>2947</v>
      </c>
      <c r="D204" s="37">
        <f t="shared" si="85"/>
        <v>2648</v>
      </c>
      <c r="E204" s="153">
        <f t="shared" si="86"/>
        <v>2608.38</v>
      </c>
      <c r="F204" s="149">
        <f t="shared" si="76"/>
        <v>2648200.6000000178</v>
      </c>
      <c r="G204" s="153">
        <f t="shared" si="87"/>
        <v>2608378</v>
      </c>
    </row>
    <row r="205" spans="1:7" ht="15">
      <c r="A205" s="326">
        <v>43069</v>
      </c>
      <c r="B205" s="37">
        <v>2947</v>
      </c>
      <c r="C205" s="153">
        <f t="shared" si="84"/>
        <v>2947</v>
      </c>
      <c r="D205" s="37">
        <f t="shared" si="85"/>
        <v>2655</v>
      </c>
      <c r="E205" s="153">
        <f t="shared" si="86"/>
        <v>2615</v>
      </c>
      <c r="F205" s="149">
        <f t="shared" si="76"/>
        <v>2654837.7000000179</v>
      </c>
      <c r="G205" s="153">
        <f t="shared" si="87"/>
        <v>2615015.1</v>
      </c>
    </row>
    <row r="206" spans="1:7" ht="15">
      <c r="A206" s="326">
        <v>43100</v>
      </c>
      <c r="B206" s="37">
        <v>2947</v>
      </c>
      <c r="C206" s="153">
        <f t="shared" si="84"/>
        <v>2947</v>
      </c>
      <c r="D206" s="37">
        <f t="shared" si="85"/>
        <v>2661</v>
      </c>
      <c r="E206" s="153">
        <f t="shared" si="86"/>
        <v>2621.62</v>
      </c>
      <c r="F206" s="149">
        <f t="shared" si="76"/>
        <v>2661474.800000018</v>
      </c>
      <c r="G206" s="153">
        <f t="shared" si="87"/>
        <v>2621652.2000000002</v>
      </c>
    </row>
    <row r="207" spans="1:7" ht="15">
      <c r="A207" s="326">
        <v>43131</v>
      </c>
      <c r="B207" s="37">
        <v>2947</v>
      </c>
      <c r="C207" s="153">
        <f t="shared" si="84"/>
        <v>2947</v>
      </c>
      <c r="D207" s="37">
        <f t="shared" si="85"/>
        <v>2668</v>
      </c>
      <c r="E207" s="153">
        <f t="shared" si="86"/>
        <v>2628.23</v>
      </c>
      <c r="F207" s="149">
        <f t="shared" si="76"/>
        <v>2668111.9000000181</v>
      </c>
      <c r="G207" s="153">
        <f t="shared" si="87"/>
        <v>2628289.2999999998</v>
      </c>
    </row>
    <row r="208" spans="1:7" ht="15">
      <c r="A208" s="326">
        <v>43159</v>
      </c>
      <c r="B208" s="37">
        <v>2947</v>
      </c>
      <c r="C208" s="153">
        <f t="shared" si="84"/>
        <v>2947</v>
      </c>
      <c r="D208" s="37">
        <f t="shared" si="85"/>
        <v>2675</v>
      </c>
      <c r="E208" s="153">
        <f t="shared" si="86"/>
        <v>2634.92</v>
      </c>
      <c r="F208" s="149">
        <f t="shared" si="76"/>
        <v>2674749.0000000182</v>
      </c>
      <c r="G208" s="153">
        <f t="shared" si="87"/>
        <v>2634926.4</v>
      </c>
    </row>
    <row r="209" spans="1:17" ht="15">
      <c r="A209" s="326">
        <v>43190</v>
      </c>
      <c r="B209" s="37">
        <v>2947</v>
      </c>
      <c r="C209" s="153">
        <f t="shared" si="84"/>
        <v>2947</v>
      </c>
      <c r="D209" s="37">
        <f t="shared" si="85"/>
        <v>2681</v>
      </c>
      <c r="E209" s="153">
        <f t="shared" si="86"/>
        <v>2641.54</v>
      </c>
      <c r="F209" s="149">
        <f t="shared" si="76"/>
        <v>2681386.1000000183</v>
      </c>
      <c r="G209" s="153">
        <f t="shared" si="87"/>
        <v>2641563.5</v>
      </c>
    </row>
    <row r="210" spans="1:17" ht="15">
      <c r="A210" s="326">
        <v>43220</v>
      </c>
      <c r="B210" s="37">
        <v>2947</v>
      </c>
      <c r="C210" s="153">
        <f t="shared" si="84"/>
        <v>2947</v>
      </c>
      <c r="D210" s="37">
        <f t="shared" si="85"/>
        <v>2688</v>
      </c>
      <c r="E210" s="153">
        <f t="shared" si="86"/>
        <v>2648.15</v>
      </c>
      <c r="F210" s="149">
        <f t="shared" si="76"/>
        <v>2688023.2000000183</v>
      </c>
      <c r="G210" s="153">
        <f t="shared" si="87"/>
        <v>2648200.6</v>
      </c>
      <c r="Q210" s="17"/>
    </row>
    <row r="211" spans="1:17" ht="15">
      <c r="A211" s="326">
        <v>43251</v>
      </c>
      <c r="B211" s="37">
        <v>2947</v>
      </c>
      <c r="C211" s="153">
        <f t="shared" si="84"/>
        <v>2947</v>
      </c>
      <c r="D211" s="37">
        <f t="shared" si="85"/>
        <v>2695</v>
      </c>
      <c r="E211" s="153">
        <f t="shared" si="86"/>
        <v>2654.85</v>
      </c>
      <c r="F211" s="149">
        <f t="shared" si="76"/>
        <v>2694660.3000000184</v>
      </c>
      <c r="G211" s="153">
        <f t="shared" si="87"/>
        <v>2654837.7000000002</v>
      </c>
    </row>
    <row r="212" spans="1:17" ht="15">
      <c r="A212" s="326">
        <v>43281</v>
      </c>
      <c r="B212" s="37">
        <v>2947</v>
      </c>
      <c r="C212" s="153">
        <f t="shared" si="84"/>
        <v>2947</v>
      </c>
      <c r="D212" s="37">
        <f t="shared" si="85"/>
        <v>2701</v>
      </c>
      <c r="E212" s="153">
        <f t="shared" si="86"/>
        <v>2661.46</v>
      </c>
      <c r="F212" s="149">
        <f t="shared" si="76"/>
        <v>2701297.4000000185</v>
      </c>
      <c r="G212" s="153">
        <f t="shared" si="87"/>
        <v>2661474.7999999998</v>
      </c>
    </row>
    <row r="213" spans="1:17" ht="15">
      <c r="A213" s="326">
        <v>43312</v>
      </c>
      <c r="B213" s="37">
        <v>2947</v>
      </c>
      <c r="C213" s="153">
        <f>ROUND((SUM(B201:B213)/13),0)</f>
        <v>2947</v>
      </c>
      <c r="D213" s="37">
        <f t="shared" si="85"/>
        <v>2708</v>
      </c>
      <c r="E213" s="153">
        <f t="shared" si="86"/>
        <v>2668.08</v>
      </c>
      <c r="F213" s="149">
        <f t="shared" si="76"/>
        <v>2707934.5000000186</v>
      </c>
      <c r="G213" s="153">
        <f t="shared" si="87"/>
        <v>2668111.9</v>
      </c>
    </row>
    <row r="214" spans="1:17" ht="15">
      <c r="A214" s="326">
        <v>43343</v>
      </c>
      <c r="B214" s="37">
        <v>2947</v>
      </c>
      <c r="C214" s="153">
        <f t="shared" ref="C214:C228" si="88">ROUND((SUM(B202:B214)/13),0)</f>
        <v>2947</v>
      </c>
      <c r="D214" s="37">
        <f t="shared" ref="D214:D242" si="89">ROUND(F214/1000,0)</f>
        <v>2715</v>
      </c>
      <c r="E214" s="153">
        <f t="shared" ref="E214:E242" si="90">ROUND((SUM(D202:D214)/13),2)</f>
        <v>2674.77</v>
      </c>
      <c r="F214" s="149">
        <f t="shared" si="76"/>
        <v>2714571.6000000187</v>
      </c>
      <c r="G214" s="153">
        <f t="shared" ref="G214:G242" si="91">ROUND((SUM(F202:F214)/13),2)</f>
        <v>2674749</v>
      </c>
    </row>
    <row r="215" spans="1:17" ht="15">
      <c r="A215" s="326">
        <v>43373</v>
      </c>
      <c r="B215" s="37">
        <v>2947</v>
      </c>
      <c r="C215" s="153">
        <f t="shared" si="88"/>
        <v>2947</v>
      </c>
      <c r="D215" s="37">
        <f t="shared" si="89"/>
        <v>2721</v>
      </c>
      <c r="E215" s="153">
        <f t="shared" si="90"/>
        <v>2681.38</v>
      </c>
      <c r="F215" s="149">
        <f t="shared" si="76"/>
        <v>2721208.7000000188</v>
      </c>
      <c r="G215" s="153">
        <f t="shared" si="91"/>
        <v>2681386.1</v>
      </c>
    </row>
    <row r="216" spans="1:17" ht="15">
      <c r="A216" s="326">
        <v>43404</v>
      </c>
      <c r="B216" s="37">
        <v>2947</v>
      </c>
      <c r="C216" s="153">
        <f t="shared" si="88"/>
        <v>2947</v>
      </c>
      <c r="D216" s="37">
        <f t="shared" si="89"/>
        <v>2728</v>
      </c>
      <c r="E216" s="153">
        <f t="shared" si="90"/>
        <v>2688</v>
      </c>
      <c r="F216" s="149">
        <f t="shared" si="76"/>
        <v>2727845.8000000189</v>
      </c>
      <c r="G216" s="153">
        <f t="shared" si="91"/>
        <v>2688023.2</v>
      </c>
    </row>
    <row r="217" spans="1:17" ht="15">
      <c r="A217" s="326">
        <v>43434</v>
      </c>
      <c r="B217" s="37">
        <v>2947</v>
      </c>
      <c r="C217" s="153">
        <f t="shared" si="88"/>
        <v>2947</v>
      </c>
      <c r="D217" s="37">
        <f t="shared" si="89"/>
        <v>2734</v>
      </c>
      <c r="E217" s="153">
        <f t="shared" si="90"/>
        <v>2694.62</v>
      </c>
      <c r="F217" s="149">
        <f t="shared" si="76"/>
        <v>2734482.900000019</v>
      </c>
      <c r="G217" s="153">
        <f t="shared" si="91"/>
        <v>2694660.3</v>
      </c>
    </row>
    <row r="218" spans="1:17" ht="15">
      <c r="A218" s="326">
        <v>43465</v>
      </c>
      <c r="B218" s="37">
        <v>2947</v>
      </c>
      <c r="C218" s="153">
        <f t="shared" si="88"/>
        <v>2947</v>
      </c>
      <c r="D218" s="37">
        <f t="shared" si="89"/>
        <v>2741</v>
      </c>
      <c r="E218" s="153">
        <f t="shared" si="90"/>
        <v>2701.23</v>
      </c>
      <c r="F218" s="149">
        <f t="shared" si="76"/>
        <v>2741120.0000000191</v>
      </c>
      <c r="G218" s="153">
        <f t="shared" si="91"/>
        <v>2701297.4</v>
      </c>
    </row>
    <row r="219" spans="1:17" ht="15">
      <c r="A219" s="326">
        <v>43496</v>
      </c>
      <c r="B219" s="37">
        <v>2947</v>
      </c>
      <c r="C219" s="153">
        <f t="shared" si="88"/>
        <v>2947</v>
      </c>
      <c r="D219" s="37">
        <f t="shared" si="89"/>
        <v>2748</v>
      </c>
      <c r="E219" s="153">
        <f t="shared" si="90"/>
        <v>2707.92</v>
      </c>
      <c r="F219" s="149">
        <f t="shared" si="76"/>
        <v>2747757.1000000192</v>
      </c>
      <c r="G219" s="153">
        <f t="shared" si="91"/>
        <v>2707934.5</v>
      </c>
    </row>
    <row r="220" spans="1:17" ht="15">
      <c r="A220" s="326">
        <v>43524</v>
      </c>
      <c r="B220" s="37">
        <v>2947</v>
      </c>
      <c r="C220" s="153">
        <f t="shared" si="88"/>
        <v>2947</v>
      </c>
      <c r="D220" s="37">
        <f t="shared" si="89"/>
        <v>2754</v>
      </c>
      <c r="E220" s="153">
        <f t="shared" si="90"/>
        <v>2714.54</v>
      </c>
      <c r="F220" s="149">
        <f t="shared" si="76"/>
        <v>2754394.2000000193</v>
      </c>
      <c r="G220" s="153">
        <f t="shared" si="91"/>
        <v>2714571.6</v>
      </c>
    </row>
    <row r="221" spans="1:17" ht="15">
      <c r="A221" s="326">
        <v>43555</v>
      </c>
      <c r="B221" s="37">
        <v>2947</v>
      </c>
      <c r="C221" s="153">
        <f t="shared" si="88"/>
        <v>2947</v>
      </c>
      <c r="D221" s="37">
        <f t="shared" si="89"/>
        <v>2761</v>
      </c>
      <c r="E221" s="153">
        <f t="shared" si="90"/>
        <v>2721.15</v>
      </c>
      <c r="F221" s="149">
        <f t="shared" si="76"/>
        <v>2761031.3000000194</v>
      </c>
      <c r="G221" s="153">
        <f t="shared" si="91"/>
        <v>2721208.7</v>
      </c>
    </row>
    <row r="222" spans="1:17" ht="15">
      <c r="A222" s="326">
        <v>43585</v>
      </c>
      <c r="B222" s="37">
        <v>2947</v>
      </c>
      <c r="C222" s="153">
        <f t="shared" si="88"/>
        <v>2947</v>
      </c>
      <c r="D222" s="37">
        <f t="shared" si="89"/>
        <v>2768</v>
      </c>
      <c r="E222" s="153">
        <f t="shared" si="90"/>
        <v>2727.85</v>
      </c>
      <c r="F222" s="149">
        <f t="shared" si="76"/>
        <v>2767668.4000000195</v>
      </c>
      <c r="G222" s="153">
        <f t="shared" si="91"/>
        <v>2727845.8</v>
      </c>
    </row>
    <row r="223" spans="1:17" ht="15">
      <c r="A223" s="326">
        <v>43616</v>
      </c>
      <c r="B223" s="37">
        <v>2947</v>
      </c>
      <c r="C223" s="153">
        <f t="shared" si="88"/>
        <v>2947</v>
      </c>
      <c r="D223" s="37">
        <f t="shared" si="89"/>
        <v>2774</v>
      </c>
      <c r="E223" s="153">
        <f t="shared" si="90"/>
        <v>2734.46</v>
      </c>
      <c r="F223" s="149">
        <f t="shared" si="76"/>
        <v>2774305.5000000196</v>
      </c>
      <c r="G223" s="153">
        <f t="shared" si="91"/>
        <v>2734482.9</v>
      </c>
    </row>
    <row r="224" spans="1:17" ht="15">
      <c r="A224" s="326">
        <v>43646</v>
      </c>
      <c r="B224" s="37">
        <v>2947</v>
      </c>
      <c r="C224" s="153">
        <f t="shared" si="88"/>
        <v>2947</v>
      </c>
      <c r="D224" s="37">
        <f t="shared" si="89"/>
        <v>2781</v>
      </c>
      <c r="E224" s="153">
        <f t="shared" si="90"/>
        <v>2741.08</v>
      </c>
      <c r="F224" s="149">
        <f t="shared" si="76"/>
        <v>2780942.6000000197</v>
      </c>
      <c r="G224" s="153">
        <f t="shared" si="91"/>
        <v>2741120</v>
      </c>
    </row>
    <row r="225" spans="1:13" ht="15">
      <c r="A225" s="326">
        <v>43677</v>
      </c>
      <c r="B225" s="37">
        <v>2947</v>
      </c>
      <c r="C225" s="153">
        <f t="shared" si="88"/>
        <v>2947</v>
      </c>
      <c r="D225" s="37">
        <f t="shared" si="89"/>
        <v>2788</v>
      </c>
      <c r="E225" s="153">
        <f t="shared" si="90"/>
        <v>2747.77</v>
      </c>
      <c r="F225" s="149">
        <f t="shared" si="76"/>
        <v>2787579.7000000197</v>
      </c>
      <c r="G225" s="153">
        <f t="shared" si="91"/>
        <v>2747757.1</v>
      </c>
      <c r="L225" s="1083">
        <f>5031897.24-F12</f>
        <v>3644745.64</v>
      </c>
      <c r="M225" t="s">
        <v>2592</v>
      </c>
    </row>
    <row r="226" spans="1:13" ht="15">
      <c r="A226" s="326">
        <v>43708</v>
      </c>
      <c r="B226" s="37">
        <v>2947</v>
      </c>
      <c r="C226" s="153">
        <f t="shared" si="88"/>
        <v>2947</v>
      </c>
      <c r="D226" s="37">
        <f t="shared" si="89"/>
        <v>2794</v>
      </c>
      <c r="E226" s="153">
        <f t="shared" si="90"/>
        <v>2754.38</v>
      </c>
      <c r="F226" s="149">
        <f t="shared" si="76"/>
        <v>2794216.8000000198</v>
      </c>
      <c r="G226" s="153">
        <f t="shared" si="91"/>
        <v>2754394.2</v>
      </c>
      <c r="L226" s="1083">
        <f>5031897.24-5005041.43</f>
        <v>26855.810000000522</v>
      </c>
      <c r="M226" t="s">
        <v>2593</v>
      </c>
    </row>
    <row r="227" spans="1:13" ht="15">
      <c r="A227" s="326">
        <v>43738</v>
      </c>
      <c r="B227" s="37">
        <v>2947</v>
      </c>
      <c r="C227" s="153">
        <f t="shared" si="88"/>
        <v>2947</v>
      </c>
      <c r="D227" s="37">
        <f t="shared" si="89"/>
        <v>2801</v>
      </c>
      <c r="E227" s="153">
        <f t="shared" si="90"/>
        <v>2761</v>
      </c>
      <c r="F227" s="149">
        <f t="shared" si="76"/>
        <v>2800853.9000000199</v>
      </c>
      <c r="G227" s="153">
        <f t="shared" si="91"/>
        <v>2761031.3</v>
      </c>
      <c r="L227" s="1083">
        <f>+L226+(5949.73*3)</f>
        <v>44705.000000000524</v>
      </c>
      <c r="M227" s="17" t="s">
        <v>2595</v>
      </c>
    </row>
    <row r="228" spans="1:13" ht="15">
      <c r="A228" s="326">
        <v>43769</v>
      </c>
      <c r="B228" s="37">
        <v>2947</v>
      </c>
      <c r="C228" s="153">
        <f t="shared" si="88"/>
        <v>2947</v>
      </c>
      <c r="D228" s="37">
        <f t="shared" si="89"/>
        <v>2807</v>
      </c>
      <c r="E228" s="153">
        <f t="shared" si="90"/>
        <v>2767.62</v>
      </c>
      <c r="F228" s="149">
        <f t="shared" si="76"/>
        <v>2807491.00000002</v>
      </c>
      <c r="G228" s="153">
        <f t="shared" si="91"/>
        <v>2767668.4</v>
      </c>
      <c r="L228" s="1083"/>
    </row>
    <row r="229" spans="1:13" ht="15">
      <c r="A229" s="326">
        <v>43799</v>
      </c>
      <c r="B229" s="37">
        <v>2947</v>
      </c>
      <c r="C229" s="153">
        <f>ROUND((SUM(B217:B229)/13),0)</f>
        <v>2947</v>
      </c>
      <c r="D229" s="37">
        <f t="shared" si="89"/>
        <v>2814</v>
      </c>
      <c r="E229" s="153">
        <f t="shared" si="90"/>
        <v>2774.23</v>
      </c>
      <c r="F229" s="149">
        <f t="shared" si="76"/>
        <v>2814128.1000000201</v>
      </c>
      <c r="G229" s="153">
        <f t="shared" si="91"/>
        <v>2774305.5</v>
      </c>
      <c r="L229" s="1083">
        <v>2946879</v>
      </c>
      <c r="M229" s="17" t="s">
        <v>2594</v>
      </c>
    </row>
    <row r="230" spans="1:13" ht="15">
      <c r="A230" s="326">
        <v>43830</v>
      </c>
      <c r="B230" s="37">
        <v>2947</v>
      </c>
      <c r="C230" s="153">
        <f t="shared" ref="C230:C239" si="92">ROUND((SUM(B218:B230)/13),0)</f>
        <v>2947</v>
      </c>
      <c r="D230" s="37">
        <f t="shared" si="89"/>
        <v>2821</v>
      </c>
      <c r="E230" s="153">
        <f t="shared" si="90"/>
        <v>2780.92</v>
      </c>
      <c r="F230" s="149">
        <f t="shared" si="76"/>
        <v>2820765.2000000202</v>
      </c>
      <c r="G230" s="153">
        <f t="shared" si="91"/>
        <v>2780942.6</v>
      </c>
      <c r="L230" s="1083"/>
    </row>
    <row r="231" spans="1:13" ht="15">
      <c r="A231" s="326">
        <v>43861</v>
      </c>
      <c r="B231" s="37">
        <v>2947</v>
      </c>
      <c r="C231" s="153">
        <f t="shared" si="92"/>
        <v>2947</v>
      </c>
      <c r="D231" s="37">
        <f t="shared" si="89"/>
        <v>2827</v>
      </c>
      <c r="E231" s="153">
        <f t="shared" si="90"/>
        <v>2787.54</v>
      </c>
      <c r="F231" s="149">
        <f t="shared" si="76"/>
        <v>2827402.3000000203</v>
      </c>
      <c r="G231" s="153">
        <f t="shared" si="91"/>
        <v>2787579.7</v>
      </c>
    </row>
    <row r="232" spans="1:13" ht="15">
      <c r="A232" s="326">
        <v>43890</v>
      </c>
      <c r="B232" s="37">
        <v>2947</v>
      </c>
      <c r="C232" s="153">
        <f t="shared" si="92"/>
        <v>2947</v>
      </c>
      <c r="D232" s="37">
        <f t="shared" si="89"/>
        <v>2834</v>
      </c>
      <c r="E232" s="153">
        <f t="shared" si="90"/>
        <v>2794.15</v>
      </c>
      <c r="F232" s="149">
        <f t="shared" si="76"/>
        <v>2834039.4000000204</v>
      </c>
      <c r="G232" s="153">
        <f t="shared" si="91"/>
        <v>2794216.8</v>
      </c>
    </row>
    <row r="233" spans="1:13" ht="15">
      <c r="A233" s="326">
        <v>43921</v>
      </c>
      <c r="B233" s="37">
        <v>2947</v>
      </c>
      <c r="C233" s="153">
        <f t="shared" si="92"/>
        <v>2947</v>
      </c>
      <c r="D233" s="37">
        <f t="shared" si="89"/>
        <v>2841</v>
      </c>
      <c r="E233" s="153">
        <f t="shared" si="90"/>
        <v>2800.85</v>
      </c>
      <c r="F233" s="149">
        <f t="shared" si="76"/>
        <v>2840676.5000000205</v>
      </c>
      <c r="G233" s="153">
        <f t="shared" si="91"/>
        <v>2800853.9</v>
      </c>
    </row>
    <row r="234" spans="1:13" ht="15">
      <c r="A234" s="326">
        <v>43951</v>
      </c>
      <c r="B234" s="37">
        <v>2947</v>
      </c>
      <c r="C234" s="153">
        <f t="shared" si="92"/>
        <v>2947</v>
      </c>
      <c r="D234" s="37">
        <f t="shared" si="89"/>
        <v>2847</v>
      </c>
      <c r="E234" s="153">
        <f t="shared" si="90"/>
        <v>2807.46</v>
      </c>
      <c r="F234" s="149">
        <f t="shared" si="76"/>
        <v>2847313.6000000206</v>
      </c>
      <c r="G234" s="153">
        <f t="shared" si="91"/>
        <v>2807491</v>
      </c>
    </row>
    <row r="235" spans="1:13" ht="15">
      <c r="A235" s="326">
        <v>43982</v>
      </c>
      <c r="B235" s="37">
        <v>2947</v>
      </c>
      <c r="C235" s="153">
        <f t="shared" si="92"/>
        <v>2947</v>
      </c>
      <c r="D235" s="37">
        <f t="shared" si="89"/>
        <v>2854</v>
      </c>
      <c r="E235" s="153">
        <f t="shared" si="90"/>
        <v>2814.08</v>
      </c>
      <c r="F235" s="149">
        <f t="shared" si="76"/>
        <v>2853950.7000000207</v>
      </c>
      <c r="G235" s="153">
        <f t="shared" si="91"/>
        <v>2814128.1</v>
      </c>
    </row>
    <row r="236" spans="1:13" ht="15">
      <c r="A236" s="326">
        <v>44012</v>
      </c>
      <c r="B236" s="37">
        <v>2947</v>
      </c>
      <c r="C236" s="153">
        <f t="shared" si="92"/>
        <v>2947</v>
      </c>
      <c r="D236" s="37">
        <f t="shared" si="89"/>
        <v>2861</v>
      </c>
      <c r="E236" s="153">
        <f t="shared" si="90"/>
        <v>2820.77</v>
      </c>
      <c r="F236" s="149">
        <f t="shared" si="76"/>
        <v>2860587.8000000208</v>
      </c>
      <c r="G236" s="153">
        <f t="shared" si="91"/>
        <v>2820765.2</v>
      </c>
    </row>
    <row r="237" spans="1:13" ht="15">
      <c r="A237" s="326">
        <v>44043</v>
      </c>
      <c r="B237" s="37">
        <v>2947</v>
      </c>
      <c r="C237" s="153">
        <f t="shared" si="92"/>
        <v>2947</v>
      </c>
      <c r="D237" s="37">
        <f t="shared" si="89"/>
        <v>2867</v>
      </c>
      <c r="E237" s="153">
        <f t="shared" si="90"/>
        <v>2827.38</v>
      </c>
      <c r="F237" s="149">
        <f t="shared" si="76"/>
        <v>2867224.9000000209</v>
      </c>
      <c r="G237" s="153">
        <f t="shared" si="91"/>
        <v>2827402.3</v>
      </c>
    </row>
    <row r="238" spans="1:13" ht="15">
      <c r="A238" s="326">
        <v>44074</v>
      </c>
      <c r="B238" s="37">
        <v>2947</v>
      </c>
      <c r="C238" s="153">
        <f t="shared" si="92"/>
        <v>2947</v>
      </c>
      <c r="D238" s="37">
        <f t="shared" si="89"/>
        <v>2874</v>
      </c>
      <c r="E238" s="153">
        <f t="shared" si="90"/>
        <v>2834</v>
      </c>
      <c r="F238" s="149">
        <f t="shared" si="76"/>
        <v>2873862.000000021</v>
      </c>
      <c r="G238" s="153">
        <f t="shared" si="91"/>
        <v>2834039.4</v>
      </c>
    </row>
    <row r="239" spans="1:13" ht="15">
      <c r="A239" s="326">
        <v>44104</v>
      </c>
      <c r="B239" s="37">
        <v>2947</v>
      </c>
      <c r="C239" s="153">
        <f t="shared" si="92"/>
        <v>2947</v>
      </c>
      <c r="D239" s="37">
        <f t="shared" si="89"/>
        <v>2880</v>
      </c>
      <c r="E239" s="153">
        <f t="shared" si="90"/>
        <v>2840.62</v>
      </c>
      <c r="F239" s="149">
        <f t="shared" si="76"/>
        <v>2880499.100000021</v>
      </c>
      <c r="G239" s="153">
        <f t="shared" si="91"/>
        <v>2840676.5</v>
      </c>
    </row>
    <row r="240" spans="1:13" ht="15">
      <c r="A240" s="326">
        <v>44135</v>
      </c>
      <c r="B240" s="37">
        <v>2947</v>
      </c>
      <c r="C240" s="153">
        <f t="shared" ref="C240:C249" si="93">ROUND((SUM(B228:B240)/13),0)</f>
        <v>2947</v>
      </c>
      <c r="D240" s="37">
        <f t="shared" si="89"/>
        <v>2887</v>
      </c>
      <c r="E240" s="153">
        <f t="shared" si="90"/>
        <v>2847.23</v>
      </c>
      <c r="F240" s="149">
        <f>F239+6637.1</f>
        <v>2887136.2000000211</v>
      </c>
      <c r="G240" s="153">
        <f t="shared" si="91"/>
        <v>2847313.6</v>
      </c>
    </row>
    <row r="241" spans="1:7" ht="15">
      <c r="A241" s="326">
        <v>44165</v>
      </c>
      <c r="B241" s="37">
        <v>2947</v>
      </c>
      <c r="C241" s="153">
        <f t="shared" si="93"/>
        <v>2947</v>
      </c>
      <c r="D241" s="37">
        <f t="shared" si="89"/>
        <v>2894</v>
      </c>
      <c r="E241" s="153">
        <f t="shared" si="90"/>
        <v>2853.92</v>
      </c>
      <c r="F241" s="149">
        <f>F240+6637.1</f>
        <v>2893773.3000000212</v>
      </c>
      <c r="G241" s="153">
        <f t="shared" si="91"/>
        <v>2853950.7</v>
      </c>
    </row>
    <row r="242" spans="1:7" ht="15">
      <c r="A242" s="326">
        <v>44196</v>
      </c>
      <c r="B242" s="37">
        <v>2947</v>
      </c>
      <c r="C242" s="153">
        <f t="shared" si="93"/>
        <v>2947</v>
      </c>
      <c r="D242" s="37">
        <f t="shared" si="89"/>
        <v>2902</v>
      </c>
      <c r="E242" s="153">
        <f t="shared" si="90"/>
        <v>2860.69</v>
      </c>
      <c r="F242" s="1084">
        <f>2946879-44705</f>
        <v>2902174</v>
      </c>
      <c r="G242" s="153">
        <f t="shared" si="91"/>
        <v>2860723.46</v>
      </c>
    </row>
    <row r="243" spans="1:7" ht="15">
      <c r="A243" s="326">
        <v>44227</v>
      </c>
      <c r="B243" s="37">
        <v>2947</v>
      </c>
      <c r="C243" s="153">
        <f t="shared" si="93"/>
        <v>2947</v>
      </c>
      <c r="D243" s="37">
        <f>ROUND(F243/1000,0)</f>
        <v>2908</v>
      </c>
      <c r="E243" s="153">
        <f>ROUND((SUM(D231:D243)/13),2)</f>
        <v>2867.38</v>
      </c>
      <c r="F243" s="1084">
        <f t="shared" ref="F243:F248" si="94">F242+5949.73</f>
        <v>2908123.73</v>
      </c>
      <c r="G243" s="153">
        <f t="shared" ref="G243:G249" si="95">ROUND((SUM(F231:F243)/13),2)</f>
        <v>2867443.35</v>
      </c>
    </row>
    <row r="244" spans="1:7" ht="15">
      <c r="A244" s="326">
        <v>44255</v>
      </c>
      <c r="B244" s="37">
        <v>2947</v>
      </c>
      <c r="C244" s="153">
        <f t="shared" si="93"/>
        <v>2947</v>
      </c>
      <c r="D244" s="37">
        <f>ROUND(F244/1000,0)</f>
        <v>2914</v>
      </c>
      <c r="E244" s="153">
        <f>ROUND((SUM(D232:D244)/13),2)</f>
        <v>2874.08</v>
      </c>
      <c r="F244" s="1084">
        <f t="shared" si="94"/>
        <v>2914073.46</v>
      </c>
      <c r="G244" s="153">
        <f t="shared" si="95"/>
        <v>2874110.36</v>
      </c>
    </row>
    <row r="245" spans="1:7" ht="15">
      <c r="A245" s="326">
        <v>44286</v>
      </c>
      <c r="B245" s="37">
        <v>2947</v>
      </c>
      <c r="C245" s="153">
        <f t="shared" si="93"/>
        <v>2947</v>
      </c>
      <c r="D245" s="37">
        <f t="shared" ref="D245:D261" si="96">ROUND(F245/1000,0)</f>
        <v>2920</v>
      </c>
      <c r="E245" s="153">
        <f t="shared" ref="E245:E260" si="97">ROUND((SUM(D233:D245)/13),2)</f>
        <v>2880.69</v>
      </c>
      <c r="F245" s="1084">
        <f t="shared" si="94"/>
        <v>2920023.19</v>
      </c>
      <c r="G245" s="153">
        <f t="shared" si="95"/>
        <v>2880724.5</v>
      </c>
    </row>
    <row r="246" spans="1:7" ht="15">
      <c r="A246" s="326">
        <v>44316</v>
      </c>
      <c r="B246" s="37">
        <v>2947</v>
      </c>
      <c r="C246" s="153">
        <f t="shared" si="93"/>
        <v>2947</v>
      </c>
      <c r="D246" s="37">
        <f t="shared" si="96"/>
        <v>2926</v>
      </c>
      <c r="E246" s="153">
        <f t="shared" si="97"/>
        <v>2887.23</v>
      </c>
      <c r="F246" s="1084">
        <f t="shared" si="94"/>
        <v>2925972.92</v>
      </c>
      <c r="G246" s="153">
        <f t="shared" si="95"/>
        <v>2887285.76</v>
      </c>
    </row>
    <row r="247" spans="1:7" ht="15">
      <c r="A247" s="326">
        <v>44347</v>
      </c>
      <c r="B247" s="37">
        <v>2947</v>
      </c>
      <c r="C247" s="153">
        <f t="shared" si="93"/>
        <v>2947</v>
      </c>
      <c r="D247" s="37">
        <f t="shared" si="96"/>
        <v>2932</v>
      </c>
      <c r="E247" s="153">
        <f t="shared" si="97"/>
        <v>2893.77</v>
      </c>
      <c r="F247" s="1084">
        <f t="shared" si="94"/>
        <v>2931922.65</v>
      </c>
      <c r="G247" s="153">
        <f t="shared" si="95"/>
        <v>2893794.15</v>
      </c>
    </row>
    <row r="248" spans="1:7" ht="15">
      <c r="A248" s="326">
        <v>44377</v>
      </c>
      <c r="B248" s="37">
        <v>2947</v>
      </c>
      <c r="C248" s="153">
        <f t="shared" si="93"/>
        <v>2947</v>
      </c>
      <c r="D248" s="37">
        <f t="shared" si="96"/>
        <v>2938</v>
      </c>
      <c r="E248" s="153">
        <f t="shared" si="97"/>
        <v>2900.23</v>
      </c>
      <c r="F248" s="1084">
        <f t="shared" si="94"/>
        <v>2937872.38</v>
      </c>
      <c r="G248" s="153">
        <f t="shared" si="95"/>
        <v>2900249.66</v>
      </c>
    </row>
    <row r="249" spans="1:7" ht="15">
      <c r="A249" s="326">
        <v>44408</v>
      </c>
      <c r="B249" s="37">
        <v>2947</v>
      </c>
      <c r="C249" s="153">
        <f t="shared" si="93"/>
        <v>2947</v>
      </c>
      <c r="D249" s="37">
        <f t="shared" si="96"/>
        <v>2947</v>
      </c>
      <c r="E249" s="153">
        <f t="shared" si="97"/>
        <v>2906.85</v>
      </c>
      <c r="F249" s="1084">
        <f>F248+5949.73+3056.89</f>
        <v>2946879</v>
      </c>
      <c r="G249" s="153">
        <f t="shared" si="95"/>
        <v>2906887.45</v>
      </c>
    </row>
    <row r="250" spans="1:7" ht="15">
      <c r="A250" s="868">
        <v>44439</v>
      </c>
      <c r="B250" s="15">
        <v>2947</v>
      </c>
      <c r="C250" s="869">
        <f t="shared" ref="C250:C261" si="98">ROUND((SUM(B238:B250)/13),0)</f>
        <v>2947</v>
      </c>
      <c r="D250" s="15">
        <f t="shared" si="96"/>
        <v>2947</v>
      </c>
      <c r="E250" s="869">
        <f t="shared" si="97"/>
        <v>2913</v>
      </c>
      <c r="F250" s="870">
        <f>+F249</f>
        <v>2946879</v>
      </c>
      <c r="G250" s="869">
        <f t="shared" ref="G250:G260" si="99">ROUND((SUM(F238:F250)/13),2)</f>
        <v>2913014.69</v>
      </c>
    </row>
    <row r="251" spans="1:7" ht="15">
      <c r="A251" s="868">
        <v>44469</v>
      </c>
      <c r="B251" s="15">
        <v>2947</v>
      </c>
      <c r="C251" s="1313">
        <f t="shared" si="98"/>
        <v>2947</v>
      </c>
      <c r="D251" s="37">
        <f t="shared" si="96"/>
        <v>2947</v>
      </c>
      <c r="E251" s="1313">
        <f t="shared" si="97"/>
        <v>2918.62</v>
      </c>
      <c r="F251" s="870">
        <f>+F250</f>
        <v>2946879</v>
      </c>
      <c r="G251" s="869">
        <f t="shared" si="99"/>
        <v>2918631.38</v>
      </c>
    </row>
    <row r="252" spans="1:7" ht="15">
      <c r="A252" s="868">
        <v>44500</v>
      </c>
      <c r="B252" s="15">
        <v>2947</v>
      </c>
      <c r="C252" s="869">
        <f t="shared" si="98"/>
        <v>2947</v>
      </c>
      <c r="D252" s="15">
        <f t="shared" si="96"/>
        <v>2947</v>
      </c>
      <c r="E252" s="869">
        <f t="shared" si="97"/>
        <v>2923.77</v>
      </c>
      <c r="F252" s="870">
        <f t="shared" ref="F252:F260" si="100">+F251</f>
        <v>2946879</v>
      </c>
      <c r="G252" s="869">
        <f t="shared" si="99"/>
        <v>2923737.53</v>
      </c>
    </row>
    <row r="253" spans="1:7" ht="15">
      <c r="A253" s="868">
        <v>44530</v>
      </c>
      <c r="B253" s="15">
        <v>2947</v>
      </c>
      <c r="C253" s="869">
        <f t="shared" si="98"/>
        <v>2947</v>
      </c>
      <c r="D253" s="15">
        <f t="shared" si="96"/>
        <v>2947</v>
      </c>
      <c r="E253" s="869">
        <f t="shared" si="97"/>
        <v>2928.38</v>
      </c>
      <c r="F253" s="870">
        <f t="shared" si="100"/>
        <v>2946879</v>
      </c>
      <c r="G253" s="869">
        <f t="shared" si="99"/>
        <v>2928333.13</v>
      </c>
    </row>
    <row r="254" spans="1:7" ht="15">
      <c r="A254" s="868">
        <v>44561</v>
      </c>
      <c r="B254" s="1157">
        <v>2947</v>
      </c>
      <c r="C254" s="1219">
        <f t="shared" si="98"/>
        <v>2947</v>
      </c>
      <c r="D254" s="1220">
        <f t="shared" si="96"/>
        <v>2947</v>
      </c>
      <c r="E254" s="1219">
        <f t="shared" si="97"/>
        <v>2932.46</v>
      </c>
      <c r="F254" s="870">
        <f t="shared" si="100"/>
        <v>2946879</v>
      </c>
      <c r="G254" s="869">
        <f t="shared" si="99"/>
        <v>2932418.18</v>
      </c>
    </row>
    <row r="255" spans="1:7" ht="15">
      <c r="A255" s="868">
        <v>44592</v>
      </c>
      <c r="B255" s="15">
        <v>2947</v>
      </c>
      <c r="C255" s="869">
        <f t="shared" si="98"/>
        <v>2947</v>
      </c>
      <c r="D255" s="15">
        <f t="shared" si="96"/>
        <v>2947</v>
      </c>
      <c r="E255" s="869">
        <f t="shared" si="97"/>
        <v>2935.92</v>
      </c>
      <c r="F255" s="870">
        <f t="shared" si="100"/>
        <v>2946879</v>
      </c>
      <c r="G255" s="869">
        <f t="shared" si="99"/>
        <v>2935857.03</v>
      </c>
    </row>
    <row r="256" spans="1:7" ht="15">
      <c r="A256" s="868">
        <v>44620</v>
      </c>
      <c r="B256" s="15">
        <v>2947</v>
      </c>
      <c r="C256" s="869">
        <f t="shared" si="98"/>
        <v>2947</v>
      </c>
      <c r="D256" s="15">
        <f t="shared" si="96"/>
        <v>2947</v>
      </c>
      <c r="E256" s="869">
        <f t="shared" si="97"/>
        <v>2938.92</v>
      </c>
      <c r="F256" s="870">
        <f t="shared" si="100"/>
        <v>2946879</v>
      </c>
      <c r="G256" s="869">
        <f t="shared" si="99"/>
        <v>2938838.2</v>
      </c>
    </row>
    <row r="257" spans="1:20" ht="15">
      <c r="A257" s="868">
        <v>44651</v>
      </c>
      <c r="B257" s="15">
        <v>2947</v>
      </c>
      <c r="C257" s="869">
        <f t="shared" si="98"/>
        <v>2947</v>
      </c>
      <c r="D257" s="15">
        <f t="shared" si="96"/>
        <v>2947</v>
      </c>
      <c r="E257" s="869">
        <f t="shared" si="97"/>
        <v>2941.46</v>
      </c>
      <c r="F257" s="870">
        <f t="shared" si="100"/>
        <v>2946879</v>
      </c>
      <c r="G257" s="869">
        <f t="shared" si="99"/>
        <v>2941361.7</v>
      </c>
    </row>
    <row r="258" spans="1:20" ht="15">
      <c r="A258" s="868">
        <v>44681</v>
      </c>
      <c r="B258" s="15">
        <v>2947</v>
      </c>
      <c r="C258" s="869">
        <f t="shared" si="98"/>
        <v>2947</v>
      </c>
      <c r="D258" s="15">
        <f t="shared" si="96"/>
        <v>2947</v>
      </c>
      <c r="E258" s="869">
        <f t="shared" si="97"/>
        <v>2943.54</v>
      </c>
      <c r="F258" s="870">
        <f t="shared" si="100"/>
        <v>2946879</v>
      </c>
      <c r="G258" s="869">
        <f t="shared" si="99"/>
        <v>2943427.53</v>
      </c>
      <c r="S258" s="1085" t="s">
        <v>2596</v>
      </c>
    </row>
    <row r="259" spans="1:20" ht="15">
      <c r="A259" s="868">
        <v>44712</v>
      </c>
      <c r="B259" s="15">
        <v>2947</v>
      </c>
      <c r="C259" s="869">
        <f t="shared" si="98"/>
        <v>2947</v>
      </c>
      <c r="D259" s="15">
        <f t="shared" si="96"/>
        <v>2947</v>
      </c>
      <c r="E259" s="869">
        <f t="shared" si="97"/>
        <v>2945.15</v>
      </c>
      <c r="F259" s="870">
        <f t="shared" si="100"/>
        <v>2946879</v>
      </c>
      <c r="G259" s="869">
        <f t="shared" si="99"/>
        <v>2945035.69</v>
      </c>
      <c r="S259" s="326">
        <v>44286</v>
      </c>
      <c r="T259" s="1083">
        <f>+F245-F233</f>
        <v>79346.689999979455</v>
      </c>
    </row>
    <row r="260" spans="1:20" ht="15">
      <c r="A260" s="868">
        <v>44742</v>
      </c>
      <c r="B260" s="15">
        <v>2947</v>
      </c>
      <c r="C260" s="869">
        <f t="shared" si="98"/>
        <v>2947</v>
      </c>
      <c r="D260" s="15">
        <f t="shared" si="96"/>
        <v>2947</v>
      </c>
      <c r="E260" s="869">
        <f t="shared" si="97"/>
        <v>2946.31</v>
      </c>
      <c r="F260" s="870">
        <f t="shared" si="100"/>
        <v>2946879</v>
      </c>
      <c r="G260" s="869">
        <f t="shared" si="99"/>
        <v>2946186.18</v>
      </c>
      <c r="S260" s="326">
        <v>44316</v>
      </c>
      <c r="T260" s="1083">
        <f t="shared" ref="T260:T268" si="101">+F246-F234</f>
        <v>78659.319999979343</v>
      </c>
    </row>
    <row r="261" spans="1:20" ht="15">
      <c r="A261" s="868">
        <v>44773</v>
      </c>
      <c r="B261" s="15">
        <v>2947</v>
      </c>
      <c r="C261" s="869">
        <f t="shared" si="98"/>
        <v>2947</v>
      </c>
      <c r="D261" s="15">
        <f t="shared" si="96"/>
        <v>2947</v>
      </c>
      <c r="E261" s="869">
        <f>ROUND((SUM(D249:D261)/13),2)</f>
        <v>2947</v>
      </c>
      <c r="F261" s="870">
        <f>+F260</f>
        <v>2946879</v>
      </c>
      <c r="G261" s="869">
        <f>ROUND((SUM(F249:F261)/13),2)</f>
        <v>2946879</v>
      </c>
      <c r="S261" s="326">
        <v>44347</v>
      </c>
      <c r="T261" s="1083">
        <f t="shared" si="101"/>
        <v>77971.949999979232</v>
      </c>
    </row>
    <row r="262" spans="1:20" ht="15">
      <c r="A262" s="326"/>
      <c r="B262" s="37"/>
      <c r="C262" s="153"/>
      <c r="D262" s="37"/>
      <c r="E262" s="153"/>
      <c r="F262" s="149"/>
      <c r="G262" s="153"/>
      <c r="S262" s="326">
        <v>44377</v>
      </c>
      <c r="T262" s="153">
        <f>+F248-F236</f>
        <v>77284.57999997912</v>
      </c>
    </row>
    <row r="263" spans="1:20" ht="15">
      <c r="A263" s="326"/>
      <c r="B263" s="37"/>
      <c r="C263" s="153"/>
      <c r="D263" s="37"/>
      <c r="E263" s="153"/>
      <c r="F263" s="149"/>
      <c r="G263" s="153"/>
      <c r="S263" s="326">
        <v>44408</v>
      </c>
      <c r="T263" s="1083">
        <f t="shared" si="101"/>
        <v>79654.099999979138</v>
      </c>
    </row>
    <row r="264" spans="1:20" ht="15">
      <c r="S264" s="326">
        <v>44439</v>
      </c>
      <c r="T264" s="1083">
        <f t="shared" si="101"/>
        <v>73016.999999979045</v>
      </c>
    </row>
    <row r="265" spans="1:20" ht="15">
      <c r="S265" s="326">
        <v>44469</v>
      </c>
      <c r="T265" s="1314">
        <f t="shared" si="101"/>
        <v>66379.899999978952</v>
      </c>
    </row>
    <row r="266" spans="1:20" ht="15">
      <c r="S266" s="868">
        <v>44500</v>
      </c>
      <c r="T266" s="1083">
        <f t="shared" si="101"/>
        <v>59742.799999978859</v>
      </c>
    </row>
    <row r="267" spans="1:20" ht="15">
      <c r="S267" s="868">
        <v>44530</v>
      </c>
      <c r="T267" s="1083">
        <f t="shared" si="101"/>
        <v>53105.699999978766</v>
      </c>
    </row>
    <row r="268" spans="1:20" ht="15">
      <c r="S268" s="868">
        <v>44561</v>
      </c>
      <c r="T268" s="1221">
        <f t="shared" si="101"/>
        <v>44705</v>
      </c>
    </row>
    <row r="269" spans="1:20" ht="15">
      <c r="S269" s="868"/>
    </row>
    <row r="270" spans="1:20" ht="15">
      <c r="S270" s="868"/>
    </row>
  </sheetData>
  <phoneticPr fontId="0" type="noConversion"/>
  <printOptions horizontalCentered="1"/>
  <pageMargins left="0.25" right="0.25" top="0.25" bottom="0.5" header="0.3" footer="0.25"/>
  <pageSetup scale="59" orientation="landscape" r:id="rId1"/>
  <headerFooter alignWithMargins="0">
    <oddFooter>&amp;L&amp;D&amp;R&amp;Z&amp;F&amp;A</oddFooter>
  </headerFooter>
  <rowBreaks count="1" manualBreakCount="1">
    <brk id="130" max="6" man="1"/>
  </rowBreaks>
  <customProperties>
    <customPr name="_pios_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9469E761E20748A773F85B33816D32" ma:contentTypeVersion="2" ma:contentTypeDescription="Create a new document." ma:contentTypeScope="" ma:versionID="e5268eab065339c051eaf8aaeff5f44b">
  <xsd:schema xmlns:xsd="http://www.w3.org/2001/XMLSchema" xmlns:xs="http://www.w3.org/2001/XMLSchema" xmlns:p="http://schemas.microsoft.com/office/2006/metadata/properties" xmlns:ns2="9bbac886-2f20-4c15-ac8f-bd6773befed2" targetNamespace="http://schemas.microsoft.com/office/2006/metadata/properties" ma:root="true" ma:fieldsID="8de529939eb037e419d1462f88b80023" ns2:_="">
    <xsd:import namespace="9bbac886-2f20-4c15-ac8f-bd6773befed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bac886-2f20-4c15-ac8f-bd6773befe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28C1E0D-757C-47DA-B549-94EFA5C2F95A}">
  <ds:schemaRefs>
    <ds:schemaRef ds:uri="http://schemas.microsoft.com/sharepoint/v3/contenttype/forms"/>
  </ds:schemaRefs>
</ds:datastoreItem>
</file>

<file path=customXml/itemProps2.xml><?xml version="1.0" encoding="utf-8"?>
<ds:datastoreItem xmlns:ds="http://schemas.openxmlformats.org/officeDocument/2006/customXml" ds:itemID="{605919AB-0245-419D-8C57-95E6EFB8419D}">
  <ds:schemaRefs>
    <ds:schemaRef ds:uri="http://schemas.microsoft.com/office/2006/metadata/longProperties"/>
  </ds:schemaRefs>
</ds:datastoreItem>
</file>

<file path=customXml/itemProps3.xml><?xml version="1.0" encoding="utf-8"?>
<ds:datastoreItem xmlns:ds="http://schemas.openxmlformats.org/officeDocument/2006/customXml" ds:itemID="{E28010F6-AF50-487A-8378-6434380356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bac886-2f20-4c15-ac8f-bd6773befe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D1E7DE7-DFF6-41AA-B325-BA2F1DCD9C1A}">
  <ds:schemaRefs>
    <ds:schemaRef ds:uri="http://purl.org/dc/terms/"/>
    <ds:schemaRef ds:uri="9bbac886-2f20-4c15-ac8f-bd6773befed2"/>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53</vt:i4>
      </vt:variant>
    </vt:vector>
  </HeadingPairs>
  <TitlesOfParts>
    <vt:vector size="91" baseType="lpstr">
      <vt:lpstr>Cover</vt:lpstr>
      <vt:lpstr>Sign Off</vt:lpstr>
      <vt:lpstr>Drivers Tabs-&gt;</vt:lpstr>
      <vt:lpstr>Input</vt:lpstr>
      <vt:lpstr>Debt &amp; Cust Dep</vt:lpstr>
      <vt:lpstr>Input Plant</vt:lpstr>
      <vt:lpstr>Input Seg of CWIP</vt:lpstr>
      <vt:lpstr>Input Tax Rate</vt:lpstr>
      <vt:lpstr>Input WFNG</vt:lpstr>
      <vt:lpstr>Input IS ACCTS</vt:lpstr>
      <vt:lpstr>Input BS ACCTS</vt:lpstr>
      <vt:lpstr>Model Tabs -&gt;</vt:lpstr>
      <vt:lpstr>Bal Sheet</vt:lpstr>
      <vt:lpstr>IncomeStmt</vt:lpstr>
      <vt:lpstr>Cap Str 54.7%</vt:lpstr>
      <vt:lpstr>Int Synch</vt:lpstr>
      <vt:lpstr>Output Tabs-&gt;</vt:lpstr>
      <vt:lpstr>Report</vt:lpstr>
      <vt:lpstr>Market to Reg ROE</vt:lpstr>
      <vt:lpstr>ROE Comparison</vt:lpstr>
      <vt:lpstr>Reconcil</vt:lpstr>
      <vt:lpstr>Working Cap Comparison</vt:lpstr>
      <vt:lpstr>Report YE</vt:lpstr>
      <vt:lpstr>Reconcil YE</vt:lpstr>
      <vt:lpstr>AFUDC Sch A </vt:lpstr>
      <vt:lpstr>AFUDC Sch B</vt:lpstr>
      <vt:lpstr>AFUDC Sch C</vt:lpstr>
      <vt:lpstr>Comparison Report Tabs-&gt;</vt:lpstr>
      <vt:lpstr>COMP Prior Yr</vt:lpstr>
      <vt:lpstr>COMP Final Bud</vt:lpstr>
      <vt:lpstr>COMP Orginal Bud</vt:lpstr>
      <vt:lpstr>COMP Q3F</vt:lpstr>
      <vt:lpstr>COMP Qrt vs prior Yr Qtr</vt:lpstr>
      <vt:lpstr>NOT UPDATED ---------&gt;</vt:lpstr>
      <vt:lpstr>COMP Q3F Qrtly</vt:lpstr>
      <vt:lpstr>COMP Fin Bud Qrtly</vt:lpstr>
      <vt:lpstr>COMP Org Bud Qrtly</vt:lpstr>
      <vt:lpstr>COMP 5+7F</vt:lpstr>
      <vt:lpstr>Bal_Sheet</vt:lpstr>
      <vt:lpstr>Interest_synch</vt:lpstr>
      <vt:lpstr>'AFUDC Sch A '!Print_Area</vt:lpstr>
      <vt:lpstr>'AFUDC Sch B'!Print_Area</vt:lpstr>
      <vt:lpstr>'AFUDC Sch C'!Print_Area</vt:lpstr>
      <vt:lpstr>'Bal Sheet'!Print_Area</vt:lpstr>
      <vt:lpstr>'COMP 5+7F'!Print_Area</vt:lpstr>
      <vt:lpstr>'COMP Fin Bud Qrtly'!Print_Area</vt:lpstr>
      <vt:lpstr>'COMP Final Bud'!Print_Area</vt:lpstr>
      <vt:lpstr>'COMP Org Bud Qrtly'!Print_Area</vt:lpstr>
      <vt:lpstr>'COMP Orginal Bud'!Print_Area</vt:lpstr>
      <vt:lpstr>'COMP Prior Yr'!Print_Area</vt:lpstr>
      <vt:lpstr>'COMP Q3F'!Print_Area</vt:lpstr>
      <vt:lpstr>'COMP Q3F Qrtly'!Print_Area</vt:lpstr>
      <vt:lpstr>'COMP Qrt vs prior Yr Qtr'!Print_Area</vt:lpstr>
      <vt:lpstr>'Debt &amp; Cust Dep'!Print_Area</vt:lpstr>
      <vt:lpstr>IncomeStmt!Print_Area</vt:lpstr>
      <vt:lpstr>Input!Print_Area</vt:lpstr>
      <vt:lpstr>'Input Plant'!Print_Area</vt:lpstr>
      <vt:lpstr>'Input WFNG'!Print_Area</vt:lpstr>
      <vt:lpstr>'Int Synch'!Print_Area</vt:lpstr>
      <vt:lpstr>'Market to Reg ROE'!Print_Area</vt:lpstr>
      <vt:lpstr>Reconcil!Print_Area</vt:lpstr>
      <vt:lpstr>Report!Print_Area</vt:lpstr>
      <vt:lpstr>'Report YE'!Print_Area</vt:lpstr>
      <vt:lpstr>'ROE Comparison'!Print_Area</vt:lpstr>
      <vt:lpstr>'Working Cap Comparison'!Print_Area</vt:lpstr>
      <vt:lpstr>'Bal Sheet'!Print_Titles</vt:lpstr>
      <vt:lpstr>'Input WFNG'!Print_Titles</vt:lpstr>
      <vt:lpstr>Reconcil_Average</vt:lpstr>
      <vt:lpstr>Reconcil_year_end</vt:lpstr>
      <vt:lpstr>'COMP 5+7F'!ROE_COMPARISON</vt:lpstr>
      <vt:lpstr>'COMP Fin Bud Qrtly'!ROE_COMPARISON</vt:lpstr>
      <vt:lpstr>'COMP Final Bud'!ROE_COMPARISON</vt:lpstr>
      <vt:lpstr>'COMP Org Bud Qrtly'!ROE_COMPARISON</vt:lpstr>
      <vt:lpstr>'COMP Orginal Bud'!ROE_COMPARISON</vt:lpstr>
      <vt:lpstr>'COMP Prior Yr'!ROE_COMPARISON</vt:lpstr>
      <vt:lpstr>'COMP Q3F'!ROE_COMPARISON</vt:lpstr>
      <vt:lpstr>'COMP Q3F Qrtly'!ROE_COMPARISON</vt:lpstr>
      <vt:lpstr>'COMP Qrt vs prior Yr Qtr'!ROE_COMPARISON</vt:lpstr>
      <vt:lpstr>'Report YE'!Sched_1</vt:lpstr>
      <vt:lpstr>Sched_1</vt:lpstr>
      <vt:lpstr>'Report YE'!Sched_2</vt:lpstr>
      <vt:lpstr>Sched_2</vt:lpstr>
      <vt:lpstr>'Report YE'!Sched_3</vt:lpstr>
      <vt:lpstr>Sched_3</vt:lpstr>
      <vt:lpstr>'Report YE'!Sched_4</vt:lpstr>
      <vt:lpstr>Sched_4</vt:lpstr>
      <vt:lpstr>'Report YE'!Sched_5</vt:lpstr>
      <vt:lpstr>Sched_5</vt:lpstr>
      <vt:lpstr>'Report YE'!Sched_5_2</vt:lpstr>
      <vt:lpstr>Sched_5_2</vt:lpstr>
      <vt:lpstr>Working_capital</vt:lpstr>
    </vt:vector>
  </TitlesOfParts>
  <Company>Tampa Electric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Higgins</dc:creator>
  <cp:lastModifiedBy>Chasity Vaughan</cp:lastModifiedBy>
  <cp:lastPrinted>2022-02-07T18:42:54Z</cp:lastPrinted>
  <dcterms:created xsi:type="dcterms:W3CDTF">2002-02-15T14:21:04Z</dcterms:created>
  <dcterms:modified xsi:type="dcterms:W3CDTF">2023-08-25T13:33:06Z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SRCH_DocketId">
    <vt:lpwstr>1347.00000000000</vt:lpwstr>
  </property>
  <property fmtid="{D5CDD505-2E9C-101B-9397-08002B2CF9AE}" pid="5" name="SRCH_ObjectType">
    <vt:lpwstr>PWD</vt:lpwstr>
  </property>
  <property fmtid="{D5CDD505-2E9C-101B-9397-08002B2CF9AE}" pid="6" name="nlpa">
    <vt:lpwstr/>
  </property>
  <property fmtid="{D5CDD505-2E9C-101B-9397-08002B2CF9AE}" pid="7" name="CaseType">
    <vt:lpwstr/>
  </property>
  <property fmtid="{D5CDD505-2E9C-101B-9397-08002B2CF9AE}" pid="8" name="fofx">
    <vt:lpwstr/>
  </property>
  <property fmtid="{D5CDD505-2E9C-101B-9397-08002B2CF9AE}" pid="9" name="p5l3">
    <vt:lpwstr/>
  </property>
  <property fmtid="{D5CDD505-2E9C-101B-9397-08002B2CF9AE}" pid="10" name="a32e">
    <vt:lpwstr/>
  </property>
  <property fmtid="{D5CDD505-2E9C-101B-9397-08002B2CF9AE}" pid="11" name="CaseCompanyName">
    <vt:lpwstr/>
  </property>
  <property fmtid="{D5CDD505-2E9C-101B-9397-08002B2CF9AE}" pid="12" name="v0l2">
    <vt:lpwstr/>
  </property>
  <property fmtid="{D5CDD505-2E9C-101B-9397-08002B2CF9AE}" pid="13" name="lnzj">
    <vt:lpwstr/>
  </property>
  <property fmtid="{D5CDD505-2E9C-101B-9397-08002B2CF9AE}" pid="14" name="IsKeyDocket">
    <vt:lpwstr>0</vt:lpwstr>
  </property>
  <property fmtid="{D5CDD505-2E9C-101B-9397-08002B2CF9AE}" pid="15" name="CaseNumber">
    <vt:lpwstr/>
  </property>
  <property fmtid="{D5CDD505-2E9C-101B-9397-08002B2CF9AE}" pid="16" name="r7hx">
    <vt:lpwstr/>
  </property>
  <property fmtid="{D5CDD505-2E9C-101B-9397-08002B2CF9AE}" pid="17" name="u4qg">
    <vt:lpwstr/>
  </property>
  <property fmtid="{D5CDD505-2E9C-101B-9397-08002B2CF9AE}" pid="18" name="Comments">
    <vt:lpwstr/>
  </property>
  <property fmtid="{D5CDD505-2E9C-101B-9397-08002B2CF9AE}" pid="19" name="t97y">
    <vt:lpwstr/>
  </property>
  <property fmtid="{D5CDD505-2E9C-101B-9397-08002B2CF9AE}" pid="20" name="CasePracticeArea">
    <vt:lpwstr/>
  </property>
  <property fmtid="{D5CDD505-2E9C-101B-9397-08002B2CF9AE}" pid="21" name="cjek">
    <vt:lpwstr/>
  </property>
  <property fmtid="{D5CDD505-2E9C-101B-9397-08002B2CF9AE}" pid="22" name="owl1">
    <vt:lpwstr/>
  </property>
  <property fmtid="{D5CDD505-2E9C-101B-9397-08002B2CF9AE}" pid="23" name="tz17">
    <vt:lpwstr/>
  </property>
  <property fmtid="{D5CDD505-2E9C-101B-9397-08002B2CF9AE}" pid="24" name="CaseJurisdiction">
    <vt:lpwstr/>
  </property>
  <property fmtid="{D5CDD505-2E9C-101B-9397-08002B2CF9AE}" pid="25" name="CaseSubjects">
    <vt:lpwstr/>
  </property>
  <property fmtid="{D5CDD505-2E9C-101B-9397-08002B2CF9AE}" pid="26" name="CaseStatus">
    <vt:lpwstr/>
  </property>
  <property fmtid="{D5CDD505-2E9C-101B-9397-08002B2CF9AE}" pid="27" name="ecve">
    <vt:lpwstr/>
  </property>
</Properties>
</file>